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omments/comment3.xml" ContentType="application/vnd.openxmlformats-officedocument.spreadsheetml.comments+xml"/>
  <Override PartName="/xl/worksheets/sheet12.xml" ContentType="application/vnd.openxmlformats-officedocument.spreadsheetml.worksheet+xml"/>
  <Override PartName="/xl/comments/comment4.xml" ContentType="application/vnd.openxmlformats-officedocument.spreadsheetml.comment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omments/comment5.xml" ContentType="application/vnd.openxmlformats-officedocument.spreadsheetml.comments+xml"/>
  <Override PartName="/xl/worksheets/sheet16.xml" ContentType="application/vnd.openxmlformats-officedocument.spreadsheetml.worksheet+xml"/>
  <Override PartName="/xl/comments/comment6.xml" ContentType="application/vnd.openxmlformats-officedocument.spreadsheetml.comment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omments/comment7.xml" ContentType="application/vnd.openxmlformats-officedocument.spreadsheetml.comments+xml"/>
  <Override PartName="/xl/worksheets/sheet20.xml" ContentType="application/vnd.openxmlformats-officedocument.spreadsheetml.worksheet+xml"/>
  <Override PartName="/xl/comments/comment8.xml" ContentType="application/vnd.openxmlformats-officedocument.spreadsheetml.comments+xml"/>
  <Override PartName="/xl/worksheets/sheet21.xml" ContentType="application/vnd.openxmlformats-officedocument.spreadsheetml.worksheet+xml"/>
  <Override PartName="/xl/comments/comment9.xml" ContentType="application/vnd.openxmlformats-officedocument.spreadsheetml.comments+xml"/>
  <Override PartName="/xl/worksheets/sheet22.xml" ContentType="application/vnd.openxmlformats-officedocument.spreadsheetml.worksheet+xml"/>
  <Override PartName="/xl/comments/comment10.xml" ContentType="application/vnd.openxmlformats-officedocument.spreadsheetml.comments+xml"/>
  <Override PartName="/xl/worksheets/sheet23.xml" ContentType="application/vnd.openxmlformats-officedocument.spreadsheetml.worksheet+xml"/>
  <Override PartName="/xl/comments/comment11.xml" ContentType="application/vnd.openxmlformats-officedocument.spreadsheetml.comments+xml"/>
  <Override PartName="/xl/worksheets/sheet24.xml" ContentType="application/vnd.openxmlformats-officedocument.spreadsheetml.worksheet+xml"/>
  <Override PartName="/xl/comments/comment12.xml" ContentType="application/vnd.openxmlformats-officedocument.spreadsheetml.comments+xml"/>
  <Override PartName="/xl/worksheets/sheet25.xml" ContentType="application/vnd.openxmlformats-officedocument.spreadsheetml.worksheet+xml"/>
  <Override PartName="/xl/comments/comment13.xml" ContentType="application/vnd.openxmlformats-officedocument.spreadsheetml.comments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4240" windowHeight="13140" tabRatio="938" firstSheet="0" activeTab="2" autoFilterDateGrouping="1"/>
  </bookViews>
  <sheets>
    <sheet name="AUXILIAR" sheetId="1" state="visible" r:id="rId1"/>
    <sheet name="__BKP__AUXILIAR" sheetId="2" state="veryHidden" r:id="rId2"/>
    <sheet name="AUXILIAR VD'S" sheetId="3" state="visible" r:id="rId3"/>
    <sheet name="__BKP__AUXILIAR VD'S" sheetId="4" state="veryHidden" r:id="rId4"/>
    <sheet name="BSH 6700" sheetId="5" state="visible" r:id="rId5"/>
    <sheet name="__BKP__BSH 6700" sheetId="6" state="veryHidden" r:id="rId6"/>
    <sheet name="BOUL 13868" sheetId="7" state="visible" r:id="rId7"/>
    <sheet name="__BKP__BOUL 13868" sheetId="8" state="veryHidden" r:id="rId8"/>
    <sheet name="TT 13370" sheetId="9" state="visible" r:id="rId9"/>
    <sheet name="__BKP__TT 13370" sheetId="10" state="veryHidden" r:id="rId10"/>
    <sheet name="TDQ 20000" sheetId="11" state="visible" r:id="rId11"/>
    <sheet name="__BKP__TDQ 20000" sheetId="12" state="veryHidden" r:id="rId12"/>
    <sheet name="GET 23049" sheetId="13" state="visible" r:id="rId13"/>
    <sheet name="__BKP__GET 23049" sheetId="14" state="veryHidden" r:id="rId14"/>
    <sheet name="Q7 6727" sheetId="15" state="visible" r:id="rId15"/>
    <sheet name="__BKP__Q7 6727" sheetId="16" state="veryHidden" r:id="rId16"/>
    <sheet name="Q2 12466" sheetId="17" state="visible" r:id="rId17"/>
    <sheet name="__BKP__Q2 12466" sheetId="18" state="veryHidden" r:id="rId18"/>
    <sheet name="MD 12942" sheetId="19" state="visible" r:id="rId19"/>
    <sheet name="__BKP__MD 12942" sheetId="20" state="veryHidden" r:id="rId20"/>
    <sheet name="CDB - 23280" sheetId="21" state="visible" r:id="rId21"/>
    <sheet name="__BACKUP_ANTES_DA_MACRO__" sheetId="22" state="veryHidden" r:id="rId22"/>
    <sheet name="__BKP__CDB - 23280" sheetId="23" state="veryHidden" r:id="rId23"/>
    <sheet name="ERB - 22851" sheetId="24" state="visible" r:id="rId24"/>
    <sheet name="__BKP__ERB - 22851" sheetId="25" state="veryHidden" r:id="rId25"/>
    <sheet name="TOTAL ITENS DOADOS 2026" sheetId="26" state="visible" r:id="rId26"/>
    <sheet name="TOTAL ITENS DOADOS NATAL" sheetId="27" state="hidden" r:id="rId27"/>
    <sheet name="TOTAL ITENS DOADOS NAMORADOS" sheetId="28" state="hidden" r:id="rId28"/>
    <sheet name="TOTAL ITENS DOADOS MÃES" sheetId="29" state="hidden" r:id="rId29"/>
    <sheet name="TOTAL ITENS DOADOS PAIS" sheetId="30" state="hidden" r:id="rId30"/>
    <sheet name="TOTAL ITENS DOADOS DISNEY" sheetId="31" state="hidden" r:id="rId31"/>
    <sheet name="LOJAS BAURU" sheetId="32" state="visible" r:id="rId32"/>
    <sheet name="__BKP__LOJAS BAURU" sheetId="33" state="veryHidden" r:id="rId33"/>
    <sheet name="TOTAL ITENS DOADOS NATAL " sheetId="34" state="hidden" r:id="rId34"/>
  </sheets>
  <definedNames>
    <definedName name="__ABAS_PROCESSADAS__">"AUXILIAR|AUXILIAR VD'S|BSH 6700|BOUL 13868|TT 13370|TDQ 20000|GET 23049|Q7 6727|Q2 12466|MD 12942|CDB - 23280|ERB - 22851|LOJAS BAURU"</definedName>
    <definedName name="__NOME_ABA_ORIGINAL__">"CDB - 23280"</definedName>
    <definedName name="_xlnm.Print_Area" localSheetId="4">'BSH 6700'!$A$1:$FL$22</definedName>
    <definedName name="_xlnm.Print_Area" localSheetId="5">'__BKP__BSH 6700'!$A$1:$FJ$22</definedName>
    <definedName name="_xlnm.Print_Area" localSheetId="6">'BOUL 13868'!$A$1:$FJ$22</definedName>
    <definedName name="_xlnm.Print_Area" localSheetId="7">'__BKP__BOUL 13868'!$A$1:$FH$22</definedName>
    <definedName name="_xlnm.Print_Area" localSheetId="8">'TT 13370'!$A$1:$FB$22</definedName>
    <definedName name="_xlnm.Print_Area" localSheetId="9">'__BKP__TT 13370'!$A$1:$FA$22</definedName>
    <definedName name="_xlnm.Print_Area" localSheetId="10">'TDQ 20000'!$A$1:$EU$22</definedName>
    <definedName name="_xlnm.Print_Area" localSheetId="11">'__BKP__TDQ 20000'!$A$1:$ES$22</definedName>
    <definedName name="_xlnm.Print_Area" localSheetId="12">'GET 23049'!$A$1:$EZ$22</definedName>
    <definedName name="_xlnm.Print_Area" localSheetId="13">'__BKP__GET 23049'!$A$1:$EY$22</definedName>
    <definedName name="_xlnm.Print_Area" localSheetId="14">'Q7 6727'!$A$1:$FA$22</definedName>
    <definedName name="_xlnm.Print_Area" localSheetId="15">'__BKP__Q7 6727'!$A$1:$EZ$22</definedName>
    <definedName name="_xlnm.Print_Area" localSheetId="16">'Q2 12466'!$A$1:$EQ$22</definedName>
    <definedName name="_xlnm.Print_Area" localSheetId="17">'__BKP__Q2 12466'!$A$1:$EP$22</definedName>
    <definedName name="_xlnm.Print_Area" localSheetId="18">'MD 12942'!$A$1:$EE$22</definedName>
    <definedName name="_xlnm.Print_Area" localSheetId="19">'__BKP__MD 12942'!$A$1:$ED$22</definedName>
    <definedName name="_xlnm.Print_Area" localSheetId="20">'CDB - 23280'!$A$1:$CF$33</definedName>
    <definedName name="_xlnm.Print_Area" localSheetId="21">'__BACKUP_ANTES_DA_MACRO__'!$A$1:$CD$33</definedName>
    <definedName name="_xlnm.Print_Area" localSheetId="22">'__BKP__CDB - 23280'!$A$1:$CE$33</definedName>
    <definedName name="_xlnm.Print_Area" localSheetId="23">'ERB - 22851'!$A$1:$CE$38</definedName>
    <definedName name="_xlnm.Print_Area" localSheetId="24">'__BKP__ERB - 22851'!$A$1:$CD$38</definedName>
    <definedName name="_xlnm.Print_Area" localSheetId="31">'LOJAS BAURU'!$A$1:$L$49</definedName>
    <definedName name="_xlnm.Print_Area" localSheetId="32">'__BKP__LOJAS BAURU'!$A$1:$L$49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_-&quot;R$&quot;\ * #,##0.00_-;\-&quot;R$&quot;\ * #,##0.00_-;_-&quot;R$&quot;\ * &quot;-&quot;??_-;_-@_-"/>
    <numFmt numFmtId="165" formatCode="dd/mm"/>
    <numFmt numFmtId="166" formatCode="d/m;@"/>
    <numFmt numFmtId="167" formatCode="[$-416]d\-mmm;@"/>
    <numFmt numFmtId="168" formatCode="0;\-0;0"/>
    <numFmt numFmtId="169" formatCode="DD/MM"/>
  </numFmts>
  <fonts count="71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4"/>
      <scheme val="minor"/>
    </font>
    <font>
      <name val="Calibri"/>
      <family val="2"/>
      <sz val="14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4"/>
      <scheme val="minor"/>
    </font>
    <font>
      <name val="Calibri"/>
      <family val="2"/>
      <i val="1"/>
      <sz val="14"/>
      <scheme val="minor"/>
    </font>
    <font>
      <name val="Calibri"/>
      <family val="2"/>
      <b val="1"/>
      <sz val="16"/>
      <scheme val="minor"/>
    </font>
    <font>
      <name val="Calibri"/>
      <family val="2"/>
      <b val="1"/>
      <i val="1"/>
      <sz val="14"/>
      <scheme val="minor"/>
    </font>
    <font>
      <name val="Calibri"/>
      <family val="2"/>
      <b val="1"/>
      <color rgb="FFC00000"/>
      <sz val="14"/>
      <scheme val="minor"/>
    </font>
    <font>
      <name val="Calibri"/>
      <family val="2"/>
      <color rgb="FF0070C0"/>
      <sz val="14"/>
      <scheme val="minor"/>
    </font>
    <font>
      <name val="Calibri"/>
      <family val="2"/>
      <color rgb="FFC00000"/>
      <sz val="14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b val="1"/>
      <color theme="8" tint="-0.249977111117893"/>
      <sz val="14"/>
      <scheme val="minor"/>
    </font>
    <font>
      <name val="Calibri"/>
      <family val="2"/>
      <color rgb="FF00B050"/>
      <sz val="14"/>
      <scheme val="minor"/>
    </font>
    <font>
      <name val="Calibri"/>
      <family val="2"/>
      <b val="1"/>
      <color rgb="FF00B050"/>
      <sz val="14"/>
      <scheme val="minor"/>
    </font>
    <font>
      <name val="Calibri"/>
      <family val="2"/>
      <b val="1"/>
      <color rgb="FF0070C0"/>
      <sz val="14"/>
      <scheme val="minor"/>
    </font>
    <font>
      <name val="Calibri"/>
      <family val="2"/>
      <b val="1"/>
      <color theme="1" tint="0.0499893185216834"/>
      <sz val="14"/>
      <scheme val="minor"/>
    </font>
    <font>
      <name val="Calibri"/>
      <family val="2"/>
      <color rgb="FF00B0F0"/>
      <sz val="14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b val="1"/>
      <color indexed="8"/>
      <sz val="11"/>
    </font>
    <font>
      <name val="Calibri"/>
      <family val="2"/>
      <b val="1"/>
      <color theme="1"/>
      <sz val="12"/>
      <scheme val="minor"/>
    </font>
    <font>
      <name val="Calibri"/>
      <family val="2"/>
      <b val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sz val="12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Calibri"/>
      <family val="2"/>
      <color rgb="FF000000"/>
      <sz val="11"/>
    </font>
    <font>
      <name val="Calibri"/>
      <family val="2"/>
      <b val="1"/>
      <color rgb="FF1A967E"/>
      <sz val="14"/>
      <scheme val="minor"/>
    </font>
    <font>
      <name val="Calibri"/>
      <family val="2"/>
      <color rgb="FF000000"/>
      <sz val="14"/>
    </font>
    <font>
      <name val="Calibri"/>
      <family val="2"/>
      <color rgb="FFFF0000"/>
      <sz val="12"/>
      <scheme val="minor"/>
    </font>
    <font>
      <name val="Calibri"/>
      <family val="2"/>
      <b val="1"/>
      <color rgb="FF7030A0"/>
      <sz val="14"/>
      <scheme val="minor"/>
    </font>
    <font>
      <name val="Calibri"/>
      <family val="2"/>
      <color theme="4" tint="-0.249977111117893"/>
      <sz val="14"/>
      <scheme val="minor"/>
    </font>
    <font>
      <name val="Calibri"/>
      <family val="2"/>
      <color rgb="FF0070C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4"/>
      <scheme val="minor"/>
    </font>
    <font>
      <name val="Calibri"/>
      <family val="2"/>
      <b val="1"/>
      <color rgb="FF000000"/>
      <sz val="14"/>
    </font>
    <font>
      <name val="Calibri"/>
      <family val="2"/>
      <color rgb="FF9900FF"/>
      <sz val="14"/>
    </font>
    <font>
      <name val="Calibri"/>
      <family val="2"/>
      <color rgb="FF990099"/>
      <sz val="14"/>
    </font>
    <font>
      <name val="Calibri"/>
      <family val="2"/>
      <b val="1"/>
      <color rgb="FFCC0099"/>
      <sz val="14"/>
      <scheme val="minor"/>
    </font>
    <font>
      <name val="Arial"/>
      <family val="2"/>
      <color rgb="FF000000"/>
      <sz val="10"/>
    </font>
    <font>
      <name val="Calibri"/>
      <family val="2"/>
      <b val="1"/>
      <color rgb="FFFFC000"/>
      <sz val="12"/>
      <scheme val="minor"/>
    </font>
    <font>
      <name val="Calibri"/>
      <family val="2"/>
      <sz val="14"/>
    </font>
    <font>
      <name val="Calibri"/>
      <family val="2"/>
      <b val="1"/>
      <color theme="9" tint="-0.499984740745262"/>
      <sz val="14"/>
    </font>
    <font>
      <name val="Calibri"/>
      <family val="2"/>
      <color theme="8" tint="-0.249977111117893"/>
      <sz val="14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1"/>
      <scheme val="minor"/>
    </font>
    <font>
      <name val="Arial"/>
      <family val="2"/>
      <b val="1"/>
      <color indexed="8"/>
      <sz val="14"/>
    </font>
    <font>
      <name val="Calibri"/>
      <family val="2"/>
      <color rgb="FF000000"/>
      <sz val="11"/>
    </font>
    <font>
      <name val="Arial"/>
      <family val="2"/>
      <color rgb="FF000000"/>
      <sz val="10"/>
    </font>
    <font>
      <name val="Calibri"/>
      <family val="2"/>
      <b val="1"/>
      <color theme="9" tint="-0.249977111117893"/>
      <sz val="14"/>
      <scheme val="minor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Calibri"/>
      <family val="2"/>
      <b val="1"/>
      <color rgb="FF800080"/>
      <sz val="14"/>
    </font>
    <font>
      <name val="Calibri"/>
      <family val="2"/>
      <b val="1"/>
      <color theme="8"/>
      <sz val="14"/>
    </font>
    <font>
      <name val="Calibri"/>
      <family val="2"/>
      <sz val="11"/>
      <scheme val="minor"/>
    </font>
    <font>
      <name val="Calibri"/>
      <family val="2"/>
      <b val="1"/>
      <color rgb="FF800080"/>
      <sz val="14"/>
      <scheme val="minor"/>
    </font>
    <font>
      <name val="Calibri"/>
      <family val="2"/>
      <b val="1"/>
      <color rgb="FFFF0000"/>
      <sz val="14"/>
    </font>
    <font>
      <name val="Segoe UI"/>
      <family val="2"/>
      <b val="1"/>
      <color indexed="81"/>
      <sz val="11"/>
    </font>
    <font>
      <name val="Calibri"/>
      <family val="2"/>
      <b val="1"/>
      <color theme="9" tint="-0.499984740745262"/>
      <sz val="14"/>
      <scheme val="minor"/>
    </font>
    <font>
      <name val="Calibri"/>
      <family val="2"/>
      <b val="1"/>
      <color rgb="FF960096"/>
      <sz val="14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color theme="0" tint="-0.0499893185216834"/>
      <sz val="14"/>
      <scheme val="minor"/>
    </font>
    <font>
      <name val="Segoe UI"/>
      <family val="2"/>
      <b val="1"/>
      <color indexed="81"/>
      <sz val="10"/>
    </font>
    <font>
      <name val="Calibri"/>
      <family val="2"/>
      <b val="1"/>
      <color rgb="FFFFFFFF"/>
      <sz val="11"/>
      <scheme val="minor"/>
    </font>
    <font>
      <name val="Aptos Narrow"/>
      <family val="2"/>
      <b val="1"/>
      <color rgb="FFFFFFFF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1"/>
    </font>
  </fonts>
  <fills count="50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D8D8D8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theme="9" tint="0.5999938962981048"/>
        <bgColor rgb="FFFFFFFF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8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/>
      <top/>
      <bottom/>
      <diagonal/>
    </border>
    <border>
      <left style="thin">
        <color rgb="FF990099"/>
      </left>
      <right style="thin">
        <color rgb="FF990099"/>
      </right>
      <top/>
      <bottom/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/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</borders>
  <cellStyleXfs count="25">
    <xf numFmtId="0" fontId="7" fillId="0" borderId="0"/>
    <xf numFmtId="0" fontId="6" fillId="0" borderId="0"/>
    <xf numFmtId="44" fontId="7" fillId="0" borderId="0"/>
    <xf numFmtId="0" fontId="51" fillId="0" borderId="0"/>
    <xf numFmtId="44" fontId="7" fillId="0" borderId="0"/>
    <xf numFmtId="0" fontId="6" fillId="0" borderId="0"/>
    <xf numFmtId="0" fontId="52" fillId="0" borderId="0"/>
    <xf numFmtId="44" fontId="51" fillId="0" borderId="0"/>
    <xf numFmtId="0" fontId="52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0" fontId="51" fillId="0" borderId="0"/>
    <xf numFmtId="0" fontId="52" fillId="0" borderId="0"/>
    <xf numFmtId="44" fontId="51" fillId="0" borderId="0"/>
    <xf numFmtId="44" fontId="51" fillId="0" borderId="0"/>
    <xf numFmtId="0" fontId="51" fillId="0" borderId="0"/>
    <xf numFmtId="0" fontId="52" fillId="0" borderId="0"/>
    <xf numFmtId="44" fontId="51" fillId="0" borderId="0"/>
    <xf numFmtId="44" fontId="51" fillId="0" borderId="0"/>
    <xf numFmtId="44" fontId="51" fillId="0" borderId="0"/>
    <xf numFmtId="44" fontId="51" fillId="0" borderId="0"/>
  </cellStyleXfs>
  <cellXfs count="891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vertical="center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3" fillId="0" borderId="0" pivotButton="0" quotePrefix="0" xfId="0"/>
    <xf numFmtId="0" fontId="4" fillId="3" borderId="6" applyAlignment="1" pivotButton="0" quotePrefix="0" xfId="0">
      <alignment vertical="center"/>
    </xf>
    <xf numFmtId="0" fontId="4" fillId="3" borderId="11" applyAlignment="1" pivotButton="0" quotePrefix="0" xfId="0">
      <alignment horizontal="center" vertical="center"/>
    </xf>
    <xf numFmtId="0" fontId="4" fillId="3" borderId="12" applyAlignment="1" pivotButton="0" quotePrefix="0" xfId="0">
      <alignment horizontal="center" vertical="center"/>
    </xf>
    <xf numFmtId="0" fontId="5" fillId="0" borderId="4" applyAlignment="1" pivotButton="0" quotePrefix="0" xfId="0">
      <alignment horizontal="center" vertical="center"/>
    </xf>
    <xf numFmtId="164" fontId="3" fillId="0" borderId="0" pivotButton="0" quotePrefix="0" xfId="2"/>
    <xf numFmtId="0" fontId="4" fillId="0" borderId="0" applyAlignment="1" pivotButton="0" quotePrefix="0" xfId="0">
      <alignment vertical="center"/>
    </xf>
    <xf numFmtId="0" fontId="2" fillId="2" borderId="4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0" fontId="5" fillId="0" borderId="4" applyAlignment="1" applyProtection="1" pivotButton="0" quotePrefix="0" xfId="0">
      <alignment horizontal="center" vertical="center"/>
      <protection locked="0" hidden="0"/>
    </xf>
    <xf numFmtId="165" fontId="4" fillId="8" borderId="4" applyAlignment="1" pivotButton="0" quotePrefix="0" xfId="0">
      <alignment horizontal="center" vertical="center"/>
    </xf>
    <xf numFmtId="0" fontId="14" fillId="0" borderId="0" applyAlignment="1" applyProtection="1" pivotButton="0" quotePrefix="0" xfId="0">
      <alignment horizontal="center" vertical="center"/>
      <protection locked="0" hidden="0"/>
    </xf>
    <xf numFmtId="0" fontId="3" fillId="0" borderId="0" applyAlignment="1" pivotButton="0" quotePrefix="0" xfId="0">
      <alignment horizontal="center"/>
    </xf>
    <xf numFmtId="0" fontId="13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pivotButton="0" quotePrefix="0" xfId="0">
      <alignment horizontal="center" vertical="center"/>
    </xf>
    <xf numFmtId="0" fontId="18" fillId="0" borderId="0" applyAlignment="1" applyProtection="1" pivotButton="0" quotePrefix="0" xfId="0">
      <alignment horizontal="center" vertical="center"/>
      <protection locked="0" hidden="0"/>
    </xf>
    <xf numFmtId="0" fontId="18" fillId="0" borderId="0" applyAlignment="1" pivotButton="0" quotePrefix="0" xfId="0">
      <alignment vertical="center"/>
    </xf>
    <xf numFmtId="0" fontId="15" fillId="0" borderId="4" applyAlignment="1" applyProtection="1" pivotButton="0" quotePrefix="0" xfId="0">
      <alignment horizontal="center" vertical="center"/>
      <protection locked="0" hidden="0"/>
    </xf>
    <xf numFmtId="0" fontId="17" fillId="0" borderId="4" applyAlignment="1" applyProtection="1" pivotButton="0" quotePrefix="0" xfId="0">
      <alignment horizontal="center" vertical="center"/>
      <protection locked="0" hidden="0"/>
    </xf>
    <xf numFmtId="0" fontId="4" fillId="4" borderId="4" applyAlignment="1" pivotButton="0" quotePrefix="0" xfId="0">
      <alignment horizontal="center" vertical="center"/>
    </xf>
    <xf numFmtId="165" fontId="4" fillId="7" borderId="4" applyAlignment="1" pivotButton="0" quotePrefix="0" xfId="0">
      <alignment horizontal="center"/>
    </xf>
    <xf numFmtId="0" fontId="14" fillId="0" borderId="0" applyAlignment="1" pivotButton="0" quotePrefix="0" xfId="0">
      <alignment horizontal="center" vertical="center"/>
    </xf>
    <xf numFmtId="0" fontId="13" fillId="0" borderId="4" applyAlignment="1" applyProtection="1" pivotButton="0" quotePrefix="0" xfId="0">
      <alignment horizontal="center" vertical="center"/>
      <protection locked="0" hidden="0"/>
    </xf>
    <xf numFmtId="0" fontId="13" fillId="0" borderId="0" applyAlignment="1" pivotButton="0" quotePrefix="0" xfId="0">
      <alignment vertical="center"/>
    </xf>
    <xf numFmtId="0" fontId="3" fillId="0" borderId="0" applyProtection="1" pivotButton="0" quotePrefix="0" xfId="0">
      <protection locked="0" hidden="0"/>
    </xf>
    <xf numFmtId="165" fontId="4" fillId="6" borderId="4" applyAlignment="1" pivotButton="0" quotePrefix="0" xfId="0">
      <alignment horizontal="center" vertical="center"/>
    </xf>
    <xf numFmtId="0" fontId="5" fillId="0" borderId="4" applyAlignment="1" applyProtection="1" pivotButton="0" quotePrefix="0" xfId="0">
      <alignment horizontal="center" vertical="center" wrapText="1"/>
      <protection locked="0" hidden="0"/>
    </xf>
    <xf numFmtId="0" fontId="3" fillId="0" borderId="4" applyAlignment="1" pivotButton="0" quotePrefix="0" xfId="0">
      <alignment horizontal="center"/>
    </xf>
    <xf numFmtId="16" fontId="4" fillId="3" borderId="4" applyAlignment="1" pivotButton="0" quotePrefix="0" xfId="0">
      <alignment horizontal="center" vertical="center"/>
    </xf>
    <xf numFmtId="0" fontId="4" fillId="3" borderId="11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4" fillId="3" borderId="4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12" fillId="0" borderId="4" applyAlignment="1" applyProtection="1" pivotButton="0" quotePrefix="0" xfId="0">
      <alignment horizontal="center" vertical="center"/>
      <protection locked="0" hidden="0"/>
    </xf>
    <xf numFmtId="0" fontId="4" fillId="3" borderId="5" applyAlignment="1" pivotButton="0" quotePrefix="0" xfId="0">
      <alignment horizontal="center" vertical="center"/>
    </xf>
    <xf numFmtId="0" fontId="18" fillId="0" borderId="4" applyAlignment="1" applyProtection="1" pivotButton="0" quotePrefix="0" xfId="0">
      <alignment horizontal="center" vertical="center"/>
      <protection locked="0" hidden="0"/>
    </xf>
    <xf numFmtId="0" fontId="3" fillId="12" borderId="0" pivotButton="0" quotePrefix="0" xfId="0"/>
    <xf numFmtId="0" fontId="3" fillId="0" borderId="0" applyAlignment="1" pivotButton="0" quotePrefix="0" xfId="0">
      <alignment horizontal="left"/>
    </xf>
    <xf numFmtId="0" fontId="20" fillId="10" borderId="4" applyAlignment="1" pivotButton="0" quotePrefix="0" xfId="0">
      <alignment horizontal="left" vertical="center"/>
    </xf>
    <xf numFmtId="0" fontId="4" fillId="7" borderId="4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0" fontId="17" fillId="0" borderId="0" applyAlignment="1" applyProtection="1" pivotButton="0" quotePrefix="0" xfId="0">
      <alignment horizontal="center" vertical="center"/>
      <protection locked="0" hidden="0"/>
    </xf>
    <xf numFmtId="0" fontId="14" fillId="0" borderId="0" applyAlignment="1" pivotButton="0" quotePrefix="0" xfId="0">
      <alignment vertical="center"/>
    </xf>
    <xf numFmtId="0" fontId="21" fillId="0" borderId="4" applyAlignment="1" applyProtection="1" pivotButton="0" quotePrefix="0" xfId="0">
      <alignment horizontal="center" vertical="center"/>
      <protection locked="0" hidden="0"/>
    </xf>
    <xf numFmtId="0" fontId="8" fillId="0" borderId="0" applyProtection="1" pivotButton="0" quotePrefix="0" xfId="0">
      <protection locked="0" hidden="0"/>
    </xf>
    <xf numFmtId="0" fontId="3" fillId="0" borderId="0" applyAlignment="1" pivotButton="0" quotePrefix="0" xfId="0">
      <alignment horizontal="right"/>
    </xf>
    <xf numFmtId="0" fontId="4" fillId="11" borderId="0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4" fillId="3" borderId="4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4" fillId="3" borderId="4" applyAlignment="1" pivotButton="0" quotePrefix="0" xfId="2">
      <alignment vertical="center"/>
    </xf>
    <xf numFmtId="0" fontId="5" fillId="12" borderId="4" applyAlignment="1" pivotButton="0" quotePrefix="0" xfId="0">
      <alignment horizontal="center" vertical="center"/>
    </xf>
    <xf numFmtId="0" fontId="5" fillId="12" borderId="4" applyAlignment="1" pivotButton="0" quotePrefix="0" xfId="0">
      <alignment horizontal="left" vertical="center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pivotButton="0" quotePrefix="0" xfId="0">
      <alignment horizontal="center" vertical="center"/>
    </xf>
    <xf numFmtId="0" fontId="21" fillId="0" borderId="0" applyAlignment="1" pivotButton="0" quotePrefix="0" xfId="0">
      <alignment vertical="center"/>
    </xf>
    <xf numFmtId="0" fontId="14" fillId="0" borderId="0" applyProtection="1" pivotButton="0" quotePrefix="0" xfId="0">
      <protection locked="0" hidden="0"/>
    </xf>
    <xf numFmtId="0" fontId="5" fillId="0" borderId="0" applyProtection="1" pivotButton="0" quotePrefix="0" xfId="0">
      <protection locked="0" hidden="0"/>
    </xf>
    <xf numFmtId="0" fontId="21" fillId="0" borderId="0" applyAlignment="1" applyProtection="1" pivotButton="0" quotePrefix="0" xfId="0">
      <alignment horizontal="center" vertical="center"/>
      <protection locked="0" hidden="0"/>
    </xf>
    <xf numFmtId="0" fontId="5" fillId="0" borderId="7" applyAlignment="1" pivotButton="0" quotePrefix="0" xfId="0">
      <alignment horizontal="left" vertical="center"/>
    </xf>
    <xf numFmtId="0" fontId="5" fillId="0" borderId="8" applyAlignment="1" pivotButton="0" quotePrefix="0" xfId="0">
      <alignment horizontal="left" vertical="center"/>
    </xf>
    <xf numFmtId="0" fontId="20" fillId="10" borderId="4" applyAlignment="1" pivotButton="0" quotePrefix="0" xfId="0">
      <alignment horizontal="center" vertical="center"/>
    </xf>
    <xf numFmtId="0" fontId="17" fillId="0" borderId="0" applyProtection="1" pivotButton="0" quotePrefix="0" xfId="0">
      <protection locked="0" hidden="0"/>
    </xf>
    <xf numFmtId="0" fontId="3" fillId="11" borderId="0" applyAlignment="1" pivotButton="0" quotePrefix="0" xfId="0">
      <alignment horizontal="center" vertical="center"/>
    </xf>
    <xf numFmtId="0" fontId="13" fillId="0" borderId="0" pivotButton="0" quotePrefix="0" xfId="0"/>
    <xf numFmtId="0" fontId="13" fillId="0" borderId="0" applyProtection="1" pivotButton="0" quotePrefix="0" xfId="0">
      <protection locked="0" hidden="0"/>
    </xf>
    <xf numFmtId="0" fontId="5" fillId="0" borderId="0" pivotButton="0" quotePrefix="0" xfId="0"/>
    <xf numFmtId="0" fontId="16" fillId="0" borderId="4" applyAlignment="1" applyProtection="1" pivotButton="0" quotePrefix="0" xfId="0">
      <alignment horizontal="center" vertical="center"/>
      <protection locked="0" hidden="0"/>
    </xf>
    <xf numFmtId="0" fontId="5" fillId="0" borderId="13" applyAlignment="1" applyProtection="1" pivotButton="0" quotePrefix="0" xfId="0">
      <alignment horizontal="center" vertical="center"/>
      <protection locked="0" hidden="0"/>
    </xf>
    <xf numFmtId="164" fontId="5" fillId="0" borderId="4" applyAlignment="1" pivotButton="0" quotePrefix="0" xfId="2">
      <alignment horizontal="center" vertical="center"/>
    </xf>
    <xf numFmtId="0" fontId="4" fillId="13" borderId="10" applyAlignment="1" pivotButton="0" quotePrefix="0" xfId="0">
      <alignment horizontal="center" vertical="center"/>
    </xf>
    <xf numFmtId="164" fontId="4" fillId="13" borderId="10" applyAlignment="1" pivotButton="0" quotePrefix="0" xfId="2">
      <alignment horizontal="center" vertical="center" wrapText="1"/>
    </xf>
    <xf numFmtId="164" fontId="10" fillId="13" borderId="10" applyAlignment="1" pivotButton="0" quotePrefix="0" xfId="2">
      <alignment horizontal="center" vertical="center" wrapText="1"/>
    </xf>
    <xf numFmtId="0" fontId="22" fillId="0" borderId="0" applyAlignment="1" pivotButton="0" quotePrefix="0" xfId="0">
      <alignment horizontal="center"/>
    </xf>
    <xf numFmtId="0" fontId="23" fillId="4" borderId="16" applyAlignment="1" applyProtection="1" pivotButton="0" quotePrefix="0" xfId="0">
      <alignment horizontal="center" wrapText="1" readingOrder="1"/>
      <protection locked="0" hidden="0"/>
    </xf>
    <xf numFmtId="2" fontId="9" fillId="14" borderId="4" applyAlignment="1" pivotButton="0" quotePrefix="0" xfId="0">
      <alignment horizontal="center" vertical="center"/>
    </xf>
    <xf numFmtId="2" fontId="9" fillId="14" borderId="10" applyAlignment="1" pivotButton="0" quotePrefix="0" xfId="0">
      <alignment horizontal="center" vertical="center"/>
    </xf>
    <xf numFmtId="0" fontId="11" fillId="3" borderId="5" applyAlignment="1" pivotButton="0" quotePrefix="0" xfId="0">
      <alignment horizontal="center" vertical="center"/>
    </xf>
    <xf numFmtId="0" fontId="11" fillId="3" borderId="14" applyAlignment="1" pivotButton="0" quotePrefix="0" xfId="0">
      <alignment horizontal="center" vertical="center"/>
    </xf>
    <xf numFmtId="0" fontId="9" fillId="14" borderId="13" applyAlignment="1" pivotButton="0" quotePrefix="0" xfId="0">
      <alignment horizontal="center" vertical="center"/>
    </xf>
    <xf numFmtId="0" fontId="9" fillId="14" borderId="10" applyAlignment="1" pivotButton="0" quotePrefix="0" xfId="0">
      <alignment horizontal="center" vertical="center"/>
    </xf>
    <xf numFmtId="2" fontId="9" fillId="14" borderId="13" applyAlignment="1" pivotButton="0" quotePrefix="0" xfId="0">
      <alignment horizontal="center" vertical="center"/>
    </xf>
    <xf numFmtId="0" fontId="9" fillId="14" borderId="4" applyAlignment="1" pivotButton="0" quotePrefix="0" xfId="0">
      <alignment horizontal="center" vertical="center"/>
    </xf>
    <xf numFmtId="0" fontId="4" fillId="3" borderId="5" applyAlignment="1" pivotButton="0" quotePrefix="0" xfId="0">
      <alignment horizontal="left" vertical="center"/>
    </xf>
    <xf numFmtId="164" fontId="4" fillId="3" borderId="14" applyAlignment="1" pivotButton="0" quotePrefix="0" xfId="2">
      <alignment horizontal="center" vertical="center"/>
    </xf>
    <xf numFmtId="0" fontId="4" fillId="3" borderId="14" applyAlignment="1" pivotButton="0" quotePrefix="0" xfId="0">
      <alignment horizontal="center" vertical="center"/>
    </xf>
    <xf numFmtId="0" fontId="4" fillId="3" borderId="14" applyAlignment="1" pivotButton="0" quotePrefix="0" xfId="0">
      <alignment vertical="center"/>
    </xf>
    <xf numFmtId="164" fontId="9" fillId="9" borderId="13" applyAlignment="1" pivotButton="0" quotePrefix="0" xfId="2">
      <alignment horizontal="center" vertical="center"/>
    </xf>
    <xf numFmtId="164" fontId="9" fillId="9" borderId="4" applyAlignment="1" pivotButton="0" quotePrefix="0" xfId="2">
      <alignment horizontal="center" vertical="center"/>
    </xf>
    <xf numFmtId="164" fontId="4" fillId="3" borderId="14" applyAlignment="1" pivotButton="0" quotePrefix="0" xfId="2">
      <alignment vertical="center"/>
    </xf>
    <xf numFmtId="0" fontId="5" fillId="0" borderId="10" applyAlignment="1" pivotButton="0" quotePrefix="0" xfId="0">
      <alignment horizontal="left" vertical="center"/>
    </xf>
    <xf numFmtId="0" fontId="5" fillId="7" borderId="3" applyAlignment="1" applyProtection="1" pivotButton="0" quotePrefix="0" xfId="0">
      <alignment horizontal="center" vertical="center"/>
      <protection locked="0" hidden="0"/>
    </xf>
    <xf numFmtId="0" fontId="5" fillId="14" borderId="4" applyAlignment="1" pivotButton="0" quotePrefix="0" xfId="0">
      <alignment horizontal="left" vertical="center"/>
    </xf>
    <xf numFmtId="164" fontId="9" fillId="14" borderId="13" applyAlignment="1" pivotButton="0" quotePrefix="0" xfId="2">
      <alignment horizontal="center" vertical="center"/>
    </xf>
    <xf numFmtId="164" fontId="9" fillId="14" borderId="4" applyAlignment="1" pivotButton="0" quotePrefix="0" xfId="2">
      <alignment horizontal="center" vertical="center"/>
    </xf>
    <xf numFmtId="0" fontId="5" fillId="7" borderId="1" applyAlignment="1" pivotButton="0" quotePrefix="0" xfId="0">
      <alignment horizontal="left" vertical="center"/>
    </xf>
    <xf numFmtId="0" fontId="9" fillId="7" borderId="2" applyAlignment="1" pivotButton="0" quotePrefix="0" xfId="0">
      <alignment horizontal="center" vertical="center"/>
    </xf>
    <xf numFmtId="2" fontId="9" fillId="7" borderId="2" applyAlignment="1" pivotButton="0" quotePrefix="0" xfId="0">
      <alignment horizontal="center" vertical="center"/>
    </xf>
    <xf numFmtId="0" fontId="5" fillId="0" borderId="9" applyAlignment="1" pivotButton="0" quotePrefix="0" xfId="0">
      <alignment horizontal="left" vertical="center"/>
    </xf>
    <xf numFmtId="164" fontId="3" fillId="0" borderId="4" applyAlignment="1" pivotButton="0" quotePrefix="0" xfId="2">
      <alignment horizontal="center"/>
    </xf>
    <xf numFmtId="0" fontId="13" fillId="3" borderId="4" applyAlignment="1" applyProtection="1" pivotButton="0" quotePrefix="0" xfId="0">
      <alignment horizontal="center" vertical="center"/>
      <protection locked="0" hidden="0"/>
    </xf>
    <xf numFmtId="165" fontId="4" fillId="6" borderId="4" applyAlignment="1" pivotButton="0" quotePrefix="0" xfId="0">
      <alignment horizontal="center"/>
    </xf>
    <xf numFmtId="164" fontId="9" fillId="9" borderId="12" applyAlignment="1" pivotButton="0" quotePrefix="0" xfId="2">
      <alignment vertical="center"/>
    </xf>
    <xf numFmtId="164" fontId="9" fillId="9" borderId="11" applyAlignment="1" pivotButton="0" quotePrefix="0" xfId="2">
      <alignment vertical="center"/>
    </xf>
    <xf numFmtId="164" fontId="5" fillId="0" borderId="13" applyAlignment="1" pivotButton="0" quotePrefix="0" xfId="2">
      <alignment horizontal="center" vertical="center"/>
    </xf>
    <xf numFmtId="164" fontId="5" fillId="0" borderId="4" applyAlignment="1" pivotButton="0" quotePrefix="0" xfId="2">
      <alignment vertical="center"/>
    </xf>
    <xf numFmtId="0" fontId="24" fillId="15" borderId="4" applyAlignment="1" pivotButton="0" quotePrefix="0" xfId="0">
      <alignment horizontal="center"/>
    </xf>
    <xf numFmtId="0" fontId="25" fillId="15" borderId="4" applyAlignment="1" pivotButton="0" quotePrefix="0" xfId="0">
      <alignment horizontal="left" vertical="center"/>
    </xf>
    <xf numFmtId="0" fontId="26" fillId="15" borderId="4" applyAlignment="1" pivotButton="0" quotePrefix="0" xfId="0">
      <alignment horizontal="center"/>
    </xf>
    <xf numFmtId="0" fontId="26" fillId="0" borderId="4" applyAlignment="1" pivotButton="0" quotePrefix="0" xfId="0">
      <alignment horizontal="center"/>
    </xf>
    <xf numFmtId="0" fontId="27" fillId="0" borderId="4" applyAlignment="1" pivotButton="0" quotePrefix="0" xfId="0">
      <alignment horizontal="left" vertical="center"/>
    </xf>
    <xf numFmtId="0" fontId="27" fillId="0" borderId="8" applyAlignment="1" pivotButton="0" quotePrefix="0" xfId="0">
      <alignment horizontal="left" vertical="center"/>
    </xf>
    <xf numFmtId="0" fontId="27" fillId="0" borderId="7" applyAlignment="1" pivotButton="0" quotePrefix="0" xfId="0">
      <alignment horizontal="left" vertical="center"/>
    </xf>
    <xf numFmtId="0" fontId="27" fillId="0" borderId="11" applyAlignment="1" pivotButton="0" quotePrefix="0" xfId="0">
      <alignment horizontal="left" vertical="center"/>
    </xf>
    <xf numFmtId="0" fontId="28" fillId="16" borderId="17" applyAlignment="1" pivotButton="0" quotePrefix="0" xfId="0">
      <alignment horizontal="center" vertical="center" wrapText="1"/>
    </xf>
    <xf numFmtId="16" fontId="28" fillId="16" borderId="17" applyAlignment="1" pivotButton="0" quotePrefix="0" xfId="0">
      <alignment horizontal="center" vertical="center"/>
    </xf>
    <xf numFmtId="0" fontId="3" fillId="11" borderId="15" applyAlignment="1" pivotButton="0" quotePrefix="0" xfId="0">
      <alignment vertical="center"/>
    </xf>
    <xf numFmtId="16" fontId="28" fillId="7" borderId="17" applyAlignment="1" pivotButton="0" quotePrefix="0" xfId="0">
      <alignment horizontal="center" vertical="center"/>
    </xf>
    <xf numFmtId="0" fontId="28" fillId="7" borderId="17" applyAlignment="1" pivotButton="0" quotePrefix="0" xfId="0">
      <alignment horizontal="center" vertical="center" wrapText="1"/>
    </xf>
    <xf numFmtId="0" fontId="26" fillId="4" borderId="4" applyAlignment="1" pivotButton="0" quotePrefix="0" xfId="0">
      <alignment horizontal="center"/>
    </xf>
    <xf numFmtId="0" fontId="24" fillId="4" borderId="4" applyAlignment="1" pivotButton="0" quotePrefix="0" xfId="0">
      <alignment horizontal="center"/>
    </xf>
    <xf numFmtId="0" fontId="25" fillId="4" borderId="4" applyAlignment="1" pivotButton="0" quotePrefix="0" xfId="0">
      <alignment horizontal="left" vertical="center"/>
    </xf>
    <xf numFmtId="3" fontId="26" fillId="0" borderId="4" applyAlignment="1" pivotButton="0" quotePrefix="0" xfId="0">
      <alignment horizontal="center"/>
    </xf>
    <xf numFmtId="3" fontId="31" fillId="0" borderId="0" applyAlignment="1" applyProtection="1" pivotButton="0" quotePrefix="0" xfId="0">
      <alignment horizontal="center" vertical="center"/>
      <protection locked="0" hidden="0"/>
    </xf>
    <xf numFmtId="0" fontId="33" fillId="0" borderId="4" applyAlignment="1" pivotButton="0" quotePrefix="0" xfId="0">
      <alignment horizontal="left" vertical="center"/>
    </xf>
    <xf numFmtId="165" fontId="4" fillId="0" borderId="0" applyAlignment="1" pivotButton="0" quotePrefix="0" xfId="0">
      <alignment horizontal="center" vertical="center"/>
    </xf>
    <xf numFmtId="0" fontId="11" fillId="11" borderId="0" applyAlignment="1" pivotButton="0" quotePrefix="0" xfId="0">
      <alignment vertical="center"/>
    </xf>
    <xf numFmtId="16" fontId="34" fillId="0" borderId="0" applyProtection="1" pivotButton="0" quotePrefix="0" xfId="0">
      <protection locked="0" hidden="0"/>
    </xf>
    <xf numFmtId="0" fontId="27" fillId="0" borderId="4" applyAlignment="1" applyProtection="1" pivotButton="0" quotePrefix="0" xfId="0">
      <alignment horizontal="left" vertical="center"/>
      <protection locked="0" hidden="0"/>
    </xf>
    <xf numFmtId="3" fontId="18" fillId="0" borderId="4" applyAlignment="1" applyProtection="1" pivotButton="0" quotePrefix="0" xfId="0">
      <alignment horizontal="center" vertical="center"/>
      <protection locked="0" hidden="0"/>
    </xf>
    <xf numFmtId="0" fontId="32" fillId="0" borderId="4" applyAlignment="1" applyProtection="1" pivotButton="0" quotePrefix="0" xfId="0">
      <alignment horizontal="center" vertical="center"/>
      <protection locked="0" hidden="0"/>
    </xf>
    <xf numFmtId="165" fontId="2" fillId="20" borderId="4" applyAlignment="1" pivotButton="0" quotePrefix="0" xfId="0">
      <alignment horizontal="center" vertical="center"/>
    </xf>
    <xf numFmtId="0" fontId="36" fillId="0" borderId="0" pivotButton="0" quotePrefix="0" xfId="0"/>
    <xf numFmtId="0" fontId="32" fillId="0" borderId="14" applyAlignment="1" applyProtection="1" pivotButton="0" quotePrefix="0" xfId="0">
      <alignment horizontal="center" vertical="center"/>
      <protection locked="0" hidden="0"/>
    </xf>
    <xf numFmtId="0" fontId="5" fillId="0" borderId="14" applyAlignment="1" pivotButton="0" quotePrefix="0" xfId="0">
      <alignment vertical="center"/>
    </xf>
    <xf numFmtId="0" fontId="5" fillId="4" borderId="4" applyAlignment="1" applyProtection="1" pivotButton="0" quotePrefix="0" xfId="0">
      <alignment horizontal="center" vertical="center"/>
      <protection locked="0" hidden="0"/>
    </xf>
    <xf numFmtId="0" fontId="3" fillId="0" borderId="4" applyAlignment="1" pivotButton="0" quotePrefix="0" xfId="0">
      <alignment horizontal="left"/>
    </xf>
    <xf numFmtId="164" fontId="5" fillId="0" borderId="0" pivotButton="0" quotePrefix="0" xfId="2"/>
    <xf numFmtId="0" fontId="9" fillId="14" borderId="15" applyAlignment="1" pivotButton="0" quotePrefix="0" xfId="0">
      <alignment horizontal="center" vertical="center"/>
    </xf>
    <xf numFmtId="164" fontId="9" fillId="9" borderId="0" applyAlignment="1" pivotButton="0" quotePrefix="0" xfId="2">
      <alignment vertical="center"/>
    </xf>
    <xf numFmtId="2" fontId="9" fillId="14" borderId="14" applyAlignment="1" pivotButton="0" quotePrefix="0" xfId="0">
      <alignment horizontal="center" vertical="center"/>
    </xf>
    <xf numFmtId="0" fontId="19" fillId="3" borderId="4" applyAlignment="1" pivotButton="0" quotePrefix="0" xfId="0">
      <alignment horizontal="center" vertical="center"/>
    </xf>
    <xf numFmtId="0" fontId="4" fillId="3" borderId="12" applyAlignment="1" pivotButton="0" quotePrefix="1" xfId="0">
      <alignment horizontal="center" vertical="center"/>
    </xf>
    <xf numFmtId="0" fontId="4" fillId="11" borderId="0" applyAlignment="1" pivotButton="0" quotePrefix="0" xfId="0">
      <alignment vertical="center"/>
    </xf>
    <xf numFmtId="0" fontId="15" fillId="0" borderId="0" applyAlignment="1" applyProtection="1" pivotButton="0" quotePrefix="0" xfId="0">
      <alignment horizontal="center" vertical="center"/>
      <protection locked="0" hidden="0"/>
    </xf>
    <xf numFmtId="165" fontId="4" fillId="19" borderId="4" applyAlignment="1" pivotButton="0" quotePrefix="0" xfId="0">
      <alignment horizontal="center" vertical="center"/>
    </xf>
    <xf numFmtId="16" fontId="4" fillId="0" borderId="0" applyAlignment="1" pivotButton="0" quotePrefix="0" xfId="0">
      <alignment horizontal="center" vertical="center"/>
    </xf>
    <xf numFmtId="3" fontId="3" fillId="0" borderId="4" applyAlignment="1" pivotButton="0" quotePrefix="0" xfId="0">
      <alignment horizontal="center"/>
    </xf>
    <xf numFmtId="3" fontId="5" fillId="0" borderId="4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35" fillId="0" borderId="5" applyAlignment="1" pivotButton="0" quotePrefix="0" xfId="0">
      <alignment horizontal="left" vertical="center"/>
    </xf>
    <xf numFmtId="0" fontId="35" fillId="0" borderId="14" applyAlignment="1" pivotButton="0" quotePrefix="0" xfId="0">
      <alignment horizontal="left" vertical="center"/>
    </xf>
    <xf numFmtId="0" fontId="35" fillId="0" borderId="6" applyAlignment="1" pivotButton="0" quotePrefix="0" xfId="0">
      <alignment horizontal="left" vertical="center"/>
    </xf>
    <xf numFmtId="164" fontId="3" fillId="0" borderId="4" applyAlignment="1" pivotButton="0" quotePrefix="0" xfId="2">
      <alignment horizontal="center"/>
    </xf>
    <xf numFmtId="0" fontId="5" fillId="7" borderId="2" applyAlignment="1" applyProtection="1" pivotButton="0" quotePrefix="0" xfId="0">
      <alignment horizontal="center" vertical="center"/>
      <protection locked="0" hidden="0"/>
    </xf>
    <xf numFmtId="0" fontId="15" fillId="0" borderId="4" applyAlignment="1" applyProtection="1" pivotButton="0" quotePrefix="0" xfId="0">
      <alignment horizontal="center" vertical="center" wrapText="1"/>
      <protection locked="0" hidden="0"/>
    </xf>
    <xf numFmtId="0" fontId="5" fillId="0" borderId="13" applyAlignment="1" pivotButton="0" quotePrefix="0" xfId="0">
      <alignment horizontal="center" vertical="center"/>
    </xf>
    <xf numFmtId="0" fontId="9" fillId="14" borderId="12" applyAlignment="1" pivotButton="0" quotePrefix="0" xfId="0">
      <alignment horizontal="center" vertical="center"/>
    </xf>
    <xf numFmtId="0" fontId="28" fillId="16" borderId="19" applyAlignment="1" pivotButton="0" quotePrefix="0" xfId="0">
      <alignment horizontal="center" vertical="center"/>
    </xf>
    <xf numFmtId="0" fontId="38" fillId="18" borderId="4" applyAlignment="1" pivotButton="0" quotePrefix="0" xfId="0">
      <alignment horizontal="center" vertical="center" wrapText="1"/>
    </xf>
    <xf numFmtId="0" fontId="2" fillId="22" borderId="4" applyAlignment="1" pivotButton="0" quotePrefix="0" xfId="0">
      <alignment horizontal="left" vertical="center"/>
    </xf>
    <xf numFmtId="0" fontId="15" fillId="5" borderId="4" applyAlignment="1" pivotButton="0" quotePrefix="0" xfId="0">
      <alignment horizontal="left" vertical="center"/>
    </xf>
    <xf numFmtId="0" fontId="15" fillId="5" borderId="4" applyAlignment="1" pivotButton="0" quotePrefix="0" xfId="0">
      <alignment horizontal="center" vertical="center"/>
    </xf>
    <xf numFmtId="0" fontId="27" fillId="0" borderId="7" applyAlignment="1" pivotButton="0" quotePrefix="0" xfId="0">
      <alignment vertical="center"/>
    </xf>
    <xf numFmtId="0" fontId="32" fillId="23" borderId="23" applyAlignment="1" applyProtection="1" pivotButton="0" quotePrefix="0" xfId="0">
      <alignment horizontal="left" vertical="center"/>
      <protection locked="0" hidden="0"/>
    </xf>
    <xf numFmtId="0" fontId="39" fillId="17" borderId="23" applyAlignment="1" applyProtection="1" pivotButton="0" quotePrefix="0" xfId="0">
      <alignment horizontal="center" vertical="center"/>
      <protection locked="0" hidden="0"/>
    </xf>
    <xf numFmtId="0" fontId="32" fillId="0" borderId="23" applyAlignment="1" applyProtection="1" pivotButton="0" quotePrefix="0" xfId="0">
      <alignment horizontal="center" vertical="center"/>
      <protection locked="0" hidden="0"/>
    </xf>
    <xf numFmtId="0" fontId="14" fillId="12" borderId="0" applyProtection="1" pivotButton="0" quotePrefix="0" xfId="0">
      <protection locked="0" hidden="0"/>
    </xf>
    <xf numFmtId="0" fontId="4" fillId="12" borderId="0" applyAlignment="1" applyProtection="1" pivotButton="0" quotePrefix="0" xfId="0">
      <alignment horizontal="center"/>
      <protection locked="0" hidden="0"/>
    </xf>
    <xf numFmtId="0" fontId="40" fillId="24" borderId="23" applyAlignment="1" applyProtection="1" pivotButton="0" quotePrefix="0" xfId="0">
      <alignment horizontal="left" vertical="center"/>
      <protection locked="0" hidden="0"/>
    </xf>
    <xf numFmtId="0" fontId="5" fillId="12" borderId="0" applyAlignment="1" applyProtection="1" pivotButton="0" quotePrefix="0" xfId="0">
      <alignment horizontal="center"/>
      <protection locked="0" hidden="0"/>
    </xf>
    <xf numFmtId="0" fontId="39" fillId="17" borderId="28" applyAlignment="1" applyProtection="1" pivotButton="0" quotePrefix="0" xfId="0">
      <alignment horizontal="center" vertical="center"/>
      <protection locked="0" hidden="0"/>
    </xf>
    <xf numFmtId="0" fontId="32" fillId="0" borderId="28" applyAlignment="1" applyProtection="1" pivotButton="0" quotePrefix="0" xfId="0">
      <alignment horizontal="center" vertical="center"/>
      <protection locked="0" hidden="0"/>
    </xf>
    <xf numFmtId="0" fontId="40" fillId="24" borderId="4" applyAlignment="1" applyProtection="1" pivotButton="0" quotePrefix="0" xfId="0">
      <alignment horizontal="left" vertical="center"/>
      <protection locked="0" hidden="0"/>
    </xf>
    <xf numFmtId="0" fontId="39" fillId="17" borderId="4" applyAlignment="1" applyProtection="1" pivotButton="0" quotePrefix="0" xfId="0">
      <alignment horizontal="center" vertical="center"/>
      <protection locked="0" hidden="0"/>
    </xf>
    <xf numFmtId="165" fontId="1" fillId="21" borderId="4" applyAlignment="1" pivotButton="0" quotePrefix="0" xfId="0">
      <alignment horizontal="left"/>
    </xf>
    <xf numFmtId="0" fontId="41" fillId="24" borderId="23" applyAlignment="1" applyProtection="1" pivotButton="0" quotePrefix="0" xfId="0">
      <alignment horizontal="left" vertical="center"/>
      <protection locked="0" hidden="0"/>
    </xf>
    <xf numFmtId="0" fontId="32" fillId="0" borderId="29" applyAlignment="1" applyProtection="1" pivotButton="0" quotePrefix="0" xfId="0">
      <alignment horizontal="left" vertical="center"/>
      <protection locked="0" hidden="0"/>
    </xf>
    <xf numFmtId="0" fontId="39" fillId="17" borderId="29" applyAlignment="1" applyProtection="1" pivotButton="0" quotePrefix="0" xfId="0">
      <alignment horizontal="center" vertical="center"/>
      <protection locked="0" hidden="0"/>
    </xf>
    <xf numFmtId="0" fontId="32" fillId="0" borderId="29" applyAlignment="1" applyProtection="1" pivotButton="0" quotePrefix="0" xfId="0">
      <alignment horizontal="center" vertical="center"/>
      <protection locked="0" hidden="0"/>
    </xf>
    <xf numFmtId="0" fontId="40" fillId="24" borderId="30" applyAlignment="1" applyProtection="1" pivotButton="0" quotePrefix="0" xfId="0">
      <alignment horizontal="left" vertical="center"/>
      <protection locked="0" hidden="0"/>
    </xf>
    <xf numFmtId="0" fontId="39" fillId="17" borderId="30" applyAlignment="1" applyProtection="1" pivotButton="0" quotePrefix="0" xfId="0">
      <alignment horizontal="center" vertical="center"/>
      <protection locked="0" hidden="0"/>
    </xf>
    <xf numFmtId="0" fontId="32" fillId="0" borderId="30" applyAlignment="1" applyProtection="1" pivotButton="0" quotePrefix="0" xfId="0">
      <alignment horizontal="center" vertical="center"/>
      <protection locked="0" hidden="0"/>
    </xf>
    <xf numFmtId="0" fontId="4" fillId="3" borderId="12" applyAlignment="1" pivotButton="0" quotePrefix="0" xfId="0">
      <alignment horizontal="left" vertical="center"/>
    </xf>
    <xf numFmtId="0" fontId="8" fillId="0" borderId="4" applyAlignment="1" pivotButton="0" quotePrefix="0" xfId="0">
      <alignment horizontal="left"/>
    </xf>
    <xf numFmtId="0" fontId="4" fillId="3" borderId="5" applyAlignment="1" pivotButton="0" quotePrefix="0" xfId="0">
      <alignment vertical="center"/>
    </xf>
    <xf numFmtId="0" fontId="4" fillId="25" borderId="4" applyAlignment="1" applyProtection="1" pivotButton="0" quotePrefix="0" xfId="0">
      <alignment horizontal="center" vertical="center"/>
      <protection locked="0" hidden="0"/>
    </xf>
    <xf numFmtId="0" fontId="4" fillId="25" borderId="13" applyAlignment="1" applyProtection="1" pivotButton="0" quotePrefix="0" xfId="0">
      <alignment horizontal="center" vertical="center"/>
      <protection locked="0" hidden="0"/>
    </xf>
    <xf numFmtId="0" fontId="15" fillId="0" borderId="13" applyAlignment="1" applyProtection="1" pivotButton="0" quotePrefix="0" xfId="0">
      <alignment horizontal="center" vertical="center"/>
      <protection locked="0" hidden="0"/>
    </xf>
    <xf numFmtId="0" fontId="13" fillId="0" borderId="13" applyAlignment="1" applyProtection="1" pivotButton="0" quotePrefix="0" xfId="0">
      <alignment horizontal="center" vertical="center"/>
      <protection locked="0" hidden="0"/>
    </xf>
    <xf numFmtId="164" fontId="3" fillId="0" borderId="0" pivotButton="0" quotePrefix="0" xfId="2"/>
    <xf numFmtId="0" fontId="5" fillId="12" borderId="13" applyAlignment="1" pivotButton="0" quotePrefix="0" xfId="0">
      <alignment horizontal="left" vertical="center"/>
    </xf>
    <xf numFmtId="3" fontId="4" fillId="25" borderId="4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2" fillId="20" borderId="5" applyAlignment="1" pivotButton="0" quotePrefix="0" xfId="0">
      <alignment horizontal="center" vertical="center"/>
    </xf>
    <xf numFmtId="0" fontId="2" fillId="20" borderId="14" applyAlignment="1" pivotButton="0" quotePrefix="0" xfId="0">
      <alignment horizontal="center" vertical="center"/>
    </xf>
    <xf numFmtId="0" fontId="2" fillId="20" borderId="6" applyAlignment="1" pivotButton="0" quotePrefix="0" xfId="0">
      <alignment horizontal="center" vertical="center"/>
    </xf>
    <xf numFmtId="16" fontId="42" fillId="3" borderId="4" applyAlignment="1" pivotButton="0" quotePrefix="0" xfId="0">
      <alignment horizontal="center" vertical="center"/>
    </xf>
    <xf numFmtId="0" fontId="27" fillId="0" borderId="13" applyAlignment="1" applyProtection="1" pivotButton="0" quotePrefix="0" xfId="0">
      <alignment horizontal="left" vertical="center"/>
      <protection locked="0" hidden="0"/>
    </xf>
    <xf numFmtId="0" fontId="26" fillId="0" borderId="13" applyAlignment="1" pivotButton="0" quotePrefix="0" xfId="0">
      <alignment horizontal="center"/>
    </xf>
    <xf numFmtId="0" fontId="26" fillId="4" borderId="13" applyAlignment="1" pivotButton="0" quotePrefix="0" xfId="0">
      <alignment horizontal="center"/>
    </xf>
    <xf numFmtId="3" fontId="25" fillId="5" borderId="13" applyAlignment="1" pivotButton="0" quotePrefix="0" xfId="0">
      <alignment horizontal="center"/>
    </xf>
    <xf numFmtId="0" fontId="5" fillId="4" borderId="4" applyAlignment="1" pivotButton="0" quotePrefix="0" xfId="0">
      <alignment horizontal="center" vertical="center"/>
    </xf>
    <xf numFmtId="0" fontId="5" fillId="14" borderId="5" applyAlignment="1" pivotButton="0" quotePrefix="0" xfId="0">
      <alignment horizontal="left" vertical="center"/>
    </xf>
    <xf numFmtId="0" fontId="15" fillId="0" borderId="4" applyAlignment="1" applyProtection="1" pivotButton="0" quotePrefix="0" xfId="0">
      <alignment horizontal="center"/>
      <protection locked="0" hidden="0"/>
    </xf>
    <xf numFmtId="164" fontId="5" fillId="0" borderId="0" applyAlignment="1" pivotButton="0" quotePrefix="0" xfId="2">
      <alignment vertical="center"/>
    </xf>
    <xf numFmtId="0" fontId="5" fillId="12" borderId="8" applyAlignment="1" pivotButton="0" quotePrefix="0" xfId="0">
      <alignment horizontal="left" vertical="center"/>
    </xf>
    <xf numFmtId="164" fontId="5" fillId="12" borderId="4" applyAlignment="1" pivotButton="0" quotePrefix="0" xfId="2">
      <alignment vertical="center"/>
    </xf>
    <xf numFmtId="164" fontId="9" fillId="9" borderId="4" applyAlignment="1" pivotButton="0" quotePrefix="0" xfId="2">
      <alignment vertical="center"/>
    </xf>
    <xf numFmtId="3" fontId="44" fillId="26" borderId="4" applyAlignment="1" pivotButton="0" quotePrefix="0" xfId="0">
      <alignment horizontal="center"/>
    </xf>
    <xf numFmtId="3" fontId="32" fillId="0" borderId="4" applyAlignment="1" applyProtection="1" pivotButton="0" quotePrefix="0" xfId="0">
      <alignment horizontal="center" vertical="center"/>
      <protection locked="0" hidden="0"/>
    </xf>
    <xf numFmtId="0" fontId="0" fillId="0" borderId="4" pivotButton="0" quotePrefix="0" xfId="0"/>
    <xf numFmtId="0" fontId="5" fillId="27" borderId="4" applyAlignment="1" pivotButton="0" quotePrefix="0" xfId="0">
      <alignment horizontal="center" vertical="center"/>
    </xf>
    <xf numFmtId="0" fontId="4" fillId="0" borderId="4" applyAlignment="1" applyProtection="1" pivotButton="0" quotePrefix="0" xfId="0">
      <alignment horizontal="center" vertical="center"/>
      <protection locked="0" hidden="0"/>
    </xf>
    <xf numFmtId="0" fontId="32" fillId="0" borderId="0" applyAlignment="1" applyProtection="1" pivotButton="0" quotePrefix="0" xfId="0">
      <alignment horizontal="left" vertical="center"/>
      <protection locked="0" hidden="0"/>
    </xf>
    <xf numFmtId="0" fontId="32" fillId="0" borderId="0" applyAlignment="1" applyProtection="1" pivotButton="0" quotePrefix="0" xfId="0">
      <alignment horizontal="center" vertical="center"/>
      <protection locked="0" hidden="0"/>
    </xf>
    <xf numFmtId="0" fontId="2" fillId="28" borderId="10" applyAlignment="1" pivotButton="0" quotePrefix="0" xfId="0">
      <alignment vertical="center"/>
    </xf>
    <xf numFmtId="0" fontId="42" fillId="0" borderId="4" applyAlignment="1" pivotButton="0" quotePrefix="0" xfId="0">
      <alignment vertical="center"/>
    </xf>
    <xf numFmtId="0" fontId="42" fillId="0" borderId="4" applyAlignment="1" pivotButton="0" quotePrefix="0" xfId="0">
      <alignment horizontal="left" vertical="center"/>
    </xf>
    <xf numFmtId="0" fontId="39" fillId="17" borderId="37" applyAlignment="1" applyProtection="1" pivotButton="0" quotePrefix="0" xfId="0">
      <alignment horizontal="center" vertical="center"/>
      <protection locked="0" hidden="0"/>
    </xf>
    <xf numFmtId="165" fontId="42" fillId="0" borderId="4" applyAlignment="1" pivotButton="0" quotePrefix="0" xfId="2">
      <alignment horizontal="left" vertical="center" wrapText="1"/>
    </xf>
    <xf numFmtId="16" fontId="28" fillId="28" borderId="4" applyAlignment="1" pivotButton="0" quotePrefix="0" xfId="0">
      <alignment horizontal="center" vertical="center"/>
    </xf>
    <xf numFmtId="0" fontId="28" fillId="28" borderId="46" applyAlignment="1" pivotButton="0" quotePrefix="0" xfId="0">
      <alignment horizontal="center" vertical="center" wrapText="1"/>
    </xf>
    <xf numFmtId="16" fontId="28" fillId="28" borderId="5" applyAlignment="1" pivotButton="0" quotePrefix="0" xfId="0">
      <alignment horizontal="center" vertical="center"/>
    </xf>
    <xf numFmtId="0" fontId="28" fillId="28" borderId="14" applyAlignment="1" pivotButton="0" quotePrefix="0" xfId="0">
      <alignment horizontal="center" vertical="center" wrapText="1"/>
    </xf>
    <xf numFmtId="3" fontId="25" fillId="8" borderId="13" applyAlignment="1" pivotButton="0" quotePrefix="0" xfId="0">
      <alignment horizontal="center"/>
    </xf>
    <xf numFmtId="3" fontId="28" fillId="28" borderId="13" applyAlignment="1" pivotButton="0" quotePrefix="0" xfId="0">
      <alignment horizontal="center"/>
    </xf>
    <xf numFmtId="3" fontId="28" fillId="28" borderId="4" applyAlignment="1" pivotButton="0" quotePrefix="0" xfId="0">
      <alignment horizontal="center"/>
    </xf>
    <xf numFmtId="0" fontId="28" fillId="28" borderId="4" applyAlignment="1" pivotButton="0" quotePrefix="0" xfId="0">
      <alignment horizontal="center"/>
    </xf>
    <xf numFmtId="0" fontId="4" fillId="8" borderId="4" applyAlignment="1" pivotButton="0" quotePrefix="0" xfId="0">
      <alignment horizontal="center" vertical="center"/>
    </xf>
    <xf numFmtId="165" fontId="2" fillId="28" borderId="10" applyAlignment="1" pivotButton="0" quotePrefix="0" xfId="2">
      <alignment horizontal="center" vertical="center" wrapText="1"/>
    </xf>
    <xf numFmtId="3" fontId="5" fillId="0" borderId="4" applyAlignment="1" applyProtection="1" pivotButton="0" quotePrefix="0" xfId="0">
      <alignment horizontal="center" vertical="center"/>
      <protection locked="0" hidden="0"/>
    </xf>
    <xf numFmtId="165" fontId="2" fillId="2" borderId="4" applyAlignment="1" pivotButton="0" quotePrefix="0" xfId="0">
      <alignment horizontal="center" vertical="center"/>
    </xf>
    <xf numFmtId="16" fontId="28" fillId="16" borderId="4" applyAlignment="1" pivotButton="0" quotePrefix="0" xfId="0">
      <alignment horizontal="center" vertical="center"/>
    </xf>
    <xf numFmtId="16" fontId="28" fillId="16" borderId="46" applyAlignment="1" pivotButton="0" quotePrefix="0" xfId="0">
      <alignment horizontal="center" vertical="center"/>
    </xf>
    <xf numFmtId="0" fontId="28" fillId="16" borderId="46" applyAlignment="1" pivotButton="0" quotePrefix="0" xfId="0">
      <alignment horizontal="center" vertical="center" wrapText="1"/>
    </xf>
    <xf numFmtId="16" fontId="28" fillId="16" borderId="5" applyAlignment="1" pivotButton="0" quotePrefix="0" xfId="0">
      <alignment horizontal="center" vertical="center"/>
    </xf>
    <xf numFmtId="0" fontId="28" fillId="16" borderId="14" applyAlignment="1" pivotButton="0" quotePrefix="0" xfId="0">
      <alignment horizontal="center" vertical="center" wrapText="1"/>
    </xf>
    <xf numFmtId="3" fontId="28" fillId="16" borderId="13" applyAlignment="1" pivotButton="0" quotePrefix="0" xfId="0">
      <alignment horizontal="center"/>
    </xf>
    <xf numFmtId="3" fontId="28" fillId="16" borderId="4" applyAlignment="1" pivotButton="0" quotePrefix="0" xfId="0">
      <alignment horizontal="center"/>
    </xf>
    <xf numFmtId="0" fontId="28" fillId="16" borderId="4" applyAlignment="1" pivotButton="0" quotePrefix="0" xfId="0">
      <alignment horizontal="center"/>
    </xf>
    <xf numFmtId="0" fontId="46" fillId="0" borderId="23" applyAlignment="1" applyProtection="1" pivotButton="0" quotePrefix="0" xfId="0">
      <alignment horizontal="left" vertical="center"/>
      <protection locked="0" hidden="0"/>
    </xf>
    <xf numFmtId="0" fontId="39" fillId="0" borderId="23" applyAlignment="1" applyProtection="1" pivotButton="0" quotePrefix="0" xfId="0">
      <alignment horizontal="center" vertical="center"/>
      <protection locked="0" hidden="0"/>
    </xf>
    <xf numFmtId="16" fontId="3" fillId="0" borderId="0" applyAlignment="1" applyProtection="1" pivotButton="0" quotePrefix="0" xfId="0">
      <alignment horizontal="center"/>
      <protection locked="0" hidden="0"/>
    </xf>
    <xf numFmtId="0" fontId="17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47" fillId="0" borderId="4" applyAlignment="1" applyProtection="1" pivotButton="0" quotePrefix="0" xfId="0">
      <alignment horizontal="center" vertical="center"/>
      <protection locked="0" hidden="0"/>
    </xf>
    <xf numFmtId="0" fontId="15" fillId="0" borderId="0" applyProtection="1" pivotButton="0" quotePrefix="0" xfId="0">
      <protection locked="0" hidden="0"/>
    </xf>
    <xf numFmtId="0" fontId="49" fillId="0" borderId="4" applyAlignment="1" pivotButton="0" quotePrefix="0" xfId="0">
      <alignment horizontal="center"/>
    </xf>
    <xf numFmtId="165" fontId="49" fillId="0" borderId="4" applyAlignment="1" pivotButton="0" quotePrefix="0" xfId="0">
      <alignment horizontal="center"/>
    </xf>
    <xf numFmtId="0" fontId="24" fillId="4" borderId="13" applyAlignment="1" pivotButton="0" quotePrefix="0" xfId="0">
      <alignment horizontal="center"/>
    </xf>
    <xf numFmtId="0" fontId="2" fillId="30" borderId="4" applyAlignment="1" pivotButton="0" quotePrefix="0" xfId="0">
      <alignment horizontal="left" vertical="center"/>
    </xf>
    <xf numFmtId="0" fontId="2" fillId="30" borderId="4" applyAlignment="1" pivotButton="0" quotePrefix="0" xfId="0">
      <alignment horizontal="center" vertical="center"/>
    </xf>
    <xf numFmtId="165" fontId="2" fillId="30" borderId="4" applyAlignment="1" pivotButton="0" quotePrefix="0" xfId="0">
      <alignment horizontal="center"/>
    </xf>
    <xf numFmtId="0" fontId="4" fillId="31" borderId="4" applyAlignment="1" pivotButton="0" quotePrefix="0" xfId="0">
      <alignment horizontal="center"/>
    </xf>
    <xf numFmtId="16" fontId="28" fillId="30" borderId="4" applyAlignment="1" pivotButton="0" quotePrefix="0" xfId="0">
      <alignment horizontal="center" vertical="center"/>
    </xf>
    <xf numFmtId="16" fontId="28" fillId="30" borderId="5" applyAlignment="1" pivotButton="0" quotePrefix="0" xfId="0">
      <alignment horizontal="center" vertical="center"/>
    </xf>
    <xf numFmtId="0" fontId="28" fillId="30" borderId="14" applyAlignment="1" pivotButton="0" quotePrefix="0" xfId="0">
      <alignment horizontal="center" vertical="center" wrapText="1"/>
    </xf>
    <xf numFmtId="3" fontId="28" fillId="30" borderId="13" applyAlignment="1" pivotButton="0" quotePrefix="0" xfId="0">
      <alignment horizontal="center"/>
    </xf>
    <xf numFmtId="3" fontId="28" fillId="30" borderId="4" applyAlignment="1" pivotButton="0" quotePrefix="0" xfId="0">
      <alignment horizontal="center"/>
    </xf>
    <xf numFmtId="3" fontId="25" fillId="21" borderId="13" applyAlignment="1" pivotButton="0" quotePrefix="0" xfId="0">
      <alignment horizontal="center"/>
    </xf>
    <xf numFmtId="0" fontId="5" fillId="0" borderId="5" applyAlignment="1" applyProtection="1" pivotButton="0" quotePrefix="0" xfId="0">
      <alignment horizontal="center" vertical="center"/>
      <protection locked="0" hidden="0"/>
    </xf>
    <xf numFmtId="0" fontId="12" fillId="3" borderId="14" applyAlignment="1" pivotButton="0" quotePrefix="0" xfId="0">
      <alignment vertical="center"/>
    </xf>
    <xf numFmtId="0" fontId="5" fillId="0" borderId="5" applyAlignment="1" pivotButton="0" quotePrefix="0" xfId="0">
      <alignment horizontal="center" vertical="center"/>
    </xf>
    <xf numFmtId="0" fontId="4" fillId="3" borderId="4" applyAlignment="1" pivotButton="0" quotePrefix="0" xfId="0">
      <alignment vertical="center"/>
    </xf>
    <xf numFmtId="0" fontId="12" fillId="3" borderId="4" applyAlignment="1" pivotButton="0" quotePrefix="0" xfId="0">
      <alignment vertical="center"/>
    </xf>
    <xf numFmtId="0" fontId="2" fillId="22" borderId="5" applyAlignment="1" pivotButton="0" quotePrefix="0" xfId="0">
      <alignment vertical="center"/>
    </xf>
    <xf numFmtId="0" fontId="2" fillId="22" borderId="14" applyAlignment="1" pivotButton="0" quotePrefix="0" xfId="0">
      <alignment vertical="center"/>
    </xf>
    <xf numFmtId="0" fontId="15" fillId="5" borderId="5" applyAlignment="1" pivotButton="0" quotePrefix="0" xfId="0">
      <alignment vertical="center"/>
    </xf>
    <xf numFmtId="0" fontId="15" fillId="5" borderId="14" applyAlignment="1" pivotButton="0" quotePrefix="0" xfId="0">
      <alignment vertical="center"/>
    </xf>
    <xf numFmtId="0" fontId="2" fillId="22" borderId="4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0" fontId="27" fillId="12" borderId="8" applyAlignment="1" pivotButton="0" quotePrefix="0" xfId="0">
      <alignment horizontal="left" vertical="center"/>
    </xf>
    <xf numFmtId="0" fontId="26" fillId="0" borderId="10" applyAlignment="1" pivotButton="0" quotePrefix="0" xfId="0">
      <alignment horizontal="center"/>
    </xf>
    <xf numFmtId="0" fontId="26" fillId="0" borderId="4" applyAlignment="1" pivotButton="0" quotePrefix="0" xfId="0">
      <alignment horizontal="left"/>
    </xf>
    <xf numFmtId="165" fontId="4" fillId="32" borderId="4" applyAlignment="1" pivotButton="0" quotePrefix="0" xfId="0">
      <alignment horizontal="center"/>
    </xf>
    <xf numFmtId="0" fontId="4" fillId="32" borderId="4" applyAlignment="1" applyProtection="1" pivotButton="0" quotePrefix="0" xfId="0">
      <alignment horizontal="center" vertical="center"/>
      <protection locked="0" hidden="0"/>
    </xf>
    <xf numFmtId="165" fontId="4" fillId="33" borderId="4" applyAlignment="1" pivotButton="0" quotePrefix="0" xfId="0">
      <alignment horizontal="center" vertical="center"/>
    </xf>
    <xf numFmtId="0" fontId="53" fillId="0" borderId="4" applyAlignment="1" pivotButton="0" quotePrefix="0" xfId="0">
      <alignment horizontal="left" vertical="center"/>
    </xf>
    <xf numFmtId="0" fontId="53" fillId="0" borderId="4" applyAlignment="1" pivotButton="0" quotePrefix="0" xfId="0">
      <alignment horizontal="center" vertical="center"/>
    </xf>
    <xf numFmtId="164" fontId="53" fillId="0" borderId="4" applyAlignment="1" pivotButton="0" quotePrefix="0" xfId="2">
      <alignment vertical="center"/>
    </xf>
    <xf numFmtId="0" fontId="42" fillId="0" borderId="4" applyAlignment="1" pivotButton="0" quotePrefix="0" xfId="0">
      <alignment horizontal="center" vertical="center"/>
    </xf>
    <xf numFmtId="164" fontId="42" fillId="0" borderId="13" applyAlignment="1" pivotButton="0" quotePrefix="0" xfId="2">
      <alignment horizontal="center" vertical="center"/>
    </xf>
    <xf numFmtId="0" fontId="4" fillId="0" borderId="4" applyAlignment="1" pivotButton="0" quotePrefix="0" xfId="0">
      <alignment horizontal="left" vertical="center"/>
    </xf>
    <xf numFmtId="0" fontId="4" fillId="0" borderId="4" applyAlignment="1" pivotButton="0" quotePrefix="0" xfId="0">
      <alignment horizontal="center" vertical="center"/>
    </xf>
    <xf numFmtId="164" fontId="4" fillId="0" borderId="4" applyAlignment="1" pivotButton="0" quotePrefix="0" xfId="2">
      <alignment horizontal="center" vertical="center"/>
    </xf>
    <xf numFmtId="0" fontId="4" fillId="6" borderId="4" applyAlignment="1" applyProtection="1" pivotButton="0" quotePrefix="0" xfId="0">
      <alignment horizontal="center" vertical="center"/>
      <protection locked="0" hidden="0"/>
    </xf>
    <xf numFmtId="165" fontId="4" fillId="32" borderId="4" applyAlignment="1" pivotButton="0" quotePrefix="0" xfId="0">
      <alignment horizontal="center" vertical="center"/>
    </xf>
    <xf numFmtId="16" fontId="4" fillId="7" borderId="4" applyAlignment="1" pivotButton="0" quotePrefix="0" xfId="0">
      <alignment horizontal="center" vertical="center"/>
    </xf>
    <xf numFmtId="0" fontId="4" fillId="31" borderId="4" applyAlignment="1" pivotButton="0" quotePrefix="0" xfId="0">
      <alignment horizontal="left" vertical="center"/>
    </xf>
    <xf numFmtId="0" fontId="4" fillId="8" borderId="10" applyAlignment="1" pivotButton="0" quotePrefix="0" xfId="0">
      <alignment horizontal="center" vertical="center"/>
    </xf>
    <xf numFmtId="166" fontId="4" fillId="8" borderId="10" applyAlignment="1" pivotButton="0" quotePrefix="0" xfId="2">
      <alignment horizontal="center" vertical="center" wrapText="1"/>
    </xf>
    <xf numFmtId="0" fontId="4" fillId="8" borderId="10" applyAlignment="1" pivotButton="0" quotePrefix="0" xfId="0">
      <alignment vertical="center"/>
    </xf>
    <xf numFmtId="0" fontId="4" fillId="8" borderId="4" applyAlignment="1" pivotButton="0" quotePrefix="0" xfId="0">
      <alignment vertical="center"/>
    </xf>
    <xf numFmtId="0" fontId="5" fillId="0" borderId="11" applyAlignment="1" pivotButton="0" quotePrefix="0" xfId="0">
      <alignment horizontal="left" vertical="center"/>
    </xf>
    <xf numFmtId="0" fontId="5" fillId="4" borderId="13" applyAlignment="1" pivotButton="0" quotePrefix="0" xfId="0">
      <alignment horizontal="center" vertical="center"/>
    </xf>
    <xf numFmtId="0" fontId="4" fillId="6" borderId="13" applyAlignment="1" pivotButton="0" quotePrefix="0" xfId="0">
      <alignment horizontal="center" vertical="center"/>
    </xf>
    <xf numFmtId="0" fontId="4" fillId="6" borderId="4" applyAlignment="1" pivotButton="0" quotePrefix="0" xfId="0">
      <alignment horizontal="center" vertical="center"/>
    </xf>
    <xf numFmtId="0" fontId="4" fillId="8" borderId="4" applyAlignment="1" pivotButton="0" quotePrefix="0" xfId="0">
      <alignment horizontal="left" vertical="center"/>
    </xf>
    <xf numFmtId="0" fontId="4" fillId="0" borderId="0" applyProtection="1" pivotButton="0" quotePrefix="0" xfId="0">
      <protection locked="0" hidden="0"/>
    </xf>
    <xf numFmtId="0" fontId="4" fillId="0" borderId="0" pivotButton="0" quotePrefix="0" xfId="0"/>
    <xf numFmtId="16" fontId="4" fillId="3" borderId="5" applyAlignment="1" pivotButton="0" quotePrefix="0" xfId="0">
      <alignment horizontal="center" vertical="center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9" fillId="0" borderId="0" pivotButton="0" quotePrefix="0" xfId="0"/>
    <xf numFmtId="0" fontId="4" fillId="0" borderId="4" applyAlignment="1" pivotButton="0" quotePrefix="0" xfId="2">
      <alignment horizontal="center" vertical="center"/>
    </xf>
    <xf numFmtId="0" fontId="49" fillId="0" borderId="4" pivotButton="0" quotePrefix="0" xfId="0"/>
    <xf numFmtId="0" fontId="4" fillId="0" borderId="4" applyProtection="1" pivotButton="0" quotePrefix="0" xfId="0">
      <protection locked="0" hidden="0"/>
    </xf>
    <xf numFmtId="0" fontId="15" fillId="0" borderId="0" applyAlignment="1" applyProtection="1" pivotButton="0" quotePrefix="0" xfId="0">
      <alignment horizontal="center" vertical="center" wrapText="1"/>
      <protection locked="0" hidden="0"/>
    </xf>
    <xf numFmtId="0" fontId="5" fillId="27" borderId="4" applyAlignment="1" applyProtection="1" pivotButton="0" quotePrefix="0" xfId="0">
      <alignment horizontal="center" vertical="center"/>
      <protection locked="0" hidden="0"/>
    </xf>
    <xf numFmtId="165" fontId="2" fillId="20" borderId="0" applyAlignment="1" pivotButton="0" quotePrefix="0" xfId="0">
      <alignment horizontal="center" vertical="center"/>
    </xf>
    <xf numFmtId="16" fontId="4" fillId="0" borderId="4" applyAlignment="1" applyProtection="1" pivotButton="0" quotePrefix="0" xfId="0">
      <alignment horizontal="center" vertical="center"/>
      <protection locked="0" hidden="0"/>
    </xf>
    <xf numFmtId="0" fontId="4" fillId="3" borderId="15" applyAlignment="1" pivotButton="0" quotePrefix="0" xfId="0">
      <alignment horizontal="center" vertical="center"/>
    </xf>
    <xf numFmtId="0" fontId="4" fillId="3" borderId="49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15" fillId="3" borderId="4" applyAlignment="1" pivotButton="0" quotePrefix="0" xfId="0">
      <alignment horizontal="center" vertical="center"/>
    </xf>
    <xf numFmtId="0" fontId="12" fillId="3" borderId="4" applyAlignment="1" pivotButton="0" quotePrefix="0" xfId="0">
      <alignment horizontal="center" vertical="center"/>
    </xf>
    <xf numFmtId="166" fontId="4" fillId="8" borderId="4" applyAlignment="1" pivotButton="0" quotePrefix="0" xfId="2">
      <alignment horizontal="center" vertical="center" wrapText="1"/>
    </xf>
    <xf numFmtId="0" fontId="4" fillId="0" borderId="0" applyAlignment="1" applyProtection="1" pivotButton="0" quotePrefix="0" xfId="0">
      <alignment horizontal="center"/>
      <protection locked="0" hidden="0"/>
    </xf>
    <xf numFmtId="16" fontId="4" fillId="0" borderId="0" applyAlignment="1" applyProtection="1" pivotButton="0" quotePrefix="0" xfId="0">
      <alignment horizontal="center"/>
      <protection locked="0" hidden="0"/>
    </xf>
    <xf numFmtId="165" fontId="4" fillId="8" borderId="10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4" fillId="12" borderId="0" applyAlignment="1" pivotButton="0" quotePrefix="0" xfId="0">
      <alignment horizontal="center"/>
    </xf>
    <xf numFmtId="0" fontId="49" fillId="0" borderId="0" applyAlignment="1" pivotButton="0" quotePrefix="0" xfId="0">
      <alignment horizontal="center"/>
    </xf>
    <xf numFmtId="0" fontId="3" fillId="0" borderId="4" applyProtection="1" pivotButton="0" quotePrefix="0" xfId="0">
      <protection locked="0" hidden="0"/>
    </xf>
    <xf numFmtId="0" fontId="15" fillId="0" borderId="4" applyProtection="1" pivotButton="0" quotePrefix="0" xfId="0">
      <protection locked="0" hidden="0"/>
    </xf>
    <xf numFmtId="165" fontId="2" fillId="34" borderId="4" applyAlignment="1" pivotButton="0" quotePrefix="0" xfId="0">
      <alignment horizontal="center"/>
    </xf>
    <xf numFmtId="0" fontId="4" fillId="5" borderId="4" applyAlignment="1" applyProtection="1" pivotButton="0" quotePrefix="0" xfId="0">
      <alignment horizontal="center" vertical="center"/>
      <protection locked="0" hidden="0"/>
    </xf>
    <xf numFmtId="0" fontId="25" fillId="8" borderId="31" applyAlignment="1" pivotButton="0" quotePrefix="0" xfId="0">
      <alignment horizontal="center" vertical="center" wrapText="1"/>
    </xf>
    <xf numFmtId="16" fontId="25" fillId="8" borderId="31" applyAlignment="1" pivotButton="0" quotePrefix="0" xfId="0">
      <alignment horizontal="center" vertical="center"/>
    </xf>
    <xf numFmtId="3" fontId="24" fillId="35" borderId="13" applyAlignment="1" pivotButton="0" quotePrefix="0" xfId="0">
      <alignment horizontal="center"/>
    </xf>
    <xf numFmtId="3" fontId="24" fillId="35" borderId="4" applyAlignment="1" pivotButton="0" quotePrefix="0" xfId="0">
      <alignment horizontal="center"/>
    </xf>
    <xf numFmtId="0" fontId="22" fillId="0" borderId="4" pivotButton="0" quotePrefix="0" xfId="0"/>
    <xf numFmtId="14" fontId="22" fillId="0" borderId="4" pivotButton="0" quotePrefix="0" xfId="0"/>
    <xf numFmtId="0" fontId="12" fillId="0" borderId="0" applyAlignment="1" applyProtection="1" pivotButton="0" quotePrefix="0" xfId="0">
      <alignment horizontal="center" vertical="center"/>
      <protection locked="0" hidden="0"/>
    </xf>
    <xf numFmtId="3" fontId="18" fillId="0" borderId="0" applyAlignment="1" applyProtection="1" pivotButton="0" quotePrefix="0" xfId="0">
      <alignment horizontal="center" vertical="center"/>
      <protection locked="0" hidden="0"/>
    </xf>
    <xf numFmtId="0" fontId="2" fillId="36" borderId="4" applyAlignment="1" pivotButton="0" quotePrefix="0" xfId="0">
      <alignment horizontal="left" vertical="center"/>
    </xf>
    <xf numFmtId="0" fontId="2" fillId="36" borderId="4" applyAlignment="1" pivotButton="0" quotePrefix="0" xfId="0">
      <alignment horizontal="center" vertical="center"/>
    </xf>
    <xf numFmtId="164" fontId="5" fillId="0" borderId="4" applyAlignment="1" pivotButton="0" quotePrefix="0" xfId="2">
      <alignment horizontal="center" vertical="center"/>
    </xf>
    <xf numFmtId="0" fontId="3" fillId="12" borderId="4" applyAlignment="1" pivotButton="0" quotePrefix="0" xfId="0">
      <alignment horizontal="center"/>
    </xf>
    <xf numFmtId="164" fontId="3" fillId="12" borderId="4" applyAlignment="1" pivotButton="0" quotePrefix="0" xfId="2">
      <alignment horizontal="center"/>
    </xf>
    <xf numFmtId="0" fontId="3" fillId="0" borderId="4" pivotButton="0" quotePrefix="0" xfId="0"/>
    <xf numFmtId="3" fontId="3" fillId="12" borderId="4" applyAlignment="1" pivotButton="0" quotePrefix="0" xfId="0">
      <alignment horizontal="center"/>
    </xf>
    <xf numFmtId="0" fontId="2" fillId="36" borderId="46" applyAlignment="1" pivotButton="0" quotePrefix="0" xfId="0">
      <alignment horizontal="center" vertical="center"/>
    </xf>
    <xf numFmtId="0" fontId="2" fillId="36" borderId="50" applyAlignment="1" pivotButton="0" quotePrefix="0" xfId="0">
      <alignment horizontal="center" vertical="center"/>
    </xf>
    <xf numFmtId="0" fontId="5" fillId="0" borderId="13" applyAlignment="1" pivotButton="0" quotePrefix="0" xfId="0">
      <alignment horizontal="left" vertical="center"/>
    </xf>
    <xf numFmtId="2" fontId="9" fillId="14" borderId="12" applyAlignment="1" pivotButton="0" quotePrefix="0" xfId="0">
      <alignment horizontal="center" vertical="center"/>
    </xf>
    <xf numFmtId="0" fontId="4" fillId="35" borderId="4" applyAlignment="1" pivotButton="0" quotePrefix="0" xfId="0">
      <alignment horizontal="left" vertical="center"/>
    </xf>
    <xf numFmtId="0" fontId="4" fillId="35" borderId="4" applyAlignment="1" pivotButton="0" quotePrefix="0" xfId="0">
      <alignment horizontal="center" vertical="center"/>
    </xf>
    <xf numFmtId="0" fontId="50" fillId="35" borderId="4" applyAlignment="1" applyProtection="1" pivotButton="0" quotePrefix="0" xfId="0">
      <alignment horizontal="center" wrapText="1" readingOrder="1"/>
      <protection locked="0" hidden="0"/>
    </xf>
    <xf numFmtId="0" fontId="56" fillId="0" borderId="23" applyAlignment="1" applyProtection="1" pivotButton="0" quotePrefix="0" xfId="0">
      <alignment horizontal="left" vertical="center"/>
      <protection locked="0" hidden="0"/>
    </xf>
    <xf numFmtId="0" fontId="15" fillId="0" borderId="4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 wrapText="1"/>
    </xf>
    <xf numFmtId="16" fontId="28" fillId="18" borderId="4" applyAlignment="1" pivotButton="0" quotePrefix="0" xfId="0">
      <alignment horizontal="center" vertical="center"/>
    </xf>
    <xf numFmtId="3" fontId="44" fillId="18" borderId="4" applyAlignment="1" pivotButton="0" quotePrefix="0" xfId="0">
      <alignment horizontal="center"/>
    </xf>
    <xf numFmtId="0" fontId="25" fillId="4" borderId="4" applyAlignment="1" pivotButton="0" quotePrefix="0" xfId="0">
      <alignment horizontal="center" vertical="center"/>
    </xf>
    <xf numFmtId="0" fontId="2" fillId="18" borderId="0" applyAlignment="1" pivotButton="0" quotePrefix="0" xfId="0">
      <alignment vertical="center"/>
    </xf>
    <xf numFmtId="0" fontId="2" fillId="18" borderId="10" applyAlignment="1" pivotButton="0" quotePrefix="0" xfId="0">
      <alignment horizontal="center" vertical="center"/>
    </xf>
    <xf numFmtId="0" fontId="2" fillId="18" borderId="13" applyAlignment="1" pivotButton="0" quotePrefix="0" xfId="0">
      <alignment horizontal="center" vertical="center"/>
    </xf>
    <xf numFmtId="0" fontId="2" fillId="18" borderId="10" applyAlignment="1" pivotButton="0" quotePrefix="0" xfId="0">
      <alignment vertical="center"/>
    </xf>
    <xf numFmtId="166" fontId="2" fillId="37" borderId="10" applyAlignment="1" pivotButton="0" quotePrefix="0" xfId="2">
      <alignment horizontal="center" vertical="center" wrapText="1"/>
    </xf>
    <xf numFmtId="0" fontId="2" fillId="37" borderId="4" applyAlignment="1" pivotButton="0" quotePrefix="0" xfId="0">
      <alignment horizontal="center" vertical="center"/>
    </xf>
    <xf numFmtId="0" fontId="2" fillId="18" borderId="4" applyAlignment="1" pivotButton="0" quotePrefix="0" xfId="0">
      <alignment horizontal="center" vertical="center"/>
    </xf>
    <xf numFmtId="165" fontId="2" fillId="18" borderId="4" applyAlignment="1" pivotButton="0" quotePrefix="0" xfId="0">
      <alignment horizontal="center" vertical="center"/>
    </xf>
    <xf numFmtId="165" fontId="2" fillId="18" borderId="4" applyAlignment="1" pivotButton="0" quotePrefix="0" xfId="0">
      <alignment horizontal="center"/>
    </xf>
    <xf numFmtId="0" fontId="12" fillId="0" borderId="0" applyAlignment="1" pivotButton="0" quotePrefix="0" xfId="0">
      <alignment vertical="center"/>
    </xf>
    <xf numFmtId="0" fontId="4" fillId="38" borderId="4" applyAlignment="1" applyProtection="1" pivotButton="0" quotePrefix="0" xfId="0">
      <alignment horizontal="center" vertical="center"/>
      <protection locked="0" hidden="0"/>
    </xf>
    <xf numFmtId="3" fontId="4" fillId="0" borderId="4" applyAlignment="1" applyProtection="1" pivotButton="0" quotePrefix="0" xfId="0">
      <alignment horizontal="center" vertical="center"/>
      <protection locked="0" hidden="0"/>
    </xf>
    <xf numFmtId="0" fontId="58" fillId="0" borderId="4" pivotButton="0" quotePrefix="0" xfId="0"/>
    <xf numFmtId="0" fontId="4" fillId="39" borderId="4" applyAlignment="1" applyProtection="1" pivotButton="0" quotePrefix="0" xfId="0">
      <alignment horizontal="center" vertical="center"/>
      <protection locked="0" hidden="0"/>
    </xf>
    <xf numFmtId="165" fontId="4" fillId="27" borderId="4" applyAlignment="1" pivotButton="0" quotePrefix="0" xfId="0">
      <alignment horizontal="center"/>
    </xf>
    <xf numFmtId="49" fontId="13" fillId="0" borderId="4" applyAlignment="1" applyProtection="1" pivotButton="0" quotePrefix="0" xfId="0">
      <alignment horizontal="center" vertical="center"/>
      <protection locked="0" hidden="0"/>
    </xf>
    <xf numFmtId="16" fontId="59" fillId="3" borderId="4" applyAlignment="1" pivotButton="0" quotePrefix="0" xfId="0">
      <alignment horizontal="center" vertical="center"/>
    </xf>
    <xf numFmtId="0" fontId="37" fillId="18" borderId="4" applyAlignment="1" pivotButton="0" quotePrefix="0" xfId="0">
      <alignment vertical="center"/>
    </xf>
    <xf numFmtId="0" fontId="12" fillId="3" borderId="12" applyAlignment="1" pivotButton="0" quotePrefix="0" xfId="0">
      <alignment horizontal="center" vertical="center"/>
    </xf>
    <xf numFmtId="3" fontId="12" fillId="0" borderId="4" applyAlignment="1" pivotButton="0" quotePrefix="0" xfId="2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3" borderId="4" applyAlignment="1" pivotButton="0" quotePrefix="0" xfId="0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0" borderId="13" applyAlignment="1" pivotButton="0" quotePrefix="0" xfId="2">
      <alignment horizontal="center" vertical="center"/>
    </xf>
    <xf numFmtId="0" fontId="45" fillId="0" borderId="38" applyAlignment="1" applyProtection="1" pivotButton="0" quotePrefix="0" xfId="0">
      <alignment vertical="center"/>
      <protection locked="0" hidden="0"/>
    </xf>
    <xf numFmtId="0" fontId="45" fillId="0" borderId="36" applyAlignment="1" applyProtection="1" pivotButton="0" quotePrefix="0" xfId="0">
      <alignment vertical="center"/>
      <protection locked="0" hidden="0"/>
    </xf>
    <xf numFmtId="0" fontId="32" fillId="0" borderId="48" applyAlignment="1" applyProtection="1" pivotButton="0" quotePrefix="0" xfId="0">
      <alignment vertical="center"/>
      <protection locked="0" hidden="0"/>
    </xf>
    <xf numFmtId="0" fontId="32" fillId="0" borderId="36" applyAlignment="1" applyProtection="1" pivotButton="0" quotePrefix="0" xfId="0">
      <alignment vertical="center"/>
      <protection locked="0" hidden="0"/>
    </xf>
    <xf numFmtId="0" fontId="40" fillId="0" borderId="4" applyAlignment="1" applyProtection="1" pivotButton="0" quotePrefix="0" xfId="0">
      <alignment vertical="center"/>
      <protection locked="0" hidden="0"/>
    </xf>
    <xf numFmtId="0" fontId="8" fillId="8" borderId="5" pivotButton="0" quotePrefix="0" xfId="0"/>
    <xf numFmtId="0" fontId="8" fillId="8" borderId="14" pivotButton="0" quotePrefix="0" xfId="0"/>
    <xf numFmtId="0" fontId="1" fillId="0" borderId="0" applyAlignment="1" applyProtection="1" pivotButton="0" quotePrefix="0" xfId="0">
      <alignment horizontal="center" vertical="center"/>
      <protection locked="0" hidden="0"/>
    </xf>
    <xf numFmtId="0" fontId="27" fillId="0" borderId="13" applyAlignment="1" applyProtection="1" pivotButton="0" quotePrefix="0" xfId="0">
      <alignment horizontal="center" vertical="center"/>
      <protection locked="0" hidden="0"/>
    </xf>
    <xf numFmtId="0" fontId="27" fillId="0" borderId="4" applyAlignment="1" applyProtection="1" pivotButton="0" quotePrefix="0" xfId="0">
      <alignment horizontal="center" vertical="center"/>
      <protection locked="0" hidden="0"/>
    </xf>
    <xf numFmtId="164" fontId="53" fillId="0" borderId="4" applyAlignment="1" pivotButton="0" quotePrefix="0" xfId="2">
      <alignment horizontal="center" vertical="center"/>
    </xf>
    <xf numFmtId="166" fontId="2" fillId="37" borderId="4" applyAlignment="1" pivotButton="0" quotePrefix="0" xfId="2">
      <alignment horizontal="center" vertical="center" wrapText="1"/>
    </xf>
    <xf numFmtId="0" fontId="60" fillId="0" borderId="23" applyAlignment="1" applyProtection="1" pivotButton="0" quotePrefix="0" xfId="0">
      <alignment horizontal="left" vertical="center"/>
      <protection locked="0" hidden="0"/>
    </xf>
    <xf numFmtId="0" fontId="15" fillId="0" borderId="4" applyAlignment="1" pivotButton="0" quotePrefix="0" xfId="0">
      <alignment horizontal="left" vertical="center"/>
    </xf>
    <xf numFmtId="164" fontId="15" fillId="0" borderId="4" applyAlignment="1" pivotButton="0" quotePrefix="0" xfId="2">
      <alignment horizontal="center" vertical="center"/>
    </xf>
    <xf numFmtId="0" fontId="46" fillId="0" borderId="4" applyAlignment="1" applyProtection="1" pivotButton="0" quotePrefix="0" xfId="0">
      <alignment horizontal="left" vertical="center"/>
      <protection locked="0" hidden="0"/>
    </xf>
    <xf numFmtId="0" fontId="39" fillId="0" borderId="4" applyAlignment="1" applyProtection="1" pivotButton="0" quotePrefix="0" xfId="0">
      <alignment horizontal="center" vertical="center"/>
      <protection locked="0" hidden="0"/>
    </xf>
    <xf numFmtId="0" fontId="57" fillId="0" borderId="4" applyAlignment="1" applyProtection="1" pivotButton="0" quotePrefix="0" xfId="0">
      <alignment horizontal="left" vertical="center"/>
      <protection locked="0" hidden="0"/>
    </xf>
    <xf numFmtId="0" fontId="60" fillId="0" borderId="4" applyAlignment="1" applyProtection="1" pivotButton="0" quotePrefix="0" xfId="0">
      <alignment horizontal="left" vertical="center"/>
      <protection locked="0" hidden="0"/>
    </xf>
    <xf numFmtId="3" fontId="4" fillId="32" borderId="4" applyAlignment="1" applyProtection="1" pivotButton="0" quotePrefix="0" xfId="0">
      <alignment horizontal="center" vertical="center"/>
      <protection locked="0" hidden="0"/>
    </xf>
    <xf numFmtId="0" fontId="2" fillId="28" borderId="0" applyAlignment="1" pivotButton="0" quotePrefix="0" xfId="0">
      <alignment vertical="center"/>
    </xf>
    <xf numFmtId="0" fontId="2" fillId="28" borderId="10" applyAlignment="1" pivotButton="0" quotePrefix="0" xfId="0">
      <alignment horizontal="center" vertical="center"/>
    </xf>
    <xf numFmtId="166" fontId="2" fillId="29" borderId="10" applyAlignment="1" pivotButton="0" quotePrefix="0" xfId="2">
      <alignment horizontal="center" vertical="center" wrapText="1"/>
    </xf>
    <xf numFmtId="0" fontId="2" fillId="28" borderId="13" applyAlignment="1" pivotButton="0" quotePrefix="0" xfId="0">
      <alignment horizontal="center" vertical="center"/>
    </xf>
    <xf numFmtId="0" fontId="2" fillId="29" borderId="4" applyAlignment="1" pivotButton="0" quotePrefix="0" xfId="0">
      <alignment horizontal="center" vertical="center"/>
    </xf>
    <xf numFmtId="0" fontId="2" fillId="28" borderId="4" applyAlignment="1" pivotButton="0" quotePrefix="0" xfId="0">
      <alignment horizontal="center" vertical="center"/>
    </xf>
    <xf numFmtId="0" fontId="5" fillId="4" borderId="5" applyAlignment="1" applyProtection="1" pivotButton="0" quotePrefix="0" xfId="0">
      <alignment horizontal="center" vertical="center"/>
      <protection locked="0" hidden="0"/>
    </xf>
    <xf numFmtId="0" fontId="3" fillId="4" borderId="4" applyAlignment="1" pivotButton="0" quotePrefix="0" xfId="0">
      <alignment horizontal="center"/>
    </xf>
    <xf numFmtId="16" fontId="4" fillId="27" borderId="4" applyAlignment="1" pivotButton="0" quotePrefix="0" xfId="0">
      <alignment horizontal="center" vertical="center"/>
    </xf>
    <xf numFmtId="165" fontId="2" fillId="28" borderId="4" applyAlignment="1" pivotButton="0" quotePrefix="0" xfId="0">
      <alignment horizontal="center"/>
    </xf>
    <xf numFmtId="0" fontId="1" fillId="8" borderId="4" applyAlignment="1" applyProtection="1" pivotButton="0" quotePrefix="0" xfId="0">
      <alignment horizontal="center"/>
      <protection locked="0" hidden="0"/>
    </xf>
    <xf numFmtId="165" fontId="4" fillId="5" borderId="4" applyAlignment="1" pivotButton="0" quotePrefix="0" xfId="0">
      <alignment horizontal="center"/>
    </xf>
    <xf numFmtId="0" fontId="4" fillId="8" borderId="4" applyAlignment="1" applyProtection="1" pivotButton="0" quotePrefix="0" xfId="0">
      <alignment horizontal="center" vertical="center"/>
      <protection locked="0" hidden="0"/>
    </xf>
    <xf numFmtId="0" fontId="5" fillId="27" borderId="4" applyAlignment="1" applyProtection="1" pivotButton="0" quotePrefix="0" xfId="0">
      <alignment horizontal="center" vertical="center" wrapText="1"/>
      <protection locked="0" hidden="0"/>
    </xf>
    <xf numFmtId="3" fontId="5" fillId="27" borderId="4" applyAlignment="1" pivotButton="0" quotePrefix="0" xfId="0">
      <alignment horizontal="center" vertical="center"/>
    </xf>
    <xf numFmtId="3" fontId="3" fillId="27" borderId="4" applyAlignment="1" pivotButton="0" quotePrefix="0" xfId="0">
      <alignment horizontal="center"/>
    </xf>
    <xf numFmtId="0" fontId="62" fillId="0" borderId="4" applyAlignment="1" pivotButton="0" quotePrefix="0" xfId="0">
      <alignment horizontal="left" vertical="center"/>
    </xf>
    <xf numFmtId="0" fontId="62" fillId="0" borderId="4" applyAlignment="1" pivotButton="0" quotePrefix="0" xfId="0">
      <alignment horizontal="center" vertical="center"/>
    </xf>
    <xf numFmtId="0" fontId="63" fillId="0" borderId="4" applyAlignment="1" pivotButton="0" quotePrefix="0" xfId="0">
      <alignment horizontal="left" vertical="center"/>
    </xf>
    <xf numFmtId="0" fontId="63" fillId="0" borderId="4" applyAlignment="1" pivotButton="0" quotePrefix="0" xfId="0">
      <alignment horizontal="center" vertical="center"/>
    </xf>
    <xf numFmtId="164" fontId="63" fillId="0" borderId="4" applyAlignment="1" pivotButton="0" quotePrefix="0" xfId="2">
      <alignment horizontal="center" vertical="center"/>
    </xf>
    <xf numFmtId="0" fontId="5" fillId="27" borderId="0" applyAlignment="1" pivotButton="0" quotePrefix="0" xfId="0">
      <alignment horizontal="center" vertical="center"/>
    </xf>
    <xf numFmtId="0" fontId="2" fillId="40" borderId="4" applyAlignment="1" pivotButton="0" quotePrefix="0" xfId="0">
      <alignment horizontal="left" vertical="center"/>
    </xf>
    <xf numFmtId="0" fontId="2" fillId="40" borderId="4" applyAlignment="1" pivotButton="0" quotePrefix="0" xfId="0">
      <alignment horizontal="center" vertical="center"/>
    </xf>
    <xf numFmtId="0" fontId="5" fillId="25" borderId="4" applyAlignment="1" applyProtection="1" pivotButton="0" quotePrefix="0" xfId="0">
      <alignment horizontal="center" vertical="center"/>
      <protection locked="0" hidden="0"/>
    </xf>
    <xf numFmtId="165" fontId="2" fillId="40" borderId="4" applyAlignment="1" pivotButton="0" quotePrefix="0" xfId="0">
      <alignment horizontal="center" vertical="center"/>
    </xf>
    <xf numFmtId="0" fontId="17" fillId="0" borderId="4" applyAlignment="1" pivotButton="0" quotePrefix="0" xfId="2">
      <alignment horizontal="center" vertical="center"/>
    </xf>
    <xf numFmtId="0" fontId="4" fillId="31" borderId="4" applyAlignment="1" applyProtection="1" pivotButton="0" quotePrefix="0" xfId="0">
      <alignment horizontal="center" vertical="center"/>
      <protection locked="0" hidden="0"/>
    </xf>
    <xf numFmtId="165" fontId="2" fillId="20" borderId="5" applyAlignment="1" pivotButton="0" quotePrefix="0" xfId="0">
      <alignment horizontal="center" vertical="center"/>
    </xf>
    <xf numFmtId="165" fontId="2" fillId="7" borderId="4" applyAlignment="1" pivotButton="0" quotePrefix="0" xfId="0">
      <alignment horizontal="center"/>
    </xf>
    <xf numFmtId="0" fontId="4" fillId="41" borderId="4" applyAlignment="1" applyProtection="1" pivotButton="0" quotePrefix="0" xfId="0">
      <alignment horizontal="center" vertical="center"/>
      <protection locked="0" hidden="0"/>
    </xf>
    <xf numFmtId="0" fontId="2" fillId="29" borderId="10" applyAlignment="1" pivotButton="0" quotePrefix="0" xfId="0">
      <alignment vertical="center"/>
    </xf>
    <xf numFmtId="0" fontId="3" fillId="27" borderId="4" applyAlignment="1" pivotButton="0" quotePrefix="0" xfId="0">
      <alignment horizontal="center"/>
    </xf>
    <xf numFmtId="0" fontId="2" fillId="29" borderId="10" applyAlignment="1" pivotButton="0" quotePrefix="0" xfId="0">
      <alignment horizontal="center" vertical="center"/>
    </xf>
    <xf numFmtId="165" fontId="2" fillId="29" borderId="10" applyAlignment="1" pivotButton="0" quotePrefix="0" xfId="2">
      <alignment horizontal="center" vertical="center" wrapText="1"/>
    </xf>
    <xf numFmtId="165" fontId="2" fillId="29" borderId="4" applyAlignment="1" pivotButton="0" quotePrefix="0" xfId="0">
      <alignment horizontal="center"/>
    </xf>
    <xf numFmtId="0" fontId="4" fillId="0" borderId="10" applyAlignment="1" applyProtection="1" pivotButton="0" quotePrefix="0" xfId="0">
      <alignment horizontal="center" vertical="center"/>
      <protection locked="0" hidden="0"/>
    </xf>
    <xf numFmtId="167" fontId="2" fillId="8" borderId="4" applyAlignment="1" pivotButton="0" quotePrefix="0" xfId="2">
      <alignment vertical="center" wrapText="1"/>
    </xf>
    <xf numFmtId="0" fontId="2" fillId="8" borderId="4" applyAlignment="1" pivotButton="0" quotePrefix="0" xfId="0">
      <alignment horizontal="center" vertical="center"/>
    </xf>
    <xf numFmtId="0" fontId="0" fillId="8" borderId="4" pivotButton="0" quotePrefix="0" xfId="0"/>
    <xf numFmtId="164" fontId="2" fillId="29" borderId="10" applyAlignment="1" pivotButton="0" quotePrefix="0" xfId="2">
      <alignment horizontal="center" vertical="center" wrapText="1"/>
    </xf>
    <xf numFmtId="0" fontId="2" fillId="8" borderId="13" applyAlignment="1" pivotButton="0" quotePrefix="0" xfId="0">
      <alignment vertical="center"/>
    </xf>
    <xf numFmtId="0" fontId="5" fillId="27" borderId="0" applyAlignment="1" pivotButton="0" quotePrefix="0" xfId="0">
      <alignment vertical="center"/>
    </xf>
    <xf numFmtId="3" fontId="12" fillId="0" borderId="0" applyAlignment="1" pivotButton="0" quotePrefix="0" xfId="2">
      <alignment horizontal="center" vertical="center"/>
    </xf>
    <xf numFmtId="0" fontId="4" fillId="8" borderId="13" applyAlignment="1" pivotButton="0" quotePrefix="0" xfId="0">
      <alignment horizontal="center" vertical="center"/>
    </xf>
    <xf numFmtId="0" fontId="4" fillId="8" borderId="4" applyAlignment="1" pivotButton="0" quotePrefix="0" xfId="2">
      <alignment horizontal="center" vertical="center" wrapText="1"/>
    </xf>
    <xf numFmtId="3" fontId="4" fillId="0" borderId="0" applyAlignment="1" applyProtection="1" pivotButton="0" quotePrefix="0" xfId="0">
      <alignment horizontal="center" vertical="center"/>
      <protection locked="0" hidden="0"/>
    </xf>
    <xf numFmtId="0" fontId="2" fillId="42" borderId="4" applyAlignment="1" pivotButton="0" quotePrefix="0" xfId="0">
      <alignment horizontal="left" vertical="center"/>
    </xf>
    <xf numFmtId="0" fontId="2" fillId="42" borderId="4" applyAlignment="1" pivotButton="0" quotePrefix="0" xfId="0">
      <alignment horizontal="center" vertical="center"/>
    </xf>
    <xf numFmtId="0" fontId="2" fillId="43" borderId="4" applyAlignment="1" pivotButton="0" quotePrefix="0" xfId="0">
      <alignment horizontal="left" vertical="center"/>
    </xf>
    <xf numFmtId="0" fontId="2" fillId="43" borderId="4" applyAlignment="1" pivotButton="0" quotePrefix="0" xfId="0">
      <alignment horizontal="center" vertical="center"/>
    </xf>
    <xf numFmtId="0" fontId="2" fillId="29" borderId="4" applyAlignment="1" pivotButton="0" quotePrefix="0" xfId="0">
      <alignment horizontal="left" vertical="center"/>
    </xf>
    <xf numFmtId="3" fontId="5" fillId="27" borderId="4" applyAlignment="1" applyProtection="1" pivotButton="0" quotePrefix="0" xfId="0">
      <alignment horizontal="center" vertical="center"/>
      <protection locked="0" hidden="0"/>
    </xf>
    <xf numFmtId="0" fontId="4" fillId="6" borderId="0" applyAlignment="1" applyProtection="1" pivotButton="0" quotePrefix="0" xfId="0">
      <alignment horizontal="center" vertical="center"/>
      <protection locked="0" hidden="0"/>
    </xf>
    <xf numFmtId="0" fontId="9" fillId="14" borderId="46" applyAlignment="1" pivotButton="0" quotePrefix="0" xfId="0">
      <alignment horizontal="center" vertical="center"/>
    </xf>
    <xf numFmtId="164" fontId="9" fillId="9" borderId="15" applyAlignment="1" pivotButton="0" quotePrefix="0" xfId="2">
      <alignment horizontal="center" vertical="center"/>
    </xf>
    <xf numFmtId="2" fontId="9" fillId="14" borderId="50" applyAlignment="1" pivotButton="0" quotePrefix="0" xfId="0">
      <alignment horizontal="center" vertical="center"/>
    </xf>
    <xf numFmtId="165" fontId="4" fillId="8" borderId="4" applyAlignment="1" pivotButton="0" quotePrefix="0" xfId="0">
      <alignment horizontal="center"/>
    </xf>
    <xf numFmtId="165" fontId="2" fillId="43" borderId="4" applyAlignment="1" pivotButton="0" quotePrefix="0" xfId="0">
      <alignment horizontal="center" vertical="center"/>
    </xf>
    <xf numFmtId="165" fontId="65" fillId="29" borderId="4" applyAlignment="1" pivotButton="0" quotePrefix="0" xfId="0">
      <alignment horizontal="center" vertical="center"/>
    </xf>
    <xf numFmtId="0" fontId="4" fillId="44" borderId="4" applyAlignment="1" applyProtection="1" pivotButton="0" quotePrefix="0" xfId="0">
      <alignment horizontal="center" vertical="center"/>
      <protection locked="0" hidden="0"/>
    </xf>
    <xf numFmtId="0" fontId="15" fillId="27" borderId="4" applyAlignment="1" applyProtection="1" pivotButton="0" quotePrefix="0" xfId="0">
      <alignment horizontal="center" vertical="center"/>
      <protection locked="0" hidden="0"/>
    </xf>
    <xf numFmtId="0" fontId="15" fillId="27" borderId="4" applyAlignment="1" applyProtection="1" pivotButton="0" quotePrefix="0" xfId="0">
      <alignment horizontal="center" vertical="center" wrapText="1"/>
      <protection locked="0" hidden="0"/>
    </xf>
    <xf numFmtId="0" fontId="3" fillId="11" borderId="6" applyAlignment="1" pivotButton="0" quotePrefix="0" xfId="0">
      <alignment horizontal="center" vertical="center"/>
    </xf>
    <xf numFmtId="0" fontId="4" fillId="8" borderId="6" applyAlignment="1" pivotButton="0" quotePrefix="0" xfId="0">
      <alignment horizontal="center" vertical="center"/>
    </xf>
    <xf numFmtId="0" fontId="3" fillId="11" borderId="15" applyAlignment="1" pivotButton="0" quotePrefix="0" xfId="0">
      <alignment horizontal="center" vertical="center"/>
    </xf>
    <xf numFmtId="0" fontId="11" fillId="11" borderId="0" applyAlignment="1" pivotButton="0" quotePrefix="0" xfId="0">
      <alignment horizontal="center" vertical="center"/>
    </xf>
    <xf numFmtId="166" fontId="2" fillId="29" borderId="13" applyAlignment="1" pivotButton="0" quotePrefix="0" xfId="2">
      <alignment horizontal="center" vertical="center" wrapText="1"/>
    </xf>
    <xf numFmtId="166" fontId="2" fillId="37" borderId="13" applyAlignment="1" pivotButton="0" quotePrefix="0" xfId="2">
      <alignment horizontal="center" vertical="center" wrapText="1"/>
    </xf>
    <xf numFmtId="166" fontId="2" fillId="37" borderId="12" applyAlignment="1" pivotButton="0" quotePrefix="0" xfId="2">
      <alignment horizontal="center" vertical="center" wrapText="1"/>
    </xf>
    <xf numFmtId="166" fontId="2" fillId="29" borderId="12" applyAlignment="1" pivotButton="0" quotePrefix="0" xfId="2">
      <alignment horizontal="center" vertical="center" wrapText="1"/>
    </xf>
    <xf numFmtId="0" fontId="2" fillId="29" borderId="0" applyAlignment="1" pivotButton="0" quotePrefix="0" xfId="0">
      <alignment horizontal="left" vertical="center"/>
    </xf>
    <xf numFmtId="0" fontId="2" fillId="29" borderId="15" applyAlignment="1" pivotButton="0" quotePrefix="0" xfId="0">
      <alignment horizontal="left" vertical="center"/>
    </xf>
    <xf numFmtId="166" fontId="4" fillId="8" borderId="13" applyAlignment="1" pivotButton="0" quotePrefix="0" xfId="2">
      <alignment horizontal="center" vertical="center" wrapText="1"/>
    </xf>
    <xf numFmtId="0" fontId="64" fillId="33" borderId="53" applyAlignment="1" pivotButton="0" quotePrefix="0" xfId="0">
      <alignment horizontal="center"/>
    </xf>
    <xf numFmtId="0" fontId="35" fillId="0" borderId="5" applyAlignment="1" pivotButton="0" quotePrefix="0" xfId="0">
      <alignment horizontal="left" vertical="center"/>
    </xf>
    <xf numFmtId="0" fontId="35" fillId="0" borderId="14" applyAlignment="1" pivotButton="0" quotePrefix="0" xfId="0">
      <alignment horizontal="left" vertical="center"/>
    </xf>
    <xf numFmtId="0" fontId="35" fillId="0" borderId="6" applyAlignment="1" pivotButton="0" quotePrefix="0" xfId="0">
      <alignment horizontal="left" vertical="center"/>
    </xf>
    <xf numFmtId="0" fontId="2" fillId="20" borderId="5" applyAlignment="1" pivotButton="0" quotePrefix="0" xfId="0">
      <alignment horizontal="center" vertical="center"/>
    </xf>
    <xf numFmtId="0" fontId="2" fillId="20" borderId="14" applyAlignment="1" pivotButton="0" quotePrefix="0" xfId="0">
      <alignment horizontal="center" vertical="center"/>
    </xf>
    <xf numFmtId="0" fontId="2" fillId="20" borderId="6" applyAlignment="1" pivotButton="0" quotePrefix="0" xfId="0">
      <alignment horizontal="center" vertical="center"/>
    </xf>
    <xf numFmtId="0" fontId="4" fillId="11" borderId="0" applyAlignment="1" pivotButton="0" quotePrefix="0" xfId="0">
      <alignment horizontal="center" vertical="center"/>
    </xf>
    <xf numFmtId="0" fontId="3" fillId="11" borderId="14" applyAlignment="1" pivotButton="0" quotePrefix="0" xfId="0">
      <alignment horizontal="center" vertical="center"/>
    </xf>
    <xf numFmtId="0" fontId="3" fillId="11" borderId="6" applyAlignment="1" pivotButton="0" quotePrefix="0" xfId="0">
      <alignment horizontal="center" vertical="center"/>
    </xf>
    <xf numFmtId="0" fontId="4" fillId="8" borderId="5" applyAlignment="1" pivotButton="0" quotePrefix="0" xfId="0">
      <alignment horizontal="center" vertical="center"/>
    </xf>
    <xf numFmtId="0" fontId="4" fillId="8" borderId="14" applyAlignment="1" pivotButton="0" quotePrefix="0" xfId="0">
      <alignment horizontal="center" vertical="center"/>
    </xf>
    <xf numFmtId="0" fontId="4" fillId="8" borderId="6" applyAlignment="1" pivotButton="0" quotePrefix="0" xfId="0">
      <alignment horizontal="center" vertical="center"/>
    </xf>
    <xf numFmtId="0" fontId="1" fillId="0" borderId="5" applyAlignment="1" applyProtection="1" pivotButton="0" quotePrefix="0" xfId="0">
      <alignment horizontal="center" vertical="center"/>
      <protection locked="0" hidden="0"/>
    </xf>
    <xf numFmtId="0" fontId="1" fillId="0" borderId="14" applyAlignment="1" applyProtection="1" pivotButton="0" quotePrefix="0" xfId="0">
      <alignment horizontal="center" vertical="center"/>
      <protection locked="0" hidden="0"/>
    </xf>
    <xf numFmtId="0" fontId="1" fillId="0" borderId="6" applyAlignment="1" applyProtection="1" pivotButton="0" quotePrefix="0" xfId="0">
      <alignment horizontal="center" vertical="center"/>
      <protection locked="0" hidden="0"/>
    </xf>
    <xf numFmtId="0" fontId="3" fillId="0" borderId="5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3" fillId="0" borderId="6" applyAlignment="1" applyProtection="1" pivotButton="0" quotePrefix="0" xfId="0">
      <alignment horizontal="center"/>
      <protection locked="0" hidden="0"/>
    </xf>
    <xf numFmtId="0" fontId="4" fillId="11" borderId="10" applyAlignment="1" pivotButton="0" quotePrefix="0" xfId="0">
      <alignment horizontal="left" vertical="center"/>
    </xf>
    <xf numFmtId="0" fontId="4" fillId="11" borderId="13" applyAlignment="1" pivotButton="0" quotePrefix="0" xfId="0">
      <alignment horizontal="left" vertical="center"/>
    </xf>
    <xf numFmtId="164" fontId="4" fillId="11" borderId="10" applyAlignment="1" pivotButton="0" quotePrefix="0" xfId="2">
      <alignment horizontal="center" vertical="center" wrapText="1"/>
    </xf>
    <xf numFmtId="164" fontId="4" fillId="11" borderId="13" applyAlignment="1" pivotButton="0" quotePrefix="0" xfId="2">
      <alignment horizontal="center" vertical="center" wrapText="1"/>
    </xf>
    <xf numFmtId="164" fontId="12" fillId="11" borderId="10" applyAlignment="1" pivotButton="0" quotePrefix="0" xfId="2">
      <alignment horizontal="center" vertical="center" wrapText="1"/>
    </xf>
    <xf numFmtId="164" fontId="12" fillId="11" borderId="13" applyAlignment="1" pivotButton="0" quotePrefix="0" xfId="2">
      <alignment horizontal="center" vertical="center" wrapText="1"/>
    </xf>
    <xf numFmtId="0" fontId="3" fillId="11" borderId="15" applyAlignment="1" pivotButton="0" quotePrefix="0" xfId="0">
      <alignment horizontal="center" vertical="center"/>
    </xf>
    <xf numFmtId="0" fontId="4" fillId="11" borderId="10" applyAlignment="1" pivotButton="0" quotePrefix="0" xfId="0">
      <alignment horizontal="center" vertical="center"/>
    </xf>
    <xf numFmtId="0" fontId="4" fillId="11" borderId="13" applyAlignment="1" pivotButton="0" quotePrefix="0" xfId="0">
      <alignment horizontal="center" vertical="center"/>
    </xf>
    <xf numFmtId="0" fontId="11" fillId="11" borderId="0" applyAlignment="1" pivotButton="0" quotePrefix="0" xfId="0">
      <alignment horizontal="center" vertical="center"/>
    </xf>
    <xf numFmtId="0" fontId="3" fillId="11" borderId="5" applyAlignment="1" pivotButton="0" quotePrefix="0" xfId="0">
      <alignment horizontal="center" vertical="center"/>
    </xf>
    <xf numFmtId="166" fontId="2" fillId="37" borderId="10" applyAlignment="1" pivotButton="0" quotePrefix="0" xfId="2">
      <alignment horizontal="center" vertical="center" wrapText="1"/>
    </xf>
    <xf numFmtId="166" fontId="2" fillId="37" borderId="13" applyAlignment="1" pivotButton="0" quotePrefix="0" xfId="2">
      <alignment horizontal="center" vertical="center" wrapText="1"/>
    </xf>
    <xf numFmtId="166" fontId="2" fillId="29" borderId="10" applyAlignment="1" pivotButton="0" quotePrefix="0" xfId="2">
      <alignment horizontal="center" vertical="center" wrapText="1"/>
    </xf>
    <xf numFmtId="166" fontId="2" fillId="29" borderId="13" applyAlignment="1" pivotButton="0" quotePrefix="0" xfId="2">
      <alignment horizontal="center" vertical="center" wrapText="1"/>
    </xf>
    <xf numFmtId="0" fontId="4" fillId="31" borderId="5" applyAlignment="1" pivotButton="0" quotePrefix="0" xfId="0">
      <alignment horizontal="center" vertical="center"/>
    </xf>
    <xf numFmtId="0" fontId="4" fillId="31" borderId="6" applyAlignment="1" pivotButton="0" quotePrefix="0" xfId="0">
      <alignment horizontal="center" vertical="center"/>
    </xf>
    <xf numFmtId="164" fontId="2" fillId="28" borderId="10" applyAlignment="1" pivotButton="0" quotePrefix="0" xfId="2">
      <alignment horizontal="center" vertical="center" wrapText="1"/>
    </xf>
    <xf numFmtId="164" fontId="2" fillId="28" borderId="13" applyAlignment="1" pivotButton="0" quotePrefix="0" xfId="2">
      <alignment horizontal="center" vertical="center" wrapText="1"/>
    </xf>
    <xf numFmtId="0" fontId="2" fillId="28" borderId="10" applyAlignment="1" pivotButton="0" quotePrefix="0" xfId="0">
      <alignment horizontal="center" vertical="center"/>
    </xf>
    <xf numFmtId="0" fontId="2" fillId="28" borderId="13" applyAlignment="1" pivotButton="0" quotePrefix="0" xfId="0">
      <alignment horizontal="center" vertical="center"/>
    </xf>
    <xf numFmtId="0" fontId="37" fillId="18" borderId="5" applyAlignment="1" pivotButton="0" quotePrefix="0" xfId="0">
      <alignment horizontal="center" vertical="center"/>
    </xf>
    <xf numFmtId="0" fontId="37" fillId="18" borderId="14" applyAlignment="1" pivotButton="0" quotePrefix="0" xfId="0">
      <alignment horizontal="center" vertical="center"/>
    </xf>
    <xf numFmtId="0" fontId="37" fillId="18" borderId="6" applyAlignment="1" pivotButton="0" quotePrefix="0" xfId="0">
      <alignment horizontal="center" vertical="center"/>
    </xf>
    <xf numFmtId="0" fontId="2" fillId="18" borderId="10" applyAlignment="1" pivotButton="0" quotePrefix="0" xfId="0">
      <alignment horizontal="center" vertical="center"/>
    </xf>
    <xf numFmtId="0" fontId="2" fillId="18" borderId="13" applyAlignment="1" pivotButton="0" quotePrefix="0" xfId="0">
      <alignment horizontal="center" vertical="center"/>
    </xf>
    <xf numFmtId="164" fontId="2" fillId="18" borderId="10" applyAlignment="1" pivotButton="0" quotePrefix="0" xfId="2">
      <alignment horizontal="center" vertical="center" wrapText="1"/>
    </xf>
    <xf numFmtId="164" fontId="2" fillId="18" borderId="13" applyAlignment="1" pivotButton="0" quotePrefix="0" xfId="2">
      <alignment horizontal="center" vertical="center" wrapText="1"/>
    </xf>
    <xf numFmtId="0" fontId="64" fillId="33" borderId="52" applyAlignment="1" pivotButton="0" quotePrefix="0" xfId="0">
      <alignment horizontal="center"/>
    </xf>
    <xf numFmtId="0" fontId="64" fillId="33" borderId="3" applyAlignment="1" pivotButton="0" quotePrefix="0" xfId="0">
      <alignment horizontal="center"/>
    </xf>
    <xf numFmtId="0" fontId="64" fillId="33" borderId="53" applyAlignment="1" pivotButton="0" quotePrefix="0" xfId="0">
      <alignment horizontal="center"/>
    </xf>
    <xf numFmtId="0" fontId="2" fillId="28" borderId="11" applyAlignment="1" pivotButton="0" quotePrefix="0" xfId="0">
      <alignment horizontal="center" vertical="center"/>
    </xf>
    <xf numFmtId="166" fontId="2" fillId="37" borderId="12" applyAlignment="1" pivotButton="0" quotePrefix="0" xfId="2">
      <alignment horizontal="center" vertical="center" wrapText="1"/>
    </xf>
    <xf numFmtId="0" fontId="2" fillId="18" borderId="12" applyAlignment="1" pivotButton="0" quotePrefix="0" xfId="0">
      <alignment horizontal="center" vertical="center"/>
    </xf>
    <xf numFmtId="0" fontId="2" fillId="18" borderId="11" applyAlignment="1" pivotButton="0" quotePrefix="0" xfId="0">
      <alignment horizontal="center" vertical="center"/>
    </xf>
    <xf numFmtId="164" fontId="2" fillId="18" borderId="12" applyAlignment="1" pivotButton="0" quotePrefix="0" xfId="2">
      <alignment horizontal="center" vertical="center" wrapText="1"/>
    </xf>
    <xf numFmtId="166" fontId="4" fillId="8" borderId="10" applyAlignment="1" pivotButton="0" quotePrefix="0" xfId="2">
      <alignment horizontal="center" vertical="center" wrapText="1"/>
    </xf>
    <xf numFmtId="166" fontId="4" fillId="8" borderId="13" applyAlignment="1" pivotButton="0" quotePrefix="0" xfId="2">
      <alignment horizontal="center" vertical="center" wrapText="1"/>
    </xf>
    <xf numFmtId="167" fontId="4" fillId="8" borderId="10" applyAlignment="1" pivotButton="0" quotePrefix="0" xfId="2">
      <alignment horizontal="center" vertical="center" wrapText="1"/>
    </xf>
    <xf numFmtId="167" fontId="4" fillId="8" borderId="13" applyAlignment="1" pivotButton="0" quotePrefix="0" xfId="2">
      <alignment horizontal="center" vertical="center" wrapText="1"/>
    </xf>
    <xf numFmtId="0" fontId="2" fillId="18" borderId="49" applyAlignment="1" pivotButton="0" quotePrefix="0" xfId="0">
      <alignment horizontal="center" vertical="center"/>
    </xf>
    <xf numFmtId="0" fontId="2" fillId="18" borderId="0" applyAlignment="1" pivotButton="0" quotePrefix="0" xfId="0">
      <alignment horizontal="center" vertical="center"/>
    </xf>
    <xf numFmtId="0" fontId="2" fillId="18" borderId="26" applyAlignment="1" pivotButton="0" quotePrefix="0" xfId="0">
      <alignment horizontal="center" vertical="center"/>
    </xf>
    <xf numFmtId="0" fontId="2" fillId="18" borderId="15" applyAlignment="1" pivotButton="0" quotePrefix="0" xfId="0">
      <alignment horizontal="center" vertical="center"/>
    </xf>
    <xf numFmtId="0" fontId="4" fillId="8" borderId="10" applyAlignment="1" pivotButton="0" quotePrefix="0" xfId="0">
      <alignment horizontal="center" vertical="center"/>
    </xf>
    <xf numFmtId="0" fontId="4" fillId="8" borderId="13" applyAlignment="1" pivotButton="0" quotePrefix="0" xfId="0">
      <alignment horizontal="center" vertical="center"/>
    </xf>
    <xf numFmtId="164" fontId="4" fillId="8" borderId="10" applyAlignment="1" pivotButton="0" quotePrefix="0" xfId="2">
      <alignment horizontal="center" vertical="center" wrapText="1"/>
    </xf>
    <xf numFmtId="164" fontId="4" fillId="8" borderId="13" applyAlignment="1" pivotButton="0" quotePrefix="0" xfId="2">
      <alignment horizontal="center" vertical="center" wrapText="1"/>
    </xf>
    <xf numFmtId="0" fontId="2" fillId="28" borderId="49" applyAlignment="1" pivotButton="0" quotePrefix="0" xfId="0">
      <alignment horizontal="center" vertical="center"/>
    </xf>
    <xf numFmtId="0" fontId="2" fillId="28" borderId="0" applyAlignment="1" pivotButton="0" quotePrefix="0" xfId="0">
      <alignment horizontal="center" vertical="center"/>
    </xf>
    <xf numFmtId="0" fontId="2" fillId="28" borderId="26" applyAlignment="1" pivotButton="0" quotePrefix="0" xfId="0">
      <alignment horizontal="center" vertical="center"/>
    </xf>
    <xf numFmtId="0" fontId="2" fillId="28" borderId="15" applyAlignment="1" pivotButton="0" quotePrefix="0" xfId="0">
      <alignment horizontal="center" vertical="center"/>
    </xf>
    <xf numFmtId="0" fontId="2" fillId="29" borderId="49" applyAlignment="1" pivotButton="0" quotePrefix="0" xfId="0">
      <alignment horizontal="left" vertical="center"/>
    </xf>
    <xf numFmtId="0" fontId="2" fillId="29" borderId="0" applyAlignment="1" pivotButton="0" quotePrefix="0" xfId="0">
      <alignment horizontal="left" vertical="center"/>
    </xf>
    <xf numFmtId="0" fontId="2" fillId="29" borderId="26" applyAlignment="1" pivotButton="0" quotePrefix="0" xfId="0">
      <alignment horizontal="left" vertical="center"/>
    </xf>
    <xf numFmtId="0" fontId="2" fillId="29" borderId="15" applyAlignment="1" pivotButton="0" quotePrefix="0" xfId="0">
      <alignment horizontal="left" vertical="center"/>
    </xf>
    <xf numFmtId="167" fontId="2" fillId="37" borderId="10" applyAlignment="1" pivotButton="0" quotePrefix="0" xfId="2">
      <alignment horizontal="center" vertical="center" wrapText="1"/>
    </xf>
    <xf numFmtId="167" fontId="2" fillId="37" borderId="12" applyAlignment="1" pivotButton="0" quotePrefix="0" xfId="2">
      <alignment horizontal="center" vertical="center" wrapText="1"/>
    </xf>
    <xf numFmtId="167" fontId="2" fillId="37" borderId="13" applyAlignment="1" pivotButton="0" quotePrefix="0" xfId="2">
      <alignment horizontal="center" vertical="center" wrapText="1"/>
    </xf>
    <xf numFmtId="167" fontId="2" fillId="29" borderId="10" applyAlignment="1" pivotButton="0" quotePrefix="0" xfId="2">
      <alignment horizontal="center" vertical="center" wrapText="1"/>
    </xf>
    <xf numFmtId="167" fontId="2" fillId="29" borderId="12" applyAlignment="1" pivotButton="0" quotePrefix="0" xfId="2">
      <alignment horizontal="center" vertical="center" wrapText="1"/>
    </xf>
    <xf numFmtId="167" fontId="2" fillId="29" borderId="13" applyAlignment="1" pivotButton="0" quotePrefix="0" xfId="2">
      <alignment horizontal="center" vertical="center" wrapText="1"/>
    </xf>
    <xf numFmtId="166" fontId="2" fillId="29" borderId="12" applyAlignment="1" pivotButton="0" quotePrefix="0" xfId="2">
      <alignment horizontal="center" vertical="center" wrapText="1"/>
    </xf>
    <xf numFmtId="0" fontId="2" fillId="28" borderId="12" applyAlignment="1" pivotButton="0" quotePrefix="0" xfId="0">
      <alignment horizontal="center" vertical="center"/>
    </xf>
    <xf numFmtId="164" fontId="2" fillId="28" borderId="12" applyAlignment="1" pivotButton="0" quotePrefix="0" xfId="2">
      <alignment horizontal="center" vertical="center" wrapText="1"/>
    </xf>
    <xf numFmtId="0" fontId="2" fillId="29" borderId="10" applyAlignment="1" pivotButton="0" quotePrefix="0" xfId="0">
      <alignment horizontal="left" vertical="center"/>
    </xf>
    <xf numFmtId="0" fontId="2" fillId="29" borderId="11" applyAlignment="1" pivotButton="0" quotePrefix="0" xfId="0">
      <alignment horizontal="left" vertical="center"/>
    </xf>
    <xf numFmtId="164" fontId="2" fillId="29" borderId="10" applyAlignment="1" pivotButton="0" quotePrefix="0" xfId="2">
      <alignment horizontal="center" vertical="center" wrapText="1"/>
    </xf>
    <xf numFmtId="164" fontId="2" fillId="29" borderId="13" applyAlignment="1" pivotButton="0" quotePrefix="0" xfId="2">
      <alignment horizontal="center" vertical="center" wrapText="1"/>
    </xf>
    <xf numFmtId="0" fontId="2" fillId="37" borderId="10" applyAlignment="1" pivotButton="0" quotePrefix="0" xfId="0">
      <alignment horizontal="center" vertical="center"/>
    </xf>
    <xf numFmtId="0" fontId="2" fillId="37" borderId="13" applyAlignment="1" pivotButton="0" quotePrefix="0" xfId="0">
      <alignment horizontal="center" vertical="center"/>
    </xf>
    <xf numFmtId="0" fontId="2" fillId="29" borderId="10" applyAlignment="1" pivotButton="0" quotePrefix="0" xfId="0">
      <alignment horizontal="center" vertical="center"/>
    </xf>
    <xf numFmtId="0" fontId="2" fillId="29" borderId="13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/>
    </xf>
    <xf numFmtId="0" fontId="8" fillId="8" borderId="5" applyAlignment="1" pivotButton="0" quotePrefix="0" xfId="0">
      <alignment horizontal="center"/>
    </xf>
    <xf numFmtId="0" fontId="8" fillId="8" borderId="14" applyAlignment="1" pivotButton="0" quotePrefix="0" xfId="0">
      <alignment horizontal="center"/>
    </xf>
    <xf numFmtId="0" fontId="8" fillId="8" borderId="6" applyAlignment="1" pivotButton="0" quotePrefix="0" xfId="0">
      <alignment horizontal="center"/>
    </xf>
    <xf numFmtId="0" fontId="28" fillId="16" borderId="24" applyAlignment="1" pivotButton="0" quotePrefix="0" xfId="0">
      <alignment horizontal="center" vertical="center"/>
    </xf>
    <xf numFmtId="0" fontId="28" fillId="16" borderId="25" applyAlignment="1" pivotButton="0" quotePrefix="0" xfId="0">
      <alignment horizontal="center" vertical="center"/>
    </xf>
    <xf numFmtId="0" fontId="28" fillId="16" borderId="17" applyAlignment="1" pivotButton="0" quotePrefix="0" xfId="0">
      <alignment horizontal="center" vertical="center"/>
    </xf>
    <xf numFmtId="0" fontId="28" fillId="16" borderId="27" applyAlignment="1" pivotButton="0" quotePrefix="0" xfId="0">
      <alignment horizontal="center" vertical="center"/>
    </xf>
    <xf numFmtId="0" fontId="28" fillId="16" borderId="21" applyAlignment="1" pivotButton="0" quotePrefix="0" xfId="0">
      <alignment horizontal="center" vertical="center"/>
    </xf>
    <xf numFmtId="0" fontId="28" fillId="16" borderId="20" applyAlignment="1" pivotButton="0" quotePrefix="0" xfId="0">
      <alignment horizontal="center" vertical="center"/>
    </xf>
    <xf numFmtId="0" fontId="28" fillId="16" borderId="19" applyAlignment="1" pivotButton="0" quotePrefix="0" xfId="0">
      <alignment horizontal="center" vertical="center"/>
    </xf>
    <xf numFmtId="0" fontId="28" fillId="16" borderId="18" applyAlignment="1" pivotButton="0" quotePrefix="0" xfId="0">
      <alignment horizontal="center" vertical="center"/>
    </xf>
    <xf numFmtId="0" fontId="28" fillId="7" borderId="22" applyAlignment="1" pivotButton="0" quotePrefix="0" xfId="0">
      <alignment horizontal="center" vertical="center"/>
    </xf>
    <xf numFmtId="0" fontId="28" fillId="7" borderId="0" applyAlignment="1" pivotButton="0" quotePrefix="0" xfId="0">
      <alignment horizontal="center" vertical="center"/>
    </xf>
    <xf numFmtId="0" fontId="28" fillId="7" borderId="17" applyAlignment="1" pivotButton="0" quotePrefix="0" xfId="0">
      <alignment horizontal="center" vertical="center"/>
    </xf>
    <xf numFmtId="0" fontId="28" fillId="7" borderId="18" applyAlignment="1" pivotButton="0" quotePrefix="0" xfId="0">
      <alignment horizontal="center" vertical="center"/>
    </xf>
    <xf numFmtId="0" fontId="28" fillId="7" borderId="21" applyAlignment="1" pivotButton="0" quotePrefix="0" xfId="0">
      <alignment horizontal="center" vertical="center"/>
    </xf>
    <xf numFmtId="0" fontId="28" fillId="7" borderId="20" applyAlignment="1" pivotButton="0" quotePrefix="0" xfId="0">
      <alignment horizontal="center" vertical="center"/>
    </xf>
    <xf numFmtId="0" fontId="28" fillId="7" borderId="19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/>
    </xf>
    <xf numFmtId="0" fontId="28" fillId="18" borderId="26" applyAlignment="1" pivotButton="0" quotePrefix="0" xfId="0">
      <alignment horizontal="center" vertical="center"/>
    </xf>
    <xf numFmtId="0" fontId="28" fillId="18" borderId="15" applyAlignment="1" pivotButton="0" quotePrefix="0" xfId="0">
      <alignment horizontal="center" vertical="center"/>
    </xf>
    <xf numFmtId="0" fontId="28" fillId="18" borderId="51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 wrapText="1"/>
    </xf>
    <xf numFmtId="0" fontId="22" fillId="0" borderId="5" applyAlignment="1" pivotButton="0" quotePrefix="0" xfId="0">
      <alignment horizontal="center"/>
    </xf>
    <xf numFmtId="0" fontId="22" fillId="0" borderId="6" applyAlignment="1" pivotButton="0" quotePrefix="0" xfId="0">
      <alignment horizontal="center"/>
    </xf>
    <xf numFmtId="0" fontId="25" fillId="8" borderId="32" applyAlignment="1" pivotButton="0" quotePrefix="0" xfId="0">
      <alignment horizontal="center" vertical="center"/>
    </xf>
    <xf numFmtId="0" fontId="25" fillId="8" borderId="33" applyAlignment="1" pivotButton="0" quotePrefix="0" xfId="0">
      <alignment horizontal="center" vertical="center"/>
    </xf>
    <xf numFmtId="0" fontId="25" fillId="8" borderId="35" applyAlignment="1" pivotButton="0" quotePrefix="0" xfId="0">
      <alignment horizontal="center" vertical="center"/>
    </xf>
    <xf numFmtId="0" fontId="25" fillId="8" borderId="31" applyAlignment="1" pivotButton="0" quotePrefix="0" xfId="0">
      <alignment horizontal="center" vertical="center"/>
    </xf>
    <xf numFmtId="0" fontId="25" fillId="8" borderId="31" applyAlignment="1" pivotButton="0" quotePrefix="0" xfId="0">
      <alignment horizontal="center" vertical="center" wrapText="1"/>
    </xf>
    <xf numFmtId="0" fontId="28" fillId="28" borderId="39" applyAlignment="1" pivotButton="0" quotePrefix="0" xfId="0">
      <alignment horizontal="center" vertical="center"/>
    </xf>
    <xf numFmtId="0" fontId="28" fillId="28" borderId="40" applyAlignment="1" pivotButton="0" quotePrefix="0" xfId="0">
      <alignment horizontal="center" vertical="center"/>
    </xf>
    <xf numFmtId="0" fontId="28" fillId="28" borderId="41" applyAlignment="1" pivotButton="0" quotePrefix="0" xfId="0">
      <alignment horizontal="center" vertical="center"/>
    </xf>
    <xf numFmtId="0" fontId="28" fillId="28" borderId="42" applyAlignment="1" pivotButton="0" quotePrefix="0" xfId="0">
      <alignment horizontal="center" vertical="center"/>
    </xf>
    <xf numFmtId="0" fontId="28" fillId="28" borderId="45" applyAlignment="1" pivotButton="0" quotePrefix="0" xfId="0">
      <alignment horizontal="center" vertical="center"/>
    </xf>
    <xf numFmtId="0" fontId="28" fillId="28" borderId="5" applyAlignment="1" pivotButton="0" quotePrefix="0" xfId="0">
      <alignment horizontal="center" vertical="center"/>
    </xf>
    <xf numFmtId="0" fontId="28" fillId="28" borderId="14" applyAlignment="1" pivotButton="0" quotePrefix="0" xfId="0">
      <alignment horizontal="center" vertical="center"/>
    </xf>
    <xf numFmtId="0" fontId="28" fillId="28" borderId="6" applyAlignment="1" pivotButton="0" quotePrefix="0" xfId="0">
      <alignment horizontal="center" vertical="center"/>
    </xf>
    <xf numFmtId="0" fontId="28" fillId="28" borderId="43" applyAlignment="1" pivotButton="0" quotePrefix="0" xfId="0">
      <alignment horizontal="center" vertical="center" wrapText="1"/>
    </xf>
    <xf numFmtId="0" fontId="28" fillId="28" borderId="47" applyAlignment="1" pivotButton="0" quotePrefix="0" xfId="0">
      <alignment horizontal="center" vertical="center" wrapText="1"/>
    </xf>
    <xf numFmtId="0" fontId="28" fillId="28" borderId="44" applyAlignment="1" pivotButton="0" quotePrefix="0" xfId="0">
      <alignment horizontal="center" vertical="center" wrapText="1"/>
    </xf>
    <xf numFmtId="0" fontId="28" fillId="28" borderId="34" applyAlignment="1" pivotButton="0" quotePrefix="0" xfId="0">
      <alignment horizontal="center" vertical="center" wrapText="1"/>
    </xf>
    <xf numFmtId="0" fontId="28" fillId="16" borderId="5" applyAlignment="1" pivotButton="0" quotePrefix="0" xfId="0">
      <alignment horizontal="center" vertical="center"/>
    </xf>
    <xf numFmtId="0" fontId="28" fillId="16" borderId="14" applyAlignment="1" pivotButton="0" quotePrefix="0" xfId="0">
      <alignment horizontal="center" vertical="center"/>
    </xf>
    <xf numFmtId="0" fontId="28" fillId="16" borderId="6" applyAlignment="1" pivotButton="0" quotePrefix="0" xfId="0">
      <alignment horizontal="center" vertical="center"/>
    </xf>
    <xf numFmtId="0" fontId="28" fillId="16" borderId="10" applyAlignment="1" pivotButton="0" quotePrefix="0" xfId="0">
      <alignment horizontal="center" vertical="center"/>
    </xf>
    <xf numFmtId="0" fontId="28" fillId="16" borderId="13" applyAlignment="1" pivotButton="0" quotePrefix="0" xfId="0">
      <alignment horizontal="center" vertical="center"/>
    </xf>
    <xf numFmtId="0" fontId="28" fillId="16" borderId="10" applyAlignment="1" pivotButton="0" quotePrefix="0" xfId="0">
      <alignment horizontal="center" vertical="center" wrapText="1"/>
    </xf>
    <xf numFmtId="0" fontId="28" fillId="16" borderId="13" applyAlignment="1" pivotButton="0" quotePrefix="0" xfId="0">
      <alignment horizontal="center" vertical="center" wrapText="1"/>
    </xf>
    <xf numFmtId="0" fontId="5" fillId="14" borderId="5" applyAlignment="1" pivotButton="0" quotePrefix="0" xfId="0">
      <alignment horizontal="left" vertical="center"/>
    </xf>
    <xf numFmtId="0" fontId="5" fillId="14" borderId="14" applyAlignment="1" pivotButton="0" quotePrefix="0" xfId="0">
      <alignment horizontal="left" vertical="center"/>
    </xf>
    <xf numFmtId="0" fontId="5" fillId="14" borderId="6" applyAlignment="1" pivotButton="0" quotePrefix="0" xfId="0">
      <alignment horizontal="left" vertical="center"/>
    </xf>
    <xf numFmtId="0" fontId="3" fillId="0" borderId="4" applyAlignment="1" pivotButton="0" quotePrefix="0" xfId="0">
      <alignment horizontal="left"/>
    </xf>
    <xf numFmtId="0" fontId="4" fillId="3" borderId="26" applyAlignment="1" pivotButton="0" quotePrefix="0" xfId="0">
      <alignment horizontal="center" vertical="center"/>
    </xf>
    <xf numFmtId="0" fontId="4" fillId="3" borderId="15" applyAlignment="1" pivotButton="0" quotePrefix="0" xfId="0">
      <alignment horizontal="center" vertical="center"/>
    </xf>
    <xf numFmtId="0" fontId="4" fillId="3" borderId="5" applyAlignment="1" pivotButton="0" quotePrefix="0" xfId="0">
      <alignment horizontal="left" vertical="center"/>
    </xf>
    <xf numFmtId="0" fontId="4" fillId="3" borderId="14" applyAlignment="1" pivotButton="0" quotePrefix="0" xfId="0">
      <alignment horizontal="left" vertical="center"/>
    </xf>
    <xf numFmtId="0" fontId="2" fillId="36" borderId="46" applyAlignment="1" pivotButton="0" quotePrefix="0" xfId="0">
      <alignment horizontal="center" vertical="center"/>
    </xf>
    <xf numFmtId="0" fontId="2" fillId="36" borderId="50" applyAlignment="1" pivotButton="0" quotePrefix="0" xfId="0">
      <alignment horizontal="center" vertical="center"/>
    </xf>
    <xf numFmtId="0" fontId="48" fillId="29" borderId="5" applyAlignment="1" pivotButton="0" quotePrefix="0" xfId="0">
      <alignment horizontal="center"/>
    </xf>
    <xf numFmtId="0" fontId="48" fillId="29" borderId="6" applyAlignment="1" pivotButton="0" quotePrefix="0" xfId="0">
      <alignment horizontal="center"/>
    </xf>
    <xf numFmtId="0" fontId="28" fillId="30" borderId="42" applyAlignment="1" pivotButton="0" quotePrefix="0" xfId="0">
      <alignment horizontal="center" vertical="center"/>
    </xf>
    <xf numFmtId="0" fontId="28" fillId="30" borderId="45" applyAlignment="1" pivotButton="0" quotePrefix="0" xfId="0">
      <alignment horizontal="center" vertical="center"/>
    </xf>
    <xf numFmtId="0" fontId="28" fillId="30" borderId="5" applyAlignment="1" pivotButton="0" quotePrefix="0" xfId="0">
      <alignment horizontal="center" vertical="center"/>
    </xf>
    <xf numFmtId="0" fontId="28" fillId="30" borderId="14" applyAlignment="1" pivotButton="0" quotePrefix="0" xfId="0">
      <alignment horizontal="center" vertical="center"/>
    </xf>
    <xf numFmtId="0" fontId="28" fillId="30" borderId="6" applyAlignment="1" pivotButton="0" quotePrefix="0" xfId="0">
      <alignment horizontal="center" vertical="center"/>
    </xf>
    <xf numFmtId="0" fontId="0" fillId="0" borderId="49" applyAlignment="1" pivotButton="0" quotePrefix="0" xfId="0">
      <alignment horizontal="center" vertical="center"/>
    </xf>
    <xf numFmtId="0" fontId="28" fillId="30" borderId="39" applyAlignment="1" pivotButton="0" quotePrefix="0" xfId="0">
      <alignment horizontal="center" vertical="center"/>
    </xf>
    <xf numFmtId="0" fontId="28" fillId="30" borderId="40" applyAlignment="1" pivotButton="0" quotePrefix="0" xfId="0">
      <alignment horizontal="center" vertical="center"/>
    </xf>
    <xf numFmtId="0" fontId="28" fillId="30" borderId="41" applyAlignment="1" pivotButton="0" quotePrefix="0" xfId="0">
      <alignment horizontal="center" vertical="center"/>
    </xf>
    <xf numFmtId="0" fontId="28" fillId="30" borderId="43" applyAlignment="1" pivotButton="0" quotePrefix="0" xfId="0">
      <alignment horizontal="center" vertical="center" wrapText="1"/>
    </xf>
    <xf numFmtId="0" fontId="28" fillId="30" borderId="47" applyAlignment="1" pivotButton="0" quotePrefix="0" xfId="0">
      <alignment horizontal="center" vertical="center" wrapText="1"/>
    </xf>
    <xf numFmtId="0" fontId="28" fillId="30" borderId="44" applyAlignment="1" pivotButton="0" quotePrefix="0" xfId="0">
      <alignment horizontal="center" vertical="center" wrapText="1"/>
    </xf>
    <xf numFmtId="0" fontId="28" fillId="30" borderId="34" applyAlignment="1" pivotButton="0" quotePrefix="0" xfId="0">
      <alignment horizontal="center" vertical="center" wrapText="1"/>
    </xf>
    <xf numFmtId="0" fontId="22" fillId="0" borderId="0" applyAlignment="1" pivotButton="0" quotePrefix="0" xfId="0">
      <alignment horizontal="left"/>
    </xf>
    <xf numFmtId="0" fontId="67" fillId="45" borderId="0" applyAlignment="1" pivotButton="0" quotePrefix="0" xfId="0">
      <alignment horizontal="center" vertical="center"/>
    </xf>
    <xf numFmtId="0" fontId="67" fillId="19" borderId="0" applyAlignment="1" pivotButton="0" quotePrefix="0" xfId="0">
      <alignment horizontal="center" vertical="center"/>
    </xf>
    <xf numFmtId="0" fontId="67" fillId="7" borderId="0" applyAlignment="1" pivotButton="0" quotePrefix="0" xfId="0">
      <alignment horizontal="center" vertical="center"/>
    </xf>
    <xf numFmtId="0" fontId="67" fillId="46" borderId="0" applyAlignment="1" pivotButton="0" quotePrefix="0" xfId="0">
      <alignment horizontal="center" vertical="center"/>
    </xf>
    <xf numFmtId="168" fontId="0" fillId="0" borderId="0" applyAlignment="1" pivotButton="0" quotePrefix="0" xfId="0">
      <alignment horizontal="center"/>
    </xf>
    <xf numFmtId="0" fontId="22" fillId="47" borderId="0" pivotButton="0" quotePrefix="0" xfId="0"/>
    <xf numFmtId="168" fontId="22" fillId="47" borderId="0" applyAlignment="1" pivotButton="0" quotePrefix="0" xfId="0">
      <alignment horizontal="center"/>
    </xf>
    <xf numFmtId="0" fontId="68" fillId="48" borderId="54" applyAlignment="1" pivotButton="0" quotePrefix="0" xfId="0">
      <alignment horizontal="left"/>
    </xf>
    <xf numFmtId="0" fontId="68" fillId="45" borderId="54" applyAlignment="1" pivotButton="0" quotePrefix="0" xfId="0">
      <alignment horizontal="center" vertical="center"/>
    </xf>
    <xf numFmtId="0" fontId="68" fillId="19" borderId="54" applyAlignment="1" pivotButton="0" quotePrefix="0" xfId="0">
      <alignment horizontal="center" vertical="center"/>
    </xf>
    <xf numFmtId="0" fontId="68" fillId="46" borderId="54" applyAlignment="1" pivotButton="0" quotePrefix="0" xfId="0">
      <alignment horizontal="center" vertical="center"/>
    </xf>
    <xf numFmtId="0" fontId="69" fillId="49" borderId="54" pivotButton="0" quotePrefix="0" xfId="0"/>
    <xf numFmtId="168" fontId="69" fillId="49" borderId="54" applyAlignment="1" pivotButton="0" quotePrefix="0" xfId="0">
      <alignment horizontal="center"/>
    </xf>
    <xf numFmtId="0" fontId="69" fillId="47" borderId="54" pivotButton="0" quotePrefix="0" xfId="0"/>
    <xf numFmtId="168" fontId="69" fillId="47" borderId="54" applyAlignment="1" pivotButton="0" quotePrefix="0" xfId="0">
      <alignment horizontal="center"/>
    </xf>
    <xf numFmtId="0" fontId="69" fillId="19" borderId="55" pivotButton="0" quotePrefix="0" xfId="0"/>
    <xf numFmtId="168" fontId="69" fillId="19" borderId="55" applyAlignment="1" pivotButton="0" quotePrefix="0" xfId="0">
      <alignment horizontal="center"/>
    </xf>
    <xf numFmtId="0" fontId="69" fillId="49" borderId="56" pivotButton="0" quotePrefix="0" xfId="0"/>
    <xf numFmtId="168" fontId="69" fillId="49" borderId="57" applyAlignment="1" pivotButton="0" quotePrefix="0" xfId="0">
      <alignment horizontal="center"/>
    </xf>
    <xf numFmtId="168" fontId="69" fillId="49" borderId="58" applyAlignment="1" pivotButton="0" quotePrefix="0" xfId="0">
      <alignment horizontal="center"/>
    </xf>
    <xf numFmtId="0" fontId="69" fillId="47" borderId="59" pivotButton="0" quotePrefix="0" xfId="0"/>
    <xf numFmtId="168" fontId="69" fillId="47" borderId="60" applyAlignment="1" pivotButton="0" quotePrefix="0" xfId="0">
      <alignment horizontal="center"/>
    </xf>
    <xf numFmtId="0" fontId="69" fillId="49" borderId="59" pivotButton="0" quotePrefix="0" xfId="0"/>
    <xf numFmtId="168" fontId="69" fillId="49" borderId="60" applyAlignment="1" pivotButton="0" quotePrefix="0" xfId="0">
      <alignment horizontal="center"/>
    </xf>
    <xf numFmtId="0" fontId="69" fillId="47" borderId="61" pivotButton="0" quotePrefix="0" xfId="0"/>
    <xf numFmtId="168" fontId="69" fillId="47" borderId="62" applyAlignment="1" pivotButton="0" quotePrefix="0" xfId="0">
      <alignment horizontal="center"/>
    </xf>
    <xf numFmtId="168" fontId="69" fillId="47" borderId="63" applyAlignment="1" pivotButton="0" quotePrefix="0" xfId="0">
      <alignment horizontal="center"/>
    </xf>
    <xf numFmtId="0" fontId="69" fillId="49" borderId="61" pivotButton="0" quotePrefix="0" xfId="0"/>
    <xf numFmtId="168" fontId="69" fillId="49" borderId="62" applyAlignment="1" pivotButton="0" quotePrefix="0" xfId="0">
      <alignment horizontal="center"/>
    </xf>
    <xf numFmtId="168" fontId="69" fillId="49" borderId="63" applyAlignment="1" pivotButton="0" quotePrefix="0" xfId="0">
      <alignment horizontal="center"/>
    </xf>
    <xf numFmtId="0" fontId="69" fillId="47" borderId="56" pivotButton="0" quotePrefix="0" xfId="0"/>
    <xf numFmtId="168" fontId="69" fillId="47" borderId="57" applyAlignment="1" pivotButton="0" quotePrefix="0" xfId="0">
      <alignment horizontal="center"/>
    </xf>
    <xf numFmtId="168" fontId="69" fillId="47" borderId="58" applyAlignment="1" pivotButton="0" quotePrefix="0" xfId="0">
      <alignment horizontal="center"/>
    </xf>
    <xf numFmtId="0" fontId="70" fillId="49" borderId="54" pivotButton="0" quotePrefix="0" xfId="0"/>
    <xf numFmtId="168" fontId="70" fillId="49" borderId="54" applyAlignment="1" pivotButton="0" quotePrefix="0" xfId="0">
      <alignment horizontal="center"/>
    </xf>
    <xf numFmtId="0" fontId="69" fillId="0" borderId="0" pivotButton="0" quotePrefix="0" xfId="0"/>
    <xf numFmtId="165" fontId="2" fillId="37" borderId="10" applyAlignment="1" pivotButton="0" quotePrefix="0" xfId="2">
      <alignment horizontal="center" vertical="center" wrapText="1"/>
    </xf>
    <xf numFmtId="165" fontId="4" fillId="8" borderId="10" applyAlignment="1" pivotButton="0" quotePrefix="0" xfId="2">
      <alignment horizontal="center" vertical="center" wrapText="1"/>
    </xf>
    <xf numFmtId="165" fontId="4" fillId="8" borderId="10" applyAlignment="1" pivotButton="0" quotePrefix="0" xfId="2">
      <alignment horizontal="center" vertical="center" wrapText="1"/>
    </xf>
    <xf numFmtId="165" fontId="4" fillId="8" borderId="13" applyAlignment="1" pivotButton="0" quotePrefix="0" xfId="2">
      <alignment horizontal="center" vertical="center" wrapText="1"/>
    </xf>
    <xf numFmtId="0" fontId="2" fillId="18" borderId="0" applyAlignment="1" pivotButton="0" quotePrefix="0" xfId="0">
      <alignment horizontal="center" vertical="center"/>
    </xf>
    <xf numFmtId="0" fontId="2" fillId="28" borderId="0" applyAlignment="1" pivotButton="0" quotePrefix="0" xfId="0">
      <alignment horizontal="center" vertical="center"/>
    </xf>
    <xf numFmtId="0" fontId="2" fillId="29" borderId="0" applyAlignment="1" pivotButton="0" quotePrefix="0" xfId="0">
      <alignment horizontal="left" vertical="center"/>
    </xf>
    <xf numFmtId="168" fontId="69" fillId="27" borderId="54" applyAlignment="1" pivotButton="0" quotePrefix="0" xfId="0">
      <alignment horizontal="center"/>
    </xf>
    <xf numFmtId="0" fontId="69" fillId="13" borderId="54" pivotButton="0" quotePrefix="0" xfId="0"/>
    <xf numFmtId="168" fontId="69" fillId="13" borderId="54" applyAlignment="1" pivotButton="0" quotePrefix="0" xfId="0">
      <alignment horizontal="center"/>
    </xf>
    <xf numFmtId="168" fontId="69" fillId="27" borderId="57" applyAlignment="1" pivotButton="0" quotePrefix="0" xfId="0">
      <alignment horizontal="center"/>
    </xf>
    <xf numFmtId="168" fontId="69" fillId="27" borderId="62" applyAlignment="1" pivotButton="0" quotePrefix="0" xfId="0">
      <alignment horizontal="center"/>
    </xf>
    <xf numFmtId="0" fontId="5" fillId="0" borderId="4" applyAlignment="1" applyProtection="1" pivotButton="0" quotePrefix="0" xfId="0">
      <alignment horizontal="center" vertical="center"/>
      <protection locked="0" hidden="0"/>
    </xf>
    <xf numFmtId="168" fontId="0" fillId="27" borderId="0" applyAlignment="1" pivotButton="0" quotePrefix="0" xfId="0">
      <alignment horizontal="center"/>
    </xf>
    <xf numFmtId="0" fontId="5" fillId="0" borderId="4" applyAlignment="1" pivotButton="0" quotePrefix="0" xfId="0">
      <alignment horizontal="center" vertical="center"/>
    </xf>
    <xf numFmtId="0" fontId="0" fillId="27" borderId="0" pivotButton="0" quotePrefix="0" xfId="0"/>
    <xf numFmtId="168" fontId="0" fillId="0" borderId="0" applyAlignment="1" pivotButton="0" quotePrefix="0" xfId="0">
      <alignment horizontal="center"/>
    </xf>
    <xf numFmtId="168" fontId="0" fillId="27" borderId="0" applyAlignment="1" pivotButton="0" quotePrefix="0" xfId="0">
      <alignment horizontal="center"/>
    </xf>
    <xf numFmtId="168" fontId="22" fillId="47" borderId="0" applyAlignment="1" pivotButton="0" quotePrefix="0" xfId="0">
      <alignment horizontal="center"/>
    </xf>
    <xf numFmtId="168" fontId="69" fillId="49" borderId="54" applyAlignment="1" pivotButton="0" quotePrefix="0" xfId="0">
      <alignment horizontal="center"/>
    </xf>
    <xf numFmtId="168" fontId="69" fillId="27" borderId="54" applyAlignment="1" pivotButton="0" quotePrefix="0" xfId="0">
      <alignment horizontal="center"/>
    </xf>
    <xf numFmtId="168" fontId="69" fillId="47" borderId="54" applyAlignment="1" pivotButton="0" quotePrefix="0" xfId="0">
      <alignment horizontal="center"/>
    </xf>
    <xf numFmtId="168" fontId="69" fillId="13" borderId="54" applyAlignment="1" pivotButton="0" quotePrefix="0" xfId="0">
      <alignment horizontal="center"/>
    </xf>
    <xf numFmtId="168" fontId="69" fillId="19" borderId="55" applyAlignment="1" pivotButton="0" quotePrefix="0" xfId="0">
      <alignment horizontal="center"/>
    </xf>
    <xf numFmtId="168" fontId="69" fillId="49" borderId="57" applyAlignment="1" pivotButton="0" quotePrefix="0" xfId="0">
      <alignment horizontal="center"/>
    </xf>
    <xf numFmtId="168" fontId="69" fillId="27" borderId="57" applyAlignment="1" pivotButton="0" quotePrefix="0" xfId="0">
      <alignment horizontal="center"/>
    </xf>
    <xf numFmtId="168" fontId="69" fillId="49" borderId="58" applyAlignment="1" pivotButton="0" quotePrefix="0" xfId="0">
      <alignment horizontal="center"/>
    </xf>
    <xf numFmtId="168" fontId="69" fillId="47" borderId="60" applyAlignment="1" pivotButton="0" quotePrefix="0" xfId="0">
      <alignment horizontal="center"/>
    </xf>
    <xf numFmtId="168" fontId="69" fillId="49" borderId="60" applyAlignment="1" pivotButton="0" quotePrefix="0" xfId="0">
      <alignment horizontal="center"/>
    </xf>
    <xf numFmtId="168" fontId="69" fillId="47" borderId="62" applyAlignment="1" pivotButton="0" quotePrefix="0" xfId="0">
      <alignment horizontal="center"/>
    </xf>
    <xf numFmtId="168" fontId="69" fillId="27" borderId="62" applyAlignment="1" pivotButton="0" quotePrefix="0" xfId="0">
      <alignment horizontal="center"/>
    </xf>
    <xf numFmtId="168" fontId="69" fillId="47" borderId="63" applyAlignment="1" pivotButton="0" quotePrefix="0" xfId="0">
      <alignment horizontal="center"/>
    </xf>
    <xf numFmtId="168" fontId="69" fillId="49" borderId="62" applyAlignment="1" pivotButton="0" quotePrefix="0" xfId="0">
      <alignment horizontal="center"/>
    </xf>
    <xf numFmtId="168" fontId="69" fillId="49" borderId="63" applyAlignment="1" pivotButton="0" quotePrefix="0" xfId="0">
      <alignment horizontal="center"/>
    </xf>
    <xf numFmtId="168" fontId="69" fillId="47" borderId="57" applyAlignment="1" pivotButton="0" quotePrefix="0" xfId="0">
      <alignment horizontal="center"/>
    </xf>
    <xf numFmtId="168" fontId="69" fillId="47" borderId="58" applyAlignment="1" pivotButton="0" quotePrefix="0" xfId="0">
      <alignment horizontal="center"/>
    </xf>
    <xf numFmtId="168" fontId="70" fillId="49" borderId="54" applyAlignment="1" pivotButton="0" quotePrefix="0" xfId="0">
      <alignment horizontal="center"/>
    </xf>
    <xf numFmtId="0" fontId="1" fillId="0" borderId="4" applyAlignment="1" applyProtection="1" pivotButton="0" quotePrefix="0" xfId="0">
      <alignment horizontal="center" vertical="center"/>
      <protection locked="0" hidden="0"/>
    </xf>
    <xf numFmtId="0" fontId="0" fillId="0" borderId="14" applyProtection="1" pivotButton="0" quotePrefix="0" xfId="0">
      <protection locked="0" hidden="0"/>
    </xf>
    <xf numFmtId="0" fontId="0" fillId="0" borderId="6" applyProtection="1" pivotButton="0" quotePrefix="0" xfId="0">
      <protection locked="0" hidden="0"/>
    </xf>
    <xf numFmtId="0" fontId="3" fillId="0" borderId="4" applyAlignment="1" applyProtection="1" pivotButton="0" quotePrefix="0" xfId="0">
      <alignment horizontal="center"/>
      <protection locked="0" hidden="0"/>
    </xf>
    <xf numFmtId="164" fontId="3" fillId="0" borderId="0" pivotButton="0" quotePrefix="0" xfId="2"/>
    <xf numFmtId="164" fontId="3" fillId="0" borderId="0" pivotButton="0" quotePrefix="0" xfId="0"/>
    <xf numFmtId="0" fontId="4" fillId="11" borderId="4" applyAlignment="1" pivotButton="0" quotePrefix="0" xfId="0">
      <alignment horizontal="left" vertical="center"/>
    </xf>
    <xf numFmtId="164" fontId="4" fillId="11" borderId="4" applyAlignment="1" pivotButton="0" quotePrefix="0" xfId="2">
      <alignment horizontal="center" vertical="center" wrapText="1"/>
    </xf>
    <xf numFmtId="164" fontId="12" fillId="11" borderId="4" applyAlignment="1" pivotButton="0" quotePrefix="0" xfId="2">
      <alignment horizontal="center" vertical="center" wrapText="1"/>
    </xf>
    <xf numFmtId="0" fontId="0" fillId="0" borderId="14" pivotButton="0" quotePrefix="0" xfId="0"/>
    <xf numFmtId="0" fontId="7" fillId="0" borderId="14" pivotButton="0" quotePrefix="0" xfId="0"/>
    <xf numFmtId="169" fontId="4" fillId="6" borderId="4" applyAlignment="1" pivotButton="0" quotePrefix="0" xfId="0">
      <alignment horizontal="center"/>
    </xf>
    <xf numFmtId="165" fontId="4" fillId="6" borderId="4" applyAlignment="1" pivotButton="0" quotePrefix="0" xfId="0">
      <alignment horizontal="center"/>
    </xf>
    <xf numFmtId="165" fontId="4" fillId="8" borderId="4" applyAlignment="1" pivotButton="0" quotePrefix="0" xfId="0">
      <alignment horizontal="center"/>
    </xf>
    <xf numFmtId="165" fontId="4" fillId="32" borderId="4" applyAlignment="1" pivotButton="0" quotePrefix="0" xfId="0">
      <alignment horizontal="center"/>
    </xf>
    <xf numFmtId="165" fontId="2" fillId="29" borderId="10" applyAlignment="1" pivotButton="0" quotePrefix="0" xfId="2">
      <alignment horizontal="center" vertical="center" wrapText="1"/>
    </xf>
    <xf numFmtId="165" fontId="2" fillId="40" borderId="4" applyAlignment="1" pivotButton="0" quotePrefix="0" xfId="0">
      <alignment horizontal="center" vertical="center"/>
    </xf>
    <xf numFmtId="165" fontId="2" fillId="28" borderId="4" applyAlignment="1" pivotButton="0" quotePrefix="0" xfId="0">
      <alignment horizontal="center"/>
    </xf>
    <xf numFmtId="165" fontId="4" fillId="8" borderId="10" applyAlignment="1" pivotButton="0" quotePrefix="0" xfId="0">
      <alignment horizontal="center" vertical="center"/>
    </xf>
    <xf numFmtId="165" fontId="4" fillId="5" borderId="4" applyAlignment="1" pivotButton="0" quotePrefix="0" xfId="0">
      <alignment horizontal="center"/>
    </xf>
    <xf numFmtId="165" fontId="2" fillId="18" borderId="4" applyAlignment="1" pivotButton="0" quotePrefix="0" xfId="0">
      <alignment horizontal="center" vertical="center"/>
    </xf>
    <xf numFmtId="165" fontId="2" fillId="34" borderId="4" applyAlignment="1" pivotButton="0" quotePrefix="0" xfId="0">
      <alignment horizontal="center"/>
    </xf>
    <xf numFmtId="165" fontId="2" fillId="30" borderId="4" applyAlignment="1" pivotButton="0" quotePrefix="0" xfId="0">
      <alignment horizontal="center"/>
    </xf>
    <xf numFmtId="0" fontId="0" fillId="0" borderId="13" pivotButton="0" quotePrefix="0" xfId="0"/>
    <xf numFmtId="165" fontId="4" fillId="8" borderId="4" applyAlignment="1" pivotButton="0" quotePrefix="0" xfId="0">
      <alignment horizontal="center" vertical="center"/>
    </xf>
    <xf numFmtId="169" fontId="4" fillId="8" borderId="4" applyAlignment="1" pivotButton="0" quotePrefix="0" xfId="0">
      <alignment horizontal="center" vertical="center"/>
    </xf>
    <xf numFmtId="165" fontId="4" fillId="19" borderId="4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165" fontId="4" fillId="7" borderId="4" applyAlignment="1" pivotButton="0" quotePrefix="0" xfId="0">
      <alignment horizontal="center"/>
    </xf>
    <xf numFmtId="165" fontId="5" fillId="0" borderId="0" applyAlignment="1" pivotButton="0" quotePrefix="0" xfId="0">
      <alignment vertical="center"/>
    </xf>
    <xf numFmtId="165" fontId="2" fillId="2" borderId="4" applyAlignment="1" pivotButton="0" quotePrefix="0" xfId="0">
      <alignment horizontal="center" vertical="center"/>
    </xf>
    <xf numFmtId="165" fontId="2" fillId="29" borderId="4" applyAlignment="1" pivotButton="0" quotePrefix="0" xfId="0">
      <alignment horizontal="center"/>
    </xf>
    <xf numFmtId="165" fontId="2" fillId="7" borderId="4" applyAlignment="1" pivotButton="0" quotePrefix="0" xfId="0">
      <alignment horizontal="center"/>
    </xf>
    <xf numFmtId="165" fontId="2" fillId="18" borderId="4" applyAlignment="1" pivotButton="0" quotePrefix="0" xfId="0">
      <alignment horizontal="center"/>
    </xf>
    <xf numFmtId="164" fontId="5" fillId="0" borderId="4" applyAlignment="1" pivotButton="0" quotePrefix="0" xfId="2">
      <alignment vertical="center"/>
    </xf>
    <xf numFmtId="0" fontId="17" fillId="0" borderId="4" applyAlignment="1" pivotButton="0" quotePrefix="0" xfId="0">
      <alignment horizontal="center" vertical="center"/>
    </xf>
    <xf numFmtId="165" fontId="4" fillId="33" borderId="4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4" fillId="3" borderId="4" applyAlignment="1" pivotButton="0" quotePrefix="0" xfId="2">
      <alignment horizontal="center" vertical="center"/>
    </xf>
    <xf numFmtId="169" fontId="4" fillId="6" borderId="4" applyAlignment="1" applyProtection="1" pivotButton="0" quotePrefix="0" xfId="0">
      <alignment horizontal="center"/>
      <protection locked="0" hidden="0"/>
    </xf>
    <xf numFmtId="164" fontId="5" fillId="0" borderId="4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4" fillId="3" borderId="4" applyAlignment="1" pivotButton="0" quotePrefix="0" xfId="2">
      <alignment vertical="center"/>
    </xf>
    <xf numFmtId="164" fontId="5" fillId="0" borderId="13" applyAlignment="1" pivotButton="0" quotePrefix="0" xfId="2">
      <alignment horizontal="center" vertical="center"/>
    </xf>
    <xf numFmtId="0" fontId="5" fillId="0" borderId="4" applyAlignment="1" pivotButton="0" quotePrefix="0" xfId="0">
      <alignment horizontal="center" vertical="center" wrapText="1"/>
    </xf>
    <xf numFmtId="164" fontId="53" fillId="0" borderId="4" applyAlignment="1" pivotButton="0" quotePrefix="0" xfId="2">
      <alignment vertical="center"/>
    </xf>
    <xf numFmtId="164" fontId="42" fillId="0" borderId="13" applyAlignment="1" pivotButton="0" quotePrefix="0" xfId="2">
      <alignment horizontal="center" vertical="center"/>
    </xf>
    <xf numFmtId="164" fontId="4" fillId="0" borderId="4" applyAlignment="1" pivotButton="0" quotePrefix="0" xfId="2">
      <alignment horizontal="center" vertical="center"/>
    </xf>
    <xf numFmtId="164" fontId="53" fillId="0" borderId="4" applyAlignment="1" pivotButton="0" quotePrefix="0" xfId="2">
      <alignment horizontal="center" vertical="center"/>
    </xf>
    <xf numFmtId="164" fontId="15" fillId="0" borderId="4" applyAlignment="1" pivotButton="0" quotePrefix="0" xfId="2">
      <alignment horizontal="center" vertical="center"/>
    </xf>
    <xf numFmtId="164" fontId="63" fillId="0" borderId="4" applyAlignment="1" pivotButton="0" quotePrefix="0" xfId="2">
      <alignment horizontal="center" vertical="center"/>
    </xf>
    <xf numFmtId="164" fontId="3" fillId="0" borderId="4" applyAlignment="1" pivotButton="0" quotePrefix="0" xfId="2">
      <alignment horizontal="center"/>
    </xf>
    <xf numFmtId="0" fontId="2" fillId="20" borderId="4" applyAlignment="1" pivotButton="0" quotePrefix="0" xfId="0">
      <alignment horizontal="center" vertical="center"/>
    </xf>
    <xf numFmtId="0" fontId="0" fillId="0" borderId="6" pivotButton="0" quotePrefix="0" xfId="0"/>
    <xf numFmtId="165" fontId="2" fillId="20" borderId="4" applyAlignment="1" pivotButton="0" quotePrefix="0" xfId="0">
      <alignment horizontal="center" vertical="center"/>
    </xf>
    <xf numFmtId="165" fontId="2" fillId="20" borderId="0" applyAlignment="1" pivotButton="0" quotePrefix="0" xfId="0">
      <alignment horizontal="center" vertical="center"/>
    </xf>
    <xf numFmtId="165" fontId="2" fillId="20" borderId="5" applyAlignment="1" pivotButton="0" quotePrefix="0" xfId="0">
      <alignment horizontal="center" vertical="center"/>
    </xf>
    <xf numFmtId="169" fontId="2" fillId="20" borderId="4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35" fillId="0" borderId="4" applyAlignment="1" pivotButton="0" quotePrefix="0" xfId="0">
      <alignment horizontal="left" vertical="center"/>
    </xf>
    <xf numFmtId="0" fontId="0" fillId="0" borderId="15" pivotButton="0" quotePrefix="0" xfId="0"/>
    <xf numFmtId="0" fontId="7" fillId="0" borderId="15" pivotButton="0" quotePrefix="0" xfId="0"/>
    <xf numFmtId="165" fontId="2" fillId="28" borderId="10" applyAlignment="1" pivotButton="0" quotePrefix="0" xfId="2">
      <alignment horizontal="center" vertical="center" wrapText="1"/>
    </xf>
    <xf numFmtId="169" fontId="4" fillId="6" borderId="4" applyAlignment="1" pivotButton="0" quotePrefix="0" xfId="2">
      <alignment horizontal="center"/>
    </xf>
    <xf numFmtId="165" fontId="42" fillId="0" borderId="4" applyAlignment="1" pivotButton="0" quotePrefix="0" xfId="2">
      <alignment horizontal="left" vertical="center" wrapText="1"/>
    </xf>
    <xf numFmtId="165" fontId="1" fillId="21" borderId="4" applyAlignment="1" pivotButton="0" quotePrefix="0" xfId="0">
      <alignment horizontal="left"/>
    </xf>
    <xf numFmtId="0" fontId="4" fillId="11" borderId="4" applyAlignment="1" pivotButton="0" quotePrefix="0" xfId="0">
      <alignment horizontal="center" vertical="center"/>
    </xf>
    <xf numFmtId="0" fontId="32" fillId="0" borderId="4" applyAlignment="1" pivotButton="0" quotePrefix="0" xfId="0">
      <alignment horizontal="center" vertical="center"/>
    </xf>
    <xf numFmtId="3" fontId="32" fillId="0" borderId="4" applyAlignment="1" pivotButton="0" quotePrefix="0" xfId="0">
      <alignment horizontal="center" vertical="center"/>
    </xf>
    <xf numFmtId="0" fontId="32" fillId="0" borderId="14" applyAlignment="1" pivotButton="0" quotePrefix="0" xfId="0">
      <alignment horizontal="center" vertical="center"/>
    </xf>
    <xf numFmtId="0" fontId="3" fillId="11" borderId="4" applyAlignment="1" pivotButton="0" quotePrefix="0" xfId="0">
      <alignment horizontal="center" vertical="center"/>
    </xf>
    <xf numFmtId="169" fontId="4" fillId="6" borderId="4" applyAlignment="1" pivotButton="0" quotePrefix="0" xfId="0">
      <alignment horizontal="center" vertical="center"/>
    </xf>
    <xf numFmtId="165" fontId="4" fillId="6" borderId="4" applyAlignment="1" pivotButton="0" quotePrefix="0" xfId="0">
      <alignment horizontal="center" vertical="center"/>
    </xf>
    <xf numFmtId="165" fontId="65" fillId="29" borderId="4" applyAlignment="1" pivotButton="0" quotePrefix="0" xfId="0">
      <alignment horizontal="center" vertical="center"/>
    </xf>
    <xf numFmtId="165" fontId="2" fillId="43" borderId="4" applyAlignment="1" pivotButton="0" quotePrefix="0" xfId="0">
      <alignment horizontal="center" vertical="center"/>
    </xf>
    <xf numFmtId="165" fontId="4" fillId="32" borderId="4" applyAlignment="1" pivotButton="0" quotePrefix="0" xfId="0">
      <alignment horizontal="center" vertical="center"/>
    </xf>
    <xf numFmtId="164" fontId="4" fillId="8" borderId="4" applyAlignment="1" pivotButton="0" quotePrefix="0" xfId="2">
      <alignment horizontal="center" vertical="center" wrapText="1"/>
    </xf>
    <xf numFmtId="165" fontId="4" fillId="8" borderId="4" applyAlignment="1" pivotButton="0" quotePrefix="0" xfId="2">
      <alignment horizontal="center" vertical="center" wrapText="1"/>
    </xf>
    <xf numFmtId="169" fontId="4" fillId="8" borderId="10" applyAlignment="1" pivotButton="0" quotePrefix="0" xfId="0">
      <alignment horizontal="center" vertical="center" wrapText="1"/>
    </xf>
    <xf numFmtId="167" fontId="4" fillId="8" borderId="4" applyAlignment="1" pivotButton="0" quotePrefix="0" xfId="2">
      <alignment horizontal="center" vertical="center" wrapText="1"/>
    </xf>
    <xf numFmtId="166" fontId="4" fillId="8" borderId="13" applyAlignment="1" pivotButton="0" quotePrefix="0" xfId="0">
      <alignment horizontal="center" vertical="center" wrapText="1"/>
    </xf>
    <xf numFmtId="0" fontId="0" fillId="0" borderId="26" pivotButton="0" quotePrefix="0" xfId="0"/>
    <xf numFmtId="0" fontId="2" fillId="18" borderId="65" applyAlignment="1" pivotButton="0" quotePrefix="0" xfId="0">
      <alignment horizontal="center" vertical="center"/>
    </xf>
    <xf numFmtId="164" fontId="2" fillId="18" borderId="4" applyAlignment="1" pivotButton="0" quotePrefix="0" xfId="2">
      <alignment horizontal="center" vertical="center" wrapText="1"/>
    </xf>
    <xf numFmtId="165" fontId="2" fillId="37" borderId="10" applyAlignment="1" pivotButton="0" quotePrefix="0" xfId="2">
      <alignment horizontal="center" vertical="center" wrapText="1"/>
    </xf>
    <xf numFmtId="169" fontId="2" fillId="37" borderId="10" applyAlignment="1" pivotButton="0" quotePrefix="0" xfId="0">
      <alignment horizontal="center" vertical="center" wrapText="1"/>
    </xf>
    <xf numFmtId="167" fontId="2" fillId="37" borderId="4" applyAlignment="1" pivotButton="0" quotePrefix="0" xfId="2">
      <alignment horizontal="center" vertical="center" wrapText="1"/>
    </xf>
    <xf numFmtId="0" fontId="2" fillId="28" borderId="65" applyAlignment="1" pivotButton="0" quotePrefix="0" xfId="0">
      <alignment horizontal="center" vertical="center"/>
    </xf>
    <xf numFmtId="164" fontId="2" fillId="28" borderId="4" applyAlignment="1" pivotButton="0" quotePrefix="0" xfId="2">
      <alignment horizontal="center" vertical="center" wrapText="1"/>
    </xf>
    <xf numFmtId="166" fontId="2" fillId="29" borderId="4" applyAlignment="1" pivotButton="0" quotePrefix="0" xfId="2">
      <alignment horizontal="center" vertical="center" wrapText="1"/>
    </xf>
    <xf numFmtId="169" fontId="2" fillId="29" borderId="10" applyAlignment="1" pivotButton="0" quotePrefix="0" xfId="0">
      <alignment horizontal="center" vertical="center" wrapText="1"/>
    </xf>
    <xf numFmtId="167" fontId="2" fillId="29" borderId="4" applyAlignment="1" pivotButton="0" quotePrefix="0" xfId="2">
      <alignment horizontal="center" vertical="center" wrapText="1"/>
    </xf>
    <xf numFmtId="0" fontId="2" fillId="29" borderId="65" applyAlignment="1" pivotButton="0" quotePrefix="0" xfId="0">
      <alignment horizontal="left" vertical="center"/>
    </xf>
    <xf numFmtId="164" fontId="2" fillId="29" borderId="4" applyAlignment="1" pivotButton="0" quotePrefix="0" xfId="2">
      <alignment horizontal="center" vertical="center" wrapText="1"/>
    </xf>
    <xf numFmtId="0" fontId="0" fillId="0" borderId="12" pivotButton="0" quotePrefix="0" xfId="0"/>
    <xf numFmtId="166" fontId="2" fillId="37" borderId="12" applyAlignment="1" pivotButton="0" quotePrefix="0" xfId="0">
      <alignment horizontal="center" vertical="center" wrapText="1"/>
    </xf>
    <xf numFmtId="166" fontId="2" fillId="29" borderId="12" applyAlignment="1" pivotButton="0" quotePrefix="0" xfId="0">
      <alignment horizontal="center" vertical="center" wrapText="1"/>
    </xf>
    <xf numFmtId="0" fontId="0" fillId="0" borderId="11" pivotButton="0" quotePrefix="0" xfId="0"/>
    <xf numFmtId="166" fontId="2" fillId="37" borderId="13" applyAlignment="1" pivotButton="0" quotePrefix="0" xfId="0">
      <alignment horizontal="center" vertical="center" wrapText="1"/>
    </xf>
    <xf numFmtId="166" fontId="2" fillId="29" borderId="13" applyAlignment="1" pivotButton="0" quotePrefix="0" xfId="0">
      <alignment horizontal="center" vertical="center" wrapText="1"/>
    </xf>
    <xf numFmtId="164" fontId="5" fillId="12" borderId="4" applyAlignment="1" pivotButton="0" quotePrefix="0" xfId="2">
      <alignment vertical="center"/>
    </xf>
    <xf numFmtId="0" fontId="18" fillId="0" borderId="0" applyAlignment="1" pivotButton="0" quotePrefix="0" xfId="2">
      <alignment horizontal="center" vertical="center"/>
    </xf>
    <xf numFmtId="169" fontId="4" fillId="6" borderId="4" applyAlignment="1" pivotButton="0" quotePrefix="0" xfId="2">
      <alignment horizontal="center" vertical="center"/>
    </xf>
    <xf numFmtId="165" fontId="4" fillId="8" borderId="10" applyAlignment="1" pivotButton="0" quotePrefix="0" xfId="2">
      <alignment horizontal="center" vertical="center" wrapText="1"/>
    </xf>
    <xf numFmtId="164" fontId="5" fillId="0" borderId="0" pivotButton="0" quotePrefix="0" xfId="2"/>
    <xf numFmtId="0" fontId="18" fillId="0" borderId="0" applyAlignment="1" pivotButton="0" quotePrefix="0" xfId="0">
      <alignment horizontal="center" vertical="center"/>
    </xf>
    <xf numFmtId="0" fontId="18" fillId="0" borderId="4" applyAlignment="1" pivotButton="0" quotePrefix="0" xfId="2">
      <alignment horizontal="center" vertical="center"/>
    </xf>
    <xf numFmtId="164" fontId="2" fillId="29" borderId="10" applyAlignment="1" pivotButton="0" quotePrefix="0" xfId="2">
      <alignment horizontal="center" vertical="center" wrapText="1"/>
    </xf>
    <xf numFmtId="0" fontId="18" fillId="0" borderId="4" applyAlignment="1" pivotButton="0" quotePrefix="0" xfId="0">
      <alignment horizontal="center" vertical="center"/>
    </xf>
    <xf numFmtId="3" fontId="18" fillId="0" borderId="4" applyAlignment="1" pivotButton="0" quotePrefix="0" xfId="0">
      <alignment horizontal="center" vertical="center"/>
    </xf>
    <xf numFmtId="0" fontId="17" fillId="0" borderId="0" pivotButton="0" quotePrefix="0" xfId="0"/>
    <xf numFmtId="3" fontId="18" fillId="0" borderId="0" applyAlignment="1" pivotButton="0" quotePrefix="0" xfId="0">
      <alignment horizontal="center" vertical="center"/>
    </xf>
    <xf numFmtId="164" fontId="3" fillId="12" borderId="4" applyAlignment="1" pivotButton="0" quotePrefix="0" xfId="2">
      <alignment horizontal="center"/>
    </xf>
    <xf numFmtId="0" fontId="4" fillId="31" borderId="4" applyAlignment="1" pivotButton="0" quotePrefix="0" xfId="0">
      <alignment horizontal="center" vertical="center"/>
    </xf>
    <xf numFmtId="0" fontId="0" fillId="0" borderId="3" pivotButton="0" quotePrefix="0" xfId="0"/>
    <xf numFmtId="0" fontId="7" fillId="0" borderId="3" pivotButton="0" quotePrefix="0" xfId="0"/>
    <xf numFmtId="0" fontId="37" fillId="18" borderId="4" applyAlignment="1" pivotButton="0" quotePrefix="0" xfId="0">
      <alignment horizontal="center" vertical="center"/>
    </xf>
    <xf numFmtId="0" fontId="64" fillId="33" borderId="67" applyAlignment="1" pivotButton="0" quotePrefix="0" xfId="0">
      <alignment horizontal="center"/>
    </xf>
    <xf numFmtId="0" fontId="0" fillId="0" borderId="53" pivotButton="0" quotePrefix="0" xfId="0"/>
    <xf numFmtId="165" fontId="4" fillId="27" borderId="4" applyAlignment="1" pivotButton="0" quotePrefix="0" xfId="0">
      <alignment horizontal="center"/>
    </xf>
    <xf numFmtId="167" fontId="2" fillId="8" borderId="4" applyAlignment="1" pivotButton="0" quotePrefix="0" xfId="2">
      <alignment vertical="center" wrapText="1"/>
    </xf>
    <xf numFmtId="0" fontId="8" fillId="8" borderId="4" applyAlignment="1" pivotButton="0" quotePrefix="0" xfId="0">
      <alignment horizontal="center"/>
    </xf>
    <xf numFmtId="0" fontId="0" fillId="0" borderId="25" pivotButton="0" quotePrefix="0" xfId="0"/>
    <xf numFmtId="0" fontId="28" fillId="16" borderId="69" applyAlignment="1" pivotButton="0" quotePrefix="0" xfId="0">
      <alignment horizontal="center" vertical="center"/>
    </xf>
    <xf numFmtId="0" fontId="0" fillId="0" borderId="20" pivotButton="0" quotePrefix="0" xfId="0"/>
    <xf numFmtId="0" fontId="0" fillId="0" borderId="19" pivotButton="0" quotePrefix="0" xfId="0"/>
    <xf numFmtId="0" fontId="0" fillId="0" borderId="18" pivotButton="0" quotePrefix="0" xfId="0"/>
    <xf numFmtId="0" fontId="28" fillId="16" borderId="73" applyAlignment="1" pivotButton="0" quotePrefix="0" xfId="0">
      <alignment horizontal="center" vertical="center"/>
    </xf>
    <xf numFmtId="0" fontId="0" fillId="0" borderId="27" pivotButton="0" quotePrefix="0" xfId="0"/>
    <xf numFmtId="0" fontId="28" fillId="7" borderId="69" applyAlignment="1" pivotButton="0" quotePrefix="0" xfId="0">
      <alignment horizontal="center" vertical="center"/>
    </xf>
    <xf numFmtId="0" fontId="28" fillId="18" borderId="13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33" pivotButton="0" quotePrefix="0" xfId="0"/>
    <xf numFmtId="0" fontId="0" fillId="0" borderId="35" pivotButton="0" quotePrefix="0" xfId="0"/>
    <xf numFmtId="0" fontId="22" fillId="0" borderId="4" applyAlignment="1" pivotButton="0" quotePrefix="0" xfId="0">
      <alignment horizontal="center"/>
    </xf>
    <xf numFmtId="0" fontId="0" fillId="0" borderId="79" pivotButton="0" quotePrefix="0" xfId="0"/>
    <xf numFmtId="0" fontId="28" fillId="28" borderId="80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41" pivotButton="0" quotePrefix="0" xfId="0"/>
    <xf numFmtId="0" fontId="28" fillId="28" borderId="4" applyAlignment="1" pivotButton="0" quotePrefix="0" xfId="0">
      <alignment horizontal="center" vertical="center"/>
    </xf>
    <xf numFmtId="0" fontId="0" fillId="0" borderId="82" pivotButton="0" quotePrefix="0" xfId="0"/>
    <xf numFmtId="0" fontId="0" fillId="0" borderId="83" pivotButton="0" quotePrefix="0" xfId="0"/>
    <xf numFmtId="0" fontId="0" fillId="0" borderId="85" pivotButton="0" quotePrefix="0" xfId="0"/>
    <xf numFmtId="0" fontId="28" fillId="16" borderId="4" applyAlignment="1" pivotButton="0" quotePrefix="0" xfId="0">
      <alignment horizontal="center" vertical="center"/>
    </xf>
    <xf numFmtId="0" fontId="28" fillId="16" borderId="4" applyAlignment="1" pivotButton="0" quotePrefix="0" xfId="0">
      <alignment horizontal="center" vertical="center" wrapText="1"/>
    </xf>
    <xf numFmtId="164" fontId="4" fillId="13" borderId="10" applyAlignment="1" pivotButton="0" quotePrefix="0" xfId="2">
      <alignment horizontal="center" vertical="center" wrapText="1"/>
    </xf>
    <xf numFmtId="164" fontId="10" fillId="13" borderId="10" applyAlignment="1" pivotButton="0" quotePrefix="0" xfId="2">
      <alignment horizontal="center" vertical="center" wrapText="1"/>
    </xf>
    <xf numFmtId="164" fontId="9" fillId="9" borderId="12" applyAlignment="1" pivotButton="0" quotePrefix="0" xfId="2">
      <alignment vertical="center"/>
    </xf>
    <xf numFmtId="164" fontId="9" fillId="9" borderId="11" applyAlignment="1" pivotButton="0" quotePrefix="0" xfId="2">
      <alignment vertical="center"/>
    </xf>
    <xf numFmtId="164" fontId="4" fillId="3" borderId="14" applyAlignment="1" pivotButton="0" quotePrefix="0" xfId="2">
      <alignment vertical="center"/>
    </xf>
    <xf numFmtId="164" fontId="9" fillId="9" borderId="13" applyAlignment="1" pivotButton="0" quotePrefix="0" xfId="2">
      <alignment horizontal="center" vertical="center"/>
    </xf>
    <xf numFmtId="164" fontId="9" fillId="9" borderId="15" applyAlignment="1" pivotButton="0" quotePrefix="0" xfId="2">
      <alignment horizontal="center" vertical="center"/>
    </xf>
    <xf numFmtId="164" fontId="4" fillId="3" borderId="14" applyAlignment="1" pivotButton="0" quotePrefix="0" xfId="2">
      <alignment horizontal="center" vertical="center"/>
    </xf>
    <xf numFmtId="164" fontId="9" fillId="9" borderId="4" applyAlignment="1" pivotButton="0" quotePrefix="0" xfId="2">
      <alignment horizontal="center" vertical="center"/>
    </xf>
    <xf numFmtId="164" fontId="9" fillId="9" borderId="4" applyAlignment="1" pivotButton="0" quotePrefix="0" xfId="2">
      <alignment vertical="center"/>
    </xf>
    <xf numFmtId="164" fontId="9" fillId="9" borderId="0" applyAlignment="1" pivotButton="0" quotePrefix="0" xfId="2">
      <alignment vertical="center"/>
    </xf>
    <xf numFmtId="164" fontId="9" fillId="14" borderId="13" applyAlignment="1" pivotButton="0" quotePrefix="0" xfId="2">
      <alignment horizontal="center" vertical="center"/>
    </xf>
    <xf numFmtId="164" fontId="9" fillId="14" borderId="4" applyAlignment="1" pivotButton="0" quotePrefix="0" xfId="2">
      <alignment horizontal="center" vertical="center"/>
    </xf>
    <xf numFmtId="0" fontId="0" fillId="0" borderId="50" pivotButton="0" quotePrefix="0" xfId="0"/>
    <xf numFmtId="0" fontId="28" fillId="30" borderId="80" applyAlignment="1" pivotButton="0" quotePrefix="0" xfId="0">
      <alignment horizontal="center" vertical="center"/>
    </xf>
    <xf numFmtId="0" fontId="48" fillId="29" borderId="4" applyAlignment="1" pivotButton="0" quotePrefix="0" xfId="0">
      <alignment horizontal="center"/>
    </xf>
    <xf numFmtId="0" fontId="28" fillId="30" borderId="4" applyAlignment="1" pivotButton="0" quotePrefix="0" xfId="0">
      <alignment horizontal="center" vertical="center"/>
    </xf>
    <xf numFmtId="165" fontId="49" fillId="0" borderId="4" applyAlignment="1" pivotButton="0" quotePrefix="0" xfId="0">
      <alignment horizontal="center"/>
    </xf>
    <xf numFmtId="0" fontId="0" fillId="0" borderId="49" pivotButton="0" quotePrefix="0" xfId="0"/>
    <xf numFmtId="0" fontId="0" fillId="0" borderId="64" pivotButton="0" quotePrefix="0" xfId="0"/>
    <xf numFmtId="0" fontId="2" fillId="28" borderId="15" applyAlignment="1" pivotButton="0" quotePrefix="0" xfId="0">
      <alignment vertical="center"/>
    </xf>
    <xf numFmtId="169" fontId="2" fillId="37" borderId="4" applyAlignment="1" pivotButton="0" quotePrefix="0" xfId="0">
      <alignment horizontal="center" vertical="center" wrapText="1"/>
    </xf>
    <xf numFmtId="0" fontId="7" fillId="0" borderId="12" pivotButton="0" quotePrefix="0" xfId="0"/>
    <xf numFmtId="0" fontId="7" fillId="0" borderId="13" pivotButton="0" quotePrefix="0" xfId="0"/>
  </cellXfs>
  <cellStyles count="25">
    <cellStyle name="Normal" xfId="0" builtinId="0"/>
    <cellStyle name="Normal 2" xfId="1"/>
    <cellStyle name="Moeda" xfId="2" builtinId="4"/>
    <cellStyle name="Normal 3" xfId="3"/>
    <cellStyle name="Moeda 2" xfId="4"/>
    <cellStyle name="Normal 4" xfId="5"/>
    <cellStyle name="Normal 2 2" xfId="6"/>
    <cellStyle name="Moeda 2 2" xfId="7"/>
    <cellStyle name="Normal 4 2" xfId="8"/>
    <cellStyle name="Moeda 2 3" xfId="9"/>
    <cellStyle name="Moeda 2 4" xfId="10"/>
    <cellStyle name="Moeda 2 5" xfId="11"/>
    <cellStyle name="Moeda 2 6" xfId="12"/>
    <cellStyle name="Moeda 2 7" xfId="13"/>
    <cellStyle name="Moeda 2 8" xfId="14"/>
    <cellStyle name="Normal 3 2" xfId="15"/>
    <cellStyle name="Normal 2 3" xfId="16"/>
    <cellStyle name="Moeda 2 9" xfId="17"/>
    <cellStyle name="Moeda 2 10" xfId="18"/>
    <cellStyle name="Normal 5" xfId="19"/>
    <cellStyle name="Normal 4 3" xfId="20"/>
    <cellStyle name="Moeda 2 11" xfId="21"/>
    <cellStyle name="Moeda 2 12" xfId="22"/>
    <cellStyle name="Moeda 2 13" xfId="23"/>
    <cellStyle name="Moeda 2 14" xfId="24"/>
  </cellStyles>
  <dxfs count="144"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styles" Target="styles.xml" Id="rId35" /><Relationship Type="http://schemas.openxmlformats.org/officeDocument/2006/relationships/theme" Target="theme/theme1.xml" Id="rId36" /><Relationship Type="http://schemas.microsoft.com/office/2006/relationships/vbaProject" Target="vbaProject.bin" Id="rId37" /></Relationships>
</file>

<file path=xl/comments/comment1.xml><?xml version="1.0" encoding="utf-8"?>
<comments xmlns="http://schemas.openxmlformats.org/spreadsheetml/2006/main">
  <authors>
    <author>Stiphanie da Silva Lima</author>
  </authors>
  <commentList>
    <comment ref="AA21" authorId="0" shapeId="0">
      <text>
        <t>Stiphanie da Silva Lima:
29/05 - ENTRADA DE INVENTÁRIO = 71 UNIDADES</t>
      </text>
    </comment>
  </commentList>
</comments>
</file>

<file path=xl/comments/comment2.xml><?xml version="1.0" encoding="utf-8"?>
<comments xmlns="http://schemas.openxmlformats.org/spreadsheetml/2006/main">
  <authors>
    <author>Stiphanie da Silva Lima</author>
  </authors>
  <commentList>
    <comment ref="AA21" authorId="0" shapeId="0">
      <text>
        <t>Stiphanie da Silva Lima:
29/05 - ENTRADA DE INVENTÁRIO = 71 UNIDADES</t>
      </text>
    </comment>
  </commentList>
</comments>
</file>

<file path=xl/comments/comment3.xml><?xml version="1.0" encoding="utf-8"?>
<comments xmlns="http://schemas.openxmlformats.org/spreadsheetml/2006/main">
  <authors>
    <author>Bruna Fuzinato</author>
  </authors>
  <commentList>
    <comment ref="R21" authorId="0" shapeId="0">
      <text>
        <t xml:space="preserve">Bruna Fuzinato:
confirmado quantidade no fisico 26-03-2025
</t>
      </text>
    </comment>
  </commentList>
</comments>
</file>

<file path=xl/comments/comment4.xml><?xml version="1.0" encoding="utf-8"?>
<comments xmlns="http://schemas.openxmlformats.org/spreadsheetml/2006/main">
  <authors>
    <author>Bruna Fuzinato</author>
  </authors>
  <commentList>
    <comment ref="R21" authorId="0" shapeId="0">
      <text>
        <t xml:space="preserve">Bruna Fuzinato:
confirmado quantidade no fisico 26-03-2025
</t>
      </text>
    </comment>
  </commentList>
</comments>
</file>

<file path=xl/comments/comment5.xml><?xml version="1.0" encoding="utf-8"?>
<comments xmlns="http://schemas.openxmlformats.org/spreadsheetml/2006/main">
  <authors>
    <author>Bruna Fuzinato</author>
  </authors>
  <commentList>
    <comment ref="R9" authorId="0" shapeId="0">
      <text>
        <t xml:space="preserve">Bruna Fuzinato:
Contagem estava errada desde o começo do Mês 02, deixei a qauntidade atual
</t>
      </text>
    </comment>
  </commentList>
</comments>
</file>

<file path=xl/comments/comment6.xml><?xml version="1.0" encoding="utf-8"?>
<comments xmlns="http://schemas.openxmlformats.org/spreadsheetml/2006/main">
  <authors>
    <author>Bruna Fuzinato</author>
  </authors>
  <commentList>
    <comment ref="R9" authorId="0" shapeId="0">
      <text>
        <t xml:space="preserve">Bruna Fuzinato:
Contagem estava errada desde o começo do Mês 02, deixei a qauntidade atual
</t>
      </text>
    </comment>
  </commentList>
</comments>
</file>

<file path=xl/comments/comment7.xml><?xml version="1.0" encoding="utf-8"?>
<comments xmlns="http://schemas.openxmlformats.org/spreadsheetml/2006/main">
  <authors>
    <author>Stiphanie da Silva Lima</author>
  </authors>
  <commentList>
    <comment ref="S21" authorId="0" shapeId="0">
      <text>
        <t xml:space="preserve">Stiphanie da Silva Lima:
03/04 - SAÍDA DE INVENTÁRIO = 82 UNIDADES </t>
      </text>
    </comment>
  </commentList>
</comments>
</file>

<file path=xl/comments/comment8.xml><?xml version="1.0" encoding="utf-8"?>
<comments xmlns="http://schemas.openxmlformats.org/spreadsheetml/2006/main">
  <authors>
    <author>Stiphanie da Silva Lima</author>
  </authors>
  <commentList>
    <comment ref="S21" authorId="0" shapeId="0">
      <text>
        <t xml:space="preserve">Stiphanie da Silva Lima:
03/04 - SAÍDA DE INVENTÁRIO = 82 UNIDADES </t>
      </text>
    </comment>
  </commentList>
</comments>
</file>

<file path=xl/comments/comment9.xml><?xml version="1.0" encoding="utf-8"?>
<comments xmlns="http://schemas.openxmlformats.org/spreadsheetml/2006/main">
  <authors>
    <author>Stiphanie da Silva Lima</author>
  </authors>
  <commentList>
    <comment ref="DT9" authorId="0" shapeId="0">
      <text>
        <t xml:space="preserve">Stiphanie da Silva Lima:
SACOLA G 
</t>
      </text>
    </comment>
    <comment ref="DX9" authorId="0" shapeId="0">
      <text>
        <t>Stiphanie da Silva Lima:
SACOLA G</t>
      </text>
    </comment>
    <comment ref="CQ10" authorId="0" shapeId="0">
      <text>
        <t>Stiphanie da Silva Lima:
CONSUMO</t>
      </text>
    </comment>
    <comment ref="DT10" authorId="0" shapeId="0">
      <text>
        <t>Stiphanie da Silva Lima:
TAG</t>
      </text>
    </comment>
    <comment ref="DX10" authorId="0" shapeId="0">
      <text>
        <t xml:space="preserve">Stiphanie da Silva Lima:
TAG
</t>
      </text>
    </comment>
    <comment ref="DT11" authorId="0" shapeId="0">
      <text>
        <t>Stiphanie da Silva Lima:
CARTUCHO P</t>
      </text>
    </comment>
    <comment ref="DX11" authorId="0" shapeId="0">
      <text>
        <t>Stiphanie da Silva Lima:
CARTUCHO</t>
      </text>
    </comment>
    <comment ref="CQ18" authorId="0" shapeId="0">
      <text>
        <t>Stiphanie da Silva Lima:
VENDA</t>
      </text>
    </comment>
    <comment ref="CQ21" authorId="0" shapeId="0">
      <text>
        <t xml:space="preserve">Stiphanie da Silva Lima:
CONSUMO
</t>
      </text>
    </comment>
    <comment ref="CQ22" authorId="0" shapeId="0">
      <text>
        <t>Stiphanie da Silva Lima:
3 PCT C/ 1000 UND - CONSUMO</t>
      </text>
    </comment>
    <comment ref="CQ23" authorId="0" shapeId="0">
      <text>
        <t xml:space="preserve">Stiphanie da Silva Lima:
10 PCT C/ 20 UND - VENDA
</t>
      </text>
    </comment>
    <comment ref="CQ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0.xml><?xml version="1.0" encoding="utf-8"?>
<comments xmlns="http://schemas.openxmlformats.org/spreadsheetml/2006/main">
  <authors>
    <author>Stiphanie da Silva Lima</author>
  </authors>
  <commentList>
    <comment ref="DP9" authorId="0" shapeId="0">
      <text>
        <t xml:space="preserve">Stiphanie da Silva Lima:
SACOLA G 
</t>
      </text>
    </comment>
    <comment ref="DT9" authorId="0" shapeId="0">
      <text>
        <t>Stiphanie da Silva Lima:
SACOLA G</t>
      </text>
    </comment>
    <comment ref="CM10" authorId="0" shapeId="0">
      <text>
        <t>Stiphanie da Silva Lima:
CONSUMO</t>
      </text>
    </comment>
    <comment ref="DP10" authorId="0" shapeId="0">
      <text>
        <t>Stiphanie da Silva Lima:
TAG</t>
      </text>
    </comment>
    <comment ref="DT10" authorId="0" shapeId="0">
      <text>
        <t xml:space="preserve">Stiphanie da Silva Lima:
TAG
</t>
      </text>
    </comment>
    <comment ref="DP11" authorId="0" shapeId="0">
      <text>
        <t>Stiphanie da Silva Lima:
CARTUCHO P</t>
      </text>
    </comment>
    <comment ref="DT11" authorId="0" shapeId="0">
      <text>
        <t>Stiphanie da Silva Lima:
CARTUCHO</t>
      </text>
    </comment>
    <comment ref="CM18" authorId="0" shapeId="0">
      <text>
        <t>Stiphanie da Silva Lima:
VENDA</t>
      </text>
    </comment>
    <comment ref="CM21" authorId="0" shapeId="0">
      <text>
        <t xml:space="preserve">Stiphanie da Silva Lima:
CONSUMO
</t>
      </text>
    </comment>
    <comment ref="CM22" authorId="0" shapeId="0">
      <text>
        <t>Stiphanie da Silva Lima:
3 PCT C/ 1000 UND - CONSUMO</t>
      </text>
    </comment>
    <comment ref="CM23" authorId="0" shapeId="0">
      <text>
        <t xml:space="preserve">Stiphanie da Silva Lima:
10 PCT C/ 20 UND - VENDA
</t>
      </text>
    </comment>
    <comment ref="CM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1.xml><?xml version="1.0" encoding="utf-8"?>
<comments xmlns="http://schemas.openxmlformats.org/spreadsheetml/2006/main">
  <authors>
    <author>Stiphanie da Silva Lima</author>
  </authors>
  <commentList>
    <comment ref="DQ9" authorId="0" shapeId="0">
      <text>
        <t xml:space="preserve">Stiphanie da Silva Lima:
SACOLA G 
</t>
      </text>
    </comment>
    <comment ref="DU9" authorId="0" shapeId="0">
      <text>
        <t>Stiphanie da Silva Lima:
SACOLA G</t>
      </text>
    </comment>
    <comment ref="CN10" authorId="0" shapeId="0">
      <text>
        <t>Stiphanie da Silva Lima:
CONSUMO</t>
      </text>
    </comment>
    <comment ref="DQ10" authorId="0" shapeId="0">
      <text>
        <t>Stiphanie da Silva Lima:
TAG</t>
      </text>
    </comment>
    <comment ref="DU10" authorId="0" shapeId="0">
      <text>
        <t xml:space="preserve">Stiphanie da Silva Lima:
TAG
</t>
      </text>
    </comment>
    <comment ref="DQ11" authorId="0" shapeId="0">
      <text>
        <t>Stiphanie da Silva Lima:
CARTUCHO P</t>
      </text>
    </comment>
    <comment ref="DU11" authorId="0" shapeId="0">
      <text>
        <t>Stiphanie da Silva Lima:
CARTUCHO</t>
      </text>
    </comment>
    <comment ref="CN18" authorId="0" shapeId="0">
      <text>
        <t>Stiphanie da Silva Lima:
VENDA</t>
      </text>
    </comment>
    <comment ref="CN21" authorId="0" shapeId="0">
      <text>
        <t xml:space="preserve">Stiphanie da Silva Lima:
CONSUMO
</t>
      </text>
    </comment>
    <comment ref="CN22" authorId="0" shapeId="0">
      <text>
        <t>Stiphanie da Silva Lima:
3 PCT C/ 1000 UND - CONSUMO</t>
      </text>
    </comment>
    <comment ref="CN23" authorId="0" shapeId="0">
      <text>
        <t xml:space="preserve">Stiphanie da Silva Lima:
10 PCT C/ 20 UND - VENDA
</t>
      </text>
    </comment>
    <comment ref="CN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2.xml><?xml version="1.0" encoding="utf-8"?>
<comments xmlns="http://schemas.openxmlformats.org/spreadsheetml/2006/main">
  <authors>
    <author>Stiphanie da Silva Lima</author>
  </authors>
  <commentList>
    <comment ref="CP10" authorId="0" shapeId="0">
      <text>
        <t>Stiphanie da Silva Lima:
CONSUMO</t>
      </text>
    </comment>
    <comment ref="EG11" authorId="0" shapeId="0">
      <text>
        <t xml:space="preserve">Stiphanie da Silva Lima:
SACOLA G 
</t>
      </text>
    </comment>
    <comment ref="EG12" authorId="0" shapeId="0">
      <text>
        <t>Stiphanie da Silva Lima:
TAG</t>
      </text>
    </comment>
    <comment ref="EG13" authorId="0" shapeId="0">
      <text>
        <t>Stiphanie da Silva Lima:
CARTUCHO P</t>
      </text>
    </comment>
    <comment ref="CP16" authorId="0" shapeId="0">
      <text>
        <t xml:space="preserve">Stiphanie da Silva Lima:
CONSUMO
</t>
      </text>
    </comment>
    <comment ref="FK16" authorId="0" shapeId="0">
      <text>
        <t xml:space="preserve">Stiphanie da Silva Lima:
PAPEL DE SEDA NATAL/24
</t>
      </text>
    </comment>
    <comment ref="CP17" authorId="0" shapeId="0">
      <text>
        <t>Stiphanie da Silva Lima:
3 PCT C/ 1000 UND - CONSUMO</t>
      </text>
    </comment>
    <comment ref="CP24" authorId="0" shapeId="0">
      <text>
        <t>Stiphanie da Silva Lima:
VENDA</t>
      </text>
    </comment>
    <comment ref="AF27" authorId="0" shapeId="0">
      <text>
        <t>Stiphanie da Silva Lima:
05/07 - ENTRADA DE INVENTÁRIO = 19 UNIDADES</t>
      </text>
    </comment>
    <comment ref="AF28" authorId="0" shapeId="0">
      <text>
        <t xml:space="preserve">Stiphanie da Silva Lima:
05/07 - SAÍDA DE INVENTÁRIO = 15 UNIDADES </t>
      </text>
    </comment>
    <comment ref="AF42" authorId="0" shapeId="0">
      <text>
        <t>Stiphanie da Silva Lima:
05/07 - ENTRADA DE INVENTÁRIO = 05 UNIDADES</t>
      </text>
    </comment>
    <comment ref="EH68" authorId="0" shapeId="0">
      <text>
        <t>Stiphanie da Silva Lima:
RECEBIDO EM 29/08</t>
      </text>
    </comment>
    <comment ref="BX126" authorId="0" shapeId="0">
      <text>
        <t>Stiphanie da Silva Lima:
16/05 - HOUVE QUEBRA DE INVENTÁRIO = 114 UNIDADES</t>
      </text>
    </comment>
  </commentList>
</comments>
</file>

<file path=xl/comments/comment13.xml><?xml version="1.0" encoding="utf-8"?>
<comments xmlns="http://schemas.openxmlformats.org/spreadsheetml/2006/main">
  <authors>
    <author>Stiphanie da Silva Lima</author>
  </authors>
  <commentList>
    <comment ref="CM10" authorId="0" shapeId="0">
      <text>
        <t>Stiphanie da Silva Lima:
CONSUMO</t>
      </text>
    </comment>
    <comment ref="ED11" authorId="0" shapeId="0">
      <text>
        <t xml:space="preserve">Stiphanie da Silva Lima:
SACOLA G 
</t>
      </text>
    </comment>
    <comment ref="ED12" authorId="0" shapeId="0">
      <text>
        <t>Stiphanie da Silva Lima:
TAG</t>
      </text>
    </comment>
    <comment ref="ED13" authorId="0" shapeId="0">
      <text>
        <t>Stiphanie da Silva Lima:
CARTUCHO P</t>
      </text>
    </comment>
    <comment ref="CM16" authorId="0" shapeId="0">
      <text>
        <t xml:space="preserve">Stiphanie da Silva Lima:
CONSUMO
</t>
      </text>
    </comment>
    <comment ref="FH16" authorId="0" shapeId="0">
      <text>
        <t xml:space="preserve">Stiphanie da Silva Lima:
PAPEL DE SEDA NATAL/24
</t>
      </text>
    </comment>
    <comment ref="CM17" authorId="0" shapeId="0">
      <text>
        <t>Stiphanie da Silva Lima:
3 PCT C/ 1000 UND - CONSUMO</t>
      </text>
    </comment>
    <comment ref="CM24" authorId="0" shapeId="0">
      <text>
        <t>Stiphanie da Silva Lima:
VENDA</t>
      </text>
    </comment>
    <comment ref="AF27" authorId="0" shapeId="0">
      <text>
        <t>Stiphanie da Silva Lima:
05/07 - ENTRADA DE INVENTÁRIO = 19 UNIDADES</t>
      </text>
    </comment>
    <comment ref="AF28" authorId="0" shapeId="0">
      <text>
        <t xml:space="preserve">Stiphanie da Silva Lima:
05/07 - SAÍDA DE INVENTÁRIO = 15 UNIDADES </t>
      </text>
    </comment>
    <comment ref="AF42" authorId="0" shapeId="0">
      <text>
        <t>Stiphanie da Silva Lima:
05/07 - ENTRADA DE INVENTÁRIO = 05 UNIDADES</t>
      </text>
    </comment>
    <comment ref="EE68" authorId="0" shapeId="0">
      <text>
        <t>Stiphanie da Silva Lima:
RECEBIDO EM 29/08</t>
      </text>
    </comment>
  </commentList>
</comments>
</file>

<file path=xl/tables/table1.xml><?xml version="1.0" encoding="utf-8"?>
<table xmlns="http://schemas.openxmlformats.org/spreadsheetml/2006/main" id="1" name="saldo_estoque_18_05_2026" displayName="saldo_estoque_18_05_2026" ref="A1:X31" headerRowCount="1" totalsRowShown="0" headerRowDxfId="143" dataDxfId="142">
  <tableColumns count="24">
    <tableColumn id="1" name="Produtos" dataDxfId="141"/>
    <tableColumn id="2" name="12973" dataDxfId="140"/>
    <tableColumn id="3" name="11734" dataDxfId="139"/>
    <tableColumn id="4" name="14462" dataDxfId="138"/>
    <tableColumn id="5" name="5418" dataDxfId="137"/>
    <tableColumn id="6" name="11733" dataDxfId="136"/>
    <tableColumn id="7" name="23012" dataDxfId="135"/>
    <tableColumn id="8" name="6700" dataDxfId="134"/>
    <tableColumn id="9" name="13868" dataDxfId="133"/>
    <tableColumn id="10" name="13370" dataDxfId="132"/>
    <tableColumn id="11" name="20000" dataDxfId="131"/>
    <tableColumn id="12" name="23049" dataDxfId="130"/>
    <tableColumn id="13" name="6727" dataDxfId="129"/>
    <tableColumn id="14" name="12466" dataDxfId="128"/>
    <tableColumn id="15" name="12942" dataDxfId="127"/>
    <tableColumn id="16" name="3822" dataDxfId="126"/>
    <tableColumn id="17" name="14446" dataDxfId="125"/>
    <tableColumn id="18" name="12066" dataDxfId="124"/>
    <tableColumn id="19" name="23048" dataDxfId="123"/>
    <tableColumn id="20" name="11722" dataDxfId="122"/>
    <tableColumn id="21" name="14553" dataDxfId="121"/>
    <tableColumn id="22" name="7529" dataDxfId="120"/>
    <tableColumn id="23" name="6942" dataDxfId="119"/>
    <tableColumn id="24" name="6954" dataDxfId="1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aldo_estoque_18_05_20263" displayName="saldo_estoque_18_05_20263" ref="A1:X37" headerRowCount="1" totalsRowShown="0" headerRowDxfId="117" dataDxfId="116">
  <tableColumns count="24">
    <tableColumn id="1" name="Produtos" dataDxfId="115"/>
    <tableColumn id="2" name="12973" dataDxfId="114"/>
    <tableColumn id="3" name="11734" dataDxfId="113"/>
    <tableColumn id="4" name="14462" dataDxfId="112"/>
    <tableColumn id="5" name="5418" dataDxfId="111"/>
    <tableColumn id="6" name="11733" dataDxfId="110"/>
    <tableColumn id="7" name="23012" dataDxfId="109"/>
    <tableColumn id="8" name="6700" dataDxfId="108"/>
    <tableColumn id="9" name="13868" dataDxfId="107"/>
    <tableColumn id="10" name="13370" dataDxfId="106"/>
    <tableColumn id="11" name="20000" dataDxfId="105"/>
    <tableColumn id="12" name="23049" dataDxfId="104"/>
    <tableColumn id="13" name="6727" dataDxfId="103"/>
    <tableColumn id="14" name="12466" dataDxfId="102"/>
    <tableColumn id="15" name="12942" dataDxfId="101"/>
    <tableColumn id="16" name="3822" dataDxfId="100"/>
    <tableColumn id="17" name="14446" dataDxfId="99"/>
    <tableColumn id="18" name="12066" dataDxfId="98"/>
    <tableColumn id="19" name="23048" dataDxfId="97"/>
    <tableColumn id="20" name="11722" dataDxfId="96"/>
    <tableColumn id="21" name="14553" dataDxfId="95"/>
    <tableColumn id="22" name="7529" dataDxfId="94"/>
    <tableColumn id="23" name="6942" dataDxfId="93"/>
    <tableColumn id="24" name="6954" dataDxfId="9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9.xml" Id="comments" /><Relationship Type="http://schemas.openxmlformats.org/officeDocument/2006/relationships/vmlDrawing" Target="/xl/drawings/vmlDrawing9.vml" Id="anysvml" 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10.xml" Id="comments" /><Relationship Type="http://schemas.openxmlformats.org/officeDocument/2006/relationships/vmlDrawing" Target="/xl/drawings/vmlDrawing10.vml" Id="anysvml" 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11.xml" Id="comments" /><Relationship Type="http://schemas.openxmlformats.org/officeDocument/2006/relationships/vmlDrawing" Target="/xl/drawings/vmlDrawing11.vml" Id="anysvml" 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12.xml" Id="comments" /><Relationship Type="http://schemas.openxmlformats.org/officeDocument/2006/relationships/vmlDrawing" Target="/xl/drawings/vmlDrawing12.vml" Id="anysvml" 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13.xml" Id="comments" /><Relationship Type="http://schemas.openxmlformats.org/officeDocument/2006/relationships/vmlDrawing" Target="/xl/drawings/vmlDrawing13.vml" Id="anysvml" /></Relationships>
</file>

<file path=xl/worksheets/sheet1.xml><?xml version="1.0" encoding="utf-8"?>
<worksheet xmlns="http://schemas.openxmlformats.org/spreadsheetml/2006/main">
  <sheetPr codeName="Planilha6">
    <tabColor theme="8"/>
    <outlinePr summaryBelow="1" summaryRight="1"/>
    <pageSetUpPr/>
  </sheetPr>
  <dimension ref="A1:Z36"/>
  <sheetViews>
    <sheetView workbookViewId="0">
      <selection activeCell="AC19" sqref="AC19"/>
    </sheetView>
  </sheetViews>
  <sheetFormatPr baseColWidth="8" defaultRowHeight="15"/>
  <cols>
    <col width="63.42578125" customWidth="1" min="1" max="1"/>
    <col hidden="1" width="5.28515625" customWidth="1" min="2" max="7"/>
    <col width="5.28515625" customWidth="1" min="8" max="15"/>
    <col hidden="1" width="5.28515625" customWidth="1" min="16" max="24"/>
  </cols>
  <sheetData>
    <row r="1">
      <c r="A1" s="648" t="inlineStr">
        <is>
          <t>Produtos</t>
        </is>
      </c>
      <c r="B1" s="649" t="inlineStr">
        <is>
          <t>12973</t>
        </is>
      </c>
      <c r="C1" s="649" t="inlineStr">
        <is>
          <t>11734</t>
        </is>
      </c>
      <c r="D1" s="649" t="inlineStr">
        <is>
          <t>14462</t>
        </is>
      </c>
      <c r="E1" s="649" t="inlineStr">
        <is>
          <t>5418</t>
        </is>
      </c>
      <c r="F1" s="649" t="inlineStr">
        <is>
          <t>11733</t>
        </is>
      </c>
      <c r="G1" s="649" t="inlineStr">
        <is>
          <t>23012</t>
        </is>
      </c>
      <c r="H1" s="650" t="inlineStr">
        <is>
          <t>6700</t>
        </is>
      </c>
      <c r="I1" s="650" t="inlineStr">
        <is>
          <t>13868</t>
        </is>
      </c>
      <c r="J1" s="650" t="inlineStr">
        <is>
          <t>13370</t>
        </is>
      </c>
      <c r="K1" s="650" t="inlineStr">
        <is>
          <t>20000</t>
        </is>
      </c>
      <c r="L1" s="650" t="inlineStr">
        <is>
          <t>23049</t>
        </is>
      </c>
      <c r="M1" s="650" t="inlineStr">
        <is>
          <t>6727</t>
        </is>
      </c>
      <c r="N1" s="650" t="inlineStr">
        <is>
          <t>12466</t>
        </is>
      </c>
      <c r="O1" s="650" t="inlineStr">
        <is>
          <t>12942</t>
        </is>
      </c>
      <c r="P1" s="651" t="inlineStr">
        <is>
          <t>3822</t>
        </is>
      </c>
      <c r="Q1" s="651" t="inlineStr">
        <is>
          <t>14446</t>
        </is>
      </c>
      <c r="R1" s="651" t="inlineStr">
        <is>
          <t>12066</t>
        </is>
      </c>
      <c r="S1" s="652" t="inlineStr">
        <is>
          <t>23048</t>
        </is>
      </c>
      <c r="T1" s="652" t="inlineStr">
        <is>
          <t>11722</t>
        </is>
      </c>
      <c r="U1" s="652" t="inlineStr">
        <is>
          <t>14553</t>
        </is>
      </c>
      <c r="V1" s="652" t="inlineStr">
        <is>
          <t>7529</t>
        </is>
      </c>
      <c r="W1" s="652" t="inlineStr">
        <is>
          <t>6942</t>
        </is>
      </c>
      <c r="X1" s="652" t="inlineStr">
        <is>
          <t>6954</t>
        </is>
      </c>
    </row>
    <row r="2">
      <c r="A2" t="inlineStr">
        <is>
          <t>00000000089402 - CAIXA PRESENTE P BOT INST/25 VDA</t>
        </is>
      </c>
      <c r="B2" s="701" t="n">
        <v>184</v>
      </c>
      <c r="C2" s="701" t="n">
        <v>182</v>
      </c>
      <c r="D2" s="701" t="n">
        <v>33</v>
      </c>
      <c r="E2" s="701" t="n">
        <v>77</v>
      </c>
      <c r="F2" s="701" t="n">
        <v>16</v>
      </c>
      <c r="G2" s="701" t="n">
        <v>49</v>
      </c>
      <c r="H2" s="702" t="n">
        <v>260</v>
      </c>
      <c r="I2" s="702" t="n">
        <v>254</v>
      </c>
      <c r="J2" s="701" t="n">
        <v>0</v>
      </c>
      <c r="K2" s="701" t="n">
        <v>0</v>
      </c>
      <c r="L2" s="702" t="n">
        <v>158</v>
      </c>
      <c r="M2" s="702" t="n">
        <v>149</v>
      </c>
      <c r="N2" s="702" t="n">
        <v>122</v>
      </c>
      <c r="O2" s="702" t="n">
        <v>150</v>
      </c>
      <c r="P2" s="701" t="n">
        <v>46</v>
      </c>
      <c r="Q2" s="701" t="n">
        <v>208</v>
      </c>
      <c r="R2" s="701" t="n">
        <v>198</v>
      </c>
      <c r="S2" s="701" t="n">
        <v>118</v>
      </c>
      <c r="T2" s="701" t="n">
        <v>217</v>
      </c>
      <c r="U2" s="701" t="n">
        <v>95</v>
      </c>
      <c r="V2" s="701" t="n">
        <v>80</v>
      </c>
      <c r="W2" s="701" t="n">
        <v>100</v>
      </c>
      <c r="X2" s="701" t="n">
        <v>76</v>
      </c>
    </row>
    <row r="3">
      <c r="A3" t="inlineStr">
        <is>
          <t>00000000003517 - CAIXA P INST 2021 VERDE ECONOMICA</t>
        </is>
      </c>
      <c r="B3" s="701" t="n">
        <v>0</v>
      </c>
      <c r="C3" s="701" t="n">
        <v>0</v>
      </c>
      <c r="D3" s="701" t="n">
        <v>-16</v>
      </c>
      <c r="E3" s="701" t="n">
        <v>-1</v>
      </c>
      <c r="F3" s="701" t="n">
        <v>-13</v>
      </c>
      <c r="G3" s="701" t="n">
        <v>-1</v>
      </c>
      <c r="H3" s="701" t="n">
        <v>0</v>
      </c>
      <c r="I3" s="701" t="n">
        <v>0</v>
      </c>
      <c r="J3" s="702" t="n">
        <v>165</v>
      </c>
      <c r="K3" s="702" t="n">
        <v>116</v>
      </c>
      <c r="L3" s="701" t="n">
        <v>0</v>
      </c>
      <c r="M3" s="701" t="n">
        <v>-7</v>
      </c>
      <c r="N3" s="701" t="n">
        <v>0</v>
      </c>
      <c r="O3" s="702" t="n">
        <v>16</v>
      </c>
      <c r="P3" s="701" t="n">
        <v>0</v>
      </c>
      <c r="Q3" s="701" t="n">
        <v>0</v>
      </c>
      <c r="R3" s="701" t="n">
        <v>0</v>
      </c>
      <c r="S3" s="701" t="n">
        <v>1</v>
      </c>
      <c r="T3" s="701" t="n">
        <v>0</v>
      </c>
      <c r="U3" s="701" t="n">
        <v>0</v>
      </c>
      <c r="V3" s="701" t="n">
        <v>0</v>
      </c>
      <c r="W3" s="701" t="n">
        <v>0</v>
      </c>
      <c r="X3" s="701" t="n">
        <v>0</v>
      </c>
    </row>
    <row r="4">
      <c r="A4" t="inlineStr">
        <is>
          <t>00000000089401 - CX PRESENTE M BOTI INST/25 VDA</t>
        </is>
      </c>
      <c r="B4" s="701" t="n">
        <v>295</v>
      </c>
      <c r="C4" s="701" t="n">
        <v>300</v>
      </c>
      <c r="D4" s="701" t="n">
        <v>95</v>
      </c>
      <c r="E4" s="701" t="n">
        <v>99</v>
      </c>
      <c r="F4" s="701" t="n">
        <v>66</v>
      </c>
      <c r="G4" s="701" t="n">
        <v>123</v>
      </c>
      <c r="H4" s="702" t="n">
        <v>307</v>
      </c>
      <c r="I4" s="702" t="n">
        <v>141</v>
      </c>
      <c r="J4" s="702" t="n">
        <v>185</v>
      </c>
      <c r="K4" s="702" t="n">
        <v>266</v>
      </c>
      <c r="L4" s="702" t="n">
        <v>143</v>
      </c>
      <c r="M4" s="702" t="n">
        <v>190</v>
      </c>
      <c r="N4" s="702" t="n">
        <v>235</v>
      </c>
      <c r="O4" s="702" t="n">
        <v>68</v>
      </c>
      <c r="P4" s="701" t="n">
        <v>67</v>
      </c>
      <c r="Q4" s="701" t="n">
        <v>253</v>
      </c>
      <c r="R4" s="701" t="n">
        <v>248</v>
      </c>
      <c r="S4" s="701" t="n">
        <v>191</v>
      </c>
      <c r="T4" s="701" t="n">
        <v>130</v>
      </c>
      <c r="U4" s="701" t="n">
        <v>27</v>
      </c>
      <c r="V4" s="701" t="n">
        <v>76</v>
      </c>
      <c r="W4" s="701" t="n">
        <v>65</v>
      </c>
      <c r="X4" s="701" t="n">
        <v>27</v>
      </c>
    </row>
    <row r="5">
      <c r="A5" t="inlineStr">
        <is>
          <t>00000000003530 - CAIXA M INST 2021 VERDE ECONOMICA</t>
        </is>
      </c>
      <c r="B5" s="701" t="n">
        <v>0</v>
      </c>
      <c r="C5" s="701" t="n">
        <v>0</v>
      </c>
      <c r="D5" s="701" t="n">
        <v>-2</v>
      </c>
      <c r="E5" s="701" t="n">
        <v>0</v>
      </c>
      <c r="F5" s="701" t="n">
        <v>0</v>
      </c>
      <c r="G5" s="701" t="n">
        <v>0</v>
      </c>
      <c r="H5" s="701" t="n">
        <v>0</v>
      </c>
      <c r="I5" s="702" t="n">
        <v>4</v>
      </c>
      <c r="J5" s="701" t="n">
        <v>0</v>
      </c>
      <c r="K5" s="701" t="n">
        <v>0</v>
      </c>
      <c r="L5" s="701" t="n">
        <v>0</v>
      </c>
      <c r="M5" s="701" t="n">
        <v>0</v>
      </c>
      <c r="N5" s="701" t="n">
        <v>0</v>
      </c>
      <c r="O5" s="701" t="n">
        <v>0</v>
      </c>
      <c r="P5" s="701" t="n">
        <v>0</v>
      </c>
      <c r="Q5" s="701" t="n">
        <v>0</v>
      </c>
      <c r="R5" s="701" t="n">
        <v>0</v>
      </c>
      <c r="S5" s="701" t="n">
        <v>2</v>
      </c>
      <c r="T5" s="701" t="n">
        <v>0</v>
      </c>
      <c r="U5" s="701" t="n">
        <v>0</v>
      </c>
      <c r="V5" s="701" t="n">
        <v>0</v>
      </c>
      <c r="W5" s="701" t="n">
        <v>0</v>
      </c>
      <c r="X5" s="701" t="n">
        <v>0</v>
      </c>
    </row>
    <row r="6">
      <c r="A6" t="inlineStr">
        <is>
          <t>00000000003554 - CAIXA G INST 2021 VERDE ECONOMICA</t>
        </is>
      </c>
      <c r="B6" s="701" t="n">
        <v>51</v>
      </c>
      <c r="C6" s="701" t="n">
        <v>45</v>
      </c>
      <c r="D6" s="701" t="n">
        <v>1</v>
      </c>
      <c r="E6" s="701" t="n">
        <v>2</v>
      </c>
      <c r="F6" s="701" t="n">
        <v>19</v>
      </c>
      <c r="G6" s="701" t="n">
        <v>28</v>
      </c>
      <c r="H6" s="702" t="n">
        <v>20</v>
      </c>
      <c r="I6" s="702" t="n">
        <v>20</v>
      </c>
      <c r="J6" s="702" t="n">
        <v>68</v>
      </c>
      <c r="K6" s="702" t="n">
        <v>8</v>
      </c>
      <c r="L6" s="702" t="n">
        <v>-4</v>
      </c>
      <c r="M6" s="702" t="n">
        <v>46</v>
      </c>
      <c r="N6" s="702" t="n">
        <v>11</v>
      </c>
      <c r="O6" s="702" t="n">
        <v>8</v>
      </c>
      <c r="P6" s="701" t="n">
        <v>17</v>
      </c>
      <c r="Q6" s="701" t="n">
        <v>13</v>
      </c>
      <c r="R6" s="701" t="n">
        <v>47</v>
      </c>
      <c r="S6" s="701" t="n">
        <v>17</v>
      </c>
      <c r="T6" s="701" t="n">
        <v>57</v>
      </c>
      <c r="U6" s="701" t="n">
        <v>12</v>
      </c>
      <c r="V6" s="701" t="n">
        <v>5</v>
      </c>
      <c r="W6" s="701" t="n">
        <v>4</v>
      </c>
      <c r="X6" s="701" t="n">
        <v>8</v>
      </c>
    </row>
    <row r="7">
      <c r="A7" t="inlineStr">
        <is>
          <t>00000000089400 - ENVELOPE PRESENTE M BOTI INST/25 VDA</t>
        </is>
      </c>
      <c r="B7" s="701" t="n">
        <v>0</v>
      </c>
      <c r="C7" s="701" t="n">
        <v>0</v>
      </c>
      <c r="D7" s="701" t="n">
        <v>0</v>
      </c>
      <c r="E7" s="701" t="n">
        <v>0</v>
      </c>
      <c r="F7" s="701" t="n">
        <v>0</v>
      </c>
      <c r="G7" s="701" t="n">
        <v>0</v>
      </c>
      <c r="H7" s="702" t="n">
        <v>216</v>
      </c>
      <c r="I7" s="702" t="n">
        <v>272</v>
      </c>
      <c r="J7" s="702" t="n">
        <v>85</v>
      </c>
      <c r="K7" s="702" t="n">
        <v>450</v>
      </c>
      <c r="L7" s="702" t="n">
        <v>130</v>
      </c>
      <c r="M7" s="702" t="n">
        <v>57</v>
      </c>
      <c r="N7" s="702" t="n">
        <v>175</v>
      </c>
      <c r="O7" s="702" t="n">
        <v>23</v>
      </c>
      <c r="P7" s="701" t="n">
        <v>110</v>
      </c>
      <c r="Q7" s="701" t="n">
        <v>111</v>
      </c>
      <c r="R7" s="701" t="n">
        <v>168</v>
      </c>
      <c r="S7" s="701" t="n">
        <v>0</v>
      </c>
      <c r="T7" s="701" t="n">
        <v>-3</v>
      </c>
      <c r="U7" s="701" t="n">
        <v>1</v>
      </c>
      <c r="V7" s="701" t="n">
        <v>40</v>
      </c>
      <c r="W7" s="701" t="n">
        <v>0</v>
      </c>
      <c r="X7" s="701" t="n">
        <v>0</v>
      </c>
    </row>
    <row r="8">
      <c r="A8" t="inlineStr">
        <is>
          <t>00000000086027 - CAIXA DIVERTIDAMENTE M INFANTIL 2024</t>
        </is>
      </c>
      <c r="B8" s="701" t="n">
        <v>12</v>
      </c>
      <c r="C8" s="701" t="n">
        <v>0</v>
      </c>
      <c r="D8" s="701" t="n">
        <v>0</v>
      </c>
      <c r="E8" s="701" t="n">
        <v>0</v>
      </c>
      <c r="F8" s="701" t="n">
        <v>3</v>
      </c>
      <c r="G8" s="701" t="n">
        <v>4</v>
      </c>
      <c r="H8" s="702" t="n">
        <v>359</v>
      </c>
      <c r="I8" s="702" t="n">
        <v>272</v>
      </c>
      <c r="J8" s="702" t="n">
        <v>66</v>
      </c>
      <c r="K8" s="702" t="n">
        <v>146</v>
      </c>
      <c r="L8" s="702" t="n">
        <v>118</v>
      </c>
      <c r="M8" s="702" t="n">
        <v>170</v>
      </c>
      <c r="N8" s="702" t="n">
        <v>91</v>
      </c>
      <c r="O8" s="702" t="n">
        <v>133</v>
      </c>
      <c r="P8" s="701" t="n">
        <v>39</v>
      </c>
      <c r="Q8" s="701" t="n">
        <v>0</v>
      </c>
      <c r="R8" s="701" t="n">
        <v>80</v>
      </c>
      <c r="S8" s="701" t="n">
        <v>188</v>
      </c>
      <c r="T8" s="701" t="n">
        <v>347</v>
      </c>
      <c r="U8" s="701" t="n">
        <v>18</v>
      </c>
      <c r="V8" s="701" t="n">
        <v>102</v>
      </c>
      <c r="W8" s="701" t="n">
        <v>124</v>
      </c>
      <c r="X8" s="701" t="n">
        <v>15</v>
      </c>
    </row>
    <row r="9">
      <c r="A9" t="inlineStr">
        <is>
          <t>00000000087691 - COLECIONAV BOT NAT/24 CONE ARVORE UNIT</t>
        </is>
      </c>
      <c r="B9" s="701" t="n">
        <v>97</v>
      </c>
      <c r="C9" s="701" t="n">
        <v>12</v>
      </c>
      <c r="D9" s="701" t="n">
        <v>68</v>
      </c>
      <c r="E9" s="701" t="n">
        <v>0</v>
      </c>
      <c r="F9" s="701" t="n">
        <v>0</v>
      </c>
      <c r="G9" s="701" t="n">
        <v>0</v>
      </c>
      <c r="H9" s="701" t="n">
        <v>0</v>
      </c>
      <c r="I9" s="701" t="n">
        <v>0</v>
      </c>
      <c r="J9" s="701" t="n">
        <v>0</v>
      </c>
      <c r="K9" s="701" t="n">
        <v>0</v>
      </c>
      <c r="L9" s="701" t="n">
        <v>3</v>
      </c>
      <c r="M9" s="701" t="n">
        <v>8</v>
      </c>
      <c r="N9" s="701" t="n">
        <v>2</v>
      </c>
      <c r="O9" s="701" t="n">
        <v>8</v>
      </c>
      <c r="P9" s="701" t="n">
        <v>0</v>
      </c>
      <c r="Q9" s="701" t="n">
        <v>0</v>
      </c>
      <c r="R9" s="701" t="n">
        <v>0</v>
      </c>
      <c r="S9" s="701" t="n">
        <v>0</v>
      </c>
      <c r="T9" s="701" t="n">
        <v>0</v>
      </c>
      <c r="U9" s="701" t="n">
        <v>0</v>
      </c>
      <c r="V9" s="701" t="n">
        <v>0</v>
      </c>
      <c r="W9" s="701" t="n">
        <v>0</v>
      </c>
      <c r="X9" s="701" t="n">
        <v>0</v>
      </c>
    </row>
    <row r="10">
      <c r="A10" t="inlineStr">
        <is>
          <t>00000000087694 - COLECIONAVEIS BOT NAT/24 BOLA UNITARIA</t>
        </is>
      </c>
      <c r="B10" s="701" t="n">
        <v>2</v>
      </c>
      <c r="C10" s="701" t="n">
        <v>5</v>
      </c>
      <c r="D10" s="701" t="n">
        <v>7</v>
      </c>
      <c r="E10" s="701" t="n">
        <v>0</v>
      </c>
      <c r="F10" s="701" t="n">
        <v>0</v>
      </c>
      <c r="G10" s="701" t="n">
        <v>0</v>
      </c>
      <c r="H10" s="701" t="n">
        <v>0</v>
      </c>
      <c r="I10" s="701" t="n">
        <v>0</v>
      </c>
      <c r="J10" s="701" t="n">
        <v>0</v>
      </c>
      <c r="K10" s="701" t="n">
        <v>0</v>
      </c>
      <c r="L10" s="701" t="n">
        <v>6</v>
      </c>
      <c r="M10" s="701" t="n">
        <v>6</v>
      </c>
      <c r="N10" s="701" t="n">
        <v>1</v>
      </c>
      <c r="O10" s="701" t="n">
        <v>0</v>
      </c>
      <c r="P10" s="701" t="n">
        <v>0</v>
      </c>
      <c r="Q10" s="701" t="n">
        <v>0</v>
      </c>
      <c r="R10" s="701" t="n">
        <v>0</v>
      </c>
      <c r="S10" s="701" t="n">
        <v>0</v>
      </c>
      <c r="T10" s="701" t="n">
        <v>0</v>
      </c>
      <c r="U10" s="701" t="n">
        <v>0</v>
      </c>
      <c r="V10" s="701" t="n">
        <v>0</v>
      </c>
      <c r="W10" s="701" t="n">
        <v>2</v>
      </c>
      <c r="X10" s="701" t="n">
        <v>0</v>
      </c>
    </row>
    <row r="11">
      <c r="A11" t="inlineStr">
        <is>
          <t>00000000090774 - PIN MELHOR PAI O BOTICARIO PAIS/25 UNIT</t>
        </is>
      </c>
      <c r="B11" s="701" t="n">
        <v>0</v>
      </c>
      <c r="C11" s="701" t="n">
        <v>0</v>
      </c>
      <c r="D11" s="701" t="n">
        <v>0</v>
      </c>
      <c r="E11" s="701" t="n">
        <v>0</v>
      </c>
      <c r="F11" s="701" t="n">
        <v>0</v>
      </c>
      <c r="G11" s="701" t="n">
        <v>0</v>
      </c>
      <c r="H11" s="701" t="n">
        <v>0</v>
      </c>
      <c r="I11" s="701" t="n">
        <v>0</v>
      </c>
      <c r="J11" s="701" t="n">
        <v>0</v>
      </c>
      <c r="K11" s="701" t="n">
        <v>0</v>
      </c>
      <c r="L11" s="701" t="n">
        <v>0</v>
      </c>
      <c r="M11" s="701" t="n">
        <v>0</v>
      </c>
      <c r="N11" s="701" t="n">
        <v>0</v>
      </c>
      <c r="O11" s="701" t="n">
        <v>0</v>
      </c>
      <c r="P11" s="701" t="n">
        <v>15</v>
      </c>
      <c r="Q11" s="701" t="n">
        <v>0</v>
      </c>
      <c r="R11" s="701" t="n">
        <v>0</v>
      </c>
      <c r="S11" s="701" t="n">
        <v>0</v>
      </c>
      <c r="T11" s="701" t="n">
        <v>0</v>
      </c>
      <c r="U11" s="701" t="n">
        <v>0</v>
      </c>
      <c r="V11" s="701" t="n">
        <v>0</v>
      </c>
      <c r="W11" s="701" t="n">
        <v>0</v>
      </c>
      <c r="X11" s="701" t="n">
        <v>0</v>
      </c>
    </row>
    <row r="12">
      <c r="A12" t="inlineStr">
        <is>
          <t>00000000090770 - PIN BALAO O BOTICARIO PAIS/25 UNIT</t>
        </is>
      </c>
      <c r="B12" s="701" t="n">
        <v>0</v>
      </c>
      <c r="C12" s="701" t="n">
        <v>0</v>
      </c>
      <c r="D12" s="701" t="n">
        <v>0</v>
      </c>
      <c r="E12" s="701" t="n">
        <v>0</v>
      </c>
      <c r="F12" s="701" t="n">
        <v>0</v>
      </c>
      <c r="G12" s="701" t="n">
        <v>0</v>
      </c>
      <c r="H12" s="701" t="n">
        <v>0</v>
      </c>
      <c r="I12" s="701" t="n">
        <v>0</v>
      </c>
      <c r="J12" s="701" t="n">
        <v>0</v>
      </c>
      <c r="K12" s="701" t="n">
        <v>0</v>
      </c>
      <c r="L12" s="701" t="n">
        <v>0</v>
      </c>
      <c r="M12" s="701" t="n">
        <v>0</v>
      </c>
      <c r="N12" s="701" t="n">
        <v>0</v>
      </c>
      <c r="O12" s="701" t="n">
        <v>0</v>
      </c>
      <c r="P12" s="701" t="n">
        <v>10</v>
      </c>
      <c r="Q12" s="701" t="n">
        <v>0</v>
      </c>
      <c r="R12" s="701" t="n">
        <v>0</v>
      </c>
      <c r="S12" s="701" t="n">
        <v>0</v>
      </c>
      <c r="T12" s="701" t="n">
        <v>0</v>
      </c>
      <c r="U12" s="701" t="n">
        <v>0</v>
      </c>
      <c r="V12" s="701" t="n">
        <v>0</v>
      </c>
      <c r="W12" s="701" t="n">
        <v>0</v>
      </c>
      <c r="X12" s="701" t="n">
        <v>0</v>
      </c>
    </row>
    <row r="13">
      <c r="A13" t="inlineStr">
        <is>
          <t>00000000090772 - PIN AMOR O BOTICARIO PAIS/25 UNIT</t>
        </is>
      </c>
      <c r="B13" s="701" t="n">
        <v>0</v>
      </c>
      <c r="C13" s="701" t="n">
        <v>0</v>
      </c>
      <c r="D13" s="701" t="n">
        <v>0</v>
      </c>
      <c r="E13" s="701" t="n">
        <v>0</v>
      </c>
      <c r="F13" s="701" t="n">
        <v>0</v>
      </c>
      <c r="G13" s="701" t="n">
        <v>0</v>
      </c>
      <c r="H13" s="701" t="n">
        <v>0</v>
      </c>
      <c r="I13" s="701" t="n">
        <v>0</v>
      </c>
      <c r="J13" s="701" t="n">
        <v>0</v>
      </c>
      <c r="K13" s="701" t="n">
        <v>0</v>
      </c>
      <c r="L13" s="701" t="n">
        <v>0</v>
      </c>
      <c r="M13" s="701" t="n">
        <v>0</v>
      </c>
      <c r="N13" s="701" t="n">
        <v>0</v>
      </c>
      <c r="O13" s="701" t="n">
        <v>0</v>
      </c>
      <c r="P13" s="701" t="n">
        <v>13</v>
      </c>
      <c r="Q13" s="701" t="n">
        <v>0</v>
      </c>
      <c r="R13" s="701" t="n">
        <v>0</v>
      </c>
      <c r="S13" s="701" t="n">
        <v>0</v>
      </c>
      <c r="T13" s="701" t="n">
        <v>0</v>
      </c>
      <c r="U13" s="701" t="n">
        <v>0</v>
      </c>
      <c r="V13" s="701" t="n">
        <v>0</v>
      </c>
      <c r="W13" s="701" t="n">
        <v>0</v>
      </c>
      <c r="X13" s="701" t="n">
        <v>0</v>
      </c>
    </row>
    <row r="14">
      <c r="A14" t="inlineStr">
        <is>
          <t>00000000090821 - SACOLA P BOTICARIO INST/25</t>
        </is>
      </c>
      <c r="B14" s="701" t="n">
        <v>0</v>
      </c>
      <c r="C14" s="701" t="n">
        <v>0</v>
      </c>
      <c r="D14" s="701" t="n">
        <v>0</v>
      </c>
      <c r="E14" s="701" t="n">
        <v>800</v>
      </c>
      <c r="F14" s="701" t="n">
        <v>0</v>
      </c>
      <c r="G14" s="701" t="n">
        <v>0</v>
      </c>
      <c r="H14" s="701" t="n">
        <v>0</v>
      </c>
      <c r="I14" s="701" t="n">
        <v>0</v>
      </c>
      <c r="J14" s="701" t="n">
        <v>0</v>
      </c>
      <c r="K14" s="701" t="n">
        <v>0</v>
      </c>
      <c r="L14" s="701" t="n">
        <v>0</v>
      </c>
      <c r="M14" s="701" t="n">
        <v>0</v>
      </c>
      <c r="N14" s="701" t="n">
        <v>0</v>
      </c>
      <c r="O14" s="701" t="n">
        <v>0</v>
      </c>
      <c r="P14" s="701" t="n">
        <v>0</v>
      </c>
      <c r="Q14" s="701" t="n">
        <v>0</v>
      </c>
      <c r="R14" s="701" t="n">
        <v>0</v>
      </c>
      <c r="S14" s="701" t="n">
        <v>0</v>
      </c>
      <c r="T14" s="701" t="n">
        <v>0</v>
      </c>
      <c r="U14" s="701" t="n">
        <v>0</v>
      </c>
      <c r="V14" s="701" t="n">
        <v>0</v>
      </c>
      <c r="W14" s="701" t="n">
        <v>0</v>
      </c>
      <c r="X14" s="701" t="n">
        <v>0</v>
      </c>
    </row>
    <row r="15">
      <c r="A15" t="inlineStr">
        <is>
          <t>00000000090822 - SACOLA M BOTICARIO INST/25</t>
        </is>
      </c>
      <c r="B15" s="701" t="n">
        <v>0</v>
      </c>
      <c r="C15" s="701" t="n">
        <v>0</v>
      </c>
      <c r="D15" s="701" t="n">
        <v>0</v>
      </c>
      <c r="E15" s="701" t="n">
        <v>400</v>
      </c>
      <c r="F15" s="701" t="n">
        <v>0</v>
      </c>
      <c r="G15" s="701" t="n">
        <v>0</v>
      </c>
      <c r="H15" s="701" t="n">
        <v>0</v>
      </c>
      <c r="I15" s="701" t="n">
        <v>0</v>
      </c>
      <c r="J15" s="701" t="n">
        <v>0</v>
      </c>
      <c r="K15" s="701" t="n">
        <v>0</v>
      </c>
      <c r="L15" s="701" t="n">
        <v>0</v>
      </c>
      <c r="M15" s="701" t="n">
        <v>0</v>
      </c>
      <c r="N15" s="701" t="n">
        <v>0</v>
      </c>
      <c r="O15" s="701" t="n">
        <v>0</v>
      </c>
      <c r="P15" s="701" t="n">
        <v>0</v>
      </c>
      <c r="Q15" s="701" t="n">
        <v>0</v>
      </c>
      <c r="R15" s="701" t="n">
        <v>0</v>
      </c>
      <c r="S15" s="701" t="n">
        <v>0</v>
      </c>
      <c r="T15" s="701" t="n">
        <v>0</v>
      </c>
      <c r="U15" s="701" t="n">
        <v>0</v>
      </c>
      <c r="V15" s="701" t="n">
        <v>0</v>
      </c>
      <c r="W15" s="701" t="n">
        <v>0</v>
      </c>
      <c r="X15" s="701" t="n">
        <v>0</v>
      </c>
    </row>
    <row r="16">
      <c r="A16" t="inlineStr">
        <is>
          <t>00000000094389 - PAPEL SEDA BOTI INSTIT 2025 UNIT</t>
        </is>
      </c>
      <c r="B16" s="701" t="n">
        <v>0</v>
      </c>
      <c r="C16" s="701" t="n">
        <v>0</v>
      </c>
      <c r="D16" s="701" t="n">
        <v>0</v>
      </c>
      <c r="E16" s="701" t="n">
        <v>800</v>
      </c>
      <c r="F16" s="701" t="n">
        <v>0</v>
      </c>
      <c r="G16" s="701" t="n">
        <v>0</v>
      </c>
      <c r="H16" s="701" t="n">
        <v>0</v>
      </c>
      <c r="I16" s="701" t="n">
        <v>0</v>
      </c>
      <c r="J16" s="701" t="n">
        <v>0</v>
      </c>
      <c r="K16" s="701" t="n">
        <v>0</v>
      </c>
      <c r="L16" s="701" t="n">
        <v>0</v>
      </c>
      <c r="M16" s="701" t="n">
        <v>0</v>
      </c>
      <c r="N16" s="701" t="n">
        <v>0</v>
      </c>
      <c r="O16" s="701" t="n">
        <v>0</v>
      </c>
      <c r="P16" s="701" t="n">
        <v>0</v>
      </c>
      <c r="Q16" s="701" t="n">
        <v>0</v>
      </c>
      <c r="R16" s="701" t="n">
        <v>0</v>
      </c>
      <c r="S16" s="701" t="n">
        <v>0</v>
      </c>
      <c r="T16" s="701" t="n">
        <v>0</v>
      </c>
      <c r="U16" s="701" t="n">
        <v>0</v>
      </c>
      <c r="V16" s="701" t="n">
        <v>0</v>
      </c>
      <c r="W16" s="701" t="n">
        <v>0</v>
      </c>
      <c r="X16" s="701" t="n">
        <v>0</v>
      </c>
    </row>
    <row r="17">
      <c r="A17" t="inlineStr">
        <is>
          <t>00000000094802 - CAIXA LAÃ‡O M BOTI DORAMA 2025 UNIT</t>
        </is>
      </c>
      <c r="B17" s="701" t="n">
        <v>0</v>
      </c>
      <c r="C17" s="701" t="n">
        <v>0</v>
      </c>
      <c r="D17" s="701" t="n">
        <v>0</v>
      </c>
      <c r="E17" s="701" t="n">
        <v>0</v>
      </c>
      <c r="F17" s="701" t="n">
        <v>0</v>
      </c>
      <c r="G17" s="701" t="n">
        <v>0</v>
      </c>
      <c r="H17" s="701" t="n">
        <v>0</v>
      </c>
      <c r="I17" s="701" t="n">
        <v>0</v>
      </c>
      <c r="J17" s="701" t="n">
        <v>0</v>
      </c>
      <c r="K17" s="701" t="n">
        <v>0</v>
      </c>
      <c r="L17" s="701" t="n">
        <v>0</v>
      </c>
      <c r="M17" s="701" t="n">
        <v>0</v>
      </c>
      <c r="N17" s="701" t="n">
        <v>0</v>
      </c>
      <c r="O17" s="701" t="n">
        <v>0</v>
      </c>
      <c r="P17" s="701" t="n">
        <v>0</v>
      </c>
      <c r="Q17" s="701" t="n">
        <v>0</v>
      </c>
      <c r="R17" s="701" t="n">
        <v>0</v>
      </c>
      <c r="S17" s="701" t="n">
        <v>0</v>
      </c>
      <c r="T17" s="701" t="n">
        <v>8</v>
      </c>
      <c r="U17" s="701" t="n">
        <v>0</v>
      </c>
      <c r="V17" s="701" t="n">
        <v>0</v>
      </c>
      <c r="W17" s="701" t="n">
        <v>8</v>
      </c>
      <c r="X17" s="701" t="n">
        <v>0</v>
      </c>
    </row>
    <row r="18">
      <c r="A18" t="inlineStr">
        <is>
          <t>00000000094682 - CAIXA LACO M BOTI ARANHA 2025 UNIT</t>
        </is>
      </c>
      <c r="B18" s="701" t="n">
        <v>11</v>
      </c>
      <c r="C18" s="701" t="n">
        <v>0</v>
      </c>
      <c r="D18" s="701" t="n">
        <v>0</v>
      </c>
      <c r="E18" s="701" t="n">
        <v>0</v>
      </c>
      <c r="F18" s="701" t="n">
        <v>0</v>
      </c>
      <c r="G18" s="701" t="n">
        <v>4</v>
      </c>
      <c r="H18" s="701" t="n">
        <v>0</v>
      </c>
      <c r="I18" s="701" t="n">
        <v>7</v>
      </c>
      <c r="J18" s="701" t="n">
        <v>2</v>
      </c>
      <c r="K18" s="701" t="n">
        <v>0</v>
      </c>
      <c r="L18" s="701" t="n">
        <v>1</v>
      </c>
      <c r="M18" s="701" t="n">
        <v>1</v>
      </c>
      <c r="N18" s="701" t="n">
        <v>7</v>
      </c>
      <c r="O18" s="701" t="n">
        <v>0</v>
      </c>
      <c r="P18" s="701" t="n">
        <v>0</v>
      </c>
      <c r="Q18" s="701" t="n">
        <v>0</v>
      </c>
      <c r="R18" s="701" t="n">
        <v>4</v>
      </c>
      <c r="S18" s="701" t="n">
        <v>0</v>
      </c>
      <c r="T18" s="701" t="n">
        <v>11</v>
      </c>
      <c r="U18" s="701" t="n">
        <v>5</v>
      </c>
      <c r="V18" s="701" t="n">
        <v>0</v>
      </c>
      <c r="W18" s="701" t="n">
        <v>4</v>
      </c>
      <c r="X18" s="701" t="n">
        <v>0</v>
      </c>
    </row>
    <row r="19">
      <c r="A19" t="inlineStr">
        <is>
          <t>00000000094775 - CAIXA LACO P NATAL 2025 BOTI UNIT</t>
        </is>
      </c>
      <c r="B19" s="701" t="n">
        <v>0</v>
      </c>
      <c r="C19" s="701" t="n">
        <v>0</v>
      </c>
      <c r="D19" s="701" t="n">
        <v>0</v>
      </c>
      <c r="E19" s="701" t="n">
        <v>0</v>
      </c>
      <c r="F19" s="701" t="n">
        <v>0</v>
      </c>
      <c r="G19" s="701" t="n">
        <v>19</v>
      </c>
      <c r="H19" s="701" t="n">
        <v>0</v>
      </c>
      <c r="I19" s="701" t="n">
        <v>0</v>
      </c>
      <c r="J19" s="701" t="n">
        <v>4</v>
      </c>
      <c r="K19" s="701" t="n">
        <v>0</v>
      </c>
      <c r="L19" s="701" t="n">
        <v>0</v>
      </c>
      <c r="M19" s="702" t="n">
        <v>4</v>
      </c>
      <c r="N19" s="701" t="n">
        <v>0</v>
      </c>
      <c r="O19" s="701" t="n">
        <v>0</v>
      </c>
      <c r="P19" s="701" t="n">
        <v>90</v>
      </c>
      <c r="Q19" s="701" t="n">
        <v>0</v>
      </c>
      <c r="R19" s="701" t="n">
        <v>40</v>
      </c>
      <c r="S19" s="701" t="n">
        <v>0</v>
      </c>
      <c r="T19" s="701" t="n">
        <v>3</v>
      </c>
      <c r="U19" s="701" t="n">
        <v>0</v>
      </c>
      <c r="V19" s="701" t="n">
        <v>0</v>
      </c>
      <c r="W19" s="701" t="n">
        <v>15</v>
      </c>
      <c r="X19" s="701" t="n">
        <v>0</v>
      </c>
    </row>
    <row r="20">
      <c r="A20" t="inlineStr">
        <is>
          <t>00000000094776 - CAIXA LACO M NATAL 2025 BOTI UNIT</t>
        </is>
      </c>
      <c r="B20" s="701" t="n">
        <v>0</v>
      </c>
      <c r="C20" s="701" t="n">
        <v>0</v>
      </c>
      <c r="D20" s="701" t="n">
        <v>1</v>
      </c>
      <c r="E20" s="701" t="n">
        <v>0</v>
      </c>
      <c r="F20" s="701" t="n">
        <v>0</v>
      </c>
      <c r="G20" s="701" t="n">
        <v>5</v>
      </c>
      <c r="H20" s="701" t="n">
        <v>0</v>
      </c>
      <c r="I20" s="701" t="n">
        <v>3</v>
      </c>
      <c r="J20" s="701" t="n">
        <v>7</v>
      </c>
      <c r="K20" s="701" t="n">
        <v>0</v>
      </c>
      <c r="L20" s="701" t="n">
        <v>0</v>
      </c>
      <c r="M20" s="701" t="n">
        <v>0</v>
      </c>
      <c r="N20" s="701" t="n">
        <v>0</v>
      </c>
      <c r="O20" s="702" t="n">
        <v>1</v>
      </c>
      <c r="P20" s="701" t="n">
        <v>162</v>
      </c>
      <c r="Q20" s="701" t="n">
        <v>0</v>
      </c>
      <c r="R20" s="701" t="n">
        <v>0</v>
      </c>
      <c r="S20" s="701" t="n">
        <v>0</v>
      </c>
      <c r="T20" s="701" t="n">
        <v>31</v>
      </c>
      <c r="U20" s="701" t="n">
        <v>0</v>
      </c>
      <c r="V20" s="701" t="n">
        <v>0</v>
      </c>
      <c r="W20" s="701" t="n">
        <v>41</v>
      </c>
      <c r="X20" s="701" t="n">
        <v>0</v>
      </c>
    </row>
    <row r="21">
      <c r="A21" t="inlineStr">
        <is>
          <t>00000000094777 - CAIXA LACO G NATAL 2025 BOTI UNIT</t>
        </is>
      </c>
      <c r="B21" s="701" t="n">
        <v>4</v>
      </c>
      <c r="C21" s="701" t="n">
        <v>3</v>
      </c>
      <c r="D21" s="701" t="n">
        <v>0</v>
      </c>
      <c r="E21" s="701" t="n">
        <v>0</v>
      </c>
      <c r="F21" s="701" t="n">
        <v>0</v>
      </c>
      <c r="G21" s="701" t="n">
        <v>9</v>
      </c>
      <c r="H21" s="701" t="n">
        <v>0</v>
      </c>
      <c r="I21" s="701" t="n">
        <v>0</v>
      </c>
      <c r="J21" s="701" t="n">
        <v>0</v>
      </c>
      <c r="K21" s="701" t="n">
        <v>0</v>
      </c>
      <c r="L21" s="701" t="n">
        <v>0</v>
      </c>
      <c r="M21" s="701" t="n">
        <v>0</v>
      </c>
      <c r="N21" s="701" t="n">
        <v>0</v>
      </c>
      <c r="O21" s="701" t="n">
        <v>0</v>
      </c>
      <c r="P21" s="701" t="n">
        <v>0</v>
      </c>
      <c r="Q21" s="701" t="n">
        <v>0</v>
      </c>
      <c r="R21" s="701" t="n">
        <v>0</v>
      </c>
      <c r="S21" s="701" t="n">
        <v>0</v>
      </c>
      <c r="T21" s="701" t="n">
        <v>0</v>
      </c>
      <c r="U21" s="701" t="n">
        <v>0</v>
      </c>
      <c r="V21" s="701" t="n">
        <v>0</v>
      </c>
      <c r="W21" s="701" t="n">
        <v>0</v>
      </c>
      <c r="X21" s="701" t="n">
        <v>0</v>
      </c>
    </row>
    <row r="22">
      <c r="A22" t="inlineStr">
        <is>
          <t>00000000094778 - ENVELOPE P NATAL 2025 BOT UNIT</t>
        </is>
      </c>
      <c r="B22" s="701" t="n">
        <v>0</v>
      </c>
      <c r="C22" s="701" t="n">
        <v>0</v>
      </c>
      <c r="D22" s="701" t="n">
        <v>0</v>
      </c>
      <c r="E22" s="701" t="n">
        <v>0</v>
      </c>
      <c r="F22" s="701" t="n">
        <v>0</v>
      </c>
      <c r="G22" s="701" t="n">
        <v>0</v>
      </c>
      <c r="H22" s="701" t="n">
        <v>0</v>
      </c>
      <c r="I22" s="701" t="n">
        <v>0</v>
      </c>
      <c r="J22" s="701" t="n">
        <v>0</v>
      </c>
      <c r="K22" s="701" t="n">
        <v>0</v>
      </c>
      <c r="L22" s="702" t="n">
        <v>35</v>
      </c>
      <c r="M22" s="701" t="n">
        <v>0</v>
      </c>
      <c r="N22" s="701" t="n">
        <v>0</v>
      </c>
      <c r="O22" s="701" t="n">
        <v>0</v>
      </c>
      <c r="P22" s="701" t="n">
        <v>0</v>
      </c>
      <c r="Q22" s="701" t="n">
        <v>0</v>
      </c>
      <c r="R22" s="701" t="n">
        <v>0</v>
      </c>
      <c r="S22" s="701" t="n">
        <v>0</v>
      </c>
      <c r="T22" s="701" t="n">
        <v>0</v>
      </c>
      <c r="U22" s="701" t="n">
        <v>0</v>
      </c>
      <c r="V22" s="701" t="n">
        <v>0</v>
      </c>
      <c r="W22" s="701" t="n">
        <v>0</v>
      </c>
      <c r="X22" s="701" t="n">
        <v>0</v>
      </c>
    </row>
    <row r="23">
      <c r="A23" t="inlineStr">
        <is>
          <t>00000000094779 - ENVELOPE M NATAL 2025 BOTI UNIT</t>
        </is>
      </c>
      <c r="B23" s="701" t="n">
        <v>0</v>
      </c>
      <c r="C23" s="701" t="n">
        <v>0</v>
      </c>
      <c r="D23" s="701" t="n">
        <v>0</v>
      </c>
      <c r="E23" s="701" t="n">
        <v>0</v>
      </c>
      <c r="F23" s="701" t="n">
        <v>0</v>
      </c>
      <c r="G23" s="701" t="n">
        <v>1</v>
      </c>
      <c r="H23" s="701" t="n">
        <v>0</v>
      </c>
      <c r="I23" s="701" t="n">
        <v>0</v>
      </c>
      <c r="J23" s="701" t="n">
        <v>0</v>
      </c>
      <c r="K23" s="701" t="n">
        <v>0</v>
      </c>
      <c r="L23" s="702" t="n">
        <v>1</v>
      </c>
      <c r="M23" s="701" t="n">
        <v>0</v>
      </c>
      <c r="N23" s="701" t="n">
        <v>1</v>
      </c>
      <c r="O23" s="701" t="n">
        <v>0</v>
      </c>
      <c r="P23" s="701" t="n">
        <v>0</v>
      </c>
      <c r="Q23" s="701" t="n">
        <v>0</v>
      </c>
      <c r="R23" s="701" t="n">
        <v>0</v>
      </c>
      <c r="S23" s="701" t="n">
        <v>0</v>
      </c>
      <c r="T23" s="701" t="n">
        <v>0</v>
      </c>
      <c r="U23" s="701" t="n">
        <v>0</v>
      </c>
      <c r="V23" s="701" t="n">
        <v>0</v>
      </c>
      <c r="W23" s="701" t="n">
        <v>0</v>
      </c>
      <c r="X23" s="701" t="n">
        <v>0</v>
      </c>
    </row>
    <row r="24">
      <c r="A24" t="inlineStr">
        <is>
          <t>00000000095151 - PIN BOTI NATAL 2025 UNIT</t>
        </is>
      </c>
      <c r="B24" s="701" t="n">
        <v>0</v>
      </c>
      <c r="C24" s="701" t="n">
        <v>0</v>
      </c>
      <c r="D24" s="701" t="n">
        <v>0</v>
      </c>
      <c r="E24" s="701" t="n">
        <v>0</v>
      </c>
      <c r="F24" s="701" t="n">
        <v>0</v>
      </c>
      <c r="G24" s="701" t="n">
        <v>0</v>
      </c>
      <c r="H24" s="701" t="n">
        <v>0</v>
      </c>
      <c r="I24" s="701" t="n">
        <v>0</v>
      </c>
      <c r="J24" s="701" t="n">
        <v>0</v>
      </c>
      <c r="K24" s="701" t="n">
        <v>0</v>
      </c>
      <c r="L24" s="701" t="n">
        <v>0</v>
      </c>
      <c r="M24" s="702" t="n">
        <v>14</v>
      </c>
      <c r="N24" s="702" t="n">
        <v>6</v>
      </c>
      <c r="O24" s="701" t="n">
        <v>0</v>
      </c>
      <c r="P24" s="701" t="n">
        <v>1</v>
      </c>
      <c r="Q24" s="701" t="n">
        <v>3</v>
      </c>
      <c r="R24" s="701" t="n">
        <v>5</v>
      </c>
      <c r="S24" s="701" t="n">
        <v>4</v>
      </c>
      <c r="T24" s="701" t="n">
        <v>5</v>
      </c>
      <c r="U24" s="701" t="n">
        <v>0</v>
      </c>
      <c r="V24" s="701" t="n">
        <v>0</v>
      </c>
      <c r="W24" s="701" t="n">
        <v>0</v>
      </c>
      <c r="X24" s="701" t="n">
        <v>0</v>
      </c>
    </row>
    <row r="25">
      <c r="A25" t="inlineStr">
        <is>
          <t>00000000096437 - CAIXA LACO P MAES/26 BOTI UNIT</t>
        </is>
      </c>
      <c r="B25" s="701" t="n">
        <v>17</v>
      </c>
      <c r="C25" s="701" t="n">
        <v>0</v>
      </c>
      <c r="D25" s="701" t="n">
        <v>-33</v>
      </c>
      <c r="E25" s="701" t="n">
        <v>101</v>
      </c>
      <c r="F25" s="701" t="n">
        <v>-3</v>
      </c>
      <c r="G25" s="701" t="n">
        <v>0</v>
      </c>
      <c r="H25" s="702" t="n">
        <v>82</v>
      </c>
      <c r="I25" s="702" t="n">
        <v>49</v>
      </c>
      <c r="J25" s="702" t="n">
        <v>50</v>
      </c>
      <c r="K25" s="702" t="n">
        <v>89</v>
      </c>
      <c r="L25" s="702" t="n">
        <v>-1</v>
      </c>
      <c r="M25" s="702" t="n">
        <v>69</v>
      </c>
      <c r="N25" s="702" t="n">
        <v>1</v>
      </c>
      <c r="O25" s="702" t="n">
        <v>20</v>
      </c>
      <c r="P25" s="701" t="n">
        <v>0</v>
      </c>
      <c r="Q25" s="701" t="n">
        <v>0</v>
      </c>
      <c r="R25" s="701" t="n">
        <v>0</v>
      </c>
      <c r="S25" s="701" t="n">
        <v>3</v>
      </c>
      <c r="T25" s="701" t="n">
        <v>3</v>
      </c>
      <c r="U25" s="701" t="n">
        <v>0</v>
      </c>
      <c r="V25" s="701" t="n">
        <v>0</v>
      </c>
      <c r="W25" s="701" t="n">
        <v>1</v>
      </c>
      <c r="X25" s="701" t="n">
        <v>-1</v>
      </c>
    </row>
    <row r="26">
      <c r="A26" t="inlineStr">
        <is>
          <t>00000000096438 - CAIXA LACO M MAES/26 BOTI UNIT</t>
        </is>
      </c>
      <c r="B26" s="701" t="n">
        <v>2</v>
      </c>
      <c r="C26" s="701" t="n">
        <v>18</v>
      </c>
      <c r="D26" s="701" t="n">
        <v>-10</v>
      </c>
      <c r="E26" s="701" t="n">
        <v>15</v>
      </c>
      <c r="F26" s="701" t="n">
        <v>-1</v>
      </c>
      <c r="G26" s="701" t="n">
        <v>-1</v>
      </c>
      <c r="H26" s="702" t="n">
        <v>160</v>
      </c>
      <c r="I26" s="702" t="n">
        <v>177</v>
      </c>
      <c r="J26" s="702" t="n">
        <v>53</v>
      </c>
      <c r="K26" s="702" t="n">
        <v>40</v>
      </c>
      <c r="L26" s="702" t="n">
        <v>3</v>
      </c>
      <c r="M26" s="702" t="n">
        <v>49</v>
      </c>
      <c r="N26" s="702" t="n">
        <v>3</v>
      </c>
      <c r="O26" s="702" t="n">
        <v>9</v>
      </c>
      <c r="P26" s="701" t="n">
        <v>6</v>
      </c>
      <c r="Q26" s="701" t="n">
        <v>8</v>
      </c>
      <c r="R26" s="701" t="n">
        <v>5</v>
      </c>
      <c r="S26" s="701" t="n">
        <v>3</v>
      </c>
      <c r="T26" s="701" t="n">
        <v>-1</v>
      </c>
      <c r="U26" s="701" t="n">
        <v>2</v>
      </c>
      <c r="V26" s="701" t="n">
        <v>-2</v>
      </c>
      <c r="W26" s="701" t="n">
        <v>1</v>
      </c>
      <c r="X26" s="701" t="n">
        <v>1</v>
      </c>
    </row>
    <row r="27">
      <c r="A27" t="inlineStr">
        <is>
          <t>00000000096440 - ENVELOPE P MAES 2026 BOTI UNIT</t>
        </is>
      </c>
      <c r="B27" s="701" t="n">
        <v>0</v>
      </c>
      <c r="C27" s="701" t="n">
        <v>0</v>
      </c>
      <c r="D27" s="701" t="n">
        <v>0</v>
      </c>
      <c r="E27" s="701" t="n">
        <v>0</v>
      </c>
      <c r="F27" s="701" t="n">
        <v>0</v>
      </c>
      <c r="G27" s="701" t="n">
        <v>0</v>
      </c>
      <c r="H27" s="702" t="n">
        <v>46</v>
      </c>
      <c r="I27" s="702" t="n">
        <v>22</v>
      </c>
      <c r="J27" s="702" t="n">
        <v>49</v>
      </c>
      <c r="K27" s="702" t="n">
        <v>55</v>
      </c>
      <c r="L27" s="702" t="n">
        <v>69</v>
      </c>
      <c r="M27" s="702" t="n">
        <v>14</v>
      </c>
      <c r="N27" s="702" t="n">
        <v>0</v>
      </c>
      <c r="O27" s="702" t="n">
        <v>22</v>
      </c>
      <c r="P27" s="701" t="n">
        <v>0</v>
      </c>
      <c r="Q27" s="701" t="n">
        <v>0</v>
      </c>
      <c r="R27" s="701" t="n">
        <v>1</v>
      </c>
      <c r="S27" s="701" t="n">
        <v>4</v>
      </c>
      <c r="T27" s="701" t="n">
        <v>-5</v>
      </c>
      <c r="U27" s="701" t="n">
        <v>2</v>
      </c>
      <c r="V27" s="701" t="n">
        <v>-1</v>
      </c>
      <c r="W27" s="701" t="n">
        <v>0</v>
      </c>
      <c r="X27" s="701" t="n">
        <v>0</v>
      </c>
    </row>
    <row r="28">
      <c r="A28" t="inlineStr">
        <is>
          <t>00000000096441 - ENVELOPE M MAES 2026 BOTI UNIT</t>
        </is>
      </c>
      <c r="B28" s="701" t="n">
        <v>0</v>
      </c>
      <c r="C28" s="701" t="n">
        <v>1</v>
      </c>
      <c r="D28" s="701" t="n">
        <v>3</v>
      </c>
      <c r="E28" s="701" t="n">
        <v>-1</v>
      </c>
      <c r="F28" s="701" t="n">
        <v>-2</v>
      </c>
      <c r="G28" s="701" t="n">
        <v>7</v>
      </c>
      <c r="H28" s="702" t="n">
        <v>7</v>
      </c>
      <c r="I28" s="702" t="n">
        <v>20</v>
      </c>
      <c r="J28" s="702" t="n">
        <v>54</v>
      </c>
      <c r="K28" s="702" t="n">
        <v>1</v>
      </c>
      <c r="L28" s="702" t="n">
        <v>6</v>
      </c>
      <c r="M28" s="702" t="n">
        <v>12</v>
      </c>
      <c r="N28" s="702" t="n">
        <v>5</v>
      </c>
      <c r="O28" s="702" t="n">
        <v>94</v>
      </c>
      <c r="P28" s="701" t="n">
        <v>4</v>
      </c>
      <c r="Q28" s="701" t="n">
        <v>0</v>
      </c>
      <c r="R28" s="701" t="n">
        <v>0</v>
      </c>
      <c r="S28" s="701" t="n">
        <v>-2</v>
      </c>
      <c r="T28" s="701" t="n">
        <v>-4</v>
      </c>
      <c r="U28" s="701" t="n">
        <v>1</v>
      </c>
      <c r="V28" s="701" t="n">
        <v>0</v>
      </c>
      <c r="W28" s="701" t="n">
        <v>3</v>
      </c>
      <c r="X28" s="701" t="n">
        <v>1</v>
      </c>
    </row>
    <row r="29">
      <c r="A29" t="inlineStr">
        <is>
          <t>00000000044742 - FITA DE VEDACAO VOID DEVOLUCAO</t>
        </is>
      </c>
      <c r="B29" s="701" t="n">
        <v>0</v>
      </c>
      <c r="C29" s="701" t="n">
        <v>0</v>
      </c>
      <c r="D29" s="701" t="n">
        <v>0</v>
      </c>
      <c r="E29" s="701" t="n">
        <v>0</v>
      </c>
      <c r="F29" s="701" t="n">
        <v>0</v>
      </c>
      <c r="G29" s="701" t="n">
        <v>0</v>
      </c>
      <c r="H29" s="701" t="n">
        <v>0</v>
      </c>
      <c r="I29" s="701" t="n">
        <v>0</v>
      </c>
      <c r="J29" s="701" t="n">
        <v>0</v>
      </c>
      <c r="K29" s="701" t="n">
        <v>0</v>
      </c>
      <c r="L29" s="701" t="n">
        <v>0</v>
      </c>
      <c r="M29" s="701" t="n">
        <v>1</v>
      </c>
      <c r="N29" s="701" t="n">
        <v>1</v>
      </c>
      <c r="O29" s="701" t="n">
        <v>0</v>
      </c>
      <c r="P29" s="701" t="n">
        <v>0</v>
      </c>
      <c r="Q29" s="701" t="n">
        <v>0</v>
      </c>
      <c r="R29" s="701" t="n">
        <v>1</v>
      </c>
      <c r="S29" s="701" t="n">
        <v>0</v>
      </c>
      <c r="T29" s="701" t="n">
        <v>0</v>
      </c>
      <c r="U29" s="701" t="n">
        <v>0</v>
      </c>
      <c r="V29" s="701" t="n">
        <v>0</v>
      </c>
      <c r="W29" s="701" t="n">
        <v>0</v>
      </c>
      <c r="X29" s="701" t="n">
        <v>0</v>
      </c>
    </row>
    <row r="30">
      <c r="A30" t="inlineStr">
        <is>
          <t>00000000086009 - CAIXA LACO G NAT/24</t>
        </is>
      </c>
      <c r="B30" s="701" t="n">
        <v>1</v>
      </c>
      <c r="C30" s="701" t="n">
        <v>0</v>
      </c>
      <c r="D30" s="701" t="n">
        <v>0</v>
      </c>
      <c r="E30" s="701" t="n">
        <v>0</v>
      </c>
      <c r="F30" s="701" t="n">
        <v>0</v>
      </c>
      <c r="G30" s="701" t="n">
        <v>0</v>
      </c>
      <c r="H30" s="701" t="n">
        <v>0</v>
      </c>
      <c r="I30" s="701" t="n">
        <v>0</v>
      </c>
      <c r="J30" s="701" t="n">
        <v>0</v>
      </c>
      <c r="K30" s="701" t="n">
        <v>0</v>
      </c>
      <c r="L30" s="701" t="n">
        <v>0</v>
      </c>
      <c r="M30" s="701" t="n">
        <v>0</v>
      </c>
      <c r="N30" s="701" t="n">
        <v>0</v>
      </c>
      <c r="O30" s="701" t="n">
        <v>0</v>
      </c>
      <c r="P30" s="701" t="n">
        <v>0</v>
      </c>
      <c r="Q30" s="701" t="n">
        <v>0</v>
      </c>
      <c r="R30" s="701" t="n">
        <v>0</v>
      </c>
      <c r="S30" s="701" t="n">
        <v>0</v>
      </c>
      <c r="T30" s="701" t="n">
        <v>0</v>
      </c>
      <c r="U30" s="701" t="n">
        <v>0</v>
      </c>
      <c r="V30" s="701" t="n">
        <v>0</v>
      </c>
      <c r="W30" s="701" t="n">
        <v>0</v>
      </c>
      <c r="X30" s="701" t="n">
        <v>0</v>
      </c>
    </row>
    <row r="31">
      <c r="A31" t="inlineStr">
        <is>
          <t>00000000096583 - ENVELOPE M AMOR 2026 BOTI UNIT</t>
        </is>
      </c>
      <c r="B31" s="701" t="n">
        <v>300</v>
      </c>
      <c r="C31" s="701" t="n">
        <v>50</v>
      </c>
      <c r="D31" s="701" t="n">
        <v>0</v>
      </c>
      <c r="E31" s="701" t="n">
        <v>100</v>
      </c>
      <c r="F31" s="701" t="n">
        <v>50</v>
      </c>
      <c r="G31" s="701" t="n">
        <v>0</v>
      </c>
      <c r="H31" s="701" t="n">
        <v>100</v>
      </c>
      <c r="I31" s="701" t="n">
        <v>100</v>
      </c>
      <c r="J31" s="701" t="n">
        <v>0</v>
      </c>
      <c r="K31" s="701" t="n">
        <v>50</v>
      </c>
      <c r="L31" s="701" t="n">
        <v>0</v>
      </c>
      <c r="M31" s="701" t="n">
        <v>0</v>
      </c>
      <c r="N31" s="701" t="n">
        <v>0</v>
      </c>
      <c r="O31" s="701" t="n">
        <v>0</v>
      </c>
      <c r="P31" s="701" t="n">
        <v>0</v>
      </c>
      <c r="Q31" s="701" t="n">
        <v>50</v>
      </c>
      <c r="R31" s="701" t="n">
        <v>50</v>
      </c>
      <c r="S31" s="701" t="n">
        <v>50</v>
      </c>
      <c r="T31" s="701" t="n">
        <v>100</v>
      </c>
      <c r="U31" s="701" t="n">
        <v>50</v>
      </c>
      <c r="V31" s="701" t="n">
        <v>50</v>
      </c>
      <c r="W31" s="701" t="n">
        <v>0</v>
      </c>
      <c r="X31" s="701" t="n">
        <v>100</v>
      </c>
    </row>
    <row r="32">
      <c r="A32" s="654" t="inlineStr">
        <is>
          <t>Total</t>
        </is>
      </c>
      <c r="B32" s="703" t="n">
        <v>1276</v>
      </c>
      <c r="C32" s="703" t="n">
        <v>766</v>
      </c>
      <c r="D32" s="703" t="n">
        <v>246</v>
      </c>
      <c r="E32" s="703" t="n">
        <v>2542</v>
      </c>
      <c r="F32" s="703" t="n">
        <v>285</v>
      </c>
      <c r="G32" s="703" t="n">
        <v>347</v>
      </c>
      <c r="H32" s="703" t="n">
        <v>1712</v>
      </c>
      <c r="I32" s="703" t="n">
        <v>1545</v>
      </c>
      <c r="J32" s="703" t="n">
        <v>792</v>
      </c>
      <c r="K32" s="703" t="n">
        <v>1275</v>
      </c>
      <c r="L32" s="703" t="n">
        <v>672</v>
      </c>
      <c r="M32" s="703" t="n">
        <v>788</v>
      </c>
      <c r="N32" s="703" t="n">
        <v>664</v>
      </c>
      <c r="O32" s="703" t="n">
        <v>555</v>
      </c>
      <c r="P32" s="703" t="n">
        <v>580</v>
      </c>
      <c r="Q32" s="703" t="n">
        <v>696</v>
      </c>
      <c r="R32" s="703" t="n">
        <v>901</v>
      </c>
      <c r="S32" s="703" t="n">
        <v>629</v>
      </c>
      <c r="T32" s="703" t="n">
        <v>954</v>
      </c>
      <c r="U32" s="703" t="n">
        <v>264</v>
      </c>
      <c r="V32" s="703" t="n">
        <v>400</v>
      </c>
      <c r="W32" s="703" t="n">
        <v>369</v>
      </c>
      <c r="X32" s="703" t="n">
        <v>280</v>
      </c>
    </row>
    <row r="36">
      <c r="Z36" s="700" t="n"/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22">
    <tabColor theme="8"/>
    <outlinePr summaryBelow="1" summaryRight="1"/>
    <pageSetUpPr/>
  </sheetPr>
  <dimension ref="A1:X38"/>
  <sheetViews>
    <sheetView workbookViewId="0">
      <selection activeCell="AA22" sqref="AA22"/>
    </sheetView>
  </sheetViews>
  <sheetFormatPr baseColWidth="8" defaultRowHeight="15"/>
  <cols>
    <col width="45.7109375" customWidth="1" min="1" max="1"/>
    <col width="5.28515625" customWidth="1" min="2" max="24"/>
  </cols>
  <sheetData>
    <row r="1">
      <c r="A1" s="648" t="inlineStr">
        <is>
          <t>Produtos</t>
        </is>
      </c>
      <c r="B1" s="649" t="inlineStr">
        <is>
          <t>12973</t>
        </is>
      </c>
      <c r="C1" s="649" t="inlineStr">
        <is>
          <t>11734</t>
        </is>
      </c>
      <c r="D1" s="649" t="inlineStr">
        <is>
          <t>14462</t>
        </is>
      </c>
      <c r="E1" s="649" t="inlineStr">
        <is>
          <t>5418</t>
        </is>
      </c>
      <c r="F1" s="649" t="inlineStr">
        <is>
          <t>11733</t>
        </is>
      </c>
      <c r="G1" s="649" t="inlineStr">
        <is>
          <t>23012</t>
        </is>
      </c>
      <c r="H1" s="650" t="inlineStr">
        <is>
          <t>6700</t>
        </is>
      </c>
      <c r="I1" s="650" t="inlineStr">
        <is>
          <t>13868</t>
        </is>
      </c>
      <c r="J1" s="650" t="inlineStr">
        <is>
          <t>13370</t>
        </is>
      </c>
      <c r="K1" s="650" t="inlineStr">
        <is>
          <t>20000</t>
        </is>
      </c>
      <c r="L1" s="650" t="inlineStr">
        <is>
          <t>23049</t>
        </is>
      </c>
      <c r="M1" s="650" t="inlineStr">
        <is>
          <t>6727</t>
        </is>
      </c>
      <c r="N1" s="650" t="inlineStr">
        <is>
          <t>12466</t>
        </is>
      </c>
      <c r="O1" s="650" t="inlineStr">
        <is>
          <t>12942</t>
        </is>
      </c>
      <c r="P1" s="651" t="inlineStr">
        <is>
          <t>3822</t>
        </is>
      </c>
      <c r="Q1" s="651" t="inlineStr">
        <is>
          <t>14446</t>
        </is>
      </c>
      <c r="R1" s="651" t="inlineStr">
        <is>
          <t>12066</t>
        </is>
      </c>
      <c r="S1" s="652" t="inlineStr">
        <is>
          <t>23048</t>
        </is>
      </c>
      <c r="T1" s="652" t="inlineStr">
        <is>
          <t>11722</t>
        </is>
      </c>
      <c r="U1" s="652" t="inlineStr">
        <is>
          <t>14553</t>
        </is>
      </c>
      <c r="V1" s="652" t="inlineStr">
        <is>
          <t>7529</t>
        </is>
      </c>
      <c r="W1" s="652" t="inlineStr">
        <is>
          <t>6942</t>
        </is>
      </c>
      <c r="X1" s="652" t="inlineStr">
        <is>
          <t>6954</t>
        </is>
      </c>
    </row>
    <row r="2">
      <c r="A2" t="inlineStr">
        <is>
          <t>00000000089402 - CAIXA PRESENTE P BOT INST/25 VDA</t>
        </is>
      </c>
      <c r="B2" s="701" t="n">
        <v>184</v>
      </c>
      <c r="C2" s="701" t="n">
        <v>182</v>
      </c>
      <c r="D2" s="701" t="n">
        <v>33</v>
      </c>
      <c r="E2" s="701" t="n">
        <v>77</v>
      </c>
      <c r="F2" s="701" t="n">
        <v>16</v>
      </c>
      <c r="G2" s="701" t="n">
        <v>49</v>
      </c>
      <c r="H2" s="701" t="n">
        <v>260</v>
      </c>
      <c r="I2" s="701" t="n">
        <v>254</v>
      </c>
      <c r="J2" s="701" t="n">
        <v>0</v>
      </c>
      <c r="K2" s="701" t="n">
        <v>0</v>
      </c>
      <c r="L2" s="701" t="n">
        <v>158</v>
      </c>
      <c r="M2" s="701" t="n">
        <v>149</v>
      </c>
      <c r="N2" s="701" t="n">
        <v>122</v>
      </c>
      <c r="O2" s="701" t="n">
        <v>150</v>
      </c>
      <c r="P2" s="701" t="n">
        <v>46</v>
      </c>
      <c r="Q2" s="701" t="n">
        <v>208</v>
      </c>
      <c r="R2" s="701" t="n">
        <v>198</v>
      </c>
      <c r="S2" s="701" t="n">
        <v>118</v>
      </c>
      <c r="T2" s="701" t="n">
        <v>217</v>
      </c>
      <c r="U2" s="701" t="n">
        <v>95</v>
      </c>
      <c r="V2" s="701" t="n">
        <v>80</v>
      </c>
      <c r="W2" s="701" t="n">
        <v>100</v>
      </c>
      <c r="X2" s="701" t="n">
        <v>76</v>
      </c>
    </row>
    <row r="3">
      <c r="A3" t="inlineStr">
        <is>
          <t>00000000003517 - CAIXA P INST 2021 VERDE ECONOMICA</t>
        </is>
      </c>
      <c r="B3" s="701" t="n">
        <v>0</v>
      </c>
      <c r="C3" s="701" t="n">
        <v>0</v>
      </c>
      <c r="D3" s="701" t="n">
        <v>-16</v>
      </c>
      <c r="E3" s="701" t="n">
        <v>-1</v>
      </c>
      <c r="F3" s="701" t="n">
        <v>-13</v>
      </c>
      <c r="G3" s="701" t="n">
        <v>-1</v>
      </c>
      <c r="H3" s="701" t="n">
        <v>0</v>
      </c>
      <c r="I3" s="701" t="n">
        <v>0</v>
      </c>
      <c r="J3" s="701" t="n">
        <v>165</v>
      </c>
      <c r="K3" s="701" t="n">
        <v>116</v>
      </c>
      <c r="L3" s="701" t="n">
        <v>0</v>
      </c>
      <c r="M3" s="701" t="n">
        <v>-7</v>
      </c>
      <c r="N3" s="701" t="n">
        <v>0</v>
      </c>
      <c r="O3" s="701" t="n">
        <v>16</v>
      </c>
      <c r="P3" s="701" t="n">
        <v>0</v>
      </c>
      <c r="Q3" s="701" t="n">
        <v>0</v>
      </c>
      <c r="R3" s="701" t="n">
        <v>0</v>
      </c>
      <c r="S3" s="701" t="n">
        <v>1</v>
      </c>
      <c r="T3" s="701" t="n">
        <v>0</v>
      </c>
      <c r="U3" s="701" t="n">
        <v>0</v>
      </c>
      <c r="V3" s="701" t="n">
        <v>0</v>
      </c>
      <c r="W3" s="701" t="n">
        <v>0</v>
      </c>
      <c r="X3" s="701" t="n">
        <v>0</v>
      </c>
    </row>
    <row r="4">
      <c r="A4" t="inlineStr">
        <is>
          <t>00000000089401 - CX PRESENTE M BOTI INST/25 VDA</t>
        </is>
      </c>
      <c r="B4" s="701" t="n">
        <v>295</v>
      </c>
      <c r="C4" s="701" t="n">
        <v>300</v>
      </c>
      <c r="D4" s="701" t="n">
        <v>95</v>
      </c>
      <c r="E4" s="701" t="n">
        <v>99</v>
      </c>
      <c r="F4" s="701" t="n">
        <v>66</v>
      </c>
      <c r="G4" s="701" t="n">
        <v>123</v>
      </c>
      <c r="H4" s="701" t="n">
        <v>307</v>
      </c>
      <c r="I4" s="701" t="n">
        <v>141</v>
      </c>
      <c r="J4" s="701" t="n">
        <v>185</v>
      </c>
      <c r="K4" s="701" t="n">
        <v>266</v>
      </c>
      <c r="L4" s="701" t="n">
        <v>143</v>
      </c>
      <c r="M4" s="701" t="n">
        <v>190</v>
      </c>
      <c r="N4" s="701" t="n">
        <v>235</v>
      </c>
      <c r="O4" s="701" t="n">
        <v>68</v>
      </c>
      <c r="P4" s="701" t="n">
        <v>67</v>
      </c>
      <c r="Q4" s="701" t="n">
        <v>253</v>
      </c>
      <c r="R4" s="701" t="n">
        <v>248</v>
      </c>
      <c r="S4" s="701" t="n">
        <v>191</v>
      </c>
      <c r="T4" s="701" t="n">
        <v>130</v>
      </c>
      <c r="U4" s="701" t="n">
        <v>27</v>
      </c>
      <c r="V4" s="701" t="n">
        <v>76</v>
      </c>
      <c r="W4" s="701" t="n">
        <v>65</v>
      </c>
      <c r="X4" s="701" t="n">
        <v>27</v>
      </c>
    </row>
    <row r="5">
      <c r="A5" t="inlineStr">
        <is>
          <t>00000000003530 - CAIXA M INST 2021 VERDE ECONOMICA</t>
        </is>
      </c>
      <c r="B5" s="701" t="n">
        <v>0</v>
      </c>
      <c r="C5" s="701" t="n">
        <v>0</v>
      </c>
      <c r="D5" s="701" t="n">
        <v>-2</v>
      </c>
      <c r="E5" s="701" t="n">
        <v>0</v>
      </c>
      <c r="F5" s="701" t="n">
        <v>0</v>
      </c>
      <c r="G5" s="701" t="n">
        <v>0</v>
      </c>
      <c r="H5" s="701" t="n">
        <v>0</v>
      </c>
      <c r="I5" s="701" t="n">
        <v>4</v>
      </c>
      <c r="J5" s="701" t="n">
        <v>0</v>
      </c>
      <c r="K5" s="701" t="n">
        <v>0</v>
      </c>
      <c r="L5" s="701" t="n">
        <v>0</v>
      </c>
      <c r="M5" s="701" t="n">
        <v>0</v>
      </c>
      <c r="N5" s="701" t="n">
        <v>0</v>
      </c>
      <c r="O5" s="701" t="n">
        <v>0</v>
      </c>
      <c r="P5" s="701" t="n">
        <v>0</v>
      </c>
      <c r="Q5" s="701" t="n">
        <v>0</v>
      </c>
      <c r="R5" s="701" t="n">
        <v>0</v>
      </c>
      <c r="S5" s="701" t="n">
        <v>2</v>
      </c>
      <c r="T5" s="701" t="n">
        <v>0</v>
      </c>
      <c r="U5" s="701" t="n">
        <v>0</v>
      </c>
      <c r="V5" s="701" t="n">
        <v>0</v>
      </c>
      <c r="W5" s="701" t="n">
        <v>0</v>
      </c>
      <c r="X5" s="701" t="n">
        <v>0</v>
      </c>
    </row>
    <row r="6">
      <c r="A6" t="inlineStr">
        <is>
          <t>00000000003554 - CAIXA G INST 2021 VERDE ECONOMICA</t>
        </is>
      </c>
      <c r="B6" s="701" t="n">
        <v>51</v>
      </c>
      <c r="C6" s="701" t="n">
        <v>45</v>
      </c>
      <c r="D6" s="701" t="n">
        <v>1</v>
      </c>
      <c r="E6" s="701" t="n">
        <v>2</v>
      </c>
      <c r="F6" s="701" t="n">
        <v>19</v>
      </c>
      <c r="G6" s="701" t="n">
        <v>28</v>
      </c>
      <c r="H6" s="701" t="n">
        <v>20</v>
      </c>
      <c r="I6" s="701" t="n">
        <v>20</v>
      </c>
      <c r="J6" s="701" t="n">
        <v>68</v>
      </c>
      <c r="K6" s="701" t="n">
        <v>8</v>
      </c>
      <c r="L6" s="701" t="n">
        <v>-4</v>
      </c>
      <c r="M6" s="701" t="n">
        <v>46</v>
      </c>
      <c r="N6" s="701" t="n">
        <v>11</v>
      </c>
      <c r="O6" s="701" t="n">
        <v>8</v>
      </c>
      <c r="P6" s="701" t="n">
        <v>17</v>
      </c>
      <c r="Q6" s="701" t="n">
        <v>13</v>
      </c>
      <c r="R6" s="701" t="n">
        <v>47</v>
      </c>
      <c r="S6" s="701" t="n">
        <v>17</v>
      </c>
      <c r="T6" s="701" t="n">
        <v>57</v>
      </c>
      <c r="U6" s="701" t="n">
        <v>12</v>
      </c>
      <c r="V6" s="701" t="n">
        <v>5</v>
      </c>
      <c r="W6" s="701" t="n">
        <v>4</v>
      </c>
      <c r="X6" s="701" t="n">
        <v>8</v>
      </c>
    </row>
    <row r="7">
      <c r="A7" t="inlineStr">
        <is>
          <t>00000000089400 - ENVELOPE PRESENTE M BOTI INST/25 VDA</t>
        </is>
      </c>
      <c r="B7" s="701" t="n">
        <v>0</v>
      </c>
      <c r="C7" s="701" t="n">
        <v>0</v>
      </c>
      <c r="D7" s="701" t="n">
        <v>0</v>
      </c>
      <c r="E7" s="701" t="n">
        <v>0</v>
      </c>
      <c r="F7" s="701" t="n">
        <v>0</v>
      </c>
      <c r="G7" s="701" t="n">
        <v>0</v>
      </c>
      <c r="H7" s="701" t="n">
        <v>216</v>
      </c>
      <c r="I7" s="701" t="n">
        <v>272</v>
      </c>
      <c r="J7" s="701" t="n">
        <v>85</v>
      </c>
      <c r="K7" s="701" t="n">
        <v>450</v>
      </c>
      <c r="L7" s="701" t="n">
        <v>130</v>
      </c>
      <c r="M7" s="701" t="n">
        <v>57</v>
      </c>
      <c r="N7" s="701" t="n">
        <v>175</v>
      </c>
      <c r="O7" s="701" t="n">
        <v>23</v>
      </c>
      <c r="P7" s="701" t="n">
        <v>110</v>
      </c>
      <c r="Q7" s="701" t="n">
        <v>111</v>
      </c>
      <c r="R7" s="701" t="n">
        <v>168</v>
      </c>
      <c r="S7" s="701" t="n">
        <v>0</v>
      </c>
      <c r="T7" s="701" t="n">
        <v>-3</v>
      </c>
      <c r="U7" s="701" t="n">
        <v>1</v>
      </c>
      <c r="V7" s="701" t="n">
        <v>40</v>
      </c>
      <c r="W7" s="701" t="n">
        <v>0</v>
      </c>
      <c r="X7" s="701" t="n">
        <v>0</v>
      </c>
    </row>
    <row r="8">
      <c r="A8" t="inlineStr">
        <is>
          <t>00000000086027 - CAIXA DIVERTIDAMENTE M INFANTIL 2024</t>
        </is>
      </c>
      <c r="B8" s="701" t="n">
        <v>12</v>
      </c>
      <c r="C8" s="701" t="n">
        <v>0</v>
      </c>
      <c r="D8" s="701" t="n">
        <v>0</v>
      </c>
      <c r="E8" s="701" t="n">
        <v>0</v>
      </c>
      <c r="F8" s="701" t="n">
        <v>3</v>
      </c>
      <c r="G8" s="701" t="n">
        <v>4</v>
      </c>
      <c r="H8" s="701" t="n">
        <v>359</v>
      </c>
      <c r="I8" s="701" t="n">
        <v>272</v>
      </c>
      <c r="J8" s="701" t="n">
        <v>66</v>
      </c>
      <c r="K8" s="701" t="n">
        <v>146</v>
      </c>
      <c r="L8" s="701" t="n">
        <v>118</v>
      </c>
      <c r="M8" s="701" t="n">
        <v>170</v>
      </c>
      <c r="N8" s="701" t="n">
        <v>91</v>
      </c>
      <c r="O8" s="701" t="n">
        <v>133</v>
      </c>
      <c r="P8" s="701" t="n">
        <v>39</v>
      </c>
      <c r="Q8" s="701" t="n">
        <v>0</v>
      </c>
      <c r="R8" s="701" t="n">
        <v>80</v>
      </c>
      <c r="S8" s="701" t="n">
        <v>188</v>
      </c>
      <c r="T8" s="701" t="n">
        <v>347</v>
      </c>
      <c r="U8" s="701" t="n">
        <v>18</v>
      </c>
      <c r="V8" s="701" t="n">
        <v>102</v>
      </c>
      <c r="W8" s="701" t="n">
        <v>124</v>
      </c>
      <c r="X8" s="701" t="n">
        <v>15</v>
      </c>
    </row>
    <row r="9">
      <c r="A9" t="inlineStr">
        <is>
          <t>00000000087691 - COLECIONAV BOT NAT/24 CONE ARVORE UNIT</t>
        </is>
      </c>
      <c r="B9" s="701" t="n">
        <v>97</v>
      </c>
      <c r="C9" s="701" t="n">
        <v>12</v>
      </c>
      <c r="D9" s="701" t="n">
        <v>68</v>
      </c>
      <c r="E9" s="701" t="n">
        <v>0</v>
      </c>
      <c r="F9" s="701" t="n">
        <v>0</v>
      </c>
      <c r="G9" s="701" t="n">
        <v>0</v>
      </c>
      <c r="H9" s="701" t="n">
        <v>0</v>
      </c>
      <c r="I9" s="701" t="n">
        <v>0</v>
      </c>
      <c r="J9" s="701" t="n">
        <v>0</v>
      </c>
      <c r="K9" s="701" t="n">
        <v>0</v>
      </c>
      <c r="L9" s="701" t="n">
        <v>3</v>
      </c>
      <c r="M9" s="701" t="n">
        <v>8</v>
      </c>
      <c r="N9" s="701" t="n">
        <v>2</v>
      </c>
      <c r="O9" s="701" t="n">
        <v>8</v>
      </c>
      <c r="P9" s="701" t="n">
        <v>0</v>
      </c>
      <c r="Q9" s="701" t="n">
        <v>0</v>
      </c>
      <c r="R9" s="701" t="n">
        <v>0</v>
      </c>
      <c r="S9" s="701" t="n">
        <v>0</v>
      </c>
      <c r="T9" s="701" t="n">
        <v>0</v>
      </c>
      <c r="U9" s="701" t="n">
        <v>0</v>
      </c>
      <c r="V9" s="701" t="n">
        <v>0</v>
      </c>
      <c r="W9" s="701" t="n">
        <v>0</v>
      </c>
      <c r="X9" s="701" t="n">
        <v>0</v>
      </c>
    </row>
    <row r="10">
      <c r="A10" t="inlineStr">
        <is>
          <t>00000000087694 - COLECIONAVEIS BOT NAT/24 BOLA UNITARIA</t>
        </is>
      </c>
      <c r="B10" s="701" t="n">
        <v>2</v>
      </c>
      <c r="C10" s="701" t="n">
        <v>5</v>
      </c>
      <c r="D10" s="701" t="n">
        <v>7</v>
      </c>
      <c r="E10" s="701" t="n">
        <v>0</v>
      </c>
      <c r="F10" s="701" t="n">
        <v>0</v>
      </c>
      <c r="G10" s="701" t="n">
        <v>0</v>
      </c>
      <c r="H10" s="701" t="n">
        <v>0</v>
      </c>
      <c r="I10" s="701" t="n">
        <v>0</v>
      </c>
      <c r="J10" s="701" t="n">
        <v>0</v>
      </c>
      <c r="K10" s="701" t="n">
        <v>0</v>
      </c>
      <c r="L10" s="701" t="n">
        <v>6</v>
      </c>
      <c r="M10" s="701" t="n">
        <v>6</v>
      </c>
      <c r="N10" s="701" t="n">
        <v>1</v>
      </c>
      <c r="O10" s="701" t="n">
        <v>0</v>
      </c>
      <c r="P10" s="701" t="n">
        <v>0</v>
      </c>
      <c r="Q10" s="701" t="n">
        <v>0</v>
      </c>
      <c r="R10" s="701" t="n">
        <v>0</v>
      </c>
      <c r="S10" s="701" t="n">
        <v>0</v>
      </c>
      <c r="T10" s="701" t="n">
        <v>0</v>
      </c>
      <c r="U10" s="701" t="n">
        <v>0</v>
      </c>
      <c r="V10" s="701" t="n">
        <v>0</v>
      </c>
      <c r="W10" s="701" t="n">
        <v>2</v>
      </c>
      <c r="X10" s="701" t="n">
        <v>0</v>
      </c>
    </row>
    <row r="11">
      <c r="A11" t="inlineStr">
        <is>
          <t>00000000090774 - PIN MELHOR PAI O BOTICARIO PAIS/25 UNIT</t>
        </is>
      </c>
      <c r="B11" s="701" t="n">
        <v>0</v>
      </c>
      <c r="C11" s="701" t="n">
        <v>0</v>
      </c>
      <c r="D11" s="701" t="n">
        <v>0</v>
      </c>
      <c r="E11" s="701" t="n">
        <v>0</v>
      </c>
      <c r="F11" s="701" t="n">
        <v>0</v>
      </c>
      <c r="G11" s="701" t="n">
        <v>0</v>
      </c>
      <c r="H11" s="701" t="n">
        <v>0</v>
      </c>
      <c r="I11" s="701" t="n">
        <v>0</v>
      </c>
      <c r="J11" s="701" t="n">
        <v>0</v>
      </c>
      <c r="K11" s="701" t="n">
        <v>0</v>
      </c>
      <c r="L11" s="701" t="n">
        <v>0</v>
      </c>
      <c r="M11" s="701" t="n">
        <v>0</v>
      </c>
      <c r="N11" s="701" t="n">
        <v>0</v>
      </c>
      <c r="O11" s="701" t="n">
        <v>0</v>
      </c>
      <c r="P11" s="701" t="n">
        <v>15</v>
      </c>
      <c r="Q11" s="701" t="n">
        <v>0</v>
      </c>
      <c r="R11" s="701" t="n">
        <v>0</v>
      </c>
      <c r="S11" s="701" t="n">
        <v>0</v>
      </c>
      <c r="T11" s="701" t="n">
        <v>0</v>
      </c>
      <c r="U11" s="701" t="n">
        <v>0</v>
      </c>
      <c r="V11" s="701" t="n">
        <v>0</v>
      </c>
      <c r="W11" s="701" t="n">
        <v>0</v>
      </c>
      <c r="X11" s="701" t="n">
        <v>0</v>
      </c>
    </row>
    <row r="12">
      <c r="A12" t="inlineStr">
        <is>
          <t>00000000090770 - PIN BALAO O BOTICARIO PAIS/25 UNIT</t>
        </is>
      </c>
      <c r="B12" s="701" t="n">
        <v>0</v>
      </c>
      <c r="C12" s="701" t="n">
        <v>0</v>
      </c>
      <c r="D12" s="701" t="n">
        <v>0</v>
      </c>
      <c r="E12" s="701" t="n">
        <v>0</v>
      </c>
      <c r="F12" s="701" t="n">
        <v>0</v>
      </c>
      <c r="G12" s="701" t="n">
        <v>0</v>
      </c>
      <c r="H12" s="701" t="n">
        <v>0</v>
      </c>
      <c r="I12" s="701" t="n">
        <v>0</v>
      </c>
      <c r="J12" s="701" t="n">
        <v>0</v>
      </c>
      <c r="K12" s="701" t="n">
        <v>0</v>
      </c>
      <c r="L12" s="701" t="n">
        <v>0</v>
      </c>
      <c r="M12" s="701" t="n">
        <v>0</v>
      </c>
      <c r="N12" s="701" t="n">
        <v>0</v>
      </c>
      <c r="O12" s="701" t="n">
        <v>0</v>
      </c>
      <c r="P12" s="701" t="n">
        <v>10</v>
      </c>
      <c r="Q12" s="701" t="n">
        <v>0</v>
      </c>
      <c r="R12" s="701" t="n">
        <v>0</v>
      </c>
      <c r="S12" s="701" t="n">
        <v>0</v>
      </c>
      <c r="T12" s="701" t="n">
        <v>0</v>
      </c>
      <c r="U12" s="701" t="n">
        <v>0</v>
      </c>
      <c r="V12" s="701" t="n">
        <v>0</v>
      </c>
      <c r="W12" s="701" t="n">
        <v>0</v>
      </c>
      <c r="X12" s="701" t="n">
        <v>0</v>
      </c>
    </row>
    <row r="13">
      <c r="A13" t="inlineStr">
        <is>
          <t>00000000090772 - PIN AMOR O BOTICARIO PAIS/25 UNIT</t>
        </is>
      </c>
      <c r="B13" s="701" t="n">
        <v>0</v>
      </c>
      <c r="C13" s="701" t="n">
        <v>0</v>
      </c>
      <c r="D13" s="701" t="n">
        <v>0</v>
      </c>
      <c r="E13" s="701" t="n">
        <v>0</v>
      </c>
      <c r="F13" s="701" t="n">
        <v>0</v>
      </c>
      <c r="G13" s="701" t="n">
        <v>0</v>
      </c>
      <c r="H13" s="701" t="n">
        <v>0</v>
      </c>
      <c r="I13" s="701" t="n">
        <v>0</v>
      </c>
      <c r="J13" s="701" t="n">
        <v>0</v>
      </c>
      <c r="K13" s="701" t="n">
        <v>0</v>
      </c>
      <c r="L13" s="701" t="n">
        <v>0</v>
      </c>
      <c r="M13" s="701" t="n">
        <v>0</v>
      </c>
      <c r="N13" s="701" t="n">
        <v>0</v>
      </c>
      <c r="O13" s="701" t="n">
        <v>0</v>
      </c>
      <c r="P13" s="701" t="n">
        <v>13</v>
      </c>
      <c r="Q13" s="701" t="n">
        <v>0</v>
      </c>
      <c r="R13" s="701" t="n">
        <v>0</v>
      </c>
      <c r="S13" s="701" t="n">
        <v>0</v>
      </c>
      <c r="T13" s="701" t="n">
        <v>0</v>
      </c>
      <c r="U13" s="701" t="n">
        <v>0</v>
      </c>
      <c r="V13" s="701" t="n">
        <v>0</v>
      </c>
      <c r="W13" s="701" t="n">
        <v>0</v>
      </c>
      <c r="X13" s="701" t="n">
        <v>0</v>
      </c>
    </row>
    <row r="14">
      <c r="A14" t="inlineStr">
        <is>
          <t>00000000090821 - SACOLA P BOTICARIO INST/25</t>
        </is>
      </c>
      <c r="B14" s="701" t="n">
        <v>0</v>
      </c>
      <c r="C14" s="701" t="n">
        <v>0</v>
      </c>
      <c r="D14" s="701" t="n">
        <v>0</v>
      </c>
      <c r="E14" s="701" t="n">
        <v>800</v>
      </c>
      <c r="F14" s="701" t="n">
        <v>0</v>
      </c>
      <c r="G14" s="701" t="n">
        <v>0</v>
      </c>
      <c r="H14" s="701" t="n">
        <v>0</v>
      </c>
      <c r="I14" s="701" t="n">
        <v>0</v>
      </c>
      <c r="J14" s="701" t="n">
        <v>0</v>
      </c>
      <c r="K14" s="701" t="n">
        <v>0</v>
      </c>
      <c r="L14" s="701" t="n">
        <v>0</v>
      </c>
      <c r="M14" s="701" t="n">
        <v>0</v>
      </c>
      <c r="N14" s="701" t="n">
        <v>0</v>
      </c>
      <c r="O14" s="701" t="n">
        <v>0</v>
      </c>
      <c r="P14" s="701" t="n">
        <v>0</v>
      </c>
      <c r="Q14" s="701" t="n">
        <v>0</v>
      </c>
      <c r="R14" s="701" t="n">
        <v>0</v>
      </c>
      <c r="S14" s="701" t="n">
        <v>0</v>
      </c>
      <c r="T14" s="701" t="n">
        <v>0</v>
      </c>
      <c r="U14" s="701" t="n">
        <v>0</v>
      </c>
      <c r="V14" s="701" t="n">
        <v>0</v>
      </c>
      <c r="W14" s="701" t="n">
        <v>0</v>
      </c>
      <c r="X14" s="701" t="n">
        <v>0</v>
      </c>
    </row>
    <row r="15">
      <c r="A15" t="inlineStr">
        <is>
          <t>00000000090822 - SACOLA M BOTICARIO INST/25</t>
        </is>
      </c>
      <c r="B15" s="701" t="n">
        <v>0</v>
      </c>
      <c r="C15" s="701" t="n">
        <v>0</v>
      </c>
      <c r="D15" s="701" t="n">
        <v>0</v>
      </c>
      <c r="E15" s="701" t="n">
        <v>400</v>
      </c>
      <c r="F15" s="701" t="n">
        <v>0</v>
      </c>
      <c r="G15" s="701" t="n">
        <v>0</v>
      </c>
      <c r="H15" s="701" t="n">
        <v>0</v>
      </c>
      <c r="I15" s="701" t="n">
        <v>0</v>
      </c>
      <c r="J15" s="701" t="n">
        <v>0</v>
      </c>
      <c r="K15" s="701" t="n">
        <v>0</v>
      </c>
      <c r="L15" s="701" t="n">
        <v>0</v>
      </c>
      <c r="M15" s="701" t="n">
        <v>0</v>
      </c>
      <c r="N15" s="701" t="n">
        <v>0</v>
      </c>
      <c r="O15" s="701" t="n">
        <v>0</v>
      </c>
      <c r="P15" s="701" t="n">
        <v>0</v>
      </c>
      <c r="Q15" s="701" t="n">
        <v>0</v>
      </c>
      <c r="R15" s="701" t="n">
        <v>0</v>
      </c>
      <c r="S15" s="701" t="n">
        <v>0</v>
      </c>
      <c r="T15" s="701" t="n">
        <v>0</v>
      </c>
      <c r="U15" s="701" t="n">
        <v>0</v>
      </c>
      <c r="V15" s="701" t="n">
        <v>0</v>
      </c>
      <c r="W15" s="701" t="n">
        <v>0</v>
      </c>
      <c r="X15" s="701" t="n">
        <v>0</v>
      </c>
    </row>
    <row r="16">
      <c r="A16" t="inlineStr">
        <is>
          <t>00000000094389 - PAPEL SEDA BOTI INSTIT 2025 UNIT</t>
        </is>
      </c>
      <c r="B16" s="701" t="n">
        <v>0</v>
      </c>
      <c r="C16" s="701" t="n">
        <v>0</v>
      </c>
      <c r="D16" s="701" t="n">
        <v>0</v>
      </c>
      <c r="E16" s="701" t="n">
        <v>800</v>
      </c>
      <c r="F16" s="701" t="n">
        <v>0</v>
      </c>
      <c r="G16" s="701" t="n">
        <v>0</v>
      </c>
      <c r="H16" s="701" t="n">
        <v>0</v>
      </c>
      <c r="I16" s="701" t="n">
        <v>0</v>
      </c>
      <c r="J16" s="701" t="n">
        <v>0</v>
      </c>
      <c r="K16" s="701" t="n">
        <v>0</v>
      </c>
      <c r="L16" s="701" t="n">
        <v>0</v>
      </c>
      <c r="M16" s="701" t="n">
        <v>0</v>
      </c>
      <c r="N16" s="701" t="n">
        <v>0</v>
      </c>
      <c r="O16" s="701" t="n">
        <v>0</v>
      </c>
      <c r="P16" s="701" t="n">
        <v>0</v>
      </c>
      <c r="Q16" s="701" t="n">
        <v>0</v>
      </c>
      <c r="R16" s="701" t="n">
        <v>0</v>
      </c>
      <c r="S16" s="701" t="n">
        <v>0</v>
      </c>
      <c r="T16" s="701" t="n">
        <v>0</v>
      </c>
      <c r="U16" s="701" t="n">
        <v>0</v>
      </c>
      <c r="V16" s="701" t="n">
        <v>0</v>
      </c>
      <c r="W16" s="701" t="n">
        <v>0</v>
      </c>
      <c r="X16" s="701" t="n">
        <v>0</v>
      </c>
    </row>
    <row r="17">
      <c r="A17" t="inlineStr">
        <is>
          <t>00000000094802 - CAIXA LAÃ‡O M BOTI DORAMA 2025 UNIT</t>
        </is>
      </c>
      <c r="B17" s="701" t="n">
        <v>0</v>
      </c>
      <c r="C17" s="701" t="n">
        <v>0</v>
      </c>
      <c r="D17" s="701" t="n">
        <v>0</v>
      </c>
      <c r="E17" s="701" t="n">
        <v>0</v>
      </c>
      <c r="F17" s="701" t="n">
        <v>0</v>
      </c>
      <c r="G17" s="701" t="n">
        <v>0</v>
      </c>
      <c r="H17" s="701" t="n">
        <v>0</v>
      </c>
      <c r="I17" s="701" t="n">
        <v>0</v>
      </c>
      <c r="J17" s="701" t="n">
        <v>0</v>
      </c>
      <c r="K17" s="701" t="n">
        <v>0</v>
      </c>
      <c r="L17" s="701" t="n">
        <v>0</v>
      </c>
      <c r="M17" s="701" t="n">
        <v>0</v>
      </c>
      <c r="N17" s="701" t="n">
        <v>0</v>
      </c>
      <c r="O17" s="701" t="n">
        <v>0</v>
      </c>
      <c r="P17" s="701" t="n">
        <v>0</v>
      </c>
      <c r="Q17" s="701" t="n">
        <v>0</v>
      </c>
      <c r="R17" s="701" t="n">
        <v>0</v>
      </c>
      <c r="S17" s="701" t="n">
        <v>0</v>
      </c>
      <c r="T17" s="701" t="n">
        <v>8</v>
      </c>
      <c r="U17" s="701" t="n">
        <v>0</v>
      </c>
      <c r="V17" s="701" t="n">
        <v>0</v>
      </c>
      <c r="W17" s="701" t="n">
        <v>8</v>
      </c>
      <c r="X17" s="701" t="n">
        <v>0</v>
      </c>
    </row>
    <row r="18">
      <c r="A18" t="inlineStr">
        <is>
          <t>00000000094682 - CAIXA LACO M BOTI ARANHA 2025 UNIT</t>
        </is>
      </c>
      <c r="B18" s="701" t="n">
        <v>11</v>
      </c>
      <c r="C18" s="701" t="n">
        <v>0</v>
      </c>
      <c r="D18" s="701" t="n">
        <v>0</v>
      </c>
      <c r="E18" s="701" t="n">
        <v>0</v>
      </c>
      <c r="F18" s="701" t="n">
        <v>0</v>
      </c>
      <c r="G18" s="701" t="n">
        <v>4</v>
      </c>
      <c r="H18" s="701" t="n">
        <v>0</v>
      </c>
      <c r="I18" s="701" t="n">
        <v>7</v>
      </c>
      <c r="J18" s="701" t="n">
        <v>2</v>
      </c>
      <c r="K18" s="701" t="n">
        <v>0</v>
      </c>
      <c r="L18" s="701" t="n">
        <v>1</v>
      </c>
      <c r="M18" s="701" t="n">
        <v>1</v>
      </c>
      <c r="N18" s="701" t="n">
        <v>7</v>
      </c>
      <c r="O18" s="701" t="n">
        <v>0</v>
      </c>
      <c r="P18" s="701" t="n">
        <v>0</v>
      </c>
      <c r="Q18" s="701" t="n">
        <v>0</v>
      </c>
      <c r="R18" s="701" t="n">
        <v>4</v>
      </c>
      <c r="S18" s="701" t="n">
        <v>0</v>
      </c>
      <c r="T18" s="701" t="n">
        <v>11</v>
      </c>
      <c r="U18" s="701" t="n">
        <v>5</v>
      </c>
      <c r="V18" s="701" t="n">
        <v>0</v>
      </c>
      <c r="W18" s="701" t="n">
        <v>4</v>
      </c>
      <c r="X18" s="701" t="n">
        <v>0</v>
      </c>
    </row>
    <row r="19">
      <c r="A19" t="inlineStr">
        <is>
          <t>00000000094775 - CAIXA LACO P NATAL 2025 BOTI UNIT</t>
        </is>
      </c>
      <c r="B19" s="701" t="n">
        <v>0</v>
      </c>
      <c r="C19" s="701" t="n">
        <v>0</v>
      </c>
      <c r="D19" s="701" t="n">
        <v>0</v>
      </c>
      <c r="E19" s="701" t="n">
        <v>0</v>
      </c>
      <c r="F19" s="701" t="n">
        <v>0</v>
      </c>
      <c r="G19" s="701" t="n">
        <v>19</v>
      </c>
      <c r="H19" s="701" t="n">
        <v>0</v>
      </c>
      <c r="I19" s="701" t="n">
        <v>0</v>
      </c>
      <c r="J19" s="701" t="n">
        <v>4</v>
      </c>
      <c r="K19" s="701" t="n">
        <v>0</v>
      </c>
      <c r="L19" s="701" t="n">
        <v>0</v>
      </c>
      <c r="M19" s="701" t="n">
        <v>4</v>
      </c>
      <c r="N19" s="701" t="n">
        <v>0</v>
      </c>
      <c r="O19" s="701" t="n">
        <v>0</v>
      </c>
      <c r="P19" s="701" t="n">
        <v>90</v>
      </c>
      <c r="Q19" s="701" t="n">
        <v>0</v>
      </c>
      <c r="R19" s="701" t="n">
        <v>40</v>
      </c>
      <c r="S19" s="701" t="n">
        <v>0</v>
      </c>
      <c r="T19" s="701" t="n">
        <v>3</v>
      </c>
      <c r="U19" s="701" t="n">
        <v>0</v>
      </c>
      <c r="V19" s="701" t="n">
        <v>0</v>
      </c>
      <c r="W19" s="701" t="n">
        <v>15</v>
      </c>
      <c r="X19" s="701" t="n">
        <v>0</v>
      </c>
    </row>
    <row r="20">
      <c r="A20" t="inlineStr">
        <is>
          <t>00000000094776 - CAIXA LACO M NATAL 2025 BOTI UNIT</t>
        </is>
      </c>
      <c r="B20" s="701" t="n">
        <v>0</v>
      </c>
      <c r="C20" s="701" t="n">
        <v>0</v>
      </c>
      <c r="D20" s="701" t="n">
        <v>1</v>
      </c>
      <c r="E20" s="701" t="n">
        <v>0</v>
      </c>
      <c r="F20" s="701" t="n">
        <v>0</v>
      </c>
      <c r="G20" s="701" t="n">
        <v>5</v>
      </c>
      <c r="H20" s="701" t="n">
        <v>0</v>
      </c>
      <c r="I20" s="701" t="n">
        <v>3</v>
      </c>
      <c r="J20" s="701" t="n">
        <v>7</v>
      </c>
      <c r="K20" s="701" t="n">
        <v>0</v>
      </c>
      <c r="L20" s="701" t="n">
        <v>0</v>
      </c>
      <c r="M20" s="701" t="n">
        <v>0</v>
      </c>
      <c r="N20" s="701" t="n">
        <v>0</v>
      </c>
      <c r="O20" s="701" t="n">
        <v>1</v>
      </c>
      <c r="P20" s="701" t="n">
        <v>162</v>
      </c>
      <c r="Q20" s="701" t="n">
        <v>0</v>
      </c>
      <c r="R20" s="701" t="n">
        <v>0</v>
      </c>
      <c r="S20" s="701" t="n">
        <v>0</v>
      </c>
      <c r="T20" s="701" t="n">
        <v>31</v>
      </c>
      <c r="U20" s="701" t="n">
        <v>0</v>
      </c>
      <c r="V20" s="701" t="n">
        <v>0</v>
      </c>
      <c r="W20" s="701" t="n">
        <v>41</v>
      </c>
      <c r="X20" s="701" t="n">
        <v>0</v>
      </c>
    </row>
    <row r="21">
      <c r="A21" t="inlineStr">
        <is>
          <t>00000000094777 - CAIXA LACO G NATAL 2025 BOTI UNIT</t>
        </is>
      </c>
      <c r="B21" s="701" t="n">
        <v>4</v>
      </c>
      <c r="C21" s="701" t="n">
        <v>3</v>
      </c>
      <c r="D21" s="701" t="n">
        <v>0</v>
      </c>
      <c r="E21" s="701" t="n">
        <v>0</v>
      </c>
      <c r="F21" s="701" t="n">
        <v>0</v>
      </c>
      <c r="G21" s="701" t="n">
        <v>9</v>
      </c>
      <c r="H21" s="701" t="n">
        <v>0</v>
      </c>
      <c r="I21" s="701" t="n">
        <v>0</v>
      </c>
      <c r="J21" s="701" t="n">
        <v>0</v>
      </c>
      <c r="K21" s="701" t="n">
        <v>0</v>
      </c>
      <c r="L21" s="701" t="n">
        <v>0</v>
      </c>
      <c r="M21" s="701" t="n">
        <v>0</v>
      </c>
      <c r="N21" s="701" t="n">
        <v>0</v>
      </c>
      <c r="O21" s="701" t="n">
        <v>0</v>
      </c>
      <c r="P21" s="701" t="n">
        <v>0</v>
      </c>
      <c r="Q21" s="701" t="n">
        <v>0</v>
      </c>
      <c r="R21" s="701" t="n">
        <v>0</v>
      </c>
      <c r="S21" s="701" t="n">
        <v>0</v>
      </c>
      <c r="T21" s="701" t="n">
        <v>0</v>
      </c>
      <c r="U21" s="701" t="n">
        <v>0</v>
      </c>
      <c r="V21" s="701" t="n">
        <v>0</v>
      </c>
      <c r="W21" s="701" t="n">
        <v>0</v>
      </c>
      <c r="X21" s="701" t="n">
        <v>0</v>
      </c>
    </row>
    <row r="22">
      <c r="A22" t="inlineStr">
        <is>
          <t>00000000094778 - ENVELOPE P NATAL 2025 BOT UNIT</t>
        </is>
      </c>
      <c r="B22" s="701" t="n">
        <v>0</v>
      </c>
      <c r="C22" s="701" t="n">
        <v>0</v>
      </c>
      <c r="D22" s="701" t="n">
        <v>0</v>
      </c>
      <c r="E22" s="701" t="n">
        <v>0</v>
      </c>
      <c r="F22" s="701" t="n">
        <v>0</v>
      </c>
      <c r="G22" s="701" t="n">
        <v>0</v>
      </c>
      <c r="H22" s="701" t="n">
        <v>0</v>
      </c>
      <c r="I22" s="701" t="n">
        <v>0</v>
      </c>
      <c r="J22" s="701" t="n">
        <v>0</v>
      </c>
      <c r="K22" s="701" t="n">
        <v>0</v>
      </c>
      <c r="L22" s="701" t="n">
        <v>35</v>
      </c>
      <c r="M22" s="701" t="n">
        <v>0</v>
      </c>
      <c r="N22" s="701" t="n">
        <v>0</v>
      </c>
      <c r="O22" s="701" t="n">
        <v>0</v>
      </c>
      <c r="P22" s="701" t="n">
        <v>0</v>
      </c>
      <c r="Q22" s="701" t="n">
        <v>0</v>
      </c>
      <c r="R22" s="701" t="n">
        <v>0</v>
      </c>
      <c r="S22" s="701" t="n">
        <v>0</v>
      </c>
      <c r="T22" s="701" t="n">
        <v>0</v>
      </c>
      <c r="U22" s="701" t="n">
        <v>0</v>
      </c>
      <c r="V22" s="701" t="n">
        <v>0</v>
      </c>
      <c r="W22" s="701" t="n">
        <v>0</v>
      </c>
      <c r="X22" s="701" t="n">
        <v>0</v>
      </c>
    </row>
    <row r="23">
      <c r="A23" t="inlineStr">
        <is>
          <t>00000000094779 - ENVELOPE M NATAL 2025 BOTI UNIT</t>
        </is>
      </c>
      <c r="B23" s="701" t="n">
        <v>0</v>
      </c>
      <c r="C23" s="701" t="n">
        <v>0</v>
      </c>
      <c r="D23" s="701" t="n">
        <v>0</v>
      </c>
      <c r="E23" s="701" t="n">
        <v>0</v>
      </c>
      <c r="F23" s="701" t="n">
        <v>0</v>
      </c>
      <c r="G23" s="701" t="n">
        <v>1</v>
      </c>
      <c r="H23" s="701" t="n">
        <v>0</v>
      </c>
      <c r="I23" s="701" t="n">
        <v>0</v>
      </c>
      <c r="J23" s="701" t="n">
        <v>0</v>
      </c>
      <c r="K23" s="701" t="n">
        <v>0</v>
      </c>
      <c r="L23" s="701" t="n">
        <v>1</v>
      </c>
      <c r="M23" s="701" t="n">
        <v>0</v>
      </c>
      <c r="N23" s="701" t="n">
        <v>1</v>
      </c>
      <c r="O23" s="701" t="n">
        <v>0</v>
      </c>
      <c r="P23" s="701" t="n">
        <v>0</v>
      </c>
      <c r="Q23" s="701" t="n">
        <v>0</v>
      </c>
      <c r="R23" s="701" t="n">
        <v>0</v>
      </c>
      <c r="S23" s="701" t="n">
        <v>0</v>
      </c>
      <c r="T23" s="701" t="n">
        <v>0</v>
      </c>
      <c r="U23" s="701" t="n">
        <v>0</v>
      </c>
      <c r="V23" s="701" t="n">
        <v>0</v>
      </c>
      <c r="W23" s="701" t="n">
        <v>0</v>
      </c>
      <c r="X23" s="701" t="n">
        <v>0</v>
      </c>
    </row>
    <row r="24">
      <c r="A24" t="inlineStr">
        <is>
          <t>00000000095151 - PIN BOTI NATAL 2025 UNIT</t>
        </is>
      </c>
      <c r="B24" s="701" t="n">
        <v>0</v>
      </c>
      <c r="C24" s="701" t="n">
        <v>0</v>
      </c>
      <c r="D24" s="701" t="n">
        <v>0</v>
      </c>
      <c r="E24" s="701" t="n">
        <v>0</v>
      </c>
      <c r="F24" s="701" t="n">
        <v>0</v>
      </c>
      <c r="G24" s="701" t="n">
        <v>0</v>
      </c>
      <c r="H24" s="701" t="n">
        <v>0</v>
      </c>
      <c r="I24" s="701" t="n">
        <v>0</v>
      </c>
      <c r="J24" s="701" t="n">
        <v>0</v>
      </c>
      <c r="K24" s="701" t="n">
        <v>0</v>
      </c>
      <c r="L24" s="701" t="n">
        <v>0</v>
      </c>
      <c r="M24" s="701" t="n">
        <v>14</v>
      </c>
      <c r="N24" s="701" t="n">
        <v>6</v>
      </c>
      <c r="O24" s="701" t="n">
        <v>0</v>
      </c>
      <c r="P24" s="701" t="n">
        <v>1</v>
      </c>
      <c r="Q24" s="701" t="n">
        <v>3</v>
      </c>
      <c r="R24" s="701" t="n">
        <v>5</v>
      </c>
      <c r="S24" s="701" t="n">
        <v>4</v>
      </c>
      <c r="T24" s="701" t="n">
        <v>5</v>
      </c>
      <c r="U24" s="701" t="n">
        <v>0</v>
      </c>
      <c r="V24" s="701" t="n">
        <v>0</v>
      </c>
      <c r="W24" s="701" t="n">
        <v>0</v>
      </c>
      <c r="X24" s="701" t="n">
        <v>0</v>
      </c>
    </row>
    <row r="25">
      <c r="A25" t="inlineStr">
        <is>
          <t>00000000096437 - CAIXA LACO P MAES/26 BOTI UNIT</t>
        </is>
      </c>
      <c r="B25" s="701" t="n">
        <v>17</v>
      </c>
      <c r="C25" s="701" t="n">
        <v>0</v>
      </c>
      <c r="D25" s="701" t="n">
        <v>-33</v>
      </c>
      <c r="E25" s="701" t="n">
        <v>101</v>
      </c>
      <c r="F25" s="701" t="n">
        <v>-3</v>
      </c>
      <c r="G25" s="701" t="n">
        <v>0</v>
      </c>
      <c r="H25" s="701" t="n">
        <v>82</v>
      </c>
      <c r="I25" s="701" t="n">
        <v>49</v>
      </c>
      <c r="J25" s="701" t="n">
        <v>50</v>
      </c>
      <c r="K25" s="701" t="n">
        <v>89</v>
      </c>
      <c r="L25" s="701" t="n">
        <v>-1</v>
      </c>
      <c r="M25" s="701" t="n">
        <v>69</v>
      </c>
      <c r="N25" s="701" t="n">
        <v>1</v>
      </c>
      <c r="O25" s="701" t="n">
        <v>20</v>
      </c>
      <c r="P25" s="701" t="n">
        <v>0</v>
      </c>
      <c r="Q25" s="701" t="n">
        <v>0</v>
      </c>
      <c r="R25" s="701" t="n">
        <v>0</v>
      </c>
      <c r="S25" s="701" t="n">
        <v>3</v>
      </c>
      <c r="T25" s="701" t="n">
        <v>3</v>
      </c>
      <c r="U25" s="701" t="n">
        <v>0</v>
      </c>
      <c r="V25" s="701" t="n">
        <v>0</v>
      </c>
      <c r="W25" s="701" t="n">
        <v>1</v>
      </c>
      <c r="X25" s="701" t="n">
        <v>-1</v>
      </c>
    </row>
    <row r="26">
      <c r="A26" t="inlineStr">
        <is>
          <t>00000000096438 - CAIXA LACO M MAES/26 BOTI UNIT</t>
        </is>
      </c>
      <c r="B26" s="701" t="n">
        <v>2</v>
      </c>
      <c r="C26" s="701" t="n">
        <v>18</v>
      </c>
      <c r="D26" s="701" t="n">
        <v>-10</v>
      </c>
      <c r="E26" s="701" t="n">
        <v>15</v>
      </c>
      <c r="F26" s="701" t="n">
        <v>-1</v>
      </c>
      <c r="G26" s="701" t="n">
        <v>-1</v>
      </c>
      <c r="H26" s="701" t="n">
        <v>160</v>
      </c>
      <c r="I26" s="701" t="n">
        <v>177</v>
      </c>
      <c r="J26" s="701" t="n">
        <v>53</v>
      </c>
      <c r="K26" s="701" t="n">
        <v>40</v>
      </c>
      <c r="L26" s="701" t="n">
        <v>3</v>
      </c>
      <c r="M26" s="701" t="n">
        <v>49</v>
      </c>
      <c r="N26" s="701" t="n">
        <v>3</v>
      </c>
      <c r="O26" s="701" t="n">
        <v>9</v>
      </c>
      <c r="P26" s="701" t="n">
        <v>6</v>
      </c>
      <c r="Q26" s="701" t="n">
        <v>8</v>
      </c>
      <c r="R26" s="701" t="n">
        <v>5</v>
      </c>
      <c r="S26" s="701" t="n">
        <v>3</v>
      </c>
      <c r="T26" s="701" t="n">
        <v>-1</v>
      </c>
      <c r="U26" s="701" t="n">
        <v>2</v>
      </c>
      <c r="V26" s="701" t="n">
        <v>-2</v>
      </c>
      <c r="W26" s="701" t="n">
        <v>1</v>
      </c>
      <c r="X26" s="701" t="n">
        <v>1</v>
      </c>
    </row>
    <row r="27">
      <c r="A27" t="inlineStr">
        <is>
          <t>00000000096440 - ENVELOPE P MAES 2026 BOTI UNIT</t>
        </is>
      </c>
      <c r="B27" s="701" t="n">
        <v>0</v>
      </c>
      <c r="C27" s="701" t="n">
        <v>0</v>
      </c>
      <c r="D27" s="701" t="n">
        <v>0</v>
      </c>
      <c r="E27" s="701" t="n">
        <v>0</v>
      </c>
      <c r="F27" s="701" t="n">
        <v>0</v>
      </c>
      <c r="G27" s="701" t="n">
        <v>0</v>
      </c>
      <c r="H27" s="701" t="n">
        <v>46</v>
      </c>
      <c r="I27" s="701" t="n">
        <v>22</v>
      </c>
      <c r="J27" s="701" t="n">
        <v>49</v>
      </c>
      <c r="K27" s="701" t="n">
        <v>55</v>
      </c>
      <c r="L27" s="701" t="n">
        <v>69</v>
      </c>
      <c r="M27" s="701" t="n">
        <v>14</v>
      </c>
      <c r="N27" s="701" t="n">
        <v>0</v>
      </c>
      <c r="O27" s="701" t="n">
        <v>22</v>
      </c>
      <c r="P27" s="701" t="n">
        <v>0</v>
      </c>
      <c r="Q27" s="701" t="n">
        <v>0</v>
      </c>
      <c r="R27" s="701" t="n">
        <v>1</v>
      </c>
      <c r="S27" s="701" t="n">
        <v>4</v>
      </c>
      <c r="T27" s="701" t="n">
        <v>-5</v>
      </c>
      <c r="U27" s="701" t="n">
        <v>2</v>
      </c>
      <c r="V27" s="701" t="n">
        <v>-1</v>
      </c>
      <c r="W27" s="701" t="n">
        <v>0</v>
      </c>
      <c r="X27" s="701" t="n">
        <v>0</v>
      </c>
    </row>
    <row r="28">
      <c r="A28" t="inlineStr">
        <is>
          <t>00000000096441 - ENVELOPE M MAES 2026 BOTI UNIT</t>
        </is>
      </c>
      <c r="B28" s="701" t="n">
        <v>0</v>
      </c>
      <c r="C28" s="701" t="n">
        <v>1</v>
      </c>
      <c r="D28" s="701" t="n">
        <v>3</v>
      </c>
      <c r="E28" s="701" t="n">
        <v>-1</v>
      </c>
      <c r="F28" s="701" t="n">
        <v>-2</v>
      </c>
      <c r="G28" s="701" t="n">
        <v>7</v>
      </c>
      <c r="H28" s="701" t="n">
        <v>7</v>
      </c>
      <c r="I28" s="701" t="n">
        <v>20</v>
      </c>
      <c r="J28" s="701" t="n">
        <v>54</v>
      </c>
      <c r="K28" s="701" t="n">
        <v>1</v>
      </c>
      <c r="L28" s="701" t="n">
        <v>6</v>
      </c>
      <c r="M28" s="701" t="n">
        <v>12</v>
      </c>
      <c r="N28" s="701" t="n">
        <v>5</v>
      </c>
      <c r="O28" s="701" t="n">
        <v>94</v>
      </c>
      <c r="P28" s="701" t="n">
        <v>4</v>
      </c>
      <c r="Q28" s="701" t="n">
        <v>0</v>
      </c>
      <c r="R28" s="701" t="n">
        <v>0</v>
      </c>
      <c r="S28" s="701" t="n">
        <v>-2</v>
      </c>
      <c r="T28" s="701" t="n">
        <v>-4</v>
      </c>
      <c r="U28" s="701" t="n">
        <v>1</v>
      </c>
      <c r="V28" s="701" t="n">
        <v>0</v>
      </c>
      <c r="W28" s="701" t="n">
        <v>3</v>
      </c>
      <c r="X28" s="701" t="n">
        <v>1</v>
      </c>
    </row>
    <row r="29">
      <c r="A29" t="inlineStr">
        <is>
          <t>00000000044742 - FITA DE VEDACAO VOID DEVOLUCAO</t>
        </is>
      </c>
      <c r="B29" s="701" t="n">
        <v>0</v>
      </c>
      <c r="C29" s="701" t="n">
        <v>0</v>
      </c>
      <c r="D29" s="701" t="n">
        <v>0</v>
      </c>
      <c r="E29" s="701" t="n">
        <v>0</v>
      </c>
      <c r="F29" s="701" t="n">
        <v>0</v>
      </c>
      <c r="G29" s="701" t="n">
        <v>0</v>
      </c>
      <c r="H29" s="701" t="n">
        <v>0</v>
      </c>
      <c r="I29" s="701" t="n">
        <v>0</v>
      </c>
      <c r="J29" s="701" t="n">
        <v>0</v>
      </c>
      <c r="K29" s="701" t="n">
        <v>0</v>
      </c>
      <c r="L29" s="701" t="n">
        <v>0</v>
      </c>
      <c r="M29" s="701" t="n">
        <v>1</v>
      </c>
      <c r="N29" s="701" t="n">
        <v>1</v>
      </c>
      <c r="O29" s="701" t="n">
        <v>0</v>
      </c>
      <c r="P29" s="701" t="n">
        <v>0</v>
      </c>
      <c r="Q29" s="701" t="n">
        <v>0</v>
      </c>
      <c r="R29" s="701" t="n">
        <v>1</v>
      </c>
      <c r="S29" s="701" t="n">
        <v>0</v>
      </c>
      <c r="T29" s="701" t="n">
        <v>0</v>
      </c>
      <c r="U29" s="701" t="n">
        <v>0</v>
      </c>
      <c r="V29" s="701" t="n">
        <v>0</v>
      </c>
      <c r="W29" s="701" t="n">
        <v>0</v>
      </c>
      <c r="X29" s="701" t="n">
        <v>0</v>
      </c>
    </row>
    <row r="30">
      <c r="A30" t="inlineStr">
        <is>
          <t>00000000086009 - CAIXA LACO G NAT/24</t>
        </is>
      </c>
      <c r="B30" s="701" t="n">
        <v>1</v>
      </c>
      <c r="C30" s="701" t="n">
        <v>0</v>
      </c>
      <c r="D30" s="701" t="n">
        <v>0</v>
      </c>
      <c r="E30" s="701" t="n">
        <v>0</v>
      </c>
      <c r="F30" s="701" t="n">
        <v>0</v>
      </c>
      <c r="G30" s="701" t="n">
        <v>0</v>
      </c>
      <c r="H30" s="701" t="n">
        <v>0</v>
      </c>
      <c r="I30" s="701" t="n">
        <v>0</v>
      </c>
      <c r="J30" s="701" t="n">
        <v>0</v>
      </c>
      <c r="K30" s="701" t="n">
        <v>0</v>
      </c>
      <c r="L30" s="701" t="n">
        <v>0</v>
      </c>
      <c r="M30" s="701" t="n">
        <v>0</v>
      </c>
      <c r="N30" s="701" t="n">
        <v>0</v>
      </c>
      <c r="O30" s="701" t="n">
        <v>0</v>
      </c>
      <c r="P30" s="701" t="n">
        <v>0</v>
      </c>
      <c r="Q30" s="701" t="n">
        <v>0</v>
      </c>
      <c r="R30" s="701" t="n">
        <v>0</v>
      </c>
      <c r="S30" s="701" t="n">
        <v>0</v>
      </c>
      <c r="T30" s="701" t="n">
        <v>0</v>
      </c>
      <c r="U30" s="701" t="n">
        <v>0</v>
      </c>
      <c r="V30" s="701" t="n">
        <v>0</v>
      </c>
      <c r="W30" s="701" t="n">
        <v>0</v>
      </c>
      <c r="X30" s="701" t="n">
        <v>0</v>
      </c>
    </row>
    <row r="31">
      <c r="A31" t="inlineStr">
        <is>
          <t>00000000095216 - BOTI VALE PRESENTE EXPER/BELEZA 25 UN</t>
        </is>
      </c>
      <c r="B31" s="701" t="n">
        <v>25</v>
      </c>
      <c r="C31" s="701" t="n">
        <v>25</v>
      </c>
      <c r="D31" s="701" t="n">
        <v>25</v>
      </c>
      <c r="E31" s="701" t="n">
        <v>25</v>
      </c>
      <c r="F31" s="701" t="n">
        <v>25</v>
      </c>
      <c r="G31" s="701" t="n">
        <v>25</v>
      </c>
      <c r="H31" s="701" t="n">
        <v>0</v>
      </c>
      <c r="I31" s="701" t="n">
        <v>0</v>
      </c>
      <c r="J31" s="701" t="n">
        <v>0</v>
      </c>
      <c r="K31" s="701" t="n">
        <v>0</v>
      </c>
      <c r="L31" s="701" t="n">
        <v>0</v>
      </c>
      <c r="M31" s="701" t="n">
        <v>0</v>
      </c>
      <c r="N31" s="701" t="n">
        <v>0</v>
      </c>
      <c r="O31" s="701" t="n">
        <v>0</v>
      </c>
      <c r="P31" s="701" t="n">
        <v>0</v>
      </c>
      <c r="Q31" s="701" t="n">
        <v>0</v>
      </c>
      <c r="R31" s="701" t="n">
        <v>0</v>
      </c>
      <c r="S31" s="701" t="n">
        <v>0</v>
      </c>
      <c r="T31" s="701" t="n">
        <v>0</v>
      </c>
      <c r="U31" s="701" t="n">
        <v>0</v>
      </c>
      <c r="V31" s="701" t="n">
        <v>0</v>
      </c>
      <c r="W31" s="701" t="n">
        <v>0</v>
      </c>
      <c r="X31" s="701" t="n">
        <v>0</v>
      </c>
    </row>
    <row r="32">
      <c r="A32" t="inlineStr">
        <is>
          <t>00000000095219 - QDB VALE PRESENTE EXPER/BELEZA 25UN</t>
        </is>
      </c>
      <c r="B32" s="701" t="n">
        <v>25</v>
      </c>
      <c r="C32" s="701" t="n">
        <v>25</v>
      </c>
      <c r="D32" s="701" t="n">
        <v>25</v>
      </c>
      <c r="E32" s="701" t="n">
        <v>0</v>
      </c>
      <c r="F32" s="701" t="n">
        <v>25</v>
      </c>
      <c r="G32" s="701" t="n">
        <v>25</v>
      </c>
      <c r="H32" s="701" t="n">
        <v>1</v>
      </c>
      <c r="I32" s="701" t="n">
        <v>1</v>
      </c>
      <c r="J32" s="701" t="n">
        <v>1</v>
      </c>
      <c r="K32" s="701" t="n">
        <v>1</v>
      </c>
      <c r="L32" s="701" t="n">
        <v>1</v>
      </c>
      <c r="M32" s="701" t="n">
        <v>1</v>
      </c>
      <c r="N32" s="701" t="n">
        <v>1</v>
      </c>
      <c r="O32" s="701" t="n">
        <v>1</v>
      </c>
      <c r="P32" s="701" t="n">
        <v>0</v>
      </c>
      <c r="Q32" s="701" t="n">
        <v>0</v>
      </c>
      <c r="R32" s="701" t="n">
        <v>1</v>
      </c>
      <c r="S32" s="701" t="n">
        <v>0</v>
      </c>
      <c r="T32" s="701" t="n">
        <v>1</v>
      </c>
      <c r="U32" s="701" t="n">
        <v>0</v>
      </c>
      <c r="V32" s="701" t="n">
        <v>0</v>
      </c>
      <c r="W32" s="701" t="n">
        <v>0</v>
      </c>
      <c r="X32" s="701" t="n">
        <v>1</v>
      </c>
    </row>
    <row r="33">
      <c r="A33" t="inlineStr">
        <is>
          <t>00000000095221 - BOTI VALE PRESENTE PRODUTO 25UN</t>
        </is>
      </c>
      <c r="B33" s="701" t="n">
        <v>25</v>
      </c>
      <c r="C33" s="701" t="n">
        <v>25</v>
      </c>
      <c r="D33" s="701" t="n">
        <v>25</v>
      </c>
      <c r="E33" s="701" t="n">
        <v>25</v>
      </c>
      <c r="F33" s="701" t="n">
        <v>25</v>
      </c>
      <c r="G33" s="701" t="n">
        <v>25</v>
      </c>
      <c r="H33" s="701" t="n">
        <v>3</v>
      </c>
      <c r="I33" s="701" t="n">
        <v>2</v>
      </c>
      <c r="J33" s="701" t="n">
        <v>2</v>
      </c>
      <c r="K33" s="701" t="n">
        <v>2</v>
      </c>
      <c r="L33" s="701" t="n">
        <v>2</v>
      </c>
      <c r="M33" s="701" t="n">
        <v>3</v>
      </c>
      <c r="N33" s="701" t="n">
        <v>1</v>
      </c>
      <c r="O33" s="701" t="n">
        <v>1</v>
      </c>
      <c r="P33" s="701" t="n">
        <v>0</v>
      </c>
      <c r="Q33" s="701" t="n">
        <v>0</v>
      </c>
      <c r="R33" s="701" t="n">
        <v>2</v>
      </c>
      <c r="S33" s="701" t="n">
        <v>0</v>
      </c>
      <c r="T33" s="701" t="n">
        <v>3</v>
      </c>
      <c r="U33" s="701" t="n">
        <v>0</v>
      </c>
      <c r="V33" s="701" t="n">
        <v>0</v>
      </c>
      <c r="W33" s="701" t="n">
        <v>0</v>
      </c>
      <c r="X33" s="701" t="n">
        <v>1</v>
      </c>
    </row>
    <row r="34">
      <c r="A34" t="inlineStr">
        <is>
          <t>00000000095223 - QDB VALE PRESENTE PRODUTO 25UN</t>
        </is>
      </c>
      <c r="B34" s="701" t="n">
        <v>25</v>
      </c>
      <c r="C34" s="701" t="n">
        <v>25</v>
      </c>
      <c r="D34" s="701" t="n">
        <v>25</v>
      </c>
      <c r="E34" s="701" t="n">
        <v>0</v>
      </c>
      <c r="F34" s="701" t="n">
        <v>25</v>
      </c>
      <c r="G34" s="701" t="n">
        <v>25</v>
      </c>
      <c r="H34" s="701" t="n">
        <v>1</v>
      </c>
      <c r="I34" s="701" t="n">
        <v>1</v>
      </c>
      <c r="J34" s="701" t="n">
        <v>1</v>
      </c>
      <c r="K34" s="701" t="n">
        <v>1</v>
      </c>
      <c r="L34" s="701" t="n">
        <v>1</v>
      </c>
      <c r="M34" s="701" t="n">
        <v>1</v>
      </c>
      <c r="N34" s="701" t="n">
        <v>1</v>
      </c>
      <c r="O34" s="701" t="n">
        <v>1</v>
      </c>
      <c r="P34" s="701" t="n">
        <v>0</v>
      </c>
      <c r="Q34" s="701" t="n">
        <v>0</v>
      </c>
      <c r="R34" s="701" t="n">
        <v>1</v>
      </c>
      <c r="S34" s="701" t="n">
        <v>0</v>
      </c>
      <c r="T34" s="701" t="n">
        <v>1</v>
      </c>
      <c r="U34" s="701" t="n">
        <v>1</v>
      </c>
      <c r="V34" s="701" t="n">
        <v>0</v>
      </c>
      <c r="W34" s="701" t="n">
        <v>1</v>
      </c>
      <c r="X34" s="701" t="n">
        <v>1</v>
      </c>
    </row>
    <row r="35">
      <c r="A35" t="inlineStr">
        <is>
          <t>00000000096448 - SACOLA TOP M BOTI MAES 2026 UNIT</t>
        </is>
      </c>
      <c r="B35" s="701" t="n">
        <v>0</v>
      </c>
      <c r="C35" s="701" t="n">
        <v>0</v>
      </c>
      <c r="D35" s="701" t="n">
        <v>-1</v>
      </c>
      <c r="E35" s="701" t="n">
        <v>0</v>
      </c>
      <c r="F35" s="701" t="n">
        <v>0</v>
      </c>
      <c r="G35" s="701" t="n">
        <v>0</v>
      </c>
      <c r="H35" s="701" t="n">
        <v>0</v>
      </c>
      <c r="I35" s="701" t="n">
        <v>0</v>
      </c>
      <c r="J35" s="701" t="n">
        <v>0</v>
      </c>
      <c r="K35" s="701" t="n">
        <v>0</v>
      </c>
      <c r="L35" s="701" t="n">
        <v>0</v>
      </c>
      <c r="M35" s="701" t="n">
        <v>0</v>
      </c>
      <c r="N35" s="701" t="n">
        <v>0</v>
      </c>
      <c r="O35" s="701" t="n">
        <v>0</v>
      </c>
      <c r="P35" s="701" t="n">
        <v>0</v>
      </c>
      <c r="Q35" s="701" t="n">
        <v>0</v>
      </c>
      <c r="R35" s="701" t="n">
        <v>0</v>
      </c>
      <c r="S35" s="701" t="n">
        <v>0</v>
      </c>
      <c r="T35" s="701" t="n">
        <v>0</v>
      </c>
      <c r="U35" s="701" t="n">
        <v>0</v>
      </c>
      <c r="V35" s="701" t="n">
        <v>0</v>
      </c>
      <c r="W35" s="701" t="n">
        <v>0</v>
      </c>
      <c r="X35" s="701" t="n">
        <v>0</v>
      </c>
    </row>
    <row r="36">
      <c r="A36" t="inlineStr">
        <is>
          <t>00000000096579 - CAIXA LACO M AMOR 2026 BOTI UNIT</t>
        </is>
      </c>
      <c r="B36" s="701" t="n">
        <v>200</v>
      </c>
      <c r="C36" s="701" t="n">
        <v>50</v>
      </c>
      <c r="D36" s="701" t="n">
        <v>0</v>
      </c>
      <c r="E36" s="701" t="n">
        <v>100</v>
      </c>
      <c r="F36" s="701" t="n">
        <v>50</v>
      </c>
      <c r="G36" s="701" t="n">
        <v>0</v>
      </c>
      <c r="H36" s="701" t="n">
        <v>150</v>
      </c>
      <c r="I36" s="701" t="n">
        <v>200</v>
      </c>
      <c r="J36" s="701" t="n">
        <v>0</v>
      </c>
      <c r="K36" s="701" t="n">
        <v>50</v>
      </c>
      <c r="L36" s="701" t="n">
        <v>0</v>
      </c>
      <c r="M36" s="701" t="n">
        <v>0</v>
      </c>
      <c r="N36" s="701" t="n">
        <v>0</v>
      </c>
      <c r="O36" s="701" t="n">
        <v>0</v>
      </c>
      <c r="P36" s="701" t="n">
        <v>0</v>
      </c>
      <c r="Q36" s="701" t="n">
        <v>50</v>
      </c>
      <c r="R36" s="701" t="n">
        <v>50</v>
      </c>
      <c r="S36" s="701" t="n">
        <v>50</v>
      </c>
      <c r="T36" s="701" t="n">
        <v>50</v>
      </c>
      <c r="U36" s="701" t="n">
        <v>50</v>
      </c>
      <c r="V36" s="701" t="n">
        <v>50</v>
      </c>
      <c r="W36" s="701" t="n">
        <v>0</v>
      </c>
      <c r="X36" s="701" t="n">
        <v>50</v>
      </c>
    </row>
    <row r="37">
      <c r="A37" t="inlineStr">
        <is>
          <t>00000000096583 - ENVELOPE M AMOR 2026 BOTI UNIT</t>
        </is>
      </c>
      <c r="B37" s="701" t="n">
        <v>300</v>
      </c>
      <c r="C37" s="701" t="n">
        <v>50</v>
      </c>
      <c r="D37" s="701" t="n">
        <v>0</v>
      </c>
      <c r="E37" s="701" t="n">
        <v>100</v>
      </c>
      <c r="F37" s="701" t="n">
        <v>50</v>
      </c>
      <c r="G37" s="701" t="n">
        <v>0</v>
      </c>
      <c r="H37" s="701" t="n">
        <v>100</v>
      </c>
      <c r="I37" s="701" t="n">
        <v>100</v>
      </c>
      <c r="J37" s="701" t="n">
        <v>0</v>
      </c>
      <c r="K37" s="701" t="n">
        <v>50</v>
      </c>
      <c r="L37" s="701" t="n">
        <v>0</v>
      </c>
      <c r="M37" s="701" t="n">
        <v>0</v>
      </c>
      <c r="N37" s="701" t="n">
        <v>0</v>
      </c>
      <c r="O37" s="701" t="n">
        <v>0</v>
      </c>
      <c r="P37" s="701" t="n">
        <v>0</v>
      </c>
      <c r="Q37" s="701" t="n">
        <v>50</v>
      </c>
      <c r="R37" s="701" t="n">
        <v>50</v>
      </c>
      <c r="S37" s="701" t="n">
        <v>50</v>
      </c>
      <c r="T37" s="701" t="n">
        <v>100</v>
      </c>
      <c r="U37" s="701" t="n">
        <v>50</v>
      </c>
      <c r="V37" s="701" t="n">
        <v>50</v>
      </c>
      <c r="W37" s="701" t="n">
        <v>0</v>
      </c>
      <c r="X37" s="701" t="n">
        <v>100</v>
      </c>
    </row>
    <row r="38">
      <c r="A38" s="654" t="inlineStr">
        <is>
          <t>Total</t>
        </is>
      </c>
      <c r="B38" s="703" t="n">
        <v>1276</v>
      </c>
      <c r="C38" s="703" t="n">
        <v>766</v>
      </c>
      <c r="D38" s="703" t="n">
        <v>246</v>
      </c>
      <c r="E38" s="703" t="n">
        <v>2542</v>
      </c>
      <c r="F38" s="703" t="n">
        <v>285</v>
      </c>
      <c r="G38" s="703" t="n">
        <v>347</v>
      </c>
      <c r="H38" s="703" t="n">
        <v>1712</v>
      </c>
      <c r="I38" s="703" t="n">
        <v>1545</v>
      </c>
      <c r="J38" s="703" t="n">
        <v>792</v>
      </c>
      <c r="K38" s="703" t="n">
        <v>1275</v>
      </c>
      <c r="L38" s="703" t="n">
        <v>672</v>
      </c>
      <c r="M38" s="703" t="n">
        <v>788</v>
      </c>
      <c r="N38" s="703" t="n">
        <v>664</v>
      </c>
      <c r="O38" s="703" t="n">
        <v>555</v>
      </c>
      <c r="P38" s="703" t="n">
        <v>580</v>
      </c>
      <c r="Q38" s="703" t="n">
        <v>696</v>
      </c>
      <c r="R38" s="703" t="n">
        <v>901</v>
      </c>
      <c r="S38" s="703" t="n">
        <v>629</v>
      </c>
      <c r="T38" s="703" t="n">
        <v>954</v>
      </c>
      <c r="U38" s="703" t="n">
        <v>264</v>
      </c>
      <c r="V38" s="703" t="n">
        <v>400</v>
      </c>
      <c r="W38" s="703" t="n">
        <v>369</v>
      </c>
      <c r="X38" s="703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21">
    <tabColor theme="8"/>
    <outlinePr summaryBelow="1" summaryRight="1"/>
    <pageSetUpPr/>
  </sheetPr>
  <dimension ref="A1:K83"/>
  <sheetViews>
    <sheetView tabSelected="1" workbookViewId="0">
      <selection activeCell="O24" sqref="O24"/>
    </sheetView>
  </sheetViews>
  <sheetFormatPr baseColWidth="8" defaultRowHeight="15"/>
  <cols>
    <col width="60.85546875" customWidth="1" style="684" min="1" max="1"/>
    <col hidden="1" width="7.28515625" customWidth="1" style="684" min="2" max="6"/>
    <col width="7.28515625" customWidth="1" style="684" min="7" max="8"/>
    <col hidden="1" width="7.28515625" customWidth="1" style="684" min="9" max="11"/>
  </cols>
  <sheetData>
    <row r="1">
      <c r="A1" s="656" t="inlineStr">
        <is>
          <t>Produtos</t>
        </is>
      </c>
      <c r="B1" s="657" t="n">
        <v>14356</v>
      </c>
      <c r="C1" s="657" t="n">
        <v>24790</v>
      </c>
      <c r="D1" s="657" t="n">
        <v>23614</v>
      </c>
      <c r="E1" s="657" t="n">
        <v>23343</v>
      </c>
      <c r="F1" s="657" t="n">
        <v>24119</v>
      </c>
      <c r="G1" s="658" t="n">
        <v>23280</v>
      </c>
      <c r="H1" s="658" t="n">
        <v>22851</v>
      </c>
      <c r="I1" s="659" t="n">
        <v>23091</v>
      </c>
      <c r="J1" s="659" t="n">
        <v>22838</v>
      </c>
      <c r="K1" s="659" t="n">
        <v>24137</v>
      </c>
    </row>
    <row r="2">
      <c r="A2" s="660" t="inlineStr">
        <is>
          <t>00000000090819 - SACOLA PP BOTICARIO INST/25</t>
        </is>
      </c>
      <c r="B2" s="704" t="n">
        <v>0</v>
      </c>
      <c r="C2" s="704" t="n">
        <v>79</v>
      </c>
      <c r="D2" s="704" t="n">
        <v>106</v>
      </c>
      <c r="E2" s="704" t="n">
        <v>190</v>
      </c>
      <c r="F2" s="704" t="n">
        <v>0</v>
      </c>
      <c r="G2" s="705" t="n">
        <v>12</v>
      </c>
      <c r="H2" s="704" t="n">
        <v>0</v>
      </c>
      <c r="I2" s="704" t="n">
        <v>147</v>
      </c>
      <c r="J2" s="704" t="n">
        <v>153</v>
      </c>
      <c r="K2" s="704" t="n">
        <v>40</v>
      </c>
    </row>
    <row r="3">
      <c r="A3" s="662" t="inlineStr">
        <is>
          <t>00000000090821 - SACOLA P BOTICARIO INST/25</t>
        </is>
      </c>
      <c r="B3" s="706" t="n">
        <v>0</v>
      </c>
      <c r="C3" s="706" t="n">
        <v>126</v>
      </c>
      <c r="D3" s="706" t="n">
        <v>561</v>
      </c>
      <c r="E3" s="706" t="n">
        <v>200</v>
      </c>
      <c r="F3" s="706" t="n">
        <v>200</v>
      </c>
      <c r="G3" s="705" t="n">
        <v>354</v>
      </c>
      <c r="H3" s="706" t="n">
        <v>0</v>
      </c>
      <c r="I3" s="706" t="n">
        <v>0</v>
      </c>
      <c r="J3" s="706" t="n">
        <v>252</v>
      </c>
      <c r="K3" s="706" t="n">
        <v>0</v>
      </c>
    </row>
    <row r="4">
      <c r="A4" s="660" t="inlineStr">
        <is>
          <t>00000000090822 - SACOLA M BOTICARIO INST/25</t>
        </is>
      </c>
      <c r="B4" s="704" t="n">
        <v>0</v>
      </c>
      <c r="C4" s="704" t="n">
        <v>132</v>
      </c>
      <c r="D4" s="704" t="n">
        <v>370</v>
      </c>
      <c r="E4" s="704" t="n">
        <v>200</v>
      </c>
      <c r="F4" s="704" t="n">
        <v>200</v>
      </c>
      <c r="G4" s="705" t="n">
        <v>0</v>
      </c>
      <c r="H4" s="704" t="n">
        <v>0</v>
      </c>
      <c r="I4" s="704" t="n">
        <v>0</v>
      </c>
      <c r="J4" s="704" t="n">
        <v>395</v>
      </c>
      <c r="K4" s="704" t="n">
        <v>0</v>
      </c>
    </row>
    <row r="5">
      <c r="A5" s="662" t="inlineStr">
        <is>
          <t>00000000003591 - KIT SACOLA PP INST 2021 VERDE C/10</t>
        </is>
      </c>
      <c r="B5" s="706" t="n">
        <v>0</v>
      </c>
      <c r="C5" s="706" t="n">
        <v>0</v>
      </c>
      <c r="D5" s="706" t="n">
        <v>4</v>
      </c>
      <c r="E5" s="706" t="n">
        <v>23</v>
      </c>
      <c r="F5" s="706" t="n">
        <v>0</v>
      </c>
      <c r="G5" s="706" t="n">
        <v>0</v>
      </c>
      <c r="H5" s="706" t="n">
        <v>0</v>
      </c>
      <c r="I5" s="706" t="n">
        <v>0</v>
      </c>
      <c r="J5" s="706" t="n">
        <v>0</v>
      </c>
      <c r="K5" s="706" t="n">
        <v>0</v>
      </c>
    </row>
    <row r="6">
      <c r="A6" s="660" t="inlineStr">
        <is>
          <t>00000000003608 - KIT SACOLA P INST 2021 VERDE C/10</t>
        </is>
      </c>
      <c r="B6" s="704" t="n">
        <v>0</v>
      </c>
      <c r="C6" s="704" t="n">
        <v>3</v>
      </c>
      <c r="D6" s="704" t="n">
        <v>6</v>
      </c>
      <c r="E6" s="704" t="n">
        <v>11</v>
      </c>
      <c r="F6" s="704" t="n">
        <v>0</v>
      </c>
      <c r="G6" s="704" t="n">
        <v>0</v>
      </c>
      <c r="H6" s="704" t="n">
        <v>0</v>
      </c>
      <c r="I6" s="704" t="n">
        <v>0</v>
      </c>
      <c r="J6" s="704" t="n">
        <v>0</v>
      </c>
      <c r="K6" s="704" t="n">
        <v>0</v>
      </c>
    </row>
    <row r="7">
      <c r="A7" s="662" t="inlineStr">
        <is>
          <t>00000000003610 - KIT SACOLA M INST 2021 VERDE C/10</t>
        </is>
      </c>
      <c r="B7" s="706" t="n">
        <v>0</v>
      </c>
      <c r="C7" s="706" t="n">
        <v>0</v>
      </c>
      <c r="D7" s="706" t="n">
        <v>10</v>
      </c>
      <c r="E7" s="706" t="n">
        <v>28</v>
      </c>
      <c r="F7" s="706" t="n">
        <v>0</v>
      </c>
      <c r="G7" s="706" t="n">
        <v>0</v>
      </c>
      <c r="H7" s="706" t="n">
        <v>0</v>
      </c>
      <c r="I7" s="706" t="n">
        <v>0</v>
      </c>
      <c r="J7" s="706" t="n">
        <v>9</v>
      </c>
      <c r="K7" s="706" t="n">
        <v>0</v>
      </c>
    </row>
    <row r="8">
      <c r="A8" s="660" t="inlineStr">
        <is>
          <t>00000000094389 - PAPEL SEDA BOTI INSTIT 2025 UNIT</t>
        </is>
      </c>
      <c r="B8" s="704" t="n">
        <v>0</v>
      </c>
      <c r="C8" s="704" t="n">
        <v>0</v>
      </c>
      <c r="D8" s="704" t="n">
        <v>0</v>
      </c>
      <c r="E8" s="704" t="n">
        <v>0</v>
      </c>
      <c r="F8" s="704" t="n">
        <v>0</v>
      </c>
      <c r="G8" s="705" t="n">
        <v>9</v>
      </c>
      <c r="H8" s="705" t="n">
        <v>140</v>
      </c>
      <c r="I8" s="704" t="n">
        <v>0</v>
      </c>
      <c r="J8" s="704" t="n">
        <v>0</v>
      </c>
      <c r="K8" s="704" t="n">
        <v>38</v>
      </c>
    </row>
    <row r="9">
      <c r="A9" s="662" t="inlineStr">
        <is>
          <t>00000000043673 - KIT VD INSTITUCIONAL PAPEL DE SEDA C/25</t>
        </is>
      </c>
      <c r="B9" s="706" t="n">
        <v>0</v>
      </c>
      <c r="C9" s="706" t="n">
        <v>42</v>
      </c>
      <c r="D9" s="706" t="n">
        <v>24</v>
      </c>
      <c r="E9" s="706" t="n">
        <v>8</v>
      </c>
      <c r="F9" s="706" t="n">
        <v>12</v>
      </c>
      <c r="G9" s="706" t="n">
        <v>0</v>
      </c>
      <c r="H9" s="706" t="n">
        <v>0</v>
      </c>
      <c r="I9" s="706" t="n">
        <v>0</v>
      </c>
      <c r="J9" s="706" t="n">
        <v>0</v>
      </c>
      <c r="K9" s="706" t="n">
        <v>0</v>
      </c>
    </row>
    <row r="10">
      <c r="A10" s="660" t="inlineStr">
        <is>
          <t>00000000030190 - CART ADESIVOS INST 2021 C/50</t>
        </is>
      </c>
      <c r="B10" s="704" t="n">
        <v>0</v>
      </c>
      <c r="C10" s="704" t="n">
        <v>38</v>
      </c>
      <c r="D10" s="704" t="n">
        <v>58</v>
      </c>
      <c r="E10" s="704" t="n">
        <v>1</v>
      </c>
      <c r="F10" s="704" t="n">
        <v>33</v>
      </c>
      <c r="G10" s="705" t="n">
        <v>0</v>
      </c>
      <c r="H10" s="704" t="n">
        <v>0</v>
      </c>
      <c r="I10" s="704" t="n">
        <v>0</v>
      </c>
      <c r="J10" s="704" t="n">
        <v>0</v>
      </c>
      <c r="K10" s="704" t="n">
        <v>0</v>
      </c>
    </row>
    <row r="11">
      <c r="A11" s="662" t="inlineStr">
        <is>
          <t>00000000045033 - KIT TAG INST. VD S/ FIT C/20 UN</t>
        </is>
      </c>
      <c r="B11" s="706" t="n">
        <v>0</v>
      </c>
      <c r="C11" s="706" t="n">
        <v>0</v>
      </c>
      <c r="D11" s="706" t="n">
        <v>0</v>
      </c>
      <c r="E11" s="706" t="n">
        <v>23</v>
      </c>
      <c r="F11" s="706" t="n">
        <v>0</v>
      </c>
      <c r="G11" s="706" t="n">
        <v>0</v>
      </c>
      <c r="H11" s="706" t="n">
        <v>0</v>
      </c>
      <c r="I11" s="706" t="n">
        <v>0</v>
      </c>
      <c r="J11" s="706" t="n">
        <v>0</v>
      </c>
      <c r="K11" s="706" t="n">
        <v>0</v>
      </c>
    </row>
    <row r="12">
      <c r="A12" s="660" t="inlineStr">
        <is>
          <t>00000000043763 - KIT VD INST TAG C/50</t>
        </is>
      </c>
      <c r="B12" s="704" t="n">
        <v>0</v>
      </c>
      <c r="C12" s="704" t="n">
        <v>0</v>
      </c>
      <c r="D12" s="704" t="n">
        <v>0</v>
      </c>
      <c r="E12" s="704" t="n">
        <v>15</v>
      </c>
      <c r="F12" s="704" t="n">
        <v>0</v>
      </c>
      <c r="G12" s="705" t="n">
        <v>9</v>
      </c>
      <c r="H12" s="704" t="n">
        <v>0</v>
      </c>
      <c r="I12" s="704" t="n">
        <v>0</v>
      </c>
      <c r="J12" s="704" t="n">
        <v>1</v>
      </c>
      <c r="K12" s="704" t="n">
        <v>0</v>
      </c>
    </row>
    <row r="13">
      <c r="A13" s="662" t="inlineStr">
        <is>
          <t>00000000030194 - TAG P/SACOLA INST 2021 KIT C/50 UN VD</t>
        </is>
      </c>
      <c r="B13" s="706" t="n">
        <v>0</v>
      </c>
      <c r="C13" s="706" t="n">
        <v>63</v>
      </c>
      <c r="D13" s="706" t="n">
        <v>42</v>
      </c>
      <c r="E13" s="706" t="n">
        <v>0</v>
      </c>
      <c r="F13" s="706" t="n">
        <v>0</v>
      </c>
      <c r="G13" s="706" t="n">
        <v>0</v>
      </c>
      <c r="H13" s="706" t="n">
        <v>0</v>
      </c>
      <c r="I13" s="706" t="n">
        <v>0</v>
      </c>
      <c r="J13" s="706" t="n">
        <v>0</v>
      </c>
      <c r="K13" s="706" t="n">
        <v>0</v>
      </c>
    </row>
    <row r="14">
      <c r="A14" s="660" t="inlineStr">
        <is>
          <t>00000000089402 - CAIXA PRESENTE P BOT INST/25 VDA</t>
        </is>
      </c>
      <c r="B14" s="704" t="n">
        <v>0</v>
      </c>
      <c r="C14" s="704" t="n">
        <v>0</v>
      </c>
      <c r="D14" s="704" t="n">
        <v>0</v>
      </c>
      <c r="E14" s="704" t="n">
        <v>0</v>
      </c>
      <c r="F14" s="704" t="n">
        <v>0</v>
      </c>
      <c r="G14" s="705" t="n">
        <v>125</v>
      </c>
      <c r="H14" s="705" t="n">
        <v>104</v>
      </c>
      <c r="I14" s="704" t="n">
        <v>100</v>
      </c>
      <c r="J14" s="704" t="n">
        <v>0</v>
      </c>
      <c r="K14" s="704" t="n">
        <v>0</v>
      </c>
    </row>
    <row r="15">
      <c r="A15" s="662" t="inlineStr">
        <is>
          <t>00000000003682 - KIT CAIXA P INST 2021 VERDE VD</t>
        </is>
      </c>
      <c r="B15" s="706" t="n">
        <v>0</v>
      </c>
      <c r="C15" s="706" t="n">
        <v>0</v>
      </c>
      <c r="D15" s="706" t="n">
        <v>4</v>
      </c>
      <c r="E15" s="706" t="n">
        <v>0</v>
      </c>
      <c r="F15" s="706" t="n">
        <v>0</v>
      </c>
      <c r="G15" s="706" t="n">
        <v>0</v>
      </c>
      <c r="H15" s="706" t="n">
        <v>0</v>
      </c>
      <c r="I15" s="706" t="n">
        <v>0</v>
      </c>
      <c r="J15" s="706" t="n">
        <v>0</v>
      </c>
      <c r="K15" s="706" t="n">
        <v>5</v>
      </c>
    </row>
    <row r="16">
      <c r="A16" s="660" t="inlineStr">
        <is>
          <t>00000000089401 - CX PRESENTE M BOTI INST/25 VDA</t>
        </is>
      </c>
      <c r="B16" s="704" t="n">
        <v>0</v>
      </c>
      <c r="C16" s="704" t="n">
        <v>0</v>
      </c>
      <c r="D16" s="704" t="n">
        <v>0</v>
      </c>
      <c r="E16" s="704" t="n">
        <v>0</v>
      </c>
      <c r="F16" s="704" t="n">
        <v>0</v>
      </c>
      <c r="G16" s="705" t="n">
        <v>45</v>
      </c>
      <c r="H16" s="704" t="n">
        <v>0</v>
      </c>
      <c r="I16" s="704" t="n">
        <v>48</v>
      </c>
      <c r="J16" s="704" t="n">
        <v>73</v>
      </c>
      <c r="K16" s="704" t="n">
        <v>0</v>
      </c>
    </row>
    <row r="17">
      <c r="A17" s="662" t="inlineStr">
        <is>
          <t>00000000003704 - KIT CAIXA G INST 2021 VERDE VD</t>
        </is>
      </c>
      <c r="B17" s="706" t="n">
        <v>0</v>
      </c>
      <c r="C17" s="706" t="n">
        <v>0</v>
      </c>
      <c r="D17" s="706" t="n">
        <v>0</v>
      </c>
      <c r="E17" s="706" t="n">
        <v>0</v>
      </c>
      <c r="F17" s="706" t="n">
        <v>0</v>
      </c>
      <c r="G17" s="705" t="n">
        <v>0</v>
      </c>
      <c r="H17" s="706" t="n">
        <v>0</v>
      </c>
      <c r="I17" s="706" t="n">
        <v>0</v>
      </c>
      <c r="J17" s="706" t="n">
        <v>0</v>
      </c>
      <c r="K17" s="706" t="n">
        <v>2</v>
      </c>
    </row>
    <row r="18">
      <c r="A18" s="660" t="inlineStr">
        <is>
          <t>00000000054572 - KIT OVERBAG BOTI PRESENTEAR ECOMMERCE M</t>
        </is>
      </c>
      <c r="B18" s="704" t="n">
        <v>0</v>
      </c>
      <c r="C18" s="704" t="n">
        <v>0</v>
      </c>
      <c r="D18" s="704" t="n">
        <v>0</v>
      </c>
      <c r="E18" s="704" t="n">
        <v>0</v>
      </c>
      <c r="F18" s="704" t="n">
        <v>0</v>
      </c>
      <c r="G18" s="705" t="n">
        <v>23</v>
      </c>
      <c r="H18" s="704" t="n">
        <v>0</v>
      </c>
      <c r="I18" s="704" t="n">
        <v>0</v>
      </c>
      <c r="J18" s="704" t="n">
        <v>8</v>
      </c>
      <c r="K18" s="704" t="n">
        <v>0</v>
      </c>
    </row>
    <row r="19">
      <c r="A19" s="662" t="inlineStr">
        <is>
          <t>00000000046885 - O.U.i SACOLA P 2021</t>
        </is>
      </c>
      <c r="B19" s="706" t="n">
        <v>0</v>
      </c>
      <c r="C19" s="706" t="n">
        <v>4</v>
      </c>
      <c r="D19" s="706" t="n">
        <v>12</v>
      </c>
      <c r="E19" s="706" t="n">
        <v>23</v>
      </c>
      <c r="F19" s="706" t="n">
        <v>0</v>
      </c>
      <c r="G19" s="705" t="n">
        <v>38</v>
      </c>
      <c r="H19" s="705" t="n">
        <v>3</v>
      </c>
      <c r="I19" s="706" t="n">
        <v>116</v>
      </c>
      <c r="J19" s="706" t="n">
        <v>0</v>
      </c>
      <c r="K19" s="706" t="n">
        <v>2</v>
      </c>
    </row>
    <row r="20">
      <c r="A20" s="660" t="inlineStr">
        <is>
          <t>00000000046886 - O.U.I SACOLA M 2021</t>
        </is>
      </c>
      <c r="B20" s="704" t="n">
        <v>0</v>
      </c>
      <c r="C20" s="704" t="n">
        <v>9</v>
      </c>
      <c r="D20" s="704" t="n">
        <v>19</v>
      </c>
      <c r="E20" s="704" t="n">
        <v>11</v>
      </c>
      <c r="F20" s="704" t="n">
        <v>0</v>
      </c>
      <c r="G20" s="705" t="n">
        <v>18</v>
      </c>
      <c r="H20" s="705" t="n">
        <v>12</v>
      </c>
      <c r="I20" s="704" t="n">
        <v>79</v>
      </c>
      <c r="J20" s="704" t="n">
        <v>0</v>
      </c>
      <c r="K20" s="704" t="n">
        <v>0</v>
      </c>
    </row>
    <row r="21">
      <c r="A21" s="662" t="inlineStr">
        <is>
          <t>00000000046887 - O.U.I SACOLA G 2021</t>
        </is>
      </c>
      <c r="B21" s="706" t="n">
        <v>0</v>
      </c>
      <c r="C21" s="706" t="n">
        <v>7</v>
      </c>
      <c r="D21" s="706" t="n">
        <v>13</v>
      </c>
      <c r="E21" s="706" t="n">
        <v>18</v>
      </c>
      <c r="F21" s="706" t="n">
        <v>0</v>
      </c>
      <c r="G21" s="705" t="n">
        <v>0</v>
      </c>
      <c r="H21" s="705" t="n">
        <v>0</v>
      </c>
      <c r="I21" s="706" t="n">
        <v>7</v>
      </c>
      <c r="J21" s="706" t="n">
        <v>0</v>
      </c>
      <c r="K21" s="706" t="n">
        <v>3</v>
      </c>
    </row>
    <row r="22">
      <c r="A22" s="660" t="inlineStr">
        <is>
          <t>00000000046888 - O.U.I KIT CAIXA P 2021</t>
        </is>
      </c>
      <c r="B22" s="704" t="n">
        <v>0</v>
      </c>
      <c r="C22" s="704" t="n">
        <v>19</v>
      </c>
      <c r="D22" s="704" t="n">
        <v>57</v>
      </c>
      <c r="E22" s="704" t="n">
        <v>16</v>
      </c>
      <c r="F22" s="704" t="n">
        <v>5</v>
      </c>
      <c r="G22" s="705" t="n">
        <v>46</v>
      </c>
      <c r="H22" s="705" t="n">
        <v>81</v>
      </c>
      <c r="I22" s="704" t="n">
        <v>39</v>
      </c>
      <c r="J22" s="704" t="n">
        <v>21</v>
      </c>
      <c r="K22" s="704" t="n">
        <v>6</v>
      </c>
    </row>
    <row r="23">
      <c r="A23" s="662" t="inlineStr">
        <is>
          <t>00000000046890 - O.U.I KIT CAIXA M 2021</t>
        </is>
      </c>
      <c r="B23" s="706" t="n">
        <v>0</v>
      </c>
      <c r="C23" s="706" t="n">
        <v>9</v>
      </c>
      <c r="D23" s="706" t="n">
        <v>32</v>
      </c>
      <c r="E23" s="706" t="n">
        <v>23</v>
      </c>
      <c r="F23" s="706" t="n">
        <v>2</v>
      </c>
      <c r="G23" s="705" t="n">
        <v>3</v>
      </c>
      <c r="H23" s="705" t="n">
        <v>86</v>
      </c>
      <c r="I23" s="706" t="n">
        <v>46</v>
      </c>
      <c r="J23" s="706" t="n">
        <v>1</v>
      </c>
      <c r="K23" s="706" t="n">
        <v>6</v>
      </c>
    </row>
    <row r="24">
      <c r="A24" s="660" t="inlineStr">
        <is>
          <t>00000000046891 - O.U.I KIT CAIXA G 2021</t>
        </is>
      </c>
      <c r="B24" s="704" t="n">
        <v>0</v>
      </c>
      <c r="C24" s="704" t="n">
        <v>15</v>
      </c>
      <c r="D24" s="704" t="n">
        <v>48</v>
      </c>
      <c r="E24" s="704" t="n">
        <v>6</v>
      </c>
      <c r="F24" s="704" t="n">
        <v>3</v>
      </c>
      <c r="G24" s="705" t="n">
        <v>44</v>
      </c>
      <c r="H24" s="705" t="n">
        <v>40</v>
      </c>
      <c r="I24" s="704" t="n">
        <v>19</v>
      </c>
      <c r="J24" s="704" t="n">
        <v>28</v>
      </c>
      <c r="K24" s="704" t="n">
        <v>9</v>
      </c>
    </row>
    <row r="25">
      <c r="A25" s="662" t="inlineStr">
        <is>
          <t>00000000047162 - OUI CAIXA M 2021</t>
        </is>
      </c>
      <c r="B25" s="706" t="n">
        <v>0</v>
      </c>
      <c r="C25" s="706" t="n">
        <v>0</v>
      </c>
      <c r="D25" s="706" t="n">
        <v>0</v>
      </c>
      <c r="E25" s="706" t="n">
        <v>0</v>
      </c>
      <c r="F25" s="706" t="n">
        <v>0</v>
      </c>
      <c r="G25" s="706" t="n">
        <v>0</v>
      </c>
      <c r="H25" s="706" t="n">
        <v>0</v>
      </c>
      <c r="I25" s="706" t="n">
        <v>0</v>
      </c>
      <c r="J25" s="706" t="n">
        <v>2</v>
      </c>
      <c r="K25" s="706" t="n">
        <v>0</v>
      </c>
    </row>
    <row r="26">
      <c r="A26" s="660" t="inlineStr">
        <is>
          <t>00000000050110 - CAIXA QDB P INSTITUCIONAL/21</t>
        </is>
      </c>
      <c r="B26" s="704" t="n">
        <v>0</v>
      </c>
      <c r="C26" s="704" t="n">
        <v>0</v>
      </c>
      <c r="D26" s="704" t="n">
        <v>0</v>
      </c>
      <c r="E26" s="704" t="n">
        <v>0</v>
      </c>
      <c r="F26" s="704" t="n">
        <v>0</v>
      </c>
      <c r="G26" s="705" t="n">
        <v>9</v>
      </c>
      <c r="H26" s="704" t="n">
        <v>0</v>
      </c>
      <c r="I26" s="704" t="n">
        <v>0</v>
      </c>
      <c r="J26" s="704" t="n">
        <v>1</v>
      </c>
      <c r="K26" s="704" t="n">
        <v>0</v>
      </c>
    </row>
    <row r="27">
      <c r="A27" s="662" t="inlineStr">
        <is>
          <t>00000000056369 - CAIXA QDB P INST 2023</t>
        </is>
      </c>
      <c r="B27" s="706" t="n">
        <v>0</v>
      </c>
      <c r="C27" s="706" t="n">
        <v>0</v>
      </c>
      <c r="D27" s="706" t="n">
        <v>0</v>
      </c>
      <c r="E27" s="706" t="n">
        <v>4</v>
      </c>
      <c r="F27" s="706" t="n">
        <v>5</v>
      </c>
      <c r="G27" s="705" t="n">
        <v>73</v>
      </c>
      <c r="H27" s="705" t="n">
        <v>18</v>
      </c>
      <c r="I27" s="706" t="n">
        <v>0</v>
      </c>
      <c r="J27" s="706" t="n">
        <v>10</v>
      </c>
      <c r="K27" s="706" t="n">
        <v>17</v>
      </c>
    </row>
    <row r="28">
      <c r="A28" s="660" t="inlineStr">
        <is>
          <t>00000000056375 - KIT QDB CAIXA P INST 2023 VD</t>
        </is>
      </c>
      <c r="B28" s="704" t="n">
        <v>0</v>
      </c>
      <c r="C28" s="704" t="n">
        <v>0</v>
      </c>
      <c r="D28" s="704" t="n">
        <v>0</v>
      </c>
      <c r="E28" s="704" t="n">
        <v>0</v>
      </c>
      <c r="F28" s="704" t="n">
        <v>0</v>
      </c>
      <c r="G28" s="705" t="n">
        <v>20</v>
      </c>
      <c r="H28" s="704" t="n">
        <v>0</v>
      </c>
      <c r="I28" s="704" t="n">
        <v>0</v>
      </c>
      <c r="J28" s="704" t="n">
        <v>0</v>
      </c>
      <c r="K28" s="704" t="n">
        <v>0</v>
      </c>
    </row>
    <row r="29">
      <c r="A29" s="662" t="inlineStr">
        <is>
          <t>00000000056376 - CAIXA QDB  G INST 2023</t>
        </is>
      </c>
      <c r="B29" s="706" t="n">
        <v>0</v>
      </c>
      <c r="C29" s="706" t="n">
        <v>0</v>
      </c>
      <c r="D29" s="706" t="n">
        <v>0</v>
      </c>
      <c r="E29" s="706" t="n">
        <v>20</v>
      </c>
      <c r="F29" s="706" t="n">
        <v>0</v>
      </c>
      <c r="G29" s="705" t="n">
        <v>94</v>
      </c>
      <c r="H29" s="705" t="n">
        <v>15</v>
      </c>
      <c r="I29" s="706" t="n">
        <v>2</v>
      </c>
      <c r="J29" s="706" t="n">
        <v>20</v>
      </c>
      <c r="K29" s="706" t="n">
        <v>0</v>
      </c>
    </row>
    <row r="30">
      <c r="A30" s="660" t="inlineStr">
        <is>
          <t>00000000056378 - KIT CAIXA QDB M INST 2023 VD</t>
        </is>
      </c>
      <c r="B30" s="704" t="n">
        <v>0</v>
      </c>
      <c r="C30" s="704" t="n">
        <v>0</v>
      </c>
      <c r="D30" s="704" t="n">
        <v>0</v>
      </c>
      <c r="E30" s="704" t="n">
        <v>10</v>
      </c>
      <c r="F30" s="704" t="n">
        <v>0</v>
      </c>
      <c r="G30" s="705" t="n">
        <v>40</v>
      </c>
      <c r="H30" s="705" t="n">
        <v>12</v>
      </c>
      <c r="I30" s="704" t="n">
        <v>22</v>
      </c>
      <c r="J30" s="704" t="n">
        <v>0</v>
      </c>
      <c r="K30" s="704" t="n">
        <v>9</v>
      </c>
    </row>
    <row r="31">
      <c r="A31" s="693" t="inlineStr">
        <is>
          <t>00000000053651 - KIT SACOLA EUDORA  INST 2022 P</t>
        </is>
      </c>
      <c r="B31" s="707" t="n">
        <v>0</v>
      </c>
      <c r="C31" s="707" t="n">
        <v>0</v>
      </c>
      <c r="D31" s="707" t="n">
        <v>0</v>
      </c>
      <c r="E31" s="707" t="n">
        <v>127</v>
      </c>
      <c r="F31" s="707" t="n">
        <v>0</v>
      </c>
      <c r="G31" s="707" t="n">
        <v>0</v>
      </c>
      <c r="H31" s="707" t="n">
        <v>0</v>
      </c>
      <c r="I31" s="706" t="n">
        <v>0</v>
      </c>
      <c r="J31" s="706" t="n">
        <v>0</v>
      </c>
      <c r="K31" s="706" t="n">
        <v>0</v>
      </c>
    </row>
    <row r="32">
      <c r="A32" s="693" t="inlineStr">
        <is>
          <t>00000000053944 - KIT SACOLA EUDORA M UNIT INST 2022</t>
        </is>
      </c>
      <c r="B32" s="707" t="n">
        <v>0</v>
      </c>
      <c r="C32" s="707" t="n">
        <v>0</v>
      </c>
      <c r="D32" s="707" t="n">
        <v>-37</v>
      </c>
      <c r="E32" s="707" t="n">
        <v>0</v>
      </c>
      <c r="F32" s="707" t="n">
        <v>0</v>
      </c>
      <c r="G32" s="707" t="n">
        <v>0</v>
      </c>
      <c r="H32" s="707" t="n">
        <v>0</v>
      </c>
      <c r="I32" s="704" t="n">
        <v>0</v>
      </c>
      <c r="J32" s="704" t="n">
        <v>0</v>
      </c>
      <c r="K32" s="704" t="n">
        <v>0</v>
      </c>
    </row>
    <row r="33">
      <c r="A33" s="662" t="inlineStr">
        <is>
          <t>00000000052276 - KIT SACOLA P INST EUD 2022 C/10 VD</t>
        </is>
      </c>
      <c r="B33" s="706" t="n">
        <v>0</v>
      </c>
      <c r="C33" s="706" t="n">
        <v>54</v>
      </c>
      <c r="D33" s="706" t="n">
        <v>16</v>
      </c>
      <c r="E33" s="706" t="n">
        <v>24</v>
      </c>
      <c r="F33" s="706" t="n">
        <v>0</v>
      </c>
      <c r="G33" s="705" t="n">
        <v>19</v>
      </c>
      <c r="H33" s="705" t="n">
        <v>36</v>
      </c>
      <c r="I33" s="706" t="n">
        <v>17</v>
      </c>
      <c r="J33" s="706" t="n">
        <v>30</v>
      </c>
      <c r="K33" s="706" t="n">
        <v>0</v>
      </c>
    </row>
    <row r="34">
      <c r="A34" s="660" t="inlineStr">
        <is>
          <t>00000000052288 - KIT SACOLA M EUD INST 2022 C/10 VD</t>
        </is>
      </c>
      <c r="B34" s="704" t="n">
        <v>0</v>
      </c>
      <c r="C34" s="704" t="n">
        <v>35</v>
      </c>
      <c r="D34" s="704" t="n">
        <v>60</v>
      </c>
      <c r="E34" s="704" t="n">
        <v>40</v>
      </c>
      <c r="F34" s="704" t="n">
        <v>0</v>
      </c>
      <c r="G34" s="705" t="n">
        <v>0</v>
      </c>
      <c r="H34" s="705" t="n">
        <v>17</v>
      </c>
      <c r="I34" s="704" t="n">
        <v>34</v>
      </c>
      <c r="J34" s="704" t="n">
        <v>15</v>
      </c>
      <c r="K34" s="704" t="n">
        <v>2</v>
      </c>
    </row>
    <row r="35">
      <c r="A35" s="662" t="inlineStr">
        <is>
          <t>00000000053653 - KIT SACOLA EUDORA G UNIT INST 2022</t>
        </is>
      </c>
      <c r="B35" s="706" t="n">
        <v>0</v>
      </c>
      <c r="C35" s="706" t="n">
        <v>44</v>
      </c>
      <c r="D35" s="706" t="n">
        <v>9</v>
      </c>
      <c r="E35" s="706" t="n">
        <v>0</v>
      </c>
      <c r="F35" s="706" t="n">
        <v>0</v>
      </c>
      <c r="G35" s="705" t="n">
        <v>0</v>
      </c>
      <c r="H35" s="705" t="n">
        <v>0</v>
      </c>
      <c r="I35" s="706" t="n">
        <v>0</v>
      </c>
      <c r="J35" s="706" t="n">
        <v>0</v>
      </c>
      <c r="K35" s="706" t="n">
        <v>0</v>
      </c>
    </row>
    <row r="36">
      <c r="A36" s="660" t="inlineStr">
        <is>
          <t>00000000053654 - KIT CAIXA P EUDORA INST 2022</t>
        </is>
      </c>
      <c r="B36" s="704" t="n">
        <v>0</v>
      </c>
      <c r="C36" s="704" t="n">
        <v>135</v>
      </c>
      <c r="D36" s="704" t="n">
        <v>118</v>
      </c>
      <c r="E36" s="704" t="n">
        <v>0</v>
      </c>
      <c r="F36" s="704" t="n">
        <v>1</v>
      </c>
      <c r="G36" s="705" t="n">
        <v>77</v>
      </c>
      <c r="H36" s="705" t="n">
        <v>29</v>
      </c>
      <c r="I36" s="704" t="n">
        <v>142</v>
      </c>
      <c r="J36" s="704" t="n">
        <v>8</v>
      </c>
      <c r="K36" s="704" t="n">
        <v>6</v>
      </c>
    </row>
    <row r="37">
      <c r="A37" s="662" t="inlineStr">
        <is>
          <t>00000000053655 - KIT CAIXA  EUDORA INST 2022 M</t>
        </is>
      </c>
      <c r="B37" s="706" t="n">
        <v>0</v>
      </c>
      <c r="C37" s="706" t="n">
        <v>66</v>
      </c>
      <c r="D37" s="706" t="n">
        <v>25</v>
      </c>
      <c r="E37" s="706" t="n">
        <v>3</v>
      </c>
      <c r="F37" s="706" t="n">
        <v>0</v>
      </c>
      <c r="G37" s="705" t="n">
        <v>27</v>
      </c>
      <c r="H37" s="705" t="n">
        <v>88</v>
      </c>
      <c r="I37" s="706" t="n">
        <v>0</v>
      </c>
      <c r="J37" s="706" t="n">
        <v>16</v>
      </c>
      <c r="K37" s="706" t="n">
        <v>0</v>
      </c>
    </row>
    <row r="38">
      <c r="A38" s="660" t="inlineStr">
        <is>
          <t>00000000053656 - KIT CAIXA G EUDORA INST 2022</t>
        </is>
      </c>
      <c r="B38" s="704" t="n">
        <v>0</v>
      </c>
      <c r="C38" s="704" t="n">
        <v>38</v>
      </c>
      <c r="D38" s="704" t="n">
        <v>0</v>
      </c>
      <c r="E38" s="704" t="n">
        <v>9</v>
      </c>
      <c r="F38" s="704" t="n">
        <v>15</v>
      </c>
      <c r="G38" s="705" t="n">
        <v>28</v>
      </c>
      <c r="H38" s="705" t="n">
        <v>23</v>
      </c>
      <c r="I38" s="704" t="n">
        <v>30</v>
      </c>
      <c r="J38" s="704" t="n">
        <v>17</v>
      </c>
      <c r="K38" s="704" t="n">
        <v>10</v>
      </c>
    </row>
    <row r="39" ht="15.75" customHeight="1" thickBot="1">
      <c r="A39" s="664" t="n"/>
      <c r="B39" s="708" t="n"/>
      <c r="C39" s="708" t="n"/>
      <c r="D39" s="708" t="n"/>
      <c r="E39" s="708" t="n"/>
      <c r="F39" s="708" t="n"/>
      <c r="G39" s="708" t="n"/>
      <c r="H39" s="708" t="n"/>
      <c r="I39" s="708" t="n"/>
      <c r="J39" s="708" t="n"/>
      <c r="K39" s="708" t="n"/>
    </row>
    <row r="40">
      <c r="A40" s="666" t="inlineStr">
        <is>
          <t>00000000094371 - SACOLA M EUDORA UNIT MAES 2026</t>
        </is>
      </c>
      <c r="B40" s="709" t="n">
        <v>0</v>
      </c>
      <c r="C40" s="709" t="n">
        <v>9</v>
      </c>
      <c r="D40" s="709" t="n">
        <v>-45</v>
      </c>
      <c r="E40" s="709" t="n">
        <v>0</v>
      </c>
      <c r="F40" s="709" t="n">
        <v>0</v>
      </c>
      <c r="G40" s="710" t="n">
        <v>0</v>
      </c>
      <c r="H40" s="710" t="n">
        <v>0</v>
      </c>
      <c r="I40" s="709" t="n">
        <v>0</v>
      </c>
      <c r="J40" s="709" t="n">
        <v>0</v>
      </c>
      <c r="K40" s="711" t="n">
        <v>32</v>
      </c>
    </row>
    <row r="41">
      <c r="A41" s="669" t="inlineStr">
        <is>
          <t>00000000095162 - KIT TAG VD REVEND EUD INSTIT 2025 C/20</t>
        </is>
      </c>
      <c r="B41" s="706" t="n">
        <v>0</v>
      </c>
      <c r="C41" s="706" t="n">
        <v>0</v>
      </c>
      <c r="D41" s="706" t="n">
        <v>0</v>
      </c>
      <c r="E41" s="706" t="n">
        <v>0</v>
      </c>
      <c r="F41" s="706" t="n">
        <v>0</v>
      </c>
      <c r="G41" s="705" t="n">
        <v>0</v>
      </c>
      <c r="H41" s="705" t="n">
        <v>0</v>
      </c>
      <c r="I41" s="706" t="n">
        <v>5</v>
      </c>
      <c r="J41" s="706" t="n">
        <v>8</v>
      </c>
      <c r="K41" s="712" t="n">
        <v>3</v>
      </c>
    </row>
    <row r="42">
      <c r="A42" s="671" t="inlineStr">
        <is>
          <t>00000000088796 - CAIXA EUDORA M INST/25 UNIT</t>
        </is>
      </c>
      <c r="B42" s="704" t="n">
        <v>0</v>
      </c>
      <c r="C42" s="704" t="n">
        <v>44</v>
      </c>
      <c r="D42" s="704" t="n">
        <v>29</v>
      </c>
      <c r="E42" s="704" t="n">
        <v>14</v>
      </c>
      <c r="F42" s="704" t="n">
        <v>0</v>
      </c>
      <c r="G42" s="705" t="n">
        <v>49</v>
      </c>
      <c r="H42" s="705" t="n">
        <v>50</v>
      </c>
      <c r="I42" s="704" t="n">
        <v>96</v>
      </c>
      <c r="J42" s="704" t="n">
        <v>40</v>
      </c>
      <c r="K42" s="713" t="n">
        <v>49</v>
      </c>
    </row>
    <row r="43" ht="15.75" customHeight="1" thickBot="1">
      <c r="A43" s="673" t="inlineStr">
        <is>
          <t>00000000088799 - ENVELOPE EUDORA P INST/25 UNIT</t>
        </is>
      </c>
      <c r="B43" s="714" t="n">
        <v>0</v>
      </c>
      <c r="C43" s="714" t="n">
        <v>114</v>
      </c>
      <c r="D43" s="714" t="n">
        <v>0</v>
      </c>
      <c r="E43" s="714" t="n">
        <v>0</v>
      </c>
      <c r="F43" s="714" t="n">
        <v>0</v>
      </c>
      <c r="G43" s="715" t="n">
        <v>142</v>
      </c>
      <c r="H43" s="715" t="n">
        <v>31</v>
      </c>
      <c r="I43" s="714" t="n">
        <v>21</v>
      </c>
      <c r="J43" s="714" t="n">
        <v>65</v>
      </c>
      <c r="K43" s="716" t="n">
        <v>49</v>
      </c>
    </row>
    <row r="44">
      <c r="A44" s="666" t="inlineStr">
        <is>
          <t>00000000096442 - SACOLA P MAES 2026 2025 BOTI UNIT</t>
        </is>
      </c>
      <c r="B44" s="709" t="n">
        <v>0</v>
      </c>
      <c r="C44" s="709" t="n">
        <v>211</v>
      </c>
      <c r="D44" s="709" t="n">
        <v>414</v>
      </c>
      <c r="E44" s="709" t="n">
        <v>80</v>
      </c>
      <c r="F44" s="709" t="n">
        <v>0</v>
      </c>
      <c r="G44" s="710" t="n">
        <v>82</v>
      </c>
      <c r="H44" s="710" t="n">
        <v>10</v>
      </c>
      <c r="I44" s="709" t="n">
        <v>0</v>
      </c>
      <c r="J44" s="709" t="n">
        <v>119</v>
      </c>
      <c r="K44" s="711" t="n">
        <v>0</v>
      </c>
    </row>
    <row r="45">
      <c r="A45" s="669" t="inlineStr">
        <is>
          <t>00000000096443 - SACOLA M MAES/26 BOTI UNIT</t>
        </is>
      </c>
      <c r="B45" s="706" t="n">
        <v>0</v>
      </c>
      <c r="C45" s="706" t="n">
        <v>424</v>
      </c>
      <c r="D45" s="706" t="n">
        <v>743</v>
      </c>
      <c r="E45" s="706" t="n">
        <v>189</v>
      </c>
      <c r="F45" s="706" t="n">
        <v>0</v>
      </c>
      <c r="G45" s="705" t="n">
        <v>10</v>
      </c>
      <c r="H45" s="705" t="n">
        <v>15</v>
      </c>
      <c r="I45" s="706" t="n">
        <v>0</v>
      </c>
      <c r="J45" s="706" t="n">
        <v>0</v>
      </c>
      <c r="K45" s="712" t="n">
        <v>0</v>
      </c>
    </row>
    <row r="46">
      <c r="A46" s="671" t="inlineStr">
        <is>
          <t>00000000096444 - SACOLA G MAES 2026 BOTI UNIT</t>
        </is>
      </c>
      <c r="B46" s="704" t="n">
        <v>0</v>
      </c>
      <c r="C46" s="704" t="n">
        <v>0</v>
      </c>
      <c r="D46" s="704" t="n">
        <v>64</v>
      </c>
      <c r="E46" s="704" t="n">
        <v>0</v>
      </c>
      <c r="F46" s="704" t="n">
        <v>0</v>
      </c>
      <c r="G46" s="705" t="n">
        <v>0</v>
      </c>
      <c r="H46" s="705" t="n">
        <v>0</v>
      </c>
      <c r="I46" s="704" t="n">
        <v>0</v>
      </c>
      <c r="J46" s="704" t="n">
        <v>0</v>
      </c>
      <c r="K46" s="713" t="n">
        <v>0</v>
      </c>
    </row>
    <row r="47">
      <c r="A47" s="669" t="inlineStr">
        <is>
          <t>00000000097241 - KIT PAPEL SEDA BOTI MAES 2026 C/20 VD</t>
        </is>
      </c>
      <c r="B47" s="706" t="n">
        <v>0</v>
      </c>
      <c r="C47" s="706" t="n">
        <v>0</v>
      </c>
      <c r="D47" s="706" t="n">
        <v>4</v>
      </c>
      <c r="E47" s="706" t="n">
        <v>0</v>
      </c>
      <c r="F47" s="706" t="n">
        <v>1</v>
      </c>
      <c r="G47" s="705" t="n">
        <v>0</v>
      </c>
      <c r="H47" s="705" t="n">
        <v>0</v>
      </c>
      <c r="I47" s="706" t="n">
        <v>0</v>
      </c>
      <c r="J47" s="706" t="n">
        <v>0</v>
      </c>
      <c r="K47" s="712" t="n">
        <v>1</v>
      </c>
    </row>
    <row r="48">
      <c r="A48" s="671" t="inlineStr">
        <is>
          <t>00000000096437 - CAIXA LACO P MAES/26 BOTI UNIT</t>
        </is>
      </c>
      <c r="B48" s="704" t="n">
        <v>0</v>
      </c>
      <c r="C48" s="704" t="n">
        <v>0</v>
      </c>
      <c r="D48" s="704" t="n">
        <v>0</v>
      </c>
      <c r="E48" s="704" t="n">
        <v>1</v>
      </c>
      <c r="F48" s="704" t="n">
        <v>3</v>
      </c>
      <c r="G48" s="705" t="n">
        <v>31</v>
      </c>
      <c r="H48" s="705" t="n">
        <v>63</v>
      </c>
      <c r="I48" s="704" t="n">
        <v>0</v>
      </c>
      <c r="J48" s="704" t="n">
        <v>77</v>
      </c>
      <c r="K48" s="713" t="n">
        <v>0</v>
      </c>
    </row>
    <row r="49">
      <c r="A49" s="669" t="inlineStr">
        <is>
          <t>00000000096438 - CAIXA LACO M MAES/26 BOTI UNIT</t>
        </is>
      </c>
      <c r="B49" s="706" t="n">
        <v>0</v>
      </c>
      <c r="C49" s="706" t="n">
        <v>0</v>
      </c>
      <c r="D49" s="706" t="n">
        <v>0</v>
      </c>
      <c r="E49" s="706" t="n">
        <v>10</v>
      </c>
      <c r="F49" s="706" t="n">
        <v>3</v>
      </c>
      <c r="G49" s="705" t="n">
        <v>0</v>
      </c>
      <c r="H49" s="705" t="n">
        <v>0</v>
      </c>
      <c r="I49" s="706" t="n">
        <v>0</v>
      </c>
      <c r="J49" s="706" t="n">
        <v>82</v>
      </c>
      <c r="K49" s="712" t="n">
        <v>13</v>
      </c>
    </row>
    <row r="50" ht="15.75" customHeight="1" thickBot="1">
      <c r="A50" s="676" t="inlineStr">
        <is>
          <t>00000000096441 - ENVELOPE M MAES 2026 BOTI UNIT</t>
        </is>
      </c>
      <c r="B50" s="717" t="n">
        <v>0</v>
      </c>
      <c r="C50" s="717" t="n">
        <v>0</v>
      </c>
      <c r="D50" s="717" t="n">
        <v>0</v>
      </c>
      <c r="E50" s="717" t="n">
        <v>0</v>
      </c>
      <c r="F50" s="717" t="n">
        <v>0</v>
      </c>
      <c r="G50" s="715" t="n">
        <v>0</v>
      </c>
      <c r="H50" s="715" t="n">
        <v>0</v>
      </c>
      <c r="I50" s="717" t="n">
        <v>0</v>
      </c>
      <c r="J50" s="717" t="n">
        <v>34</v>
      </c>
      <c r="K50" s="718" t="n">
        <v>30</v>
      </c>
    </row>
    <row r="51">
      <c r="A51" s="679" t="inlineStr">
        <is>
          <t>00000000085706 - KIT SACOLA M EUDORA UNIT NATAL 2025</t>
        </is>
      </c>
      <c r="B51" s="719" t="n">
        <v>0</v>
      </c>
      <c r="C51" s="719" t="n">
        <v>0</v>
      </c>
      <c r="D51" s="719" t="n">
        <v>0</v>
      </c>
      <c r="E51" s="719" t="n">
        <v>0</v>
      </c>
      <c r="F51" s="719" t="n">
        <v>0</v>
      </c>
      <c r="G51" s="710" t="n">
        <v>0</v>
      </c>
      <c r="H51" s="710" t="n">
        <v>0</v>
      </c>
      <c r="I51" s="719" t="n">
        <v>0</v>
      </c>
      <c r="J51" s="719" t="n">
        <v>0</v>
      </c>
      <c r="K51" s="720" t="n">
        <v>13</v>
      </c>
    </row>
    <row r="52">
      <c r="A52" s="671" t="inlineStr">
        <is>
          <t>00000000094959 - PAPEL DE SEDA EUDORA UNITARIO NATAL 25</t>
        </is>
      </c>
      <c r="B52" s="704" t="n">
        <v>0</v>
      </c>
      <c r="C52" s="704" t="n">
        <v>0</v>
      </c>
      <c r="D52" s="704" t="n">
        <v>0</v>
      </c>
      <c r="E52" s="704" t="n">
        <v>0</v>
      </c>
      <c r="F52" s="704" t="n">
        <v>0</v>
      </c>
      <c r="G52" s="705" t="n">
        <v>99</v>
      </c>
      <c r="H52" s="705" t="n">
        <v>0</v>
      </c>
      <c r="I52" s="704" t="n">
        <v>0</v>
      </c>
      <c r="J52" s="704" t="n">
        <v>136</v>
      </c>
      <c r="K52" s="713" t="n">
        <v>130</v>
      </c>
    </row>
    <row r="53">
      <c r="A53" s="669" t="inlineStr">
        <is>
          <t>00000000095150 - KIT TAG VD REVEN EUD INST 2025 MOD C/200</t>
        </is>
      </c>
      <c r="B53" s="706" t="n">
        <v>0</v>
      </c>
      <c r="C53" s="706" t="n">
        <v>0</v>
      </c>
      <c r="D53" s="706" t="n">
        <v>0</v>
      </c>
      <c r="E53" s="706" t="n">
        <v>0</v>
      </c>
      <c r="F53" s="706" t="n">
        <v>0</v>
      </c>
      <c r="G53" s="705" t="n">
        <v>5</v>
      </c>
      <c r="H53" s="705" t="n">
        <v>5</v>
      </c>
      <c r="I53" s="706" t="n">
        <v>0</v>
      </c>
      <c r="J53" s="706" t="n">
        <v>0</v>
      </c>
      <c r="K53" s="712" t="n">
        <v>0</v>
      </c>
    </row>
    <row r="54">
      <c r="A54" s="671" t="inlineStr">
        <is>
          <t>00000000085705 - KIT CAIXA M EUDORA UNIT NATAL 2025</t>
        </is>
      </c>
      <c r="B54" s="704" t="n">
        <v>0</v>
      </c>
      <c r="C54" s="704" t="n">
        <v>60</v>
      </c>
      <c r="D54" s="704" t="n">
        <v>27</v>
      </c>
      <c r="E54" s="704" t="n">
        <v>27</v>
      </c>
      <c r="F54" s="704" t="n">
        <v>10</v>
      </c>
      <c r="G54" s="705" t="n">
        <v>43</v>
      </c>
      <c r="H54" s="705" t="n">
        <v>29</v>
      </c>
      <c r="I54" s="704" t="n">
        <v>39</v>
      </c>
      <c r="J54" s="704" t="n">
        <v>105</v>
      </c>
      <c r="K54" s="713" t="n">
        <v>23</v>
      </c>
    </row>
    <row r="55" ht="15.75" customHeight="1" thickBot="1">
      <c r="A55" s="673" t="inlineStr">
        <is>
          <t>00000000085704 - ENVELOPE P EUDORA UNIT NATAL 2025</t>
        </is>
      </c>
      <c r="B55" s="714" t="n">
        <v>0</v>
      </c>
      <c r="C55" s="714" t="n">
        <v>0</v>
      </c>
      <c r="D55" s="714" t="n">
        <v>7</v>
      </c>
      <c r="E55" s="714" t="n">
        <v>0</v>
      </c>
      <c r="F55" s="714" t="n">
        <v>6</v>
      </c>
      <c r="G55" s="715" t="n">
        <v>163</v>
      </c>
      <c r="H55" s="715" t="n">
        <v>82</v>
      </c>
      <c r="I55" s="714" t="n">
        <v>75</v>
      </c>
      <c r="J55" s="714" t="n">
        <v>180</v>
      </c>
      <c r="K55" s="716" t="n">
        <v>21</v>
      </c>
    </row>
    <row r="56">
      <c r="A56" s="666" t="inlineStr">
        <is>
          <t>00000000094783 - SACOLA P NATAL 2025 BOTI UNIT</t>
        </is>
      </c>
      <c r="B56" s="709" t="n">
        <v>0</v>
      </c>
      <c r="C56" s="709" t="n">
        <v>0</v>
      </c>
      <c r="D56" s="709" t="n">
        <v>0</v>
      </c>
      <c r="E56" s="709" t="n">
        <v>0</v>
      </c>
      <c r="F56" s="709" t="n">
        <v>0</v>
      </c>
      <c r="G56" s="710" t="n">
        <v>2</v>
      </c>
      <c r="H56" s="710" t="n">
        <v>0</v>
      </c>
      <c r="I56" s="709" t="n">
        <v>0</v>
      </c>
      <c r="J56" s="709" t="n">
        <v>0</v>
      </c>
      <c r="K56" s="711" t="n">
        <v>0</v>
      </c>
    </row>
    <row r="57">
      <c r="A57" s="669" t="inlineStr">
        <is>
          <t>00000000094781 - SACOLA M NATAL 2025 BOTI UNIT</t>
        </is>
      </c>
      <c r="B57" s="706" t="n">
        <v>0</v>
      </c>
      <c r="C57" s="706" t="n">
        <v>0</v>
      </c>
      <c r="D57" s="706" t="n">
        <v>0</v>
      </c>
      <c r="E57" s="706" t="n">
        <v>0</v>
      </c>
      <c r="F57" s="706" t="n">
        <v>0</v>
      </c>
      <c r="G57" s="705" t="n">
        <v>33</v>
      </c>
      <c r="H57" s="705" t="n">
        <v>0</v>
      </c>
      <c r="I57" s="706" t="n">
        <v>0</v>
      </c>
      <c r="J57" s="706" t="n">
        <v>0</v>
      </c>
      <c r="K57" s="712" t="n">
        <v>0</v>
      </c>
    </row>
    <row r="58">
      <c r="A58" s="671" t="inlineStr">
        <is>
          <t>00000000094775 - CAIXA LACO P NATAL 2025 BOTI UNIT</t>
        </is>
      </c>
      <c r="B58" s="704" t="n">
        <v>0</v>
      </c>
      <c r="C58" s="704" t="n">
        <v>0</v>
      </c>
      <c r="D58" s="704" t="n">
        <v>0</v>
      </c>
      <c r="E58" s="704" t="n">
        <v>0</v>
      </c>
      <c r="F58" s="704" t="n">
        <v>0</v>
      </c>
      <c r="G58" s="705" t="n">
        <v>5</v>
      </c>
      <c r="H58" s="705" t="n">
        <v>26</v>
      </c>
      <c r="I58" s="704" t="n">
        <v>49</v>
      </c>
      <c r="J58" s="704" t="n">
        <v>99</v>
      </c>
      <c r="K58" s="713" t="n">
        <v>15</v>
      </c>
    </row>
    <row r="59">
      <c r="A59" s="669" t="inlineStr">
        <is>
          <t>00000000094776 - CAIXA LACO M NATAL 2025 BOTI UNIT</t>
        </is>
      </c>
      <c r="B59" s="706" t="n">
        <v>0</v>
      </c>
      <c r="C59" s="706" t="n">
        <v>0</v>
      </c>
      <c r="D59" s="706" t="n">
        <v>0</v>
      </c>
      <c r="E59" s="706" t="n">
        <v>0</v>
      </c>
      <c r="F59" s="706" t="n">
        <v>0</v>
      </c>
      <c r="G59" s="705" t="n">
        <v>0</v>
      </c>
      <c r="H59" s="705" t="n">
        <v>0</v>
      </c>
      <c r="I59" s="706" t="n">
        <v>0</v>
      </c>
      <c r="J59" s="706" t="n">
        <v>40</v>
      </c>
      <c r="K59" s="712" t="n">
        <v>22</v>
      </c>
    </row>
    <row r="60">
      <c r="A60" s="671" t="inlineStr">
        <is>
          <t>00000000094778 - ENVELOPE P NATAL 2025 BOT UNIT</t>
        </is>
      </c>
      <c r="B60" s="704" t="n">
        <v>0</v>
      </c>
      <c r="C60" s="704" t="n">
        <v>0</v>
      </c>
      <c r="D60" s="704" t="n">
        <v>0</v>
      </c>
      <c r="E60" s="704" t="n">
        <v>0</v>
      </c>
      <c r="F60" s="704" t="n">
        <v>0</v>
      </c>
      <c r="G60" s="705" t="n">
        <v>0</v>
      </c>
      <c r="H60" s="705" t="n">
        <v>0</v>
      </c>
      <c r="I60" s="704" t="n">
        <v>3</v>
      </c>
      <c r="J60" s="704" t="n">
        <v>13</v>
      </c>
      <c r="K60" s="713" t="n">
        <v>1</v>
      </c>
    </row>
    <row r="61" ht="15.75" customHeight="1" thickBot="1">
      <c r="A61" s="673" t="inlineStr">
        <is>
          <t>00000000094779 - ENVELOPE M NATAL 2025 BOTI UNIT</t>
        </is>
      </c>
      <c r="B61" s="714" t="n">
        <v>0</v>
      </c>
      <c r="C61" s="714" t="n">
        <v>0</v>
      </c>
      <c r="D61" s="714" t="n">
        <v>0</v>
      </c>
      <c r="E61" s="714" t="n">
        <v>0</v>
      </c>
      <c r="F61" s="714" t="n">
        <v>0</v>
      </c>
      <c r="G61" s="715" t="n">
        <v>0</v>
      </c>
      <c r="H61" s="715" t="n">
        <v>0</v>
      </c>
      <c r="I61" s="714" t="n">
        <v>11</v>
      </c>
      <c r="J61" s="714" t="n">
        <v>51</v>
      </c>
      <c r="K61" s="716" t="n">
        <v>30</v>
      </c>
    </row>
    <row r="62">
      <c r="A62" s="660" t="inlineStr">
        <is>
          <t>00000000053657 - EUDORA ENVELOPE INST 2022 P</t>
        </is>
      </c>
      <c r="B62" s="704" t="n">
        <v>0</v>
      </c>
      <c r="C62" s="704" t="n">
        <v>0</v>
      </c>
      <c r="D62" s="704" t="n">
        <v>0</v>
      </c>
      <c r="E62" s="704" t="n">
        <v>0</v>
      </c>
      <c r="F62" s="704" t="n">
        <v>0</v>
      </c>
      <c r="G62" s="704" t="n">
        <v>0</v>
      </c>
      <c r="H62" s="704" t="n">
        <v>1</v>
      </c>
      <c r="I62" s="704" t="n">
        <v>0</v>
      </c>
      <c r="J62" s="704" t="n">
        <v>0</v>
      </c>
      <c r="K62" s="704" t="n">
        <v>0</v>
      </c>
    </row>
    <row r="63">
      <c r="A63" s="662" t="inlineStr">
        <is>
          <t>00000000086027 - CAIXA DIVERTIDAMENTE M INFANTIL 2024</t>
        </is>
      </c>
      <c r="B63" s="706" t="n">
        <v>0</v>
      </c>
      <c r="C63" s="706" t="n">
        <v>0</v>
      </c>
      <c r="D63" s="706" t="n">
        <v>22</v>
      </c>
      <c r="E63" s="706" t="n">
        <v>0</v>
      </c>
      <c r="F63" s="706" t="n">
        <v>0</v>
      </c>
      <c r="G63" s="706" t="n">
        <v>0</v>
      </c>
      <c r="H63" s="706" t="n">
        <v>0</v>
      </c>
      <c r="I63" s="706" t="n">
        <v>0</v>
      </c>
      <c r="J63" s="706" t="n">
        <v>0</v>
      </c>
      <c r="K63" s="706" t="n">
        <v>0</v>
      </c>
    </row>
    <row r="64">
      <c r="A64" s="660" t="inlineStr">
        <is>
          <t>00000000087691 - COLECIONAV BOT NAT/24 CONE ARVORE UNIT</t>
        </is>
      </c>
      <c r="B64" s="704" t="n">
        <v>0</v>
      </c>
      <c r="C64" s="704" t="n">
        <v>0</v>
      </c>
      <c r="D64" s="704" t="n">
        <v>3</v>
      </c>
      <c r="E64" s="704" t="n">
        <v>8</v>
      </c>
      <c r="F64" s="704" t="n">
        <v>0</v>
      </c>
      <c r="G64" s="704" t="n">
        <v>0</v>
      </c>
      <c r="H64" s="704" t="n">
        <v>161</v>
      </c>
      <c r="I64" s="704" t="n">
        <v>0</v>
      </c>
      <c r="J64" s="704" t="n">
        <v>208</v>
      </c>
      <c r="K64" s="704" t="n">
        <v>6</v>
      </c>
    </row>
    <row r="65">
      <c r="A65" s="662" t="inlineStr">
        <is>
          <t>00000000087694 - COLECIONAVEIS BOT NAT/24 BOLA UNITARIA</t>
        </is>
      </c>
      <c r="B65" s="706" t="n">
        <v>0</v>
      </c>
      <c r="C65" s="706" t="n">
        <v>0</v>
      </c>
      <c r="D65" s="706" t="n">
        <v>0</v>
      </c>
      <c r="E65" s="706" t="n">
        <v>1</v>
      </c>
      <c r="F65" s="706" t="n">
        <v>0</v>
      </c>
      <c r="G65" s="706" t="n">
        <v>0</v>
      </c>
      <c r="H65" s="706" t="n">
        <v>9</v>
      </c>
      <c r="I65" s="706" t="n">
        <v>0</v>
      </c>
      <c r="J65" s="706" t="n">
        <v>36</v>
      </c>
      <c r="K65" s="706" t="n">
        <v>14</v>
      </c>
    </row>
    <row r="66">
      <c r="A66" s="660" t="inlineStr">
        <is>
          <t>00000000090451 - CINTA P/CX M QDB MSP 2025</t>
        </is>
      </c>
      <c r="B66" s="704" t="n">
        <v>0</v>
      </c>
      <c r="C66" s="704" t="n">
        <v>0</v>
      </c>
      <c r="D66" s="704" t="n">
        <v>0</v>
      </c>
      <c r="E66" s="704" t="n">
        <v>0</v>
      </c>
      <c r="F66" s="704" t="n">
        <v>0</v>
      </c>
      <c r="G66" s="704" t="n">
        <v>0</v>
      </c>
      <c r="H66" s="704" t="n">
        <v>146</v>
      </c>
      <c r="I66" s="704" t="n">
        <v>0</v>
      </c>
      <c r="J66" s="704" t="n">
        <v>146</v>
      </c>
      <c r="K66" s="704" t="n">
        <v>0</v>
      </c>
    </row>
    <row r="67">
      <c r="A67" s="662" t="inlineStr">
        <is>
          <t>00000000090452 - CARTUCHO PRESENTE QDB MSP 2025</t>
        </is>
      </c>
      <c r="B67" s="706" t="n">
        <v>0</v>
      </c>
      <c r="C67" s="706" t="n">
        <v>0</v>
      </c>
      <c r="D67" s="706" t="n">
        <v>0</v>
      </c>
      <c r="E67" s="706" t="n">
        <v>0</v>
      </c>
      <c r="F67" s="706" t="n">
        <v>0</v>
      </c>
      <c r="G67" s="706" t="n">
        <v>0</v>
      </c>
      <c r="H67" s="706" t="n">
        <v>73</v>
      </c>
      <c r="I67" s="706" t="n">
        <v>0</v>
      </c>
      <c r="J67" s="706" t="n">
        <v>1</v>
      </c>
      <c r="K67" s="706" t="n">
        <v>0</v>
      </c>
    </row>
    <row r="68">
      <c r="A68" s="660" t="inlineStr">
        <is>
          <t>00000000090763 - KIT PAPEL SEDA BOTICARIO PAIS/25 C/20 VD</t>
        </is>
      </c>
      <c r="B68" s="704" t="n">
        <v>0</v>
      </c>
      <c r="C68" s="704" t="n">
        <v>0</v>
      </c>
      <c r="D68" s="704" t="n">
        <v>0</v>
      </c>
      <c r="E68" s="704" t="n">
        <v>10</v>
      </c>
      <c r="F68" s="704" t="n">
        <v>13</v>
      </c>
      <c r="G68" s="704" t="n">
        <v>0</v>
      </c>
      <c r="H68" s="704" t="n">
        <v>0</v>
      </c>
      <c r="I68" s="704" t="n">
        <v>0</v>
      </c>
      <c r="J68" s="704" t="n">
        <v>0</v>
      </c>
      <c r="K68" s="704" t="n">
        <v>0</v>
      </c>
    </row>
    <row r="69">
      <c r="A69" s="662" t="inlineStr">
        <is>
          <t>00000000094684 - SACOLA UNIT M ARANHA 2025 BOTI</t>
        </is>
      </c>
      <c r="B69" s="706" t="n">
        <v>0</v>
      </c>
      <c r="C69" s="706" t="n">
        <v>0</v>
      </c>
      <c r="D69" s="706" t="n">
        <v>0</v>
      </c>
      <c r="E69" s="706" t="n">
        <v>0</v>
      </c>
      <c r="F69" s="706" t="n">
        <v>0</v>
      </c>
      <c r="G69" s="705" t="n">
        <v>69</v>
      </c>
      <c r="H69" s="706" t="n">
        <v>0</v>
      </c>
      <c r="I69" s="706" t="n">
        <v>0</v>
      </c>
      <c r="J69" s="706" t="n">
        <v>0</v>
      </c>
      <c r="K69" s="706" t="n">
        <v>0</v>
      </c>
    </row>
    <row r="70">
      <c r="A70" s="660" t="inlineStr">
        <is>
          <t>00000000094682 - CAIXA LACO M BOTI ARANHA 2025 UNIT</t>
        </is>
      </c>
      <c r="B70" s="704" t="n">
        <v>0</v>
      </c>
      <c r="C70" s="704" t="n">
        <v>0</v>
      </c>
      <c r="D70" s="704" t="n">
        <v>16</v>
      </c>
      <c r="E70" s="704" t="n">
        <v>0</v>
      </c>
      <c r="F70" s="704" t="n">
        <v>0</v>
      </c>
      <c r="G70" s="705" t="n">
        <v>50</v>
      </c>
      <c r="H70" s="705" t="n">
        <v>15</v>
      </c>
      <c r="I70" s="704" t="n">
        <v>0</v>
      </c>
      <c r="J70" s="704" t="n">
        <v>29</v>
      </c>
      <c r="K70" s="704" t="n">
        <v>30</v>
      </c>
    </row>
    <row r="71">
      <c r="A71" s="662" t="inlineStr">
        <is>
          <t>00000000094688 - CAR PRESENTE QDB H/POTTER 2025</t>
        </is>
      </c>
      <c r="B71" s="706" t="n">
        <v>0</v>
      </c>
      <c r="C71" s="706" t="n">
        <v>0</v>
      </c>
      <c r="D71" s="706" t="n">
        <v>22</v>
      </c>
      <c r="E71" s="706" t="n">
        <v>10</v>
      </c>
      <c r="F71" s="706" t="n">
        <v>0</v>
      </c>
      <c r="G71" s="705" t="n">
        <v>65</v>
      </c>
      <c r="H71" s="705" t="n">
        <v>32</v>
      </c>
      <c r="I71" s="706" t="n">
        <v>0</v>
      </c>
      <c r="J71" s="706" t="n">
        <v>49</v>
      </c>
      <c r="K71" s="706" t="n">
        <v>10</v>
      </c>
    </row>
    <row r="72">
      <c r="A72" s="660" t="inlineStr">
        <is>
          <t>00000000095139 - KIT PAPEL SEDA BOTI NATAL 2025 C/20 VD</t>
        </is>
      </c>
      <c r="B72" s="704" t="n">
        <v>0</v>
      </c>
      <c r="C72" s="704" t="n">
        <v>0</v>
      </c>
      <c r="D72" s="704" t="n">
        <v>0</v>
      </c>
      <c r="E72" s="704" t="n">
        <v>0</v>
      </c>
      <c r="F72" s="704" t="n">
        <v>3</v>
      </c>
      <c r="G72" s="704" t="n">
        <v>0</v>
      </c>
      <c r="H72" s="704" t="n">
        <v>0</v>
      </c>
      <c r="I72" s="704" t="n">
        <v>0</v>
      </c>
      <c r="J72" s="704" t="n">
        <v>0</v>
      </c>
      <c r="K72" s="704" t="n">
        <v>0</v>
      </c>
    </row>
    <row r="73">
      <c r="A73" s="662" t="inlineStr">
        <is>
          <t>00000000044742 - FITA DE VEDACAO VOID DEVOLUCAO</t>
        </is>
      </c>
      <c r="B73" s="706" t="n">
        <v>0</v>
      </c>
      <c r="C73" s="706" t="n">
        <v>0</v>
      </c>
      <c r="D73" s="706" t="n">
        <v>0</v>
      </c>
      <c r="E73" s="706" t="n">
        <v>0</v>
      </c>
      <c r="F73" s="706" t="n">
        <v>0</v>
      </c>
      <c r="G73" s="706" t="n">
        <v>1</v>
      </c>
      <c r="H73" s="706" t="n">
        <v>1</v>
      </c>
      <c r="I73" s="706" t="n">
        <v>1</v>
      </c>
      <c r="J73" s="706" t="n">
        <v>0</v>
      </c>
      <c r="K73" s="706" t="n">
        <v>0</v>
      </c>
    </row>
    <row r="74">
      <c r="A74" s="660" t="inlineStr">
        <is>
          <t>00000000046054 - CAIXA PAPELAO TAMPA LIGADA DEVOLUCAO PCK</t>
        </is>
      </c>
      <c r="B74" s="704" t="n">
        <v>0</v>
      </c>
      <c r="C74" s="704" t="n">
        <v>0</v>
      </c>
      <c r="D74" s="704" t="n">
        <v>0</v>
      </c>
      <c r="E74" s="704" t="n">
        <v>0</v>
      </c>
      <c r="F74" s="704" t="n">
        <v>0</v>
      </c>
      <c r="G74" s="704" t="n">
        <v>0</v>
      </c>
      <c r="H74" s="704" t="n">
        <v>0</v>
      </c>
      <c r="I74" s="704" t="n">
        <v>24</v>
      </c>
      <c r="J74" s="704" t="n">
        <v>0</v>
      </c>
      <c r="K74" s="704" t="n">
        <v>0</v>
      </c>
    </row>
    <row r="75">
      <c r="A75" s="662" t="inlineStr">
        <is>
          <t>00000000053652 - KIT SACOLA EUDORA UNIT NATAL 2022 M</t>
        </is>
      </c>
      <c r="B75" s="706" t="n">
        <v>0</v>
      </c>
      <c r="C75" s="706" t="n">
        <v>50</v>
      </c>
      <c r="D75" s="706" t="n">
        <v>0</v>
      </c>
      <c r="E75" s="706" t="n">
        <v>0</v>
      </c>
      <c r="F75" s="706" t="n">
        <v>0</v>
      </c>
      <c r="G75" s="706" t="n">
        <v>0</v>
      </c>
      <c r="H75" s="706" t="n">
        <v>0</v>
      </c>
      <c r="I75" s="706" t="n">
        <v>0</v>
      </c>
      <c r="J75" s="706" t="n">
        <v>0</v>
      </c>
      <c r="K75" s="706" t="n">
        <v>0</v>
      </c>
    </row>
    <row r="76">
      <c r="A76" s="660" t="inlineStr">
        <is>
          <t>00000000088126 - CART ADESIVA QDB NAT/24 MODULO C/300 UN</t>
        </is>
      </c>
      <c r="B76" s="704" t="n">
        <v>0</v>
      </c>
      <c r="C76" s="704" t="n">
        <v>0</v>
      </c>
      <c r="D76" s="704" t="n">
        <v>0</v>
      </c>
      <c r="E76" s="704" t="n">
        <v>1</v>
      </c>
      <c r="F76" s="704" t="n">
        <v>0</v>
      </c>
      <c r="G76" s="704" t="n">
        <v>0</v>
      </c>
      <c r="H76" s="704" t="n">
        <v>0</v>
      </c>
      <c r="I76" s="704" t="n">
        <v>0</v>
      </c>
      <c r="J76" s="704" t="n">
        <v>0</v>
      </c>
      <c r="K76" s="704" t="n">
        <v>0</v>
      </c>
    </row>
    <row r="77">
      <c r="A77" s="662" t="inlineStr">
        <is>
          <t>00000000089713 - KIT TAG BOTI NAMORADOS 25 C/10 VD</t>
        </is>
      </c>
      <c r="B77" s="706" t="n">
        <v>0</v>
      </c>
      <c r="C77" s="706" t="n">
        <v>0</v>
      </c>
      <c r="D77" s="706" t="n">
        <v>5</v>
      </c>
      <c r="E77" s="706" t="n">
        <v>0</v>
      </c>
      <c r="F77" s="706" t="n">
        <v>0</v>
      </c>
      <c r="G77" s="706" t="n">
        <v>0</v>
      </c>
      <c r="H77" s="706" t="n">
        <v>0</v>
      </c>
      <c r="I77" s="706" t="n">
        <v>0</v>
      </c>
      <c r="J77" s="706" t="n">
        <v>0</v>
      </c>
      <c r="K77" s="706" t="n">
        <v>0</v>
      </c>
    </row>
    <row r="78">
      <c r="A78" s="660" t="inlineStr">
        <is>
          <t>00000000089843 - ENVELOPE M BOTI PAIS 2025 UNIT</t>
        </is>
      </c>
      <c r="B78" s="704" t="n">
        <v>0</v>
      </c>
      <c r="C78" s="704" t="n">
        <v>0</v>
      </c>
      <c r="D78" s="704" t="n">
        <v>0</v>
      </c>
      <c r="E78" s="704" t="n">
        <v>0</v>
      </c>
      <c r="F78" s="704" t="n">
        <v>0</v>
      </c>
      <c r="G78" s="704" t="n">
        <v>9</v>
      </c>
      <c r="H78" s="704" t="n">
        <v>0</v>
      </c>
      <c r="I78" s="704" t="n">
        <v>0</v>
      </c>
      <c r="J78" s="704" t="n">
        <v>0</v>
      </c>
      <c r="K78" s="704" t="n">
        <v>0</v>
      </c>
    </row>
    <row r="79">
      <c r="A79" s="662" t="inlineStr">
        <is>
          <t>00000000096583 - ENVELOPE M AMOR 2026 BOTI UNIT</t>
        </is>
      </c>
      <c r="B79" s="706" t="n">
        <v>0</v>
      </c>
      <c r="C79" s="706" t="n">
        <v>0</v>
      </c>
      <c r="D79" s="706" t="n">
        <v>0</v>
      </c>
      <c r="E79" s="706" t="n">
        <v>0</v>
      </c>
      <c r="F79" s="706" t="n">
        <v>0</v>
      </c>
      <c r="G79" s="706" t="n">
        <v>0</v>
      </c>
      <c r="H79" s="706" t="n">
        <v>0</v>
      </c>
      <c r="I79" s="706" t="n">
        <v>50</v>
      </c>
      <c r="J79" s="706" t="n">
        <v>0</v>
      </c>
      <c r="K79" s="706" t="n">
        <v>0</v>
      </c>
    </row>
    <row r="80">
      <c r="A80" s="660" t="inlineStr">
        <is>
          <t>00000000096584 - SACOLA M AMOR 2026 2025 BOTI UNIT</t>
        </is>
      </c>
      <c r="B80" s="704" t="n">
        <v>0</v>
      </c>
      <c r="C80" s="704" t="n">
        <v>0</v>
      </c>
      <c r="D80" s="704" t="n">
        <v>0</v>
      </c>
      <c r="E80" s="704" t="n">
        <v>0</v>
      </c>
      <c r="F80" s="704" t="n">
        <v>0</v>
      </c>
      <c r="G80" s="704" t="n">
        <v>0</v>
      </c>
      <c r="H80" s="704" t="n">
        <v>0</v>
      </c>
      <c r="I80" s="704" t="n">
        <v>200</v>
      </c>
      <c r="J80" s="704" t="n">
        <v>0</v>
      </c>
      <c r="K80" s="704" t="n">
        <v>0</v>
      </c>
    </row>
    <row r="81">
      <c r="A81" s="662" t="inlineStr">
        <is>
          <t>00000000097579 - SEDA BOTI VD REVEND AMOR 2026 MOD C/20</t>
        </is>
      </c>
      <c r="B81" s="706" t="n">
        <v>0</v>
      </c>
      <c r="C81" s="706" t="n">
        <v>0</v>
      </c>
      <c r="D81" s="706" t="n">
        <v>0</v>
      </c>
      <c r="E81" s="706" t="n">
        <v>0</v>
      </c>
      <c r="F81" s="706" t="n">
        <v>0</v>
      </c>
      <c r="G81" s="706" t="n">
        <v>0</v>
      </c>
      <c r="H81" s="706" t="n">
        <v>0</v>
      </c>
      <c r="I81" s="706" t="n">
        <v>10</v>
      </c>
      <c r="J81" s="706" t="n">
        <v>0</v>
      </c>
      <c r="K81" s="706" t="n">
        <v>0</v>
      </c>
    </row>
    <row r="82">
      <c r="A82" s="660" t="inlineStr">
        <is>
          <t>00000000097622 - ADES SACOLA REV BOTI AMOR/26 MOD C/20 VD</t>
        </is>
      </c>
      <c r="B82" s="704" t="n">
        <v>0</v>
      </c>
      <c r="C82" s="704" t="n">
        <v>0</v>
      </c>
      <c r="D82" s="704" t="n">
        <v>0</v>
      </c>
      <c r="E82" s="704" t="n">
        <v>0</v>
      </c>
      <c r="F82" s="704" t="n">
        <v>0</v>
      </c>
      <c r="G82" s="704" t="n">
        <v>0</v>
      </c>
      <c r="H82" s="704" t="n">
        <v>0</v>
      </c>
      <c r="I82" s="704" t="n">
        <v>10</v>
      </c>
      <c r="J82" s="704" t="n">
        <v>0</v>
      </c>
      <c r="K82" s="704" t="n">
        <v>0</v>
      </c>
    </row>
    <row r="83">
      <c r="A83" s="682" t="inlineStr">
        <is>
          <t>Total</t>
        </is>
      </c>
      <c r="B83" s="721" t="n">
        <v>0</v>
      </c>
      <c r="C83" s="721" t="n">
        <v>1830</v>
      </c>
      <c r="D83" s="721" t="n">
        <v>2868</v>
      </c>
      <c r="E83" s="721" t="n">
        <v>1384</v>
      </c>
      <c r="F83" s="721" t="n">
        <v>515</v>
      </c>
      <c r="G83" s="721" t="n">
        <v>1971</v>
      </c>
      <c r="H83" s="721" t="n">
        <v>1453</v>
      </c>
      <c r="I83" s="721" t="n">
        <v>1442</v>
      </c>
      <c r="J83" s="721" t="n">
        <v>2578</v>
      </c>
      <c r="K83" s="721" t="n">
        <v>647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23">
    <tabColor theme="8"/>
    <outlinePr summaryBelow="1" summaryRight="1"/>
    <pageSetUpPr/>
  </sheetPr>
  <dimension ref="A1:K83"/>
  <sheetViews>
    <sheetView workbookViewId="0">
      <selection activeCell="N16" sqref="N16"/>
    </sheetView>
  </sheetViews>
  <sheetFormatPr baseColWidth="8" defaultRowHeight="15"/>
  <cols>
    <col width="43.7109375" customWidth="1" style="684" min="1" max="1"/>
    <col width="7.28515625" customWidth="1" style="684" min="2" max="11"/>
  </cols>
  <sheetData>
    <row r="1">
      <c r="A1" s="656" t="inlineStr">
        <is>
          <t>Produtos</t>
        </is>
      </c>
      <c r="B1" s="657" t="n">
        <v>14356</v>
      </c>
      <c r="C1" s="657" t="n">
        <v>24790</v>
      </c>
      <c r="D1" s="657" t="n">
        <v>23614</v>
      </c>
      <c r="E1" s="657" t="n">
        <v>23343</v>
      </c>
      <c r="F1" s="657" t="n">
        <v>24119</v>
      </c>
      <c r="G1" s="658" t="n">
        <v>23280</v>
      </c>
      <c r="H1" s="658" t="n">
        <v>22851</v>
      </c>
      <c r="I1" s="659" t="n">
        <v>23091</v>
      </c>
      <c r="J1" s="659" t="n">
        <v>22838</v>
      </c>
      <c r="K1" s="659" t="n">
        <v>24137</v>
      </c>
    </row>
    <row r="2">
      <c r="A2" s="660" t="inlineStr">
        <is>
          <t>00000000090819 - SACOLA PP BOTICARIO INST/25</t>
        </is>
      </c>
      <c r="B2" s="704" t="n">
        <v>0</v>
      </c>
      <c r="C2" s="704" t="n">
        <v>79</v>
      </c>
      <c r="D2" s="704" t="n">
        <v>106</v>
      </c>
      <c r="E2" s="704" t="n">
        <v>190</v>
      </c>
      <c r="F2" s="704" t="n">
        <v>0</v>
      </c>
      <c r="G2" s="704" t="n">
        <v>12</v>
      </c>
      <c r="H2" s="704" t="n">
        <v>0</v>
      </c>
      <c r="I2" s="704" t="n">
        <v>147</v>
      </c>
      <c r="J2" s="704" t="n">
        <v>153</v>
      </c>
      <c r="K2" s="704" t="n">
        <v>40</v>
      </c>
    </row>
    <row r="3">
      <c r="A3" s="662" t="inlineStr">
        <is>
          <t>00000000090821 - SACOLA P BOTICARIO INST/25</t>
        </is>
      </c>
      <c r="B3" s="706" t="n">
        <v>0</v>
      </c>
      <c r="C3" s="706" t="n">
        <v>126</v>
      </c>
      <c r="D3" s="706" t="n">
        <v>561</v>
      </c>
      <c r="E3" s="706" t="n">
        <v>200</v>
      </c>
      <c r="F3" s="706" t="n">
        <v>200</v>
      </c>
      <c r="G3" s="706" t="n">
        <v>354</v>
      </c>
      <c r="H3" s="706" t="n">
        <v>0</v>
      </c>
      <c r="I3" s="706" t="n">
        <v>0</v>
      </c>
      <c r="J3" s="706" t="n">
        <v>252</v>
      </c>
      <c r="K3" s="706" t="n">
        <v>0</v>
      </c>
    </row>
    <row r="4">
      <c r="A4" s="660" t="inlineStr">
        <is>
          <t>00000000090822 - SACOLA M BOTICARIO INST/25</t>
        </is>
      </c>
      <c r="B4" s="704" t="n">
        <v>0</v>
      </c>
      <c r="C4" s="704" t="n">
        <v>132</v>
      </c>
      <c r="D4" s="704" t="n">
        <v>370</v>
      </c>
      <c r="E4" s="704" t="n">
        <v>200</v>
      </c>
      <c r="F4" s="704" t="n">
        <v>200</v>
      </c>
      <c r="G4" s="704" t="n">
        <v>0</v>
      </c>
      <c r="H4" s="704" t="n">
        <v>0</v>
      </c>
      <c r="I4" s="704" t="n">
        <v>0</v>
      </c>
      <c r="J4" s="704" t="n">
        <v>395</v>
      </c>
      <c r="K4" s="704" t="n">
        <v>0</v>
      </c>
    </row>
    <row r="5">
      <c r="A5" s="662" t="inlineStr">
        <is>
          <t>00000000003591 - KIT SACOLA PP INST 2021 VERDE C/10</t>
        </is>
      </c>
      <c r="B5" s="706" t="n">
        <v>0</v>
      </c>
      <c r="C5" s="706" t="n">
        <v>0</v>
      </c>
      <c r="D5" s="706" t="n">
        <v>4</v>
      </c>
      <c r="E5" s="706" t="n">
        <v>23</v>
      </c>
      <c r="F5" s="706" t="n">
        <v>0</v>
      </c>
      <c r="G5" s="706" t="n">
        <v>0</v>
      </c>
      <c r="H5" s="706" t="n">
        <v>0</v>
      </c>
      <c r="I5" s="706" t="n">
        <v>0</v>
      </c>
      <c r="J5" s="706" t="n">
        <v>0</v>
      </c>
      <c r="K5" s="706" t="n">
        <v>0</v>
      </c>
    </row>
    <row r="6">
      <c r="A6" s="660" t="inlineStr">
        <is>
          <t>00000000003608 - KIT SACOLA P INST 2021 VERDE C/10</t>
        </is>
      </c>
      <c r="B6" s="704" t="n">
        <v>0</v>
      </c>
      <c r="C6" s="704" t="n">
        <v>3</v>
      </c>
      <c r="D6" s="704" t="n">
        <v>6</v>
      </c>
      <c r="E6" s="704" t="n">
        <v>11</v>
      </c>
      <c r="F6" s="704" t="n">
        <v>0</v>
      </c>
      <c r="G6" s="704" t="n">
        <v>0</v>
      </c>
      <c r="H6" s="704" t="n">
        <v>0</v>
      </c>
      <c r="I6" s="704" t="n">
        <v>0</v>
      </c>
      <c r="J6" s="704" t="n">
        <v>0</v>
      </c>
      <c r="K6" s="704" t="n">
        <v>0</v>
      </c>
    </row>
    <row r="7">
      <c r="A7" s="662" t="inlineStr">
        <is>
          <t>00000000003610 - KIT SACOLA M INST 2021 VERDE C/10</t>
        </is>
      </c>
      <c r="B7" s="706" t="n">
        <v>0</v>
      </c>
      <c r="C7" s="706" t="n">
        <v>0</v>
      </c>
      <c r="D7" s="706" t="n">
        <v>10</v>
      </c>
      <c r="E7" s="706" t="n">
        <v>28</v>
      </c>
      <c r="F7" s="706" t="n">
        <v>0</v>
      </c>
      <c r="G7" s="706" t="n">
        <v>0</v>
      </c>
      <c r="H7" s="706" t="n">
        <v>0</v>
      </c>
      <c r="I7" s="706" t="n">
        <v>0</v>
      </c>
      <c r="J7" s="706" t="n">
        <v>9</v>
      </c>
      <c r="K7" s="706" t="n">
        <v>0</v>
      </c>
    </row>
    <row r="8">
      <c r="A8" s="660" t="inlineStr">
        <is>
          <t>00000000094389 - PAPEL SEDA BOTI INSTIT 2025 UNIT</t>
        </is>
      </c>
      <c r="B8" s="704" t="n">
        <v>0</v>
      </c>
      <c r="C8" s="704" t="n">
        <v>0</v>
      </c>
      <c r="D8" s="704" t="n">
        <v>0</v>
      </c>
      <c r="E8" s="704" t="n">
        <v>0</v>
      </c>
      <c r="F8" s="704" t="n">
        <v>0</v>
      </c>
      <c r="G8" s="704" t="n">
        <v>9</v>
      </c>
      <c r="H8" s="704" t="n">
        <v>140</v>
      </c>
      <c r="I8" s="704" t="n">
        <v>0</v>
      </c>
      <c r="J8" s="704" t="n">
        <v>0</v>
      </c>
      <c r="K8" s="704" t="n">
        <v>38</v>
      </c>
    </row>
    <row r="9">
      <c r="A9" s="662" t="inlineStr">
        <is>
          <t>00000000043673 - KIT VD INSTITUCIONAL PAPEL DE SEDA C/25</t>
        </is>
      </c>
      <c r="B9" s="706" t="n">
        <v>0</v>
      </c>
      <c r="C9" s="706" t="n">
        <v>42</v>
      </c>
      <c r="D9" s="706" t="n">
        <v>24</v>
      </c>
      <c r="E9" s="706" t="n">
        <v>8</v>
      </c>
      <c r="F9" s="706" t="n">
        <v>12</v>
      </c>
      <c r="G9" s="706" t="n">
        <v>0</v>
      </c>
      <c r="H9" s="706" t="n">
        <v>0</v>
      </c>
      <c r="I9" s="706" t="n">
        <v>0</v>
      </c>
      <c r="J9" s="706" t="n">
        <v>0</v>
      </c>
      <c r="K9" s="706" t="n">
        <v>0</v>
      </c>
    </row>
    <row r="10">
      <c r="A10" s="660" t="inlineStr">
        <is>
          <t>00000000030190 - CART ADESIVOS INST 2021 C/50</t>
        </is>
      </c>
      <c r="B10" s="704" t="n">
        <v>0</v>
      </c>
      <c r="C10" s="704" t="n">
        <v>38</v>
      </c>
      <c r="D10" s="704" t="n">
        <v>58</v>
      </c>
      <c r="E10" s="704" t="n">
        <v>1</v>
      </c>
      <c r="F10" s="704" t="n">
        <v>33</v>
      </c>
      <c r="G10" s="704" t="n">
        <v>0</v>
      </c>
      <c r="H10" s="704" t="n">
        <v>0</v>
      </c>
      <c r="I10" s="704" t="n">
        <v>0</v>
      </c>
      <c r="J10" s="704" t="n">
        <v>0</v>
      </c>
      <c r="K10" s="704" t="n">
        <v>0</v>
      </c>
    </row>
    <row r="11">
      <c r="A11" s="662" t="inlineStr">
        <is>
          <t>00000000045033 - KIT TAG INST. VD S/ FIT C/20 UN</t>
        </is>
      </c>
      <c r="B11" s="706" t="n">
        <v>0</v>
      </c>
      <c r="C11" s="706" t="n">
        <v>0</v>
      </c>
      <c r="D11" s="706" t="n">
        <v>0</v>
      </c>
      <c r="E11" s="706" t="n">
        <v>23</v>
      </c>
      <c r="F11" s="706" t="n">
        <v>0</v>
      </c>
      <c r="G11" s="706" t="n">
        <v>0</v>
      </c>
      <c r="H11" s="706" t="n">
        <v>0</v>
      </c>
      <c r="I11" s="706" t="n">
        <v>0</v>
      </c>
      <c r="J11" s="706" t="n">
        <v>0</v>
      </c>
      <c r="K11" s="706" t="n">
        <v>0</v>
      </c>
    </row>
    <row r="12">
      <c r="A12" s="660" t="inlineStr">
        <is>
          <t>00000000043763 - KIT VD INST TAG C/50</t>
        </is>
      </c>
      <c r="B12" s="704" t="n">
        <v>0</v>
      </c>
      <c r="C12" s="704" t="n">
        <v>0</v>
      </c>
      <c r="D12" s="704" t="n">
        <v>0</v>
      </c>
      <c r="E12" s="704" t="n">
        <v>15</v>
      </c>
      <c r="F12" s="704" t="n">
        <v>0</v>
      </c>
      <c r="G12" s="704" t="n">
        <v>9</v>
      </c>
      <c r="H12" s="704" t="n">
        <v>0</v>
      </c>
      <c r="I12" s="704" t="n">
        <v>0</v>
      </c>
      <c r="J12" s="704" t="n">
        <v>1</v>
      </c>
      <c r="K12" s="704" t="n">
        <v>0</v>
      </c>
    </row>
    <row r="13">
      <c r="A13" s="662" t="inlineStr">
        <is>
          <t>00000000030194 - TAG P/SACOLA INST 2021 KIT C/50 UN VD</t>
        </is>
      </c>
      <c r="B13" s="706" t="n">
        <v>0</v>
      </c>
      <c r="C13" s="706" t="n">
        <v>63</v>
      </c>
      <c r="D13" s="706" t="n">
        <v>42</v>
      </c>
      <c r="E13" s="706" t="n">
        <v>0</v>
      </c>
      <c r="F13" s="706" t="n">
        <v>0</v>
      </c>
      <c r="G13" s="706" t="n">
        <v>0</v>
      </c>
      <c r="H13" s="706" t="n">
        <v>0</v>
      </c>
      <c r="I13" s="706" t="n">
        <v>0</v>
      </c>
      <c r="J13" s="706" t="n">
        <v>0</v>
      </c>
      <c r="K13" s="706" t="n">
        <v>0</v>
      </c>
    </row>
    <row r="14">
      <c r="A14" s="660" t="inlineStr">
        <is>
          <t>00000000089402 - CAIXA PRESENTE P BOT INST/25 VDA</t>
        </is>
      </c>
      <c r="B14" s="704" t="n">
        <v>0</v>
      </c>
      <c r="C14" s="704" t="n">
        <v>0</v>
      </c>
      <c r="D14" s="704" t="n">
        <v>0</v>
      </c>
      <c r="E14" s="704" t="n">
        <v>0</v>
      </c>
      <c r="F14" s="704" t="n">
        <v>0</v>
      </c>
      <c r="G14" s="704" t="n">
        <v>125</v>
      </c>
      <c r="H14" s="704" t="n">
        <v>104</v>
      </c>
      <c r="I14" s="704" t="n">
        <v>100</v>
      </c>
      <c r="J14" s="704" t="n">
        <v>0</v>
      </c>
      <c r="K14" s="704" t="n">
        <v>0</v>
      </c>
    </row>
    <row r="15">
      <c r="A15" s="662" t="inlineStr">
        <is>
          <t>00000000003682 - KIT CAIXA P INST 2021 VERDE VD</t>
        </is>
      </c>
      <c r="B15" s="706" t="n">
        <v>0</v>
      </c>
      <c r="C15" s="706" t="n">
        <v>0</v>
      </c>
      <c r="D15" s="706" t="n">
        <v>4</v>
      </c>
      <c r="E15" s="706" t="n">
        <v>0</v>
      </c>
      <c r="F15" s="706" t="n">
        <v>0</v>
      </c>
      <c r="G15" s="706" t="n">
        <v>0</v>
      </c>
      <c r="H15" s="706" t="n">
        <v>0</v>
      </c>
      <c r="I15" s="706" t="n">
        <v>0</v>
      </c>
      <c r="J15" s="706" t="n">
        <v>0</v>
      </c>
      <c r="K15" s="706" t="n">
        <v>5</v>
      </c>
    </row>
    <row r="16">
      <c r="A16" s="660" t="inlineStr">
        <is>
          <t>00000000089401 - CX PRESENTE M BOTI INST/25 VDA</t>
        </is>
      </c>
      <c r="B16" s="704" t="n">
        <v>0</v>
      </c>
      <c r="C16" s="704" t="n">
        <v>0</v>
      </c>
      <c r="D16" s="704" t="n">
        <v>0</v>
      </c>
      <c r="E16" s="704" t="n">
        <v>0</v>
      </c>
      <c r="F16" s="704" t="n">
        <v>0</v>
      </c>
      <c r="G16" s="704" t="n">
        <v>45</v>
      </c>
      <c r="H16" s="704" t="n">
        <v>0</v>
      </c>
      <c r="I16" s="704" t="n">
        <v>48</v>
      </c>
      <c r="J16" s="704" t="n">
        <v>73</v>
      </c>
      <c r="K16" s="704" t="n">
        <v>0</v>
      </c>
    </row>
    <row r="17">
      <c r="A17" s="662" t="inlineStr">
        <is>
          <t>00000000003704 - KIT CAIXA G INST 2021 VERDE VD</t>
        </is>
      </c>
      <c r="B17" s="706" t="n">
        <v>0</v>
      </c>
      <c r="C17" s="706" t="n">
        <v>0</v>
      </c>
      <c r="D17" s="706" t="n">
        <v>0</v>
      </c>
      <c r="E17" s="706" t="n">
        <v>0</v>
      </c>
      <c r="F17" s="706" t="n">
        <v>0</v>
      </c>
      <c r="G17" s="706" t="n">
        <v>0</v>
      </c>
      <c r="H17" s="706" t="n">
        <v>0</v>
      </c>
      <c r="I17" s="706" t="n">
        <v>0</v>
      </c>
      <c r="J17" s="706" t="n">
        <v>0</v>
      </c>
      <c r="K17" s="706" t="n">
        <v>2</v>
      </c>
    </row>
    <row r="18">
      <c r="A18" s="660" t="inlineStr">
        <is>
          <t>00000000054572 - KIT OVERBAG BOTI PRESENTEAR ECOMMERCE M</t>
        </is>
      </c>
      <c r="B18" s="704" t="n">
        <v>0</v>
      </c>
      <c r="C18" s="704" t="n">
        <v>0</v>
      </c>
      <c r="D18" s="704" t="n">
        <v>0</v>
      </c>
      <c r="E18" s="704" t="n">
        <v>0</v>
      </c>
      <c r="F18" s="704" t="n">
        <v>0</v>
      </c>
      <c r="G18" s="704" t="n">
        <v>23</v>
      </c>
      <c r="H18" s="704" t="n">
        <v>0</v>
      </c>
      <c r="I18" s="704" t="n">
        <v>0</v>
      </c>
      <c r="J18" s="704" t="n">
        <v>8</v>
      </c>
      <c r="K18" s="704" t="n">
        <v>0</v>
      </c>
    </row>
    <row r="19">
      <c r="A19" s="662" t="inlineStr">
        <is>
          <t>00000000046885 - O.U.i SACOLA P 2021</t>
        </is>
      </c>
      <c r="B19" s="706" t="n">
        <v>0</v>
      </c>
      <c r="C19" s="706" t="n">
        <v>4</v>
      </c>
      <c r="D19" s="706" t="n">
        <v>12</v>
      </c>
      <c r="E19" s="706" t="n">
        <v>23</v>
      </c>
      <c r="F19" s="706" t="n">
        <v>0</v>
      </c>
      <c r="G19" s="706" t="n">
        <v>38</v>
      </c>
      <c r="H19" s="706" t="n">
        <v>3</v>
      </c>
      <c r="I19" s="706" t="n">
        <v>116</v>
      </c>
      <c r="J19" s="706" t="n">
        <v>0</v>
      </c>
      <c r="K19" s="706" t="n">
        <v>2</v>
      </c>
    </row>
    <row r="20">
      <c r="A20" s="660" t="inlineStr">
        <is>
          <t>00000000046886 - O.U.I SACOLA M 2021</t>
        </is>
      </c>
      <c r="B20" s="704" t="n">
        <v>0</v>
      </c>
      <c r="C20" s="704" t="n">
        <v>9</v>
      </c>
      <c r="D20" s="704" t="n">
        <v>19</v>
      </c>
      <c r="E20" s="704" t="n">
        <v>11</v>
      </c>
      <c r="F20" s="704" t="n">
        <v>0</v>
      </c>
      <c r="G20" s="704" t="n">
        <v>18</v>
      </c>
      <c r="H20" s="704" t="n">
        <v>12</v>
      </c>
      <c r="I20" s="704" t="n">
        <v>79</v>
      </c>
      <c r="J20" s="704" t="n">
        <v>0</v>
      </c>
      <c r="K20" s="704" t="n">
        <v>0</v>
      </c>
    </row>
    <row r="21">
      <c r="A21" s="662" t="inlineStr">
        <is>
          <t>00000000046887 - O.U.I SACOLA G 2021</t>
        </is>
      </c>
      <c r="B21" s="706" t="n">
        <v>0</v>
      </c>
      <c r="C21" s="706" t="n">
        <v>7</v>
      </c>
      <c r="D21" s="706" t="n">
        <v>13</v>
      </c>
      <c r="E21" s="706" t="n">
        <v>18</v>
      </c>
      <c r="F21" s="706" t="n">
        <v>0</v>
      </c>
      <c r="G21" s="706" t="n">
        <v>0</v>
      </c>
      <c r="H21" s="706" t="n">
        <v>0</v>
      </c>
      <c r="I21" s="706" t="n">
        <v>7</v>
      </c>
      <c r="J21" s="706" t="n">
        <v>0</v>
      </c>
      <c r="K21" s="706" t="n">
        <v>3</v>
      </c>
    </row>
    <row r="22">
      <c r="A22" s="660" t="inlineStr">
        <is>
          <t>00000000046888 - O.U.I KIT CAIXA P 2021</t>
        </is>
      </c>
      <c r="B22" s="704" t="n">
        <v>0</v>
      </c>
      <c r="C22" s="704" t="n">
        <v>19</v>
      </c>
      <c r="D22" s="704" t="n">
        <v>57</v>
      </c>
      <c r="E22" s="704" t="n">
        <v>16</v>
      </c>
      <c r="F22" s="704" t="n">
        <v>5</v>
      </c>
      <c r="G22" s="704" t="n">
        <v>46</v>
      </c>
      <c r="H22" s="704" t="n">
        <v>81</v>
      </c>
      <c r="I22" s="704" t="n">
        <v>39</v>
      </c>
      <c r="J22" s="704" t="n">
        <v>21</v>
      </c>
      <c r="K22" s="704" t="n">
        <v>6</v>
      </c>
    </row>
    <row r="23">
      <c r="A23" s="662" t="inlineStr">
        <is>
          <t>00000000046890 - O.U.I KIT CAIXA M 2021</t>
        </is>
      </c>
      <c r="B23" s="706" t="n">
        <v>0</v>
      </c>
      <c r="C23" s="706" t="n">
        <v>9</v>
      </c>
      <c r="D23" s="706" t="n">
        <v>32</v>
      </c>
      <c r="E23" s="706" t="n">
        <v>23</v>
      </c>
      <c r="F23" s="706" t="n">
        <v>2</v>
      </c>
      <c r="G23" s="706" t="n">
        <v>3</v>
      </c>
      <c r="H23" s="706" t="n">
        <v>86</v>
      </c>
      <c r="I23" s="706" t="n">
        <v>46</v>
      </c>
      <c r="J23" s="706" t="n">
        <v>1</v>
      </c>
      <c r="K23" s="706" t="n">
        <v>6</v>
      </c>
    </row>
    <row r="24">
      <c r="A24" s="660" t="inlineStr">
        <is>
          <t>00000000046891 - O.U.I KIT CAIXA G 2021</t>
        </is>
      </c>
      <c r="B24" s="704" t="n">
        <v>0</v>
      </c>
      <c r="C24" s="704" t="n">
        <v>15</v>
      </c>
      <c r="D24" s="704" t="n">
        <v>48</v>
      </c>
      <c r="E24" s="704" t="n">
        <v>6</v>
      </c>
      <c r="F24" s="704" t="n">
        <v>3</v>
      </c>
      <c r="G24" s="704" t="n">
        <v>44</v>
      </c>
      <c r="H24" s="704" t="n">
        <v>40</v>
      </c>
      <c r="I24" s="704" t="n">
        <v>19</v>
      </c>
      <c r="J24" s="704" t="n">
        <v>28</v>
      </c>
      <c r="K24" s="704" t="n">
        <v>9</v>
      </c>
    </row>
    <row r="25">
      <c r="A25" s="662" t="inlineStr">
        <is>
          <t>00000000047162 - OUI CAIXA M 2021</t>
        </is>
      </c>
      <c r="B25" s="706" t="n">
        <v>0</v>
      </c>
      <c r="C25" s="706" t="n">
        <v>0</v>
      </c>
      <c r="D25" s="706" t="n">
        <v>0</v>
      </c>
      <c r="E25" s="706" t="n">
        <v>0</v>
      </c>
      <c r="F25" s="706" t="n">
        <v>0</v>
      </c>
      <c r="G25" s="706" t="n">
        <v>0</v>
      </c>
      <c r="H25" s="706" t="n">
        <v>0</v>
      </c>
      <c r="I25" s="706" t="n">
        <v>0</v>
      </c>
      <c r="J25" s="706" t="n">
        <v>2</v>
      </c>
      <c r="K25" s="706" t="n">
        <v>0</v>
      </c>
    </row>
    <row r="26">
      <c r="A26" s="660" t="inlineStr">
        <is>
          <t>00000000050110 - CAIXA QDB P INSTITUCIONAL/21</t>
        </is>
      </c>
      <c r="B26" s="704" t="n">
        <v>0</v>
      </c>
      <c r="C26" s="704" t="n">
        <v>0</v>
      </c>
      <c r="D26" s="704" t="n">
        <v>0</v>
      </c>
      <c r="E26" s="704" t="n">
        <v>0</v>
      </c>
      <c r="F26" s="704" t="n">
        <v>0</v>
      </c>
      <c r="G26" s="704" t="n">
        <v>9</v>
      </c>
      <c r="H26" s="704" t="n">
        <v>0</v>
      </c>
      <c r="I26" s="704" t="n">
        <v>0</v>
      </c>
      <c r="J26" s="704" t="n">
        <v>1</v>
      </c>
      <c r="K26" s="704" t="n">
        <v>0</v>
      </c>
    </row>
    <row r="27">
      <c r="A27" s="662" t="inlineStr">
        <is>
          <t>00000000056369 - CAIXA QDB P INST 2023</t>
        </is>
      </c>
      <c r="B27" s="706" t="n">
        <v>0</v>
      </c>
      <c r="C27" s="706" t="n">
        <v>0</v>
      </c>
      <c r="D27" s="706" t="n">
        <v>0</v>
      </c>
      <c r="E27" s="706" t="n">
        <v>4</v>
      </c>
      <c r="F27" s="706" t="n">
        <v>5</v>
      </c>
      <c r="G27" s="706" t="n">
        <v>73</v>
      </c>
      <c r="H27" s="706" t="n">
        <v>18</v>
      </c>
      <c r="I27" s="706" t="n">
        <v>0</v>
      </c>
      <c r="J27" s="706" t="n">
        <v>10</v>
      </c>
      <c r="K27" s="706" t="n">
        <v>17</v>
      </c>
    </row>
    <row r="28">
      <c r="A28" s="660" t="inlineStr">
        <is>
          <t>00000000056375 - KIT QDB CAIXA P INST 2023 VD</t>
        </is>
      </c>
      <c r="B28" s="704" t="n">
        <v>0</v>
      </c>
      <c r="C28" s="704" t="n">
        <v>0</v>
      </c>
      <c r="D28" s="704" t="n">
        <v>0</v>
      </c>
      <c r="E28" s="704" t="n">
        <v>0</v>
      </c>
      <c r="F28" s="704" t="n">
        <v>0</v>
      </c>
      <c r="G28" s="704" t="n">
        <v>20</v>
      </c>
      <c r="H28" s="704" t="n">
        <v>0</v>
      </c>
      <c r="I28" s="704" t="n">
        <v>0</v>
      </c>
      <c r="J28" s="704" t="n">
        <v>0</v>
      </c>
      <c r="K28" s="704" t="n">
        <v>0</v>
      </c>
    </row>
    <row r="29">
      <c r="A29" s="662" t="inlineStr">
        <is>
          <t>00000000056376 - CAIXA QDB  G INST 2023</t>
        </is>
      </c>
      <c r="B29" s="706" t="n">
        <v>0</v>
      </c>
      <c r="C29" s="706" t="n">
        <v>0</v>
      </c>
      <c r="D29" s="706" t="n">
        <v>0</v>
      </c>
      <c r="E29" s="706" t="n">
        <v>20</v>
      </c>
      <c r="F29" s="706" t="n">
        <v>0</v>
      </c>
      <c r="G29" s="706" t="n">
        <v>94</v>
      </c>
      <c r="H29" s="706" t="n">
        <v>15</v>
      </c>
      <c r="I29" s="706" t="n">
        <v>2</v>
      </c>
      <c r="J29" s="706" t="n">
        <v>20</v>
      </c>
      <c r="K29" s="706" t="n">
        <v>0</v>
      </c>
    </row>
    <row r="30">
      <c r="A30" s="660" t="inlineStr">
        <is>
          <t>00000000056378 - KIT CAIXA QDB M INST 2023 VD</t>
        </is>
      </c>
      <c r="B30" s="704" t="n">
        <v>0</v>
      </c>
      <c r="C30" s="704" t="n">
        <v>0</v>
      </c>
      <c r="D30" s="704" t="n">
        <v>0</v>
      </c>
      <c r="E30" s="704" t="n">
        <v>10</v>
      </c>
      <c r="F30" s="704" t="n">
        <v>0</v>
      </c>
      <c r="G30" s="704" t="n">
        <v>40</v>
      </c>
      <c r="H30" s="704" t="n">
        <v>12</v>
      </c>
      <c r="I30" s="704" t="n">
        <v>22</v>
      </c>
      <c r="J30" s="704" t="n">
        <v>0</v>
      </c>
      <c r="K30" s="704" t="n">
        <v>9</v>
      </c>
    </row>
    <row r="31">
      <c r="A31" s="662" t="inlineStr">
        <is>
          <t>00000000053651 - KIT SACOLA EUDORA  INST 2022 P</t>
        </is>
      </c>
      <c r="B31" s="706" t="n">
        <v>0</v>
      </c>
      <c r="C31" s="706" t="n">
        <v>0</v>
      </c>
      <c r="D31" s="706" t="n">
        <v>0</v>
      </c>
      <c r="E31" s="706" t="n">
        <v>127</v>
      </c>
      <c r="F31" s="706" t="n">
        <v>0</v>
      </c>
      <c r="G31" s="706" t="n">
        <v>0</v>
      </c>
      <c r="H31" s="706" t="n">
        <v>0</v>
      </c>
      <c r="I31" s="706" t="n">
        <v>0</v>
      </c>
      <c r="J31" s="706" t="n">
        <v>0</v>
      </c>
      <c r="K31" s="706" t="n">
        <v>0</v>
      </c>
    </row>
    <row r="32">
      <c r="A32" s="660" t="inlineStr">
        <is>
          <t>00000000053944 - KIT SACOLA EUDORA M UNIT INST 2022</t>
        </is>
      </c>
      <c r="B32" s="704" t="n">
        <v>0</v>
      </c>
      <c r="C32" s="704" t="n">
        <v>0</v>
      </c>
      <c r="D32" s="704" t="n">
        <v>-37</v>
      </c>
      <c r="E32" s="704" t="n">
        <v>0</v>
      </c>
      <c r="F32" s="704" t="n">
        <v>0</v>
      </c>
      <c r="G32" s="704" t="n">
        <v>0</v>
      </c>
      <c r="H32" s="704" t="n">
        <v>0</v>
      </c>
      <c r="I32" s="704" t="n">
        <v>0</v>
      </c>
      <c r="J32" s="704" t="n">
        <v>0</v>
      </c>
      <c r="K32" s="704" t="n">
        <v>0</v>
      </c>
    </row>
    <row r="33">
      <c r="A33" s="662" t="inlineStr">
        <is>
          <t>00000000052276 - KIT SACOLA P INST EUD 2022 C/10 VD</t>
        </is>
      </c>
      <c r="B33" s="706" t="n">
        <v>0</v>
      </c>
      <c r="C33" s="706" t="n">
        <v>54</v>
      </c>
      <c r="D33" s="706" t="n">
        <v>16</v>
      </c>
      <c r="E33" s="706" t="n">
        <v>24</v>
      </c>
      <c r="F33" s="706" t="n">
        <v>0</v>
      </c>
      <c r="G33" s="706" t="n">
        <v>19</v>
      </c>
      <c r="H33" s="706" t="n">
        <v>36</v>
      </c>
      <c r="I33" s="706" t="n">
        <v>17</v>
      </c>
      <c r="J33" s="706" t="n">
        <v>30</v>
      </c>
      <c r="K33" s="706" t="n">
        <v>0</v>
      </c>
    </row>
    <row r="34">
      <c r="A34" s="660" t="inlineStr">
        <is>
          <t>00000000052288 - KIT SACOLA M EUD INST 2022 C/10 VD</t>
        </is>
      </c>
      <c r="B34" s="704" t="n">
        <v>0</v>
      </c>
      <c r="C34" s="704" t="n">
        <v>35</v>
      </c>
      <c r="D34" s="704" t="n">
        <v>60</v>
      </c>
      <c r="E34" s="704" t="n">
        <v>40</v>
      </c>
      <c r="F34" s="704" t="n">
        <v>0</v>
      </c>
      <c r="G34" s="704" t="n">
        <v>0</v>
      </c>
      <c r="H34" s="704" t="n">
        <v>17</v>
      </c>
      <c r="I34" s="704" t="n">
        <v>34</v>
      </c>
      <c r="J34" s="704" t="n">
        <v>15</v>
      </c>
      <c r="K34" s="704" t="n">
        <v>2</v>
      </c>
    </row>
    <row r="35">
      <c r="A35" s="662" t="inlineStr">
        <is>
          <t>00000000053653 - KIT SACOLA EUDORA G UNIT INST 2022</t>
        </is>
      </c>
      <c r="B35" s="706" t="n">
        <v>0</v>
      </c>
      <c r="C35" s="706" t="n">
        <v>44</v>
      </c>
      <c r="D35" s="706" t="n">
        <v>9</v>
      </c>
      <c r="E35" s="706" t="n">
        <v>0</v>
      </c>
      <c r="F35" s="706" t="n">
        <v>0</v>
      </c>
      <c r="G35" s="706" t="n">
        <v>0</v>
      </c>
      <c r="H35" s="706" t="n">
        <v>0</v>
      </c>
      <c r="I35" s="706" t="n">
        <v>0</v>
      </c>
      <c r="J35" s="706" t="n">
        <v>0</v>
      </c>
      <c r="K35" s="706" t="n">
        <v>0</v>
      </c>
    </row>
    <row r="36">
      <c r="A36" s="660" t="inlineStr">
        <is>
          <t>00000000053654 - KIT CAIXA P EUDORA INST 2022</t>
        </is>
      </c>
      <c r="B36" s="704" t="n">
        <v>0</v>
      </c>
      <c r="C36" s="704" t="n">
        <v>135</v>
      </c>
      <c r="D36" s="704" t="n">
        <v>118</v>
      </c>
      <c r="E36" s="704" t="n">
        <v>0</v>
      </c>
      <c r="F36" s="704" t="n">
        <v>1</v>
      </c>
      <c r="G36" s="704" t="n">
        <v>77</v>
      </c>
      <c r="H36" s="704" t="n">
        <v>29</v>
      </c>
      <c r="I36" s="704" t="n">
        <v>142</v>
      </c>
      <c r="J36" s="704" t="n">
        <v>8</v>
      </c>
      <c r="K36" s="704" t="n">
        <v>6</v>
      </c>
    </row>
    <row r="37">
      <c r="A37" s="662" t="inlineStr">
        <is>
          <t>00000000053655 - KIT CAIXA  EUDORA INST 2022 M</t>
        </is>
      </c>
      <c r="B37" s="706" t="n">
        <v>0</v>
      </c>
      <c r="C37" s="706" t="n">
        <v>66</v>
      </c>
      <c r="D37" s="706" t="n">
        <v>25</v>
      </c>
      <c r="E37" s="706" t="n">
        <v>3</v>
      </c>
      <c r="F37" s="706" t="n">
        <v>0</v>
      </c>
      <c r="G37" s="706" t="n">
        <v>27</v>
      </c>
      <c r="H37" s="706" t="n">
        <v>88</v>
      </c>
      <c r="I37" s="706" t="n">
        <v>0</v>
      </c>
      <c r="J37" s="706" t="n">
        <v>16</v>
      </c>
      <c r="K37" s="706" t="n">
        <v>0</v>
      </c>
    </row>
    <row r="38">
      <c r="A38" s="660" t="inlineStr">
        <is>
          <t>00000000053656 - KIT CAIXA G EUDORA INST 2022</t>
        </is>
      </c>
      <c r="B38" s="704" t="n">
        <v>0</v>
      </c>
      <c r="C38" s="704" t="n">
        <v>38</v>
      </c>
      <c r="D38" s="704" t="n">
        <v>0</v>
      </c>
      <c r="E38" s="704" t="n">
        <v>9</v>
      </c>
      <c r="F38" s="704" t="n">
        <v>15</v>
      </c>
      <c r="G38" s="704" t="n">
        <v>28</v>
      </c>
      <c r="H38" s="704" t="n">
        <v>23</v>
      </c>
      <c r="I38" s="704" t="n">
        <v>30</v>
      </c>
      <c r="J38" s="704" t="n">
        <v>17</v>
      </c>
      <c r="K38" s="704" t="n">
        <v>10</v>
      </c>
    </row>
    <row r="39" ht="15.75" customHeight="1" thickBot="1">
      <c r="A39" s="664" t="n"/>
      <c r="B39" s="708" t="n"/>
      <c r="C39" s="708" t="n"/>
      <c r="D39" s="708" t="n"/>
      <c r="E39" s="708" t="n"/>
      <c r="F39" s="708" t="n"/>
      <c r="G39" s="708" t="n"/>
      <c r="H39" s="708" t="n"/>
      <c r="I39" s="708" t="n"/>
      <c r="J39" s="708" t="n"/>
      <c r="K39" s="708" t="n"/>
    </row>
    <row r="40">
      <c r="A40" s="666" t="inlineStr">
        <is>
          <t>00000000094371 - SACOLA M EUDORA UNIT MAES 2026</t>
        </is>
      </c>
      <c r="B40" s="709" t="n">
        <v>0</v>
      </c>
      <c r="C40" s="709" t="n">
        <v>9</v>
      </c>
      <c r="D40" s="709" t="n">
        <v>-45</v>
      </c>
      <c r="E40" s="709" t="n">
        <v>0</v>
      </c>
      <c r="F40" s="709" t="n">
        <v>0</v>
      </c>
      <c r="G40" s="709" t="n">
        <v>0</v>
      </c>
      <c r="H40" s="709" t="n">
        <v>0</v>
      </c>
      <c r="I40" s="709" t="n">
        <v>0</v>
      </c>
      <c r="J40" s="709" t="n">
        <v>0</v>
      </c>
      <c r="K40" s="711" t="n">
        <v>32</v>
      </c>
    </row>
    <row r="41">
      <c r="A41" s="669" t="inlineStr">
        <is>
          <t>00000000095162 - KIT TAG VD REVEND EUD INSTIT 2025 C/20</t>
        </is>
      </c>
      <c r="B41" s="706" t="n">
        <v>0</v>
      </c>
      <c r="C41" s="706" t="n">
        <v>0</v>
      </c>
      <c r="D41" s="706" t="n">
        <v>0</v>
      </c>
      <c r="E41" s="706" t="n">
        <v>0</v>
      </c>
      <c r="F41" s="706" t="n">
        <v>0</v>
      </c>
      <c r="G41" s="706" t="n">
        <v>0</v>
      </c>
      <c r="H41" s="706" t="n">
        <v>0</v>
      </c>
      <c r="I41" s="706" t="n">
        <v>5</v>
      </c>
      <c r="J41" s="706" t="n">
        <v>8</v>
      </c>
      <c r="K41" s="712" t="n">
        <v>3</v>
      </c>
    </row>
    <row r="42">
      <c r="A42" s="671" t="inlineStr">
        <is>
          <t>00000000088796 - CAIXA EUDORA M INST/25 UNIT</t>
        </is>
      </c>
      <c r="B42" s="704" t="n">
        <v>0</v>
      </c>
      <c r="C42" s="704" t="n">
        <v>44</v>
      </c>
      <c r="D42" s="704" t="n">
        <v>29</v>
      </c>
      <c r="E42" s="704" t="n">
        <v>14</v>
      </c>
      <c r="F42" s="704" t="n">
        <v>0</v>
      </c>
      <c r="G42" s="704" t="n">
        <v>49</v>
      </c>
      <c r="H42" s="704" t="n">
        <v>50</v>
      </c>
      <c r="I42" s="704" t="n">
        <v>96</v>
      </c>
      <c r="J42" s="704" t="n">
        <v>40</v>
      </c>
      <c r="K42" s="713" t="n">
        <v>49</v>
      </c>
    </row>
    <row r="43" ht="15.75" customHeight="1" thickBot="1">
      <c r="A43" s="673" t="inlineStr">
        <is>
          <t>00000000088799 - ENVELOPE EUDORA P INST/25 UNIT</t>
        </is>
      </c>
      <c r="B43" s="714" t="n">
        <v>0</v>
      </c>
      <c r="C43" s="714" t="n">
        <v>114</v>
      </c>
      <c r="D43" s="714" t="n">
        <v>0</v>
      </c>
      <c r="E43" s="714" t="n">
        <v>0</v>
      </c>
      <c r="F43" s="714" t="n">
        <v>0</v>
      </c>
      <c r="G43" s="714" t="n">
        <v>142</v>
      </c>
      <c r="H43" s="714" t="n">
        <v>31</v>
      </c>
      <c r="I43" s="714" t="n">
        <v>21</v>
      </c>
      <c r="J43" s="714" t="n">
        <v>65</v>
      </c>
      <c r="K43" s="716" t="n">
        <v>49</v>
      </c>
    </row>
    <row r="44">
      <c r="A44" s="666" t="inlineStr">
        <is>
          <t>00000000096442 - SACOLA P MAES 2026 2025 BOTI UNIT</t>
        </is>
      </c>
      <c r="B44" s="709" t="n">
        <v>0</v>
      </c>
      <c r="C44" s="709" t="n">
        <v>211</v>
      </c>
      <c r="D44" s="709" t="n">
        <v>414</v>
      </c>
      <c r="E44" s="709" t="n">
        <v>80</v>
      </c>
      <c r="F44" s="709" t="n">
        <v>0</v>
      </c>
      <c r="G44" s="709" t="n">
        <v>82</v>
      </c>
      <c r="H44" s="709" t="n">
        <v>10</v>
      </c>
      <c r="I44" s="709" t="n">
        <v>0</v>
      </c>
      <c r="J44" s="709" t="n">
        <v>119</v>
      </c>
      <c r="K44" s="711" t="n">
        <v>0</v>
      </c>
    </row>
    <row r="45">
      <c r="A45" s="669" t="inlineStr">
        <is>
          <t>00000000096443 - SACOLA M MAES/26 BOTI UNIT</t>
        </is>
      </c>
      <c r="B45" s="706" t="n">
        <v>0</v>
      </c>
      <c r="C45" s="706" t="n">
        <v>424</v>
      </c>
      <c r="D45" s="706" t="n">
        <v>743</v>
      </c>
      <c r="E45" s="706" t="n">
        <v>189</v>
      </c>
      <c r="F45" s="706" t="n">
        <v>0</v>
      </c>
      <c r="G45" s="706" t="n">
        <v>10</v>
      </c>
      <c r="H45" s="706" t="n">
        <v>15</v>
      </c>
      <c r="I45" s="706" t="n">
        <v>0</v>
      </c>
      <c r="J45" s="706" t="n">
        <v>0</v>
      </c>
      <c r="K45" s="712" t="n">
        <v>0</v>
      </c>
    </row>
    <row r="46">
      <c r="A46" s="671" t="inlineStr">
        <is>
          <t>00000000096444 - SACOLA G MAES 2026 BOTI UNIT</t>
        </is>
      </c>
      <c r="B46" s="704" t="n">
        <v>0</v>
      </c>
      <c r="C46" s="704" t="n">
        <v>0</v>
      </c>
      <c r="D46" s="704" t="n">
        <v>64</v>
      </c>
      <c r="E46" s="704" t="n">
        <v>0</v>
      </c>
      <c r="F46" s="704" t="n">
        <v>0</v>
      </c>
      <c r="G46" s="704" t="n">
        <v>0</v>
      </c>
      <c r="H46" s="704" t="n">
        <v>0</v>
      </c>
      <c r="I46" s="704" t="n">
        <v>0</v>
      </c>
      <c r="J46" s="704" t="n">
        <v>0</v>
      </c>
      <c r="K46" s="713" t="n">
        <v>0</v>
      </c>
    </row>
    <row r="47">
      <c r="A47" s="669" t="inlineStr">
        <is>
          <t>00000000097241 - KIT PAPEL SEDA BOTI MAES 2026 C/20 VD</t>
        </is>
      </c>
      <c r="B47" s="706" t="n">
        <v>0</v>
      </c>
      <c r="C47" s="706" t="n">
        <v>0</v>
      </c>
      <c r="D47" s="706" t="n">
        <v>4</v>
      </c>
      <c r="E47" s="706" t="n">
        <v>0</v>
      </c>
      <c r="F47" s="706" t="n">
        <v>1</v>
      </c>
      <c r="G47" s="706" t="n">
        <v>0</v>
      </c>
      <c r="H47" s="706" t="n">
        <v>0</v>
      </c>
      <c r="I47" s="706" t="n">
        <v>0</v>
      </c>
      <c r="J47" s="706" t="n">
        <v>0</v>
      </c>
      <c r="K47" s="712" t="n">
        <v>1</v>
      </c>
    </row>
    <row r="48">
      <c r="A48" s="671" t="inlineStr">
        <is>
          <t>00000000096437 - CAIXA LACO P MAES/26 BOTI UNIT</t>
        </is>
      </c>
      <c r="B48" s="704" t="n">
        <v>0</v>
      </c>
      <c r="C48" s="704" t="n">
        <v>0</v>
      </c>
      <c r="D48" s="704" t="n">
        <v>0</v>
      </c>
      <c r="E48" s="704" t="n">
        <v>1</v>
      </c>
      <c r="F48" s="704" t="n">
        <v>3</v>
      </c>
      <c r="G48" s="704" t="n">
        <v>31</v>
      </c>
      <c r="H48" s="704" t="n">
        <v>63</v>
      </c>
      <c r="I48" s="704" t="n">
        <v>0</v>
      </c>
      <c r="J48" s="704" t="n">
        <v>77</v>
      </c>
      <c r="K48" s="713" t="n">
        <v>0</v>
      </c>
    </row>
    <row r="49">
      <c r="A49" s="669" t="inlineStr">
        <is>
          <t>00000000096438 - CAIXA LACO M MAES/26 BOTI UNIT</t>
        </is>
      </c>
      <c r="B49" s="706" t="n">
        <v>0</v>
      </c>
      <c r="C49" s="706" t="n">
        <v>0</v>
      </c>
      <c r="D49" s="706" t="n">
        <v>0</v>
      </c>
      <c r="E49" s="706" t="n">
        <v>10</v>
      </c>
      <c r="F49" s="706" t="n">
        <v>3</v>
      </c>
      <c r="G49" s="706" t="n">
        <v>0</v>
      </c>
      <c r="H49" s="706" t="n">
        <v>0</v>
      </c>
      <c r="I49" s="706" t="n">
        <v>0</v>
      </c>
      <c r="J49" s="706" t="n">
        <v>82</v>
      </c>
      <c r="K49" s="712" t="n">
        <v>13</v>
      </c>
    </row>
    <row r="50" ht="15.75" customHeight="1" thickBot="1">
      <c r="A50" s="676" t="inlineStr">
        <is>
          <t>00000000096441 - ENVELOPE M MAES 2026 BOTI UNIT</t>
        </is>
      </c>
      <c r="B50" s="717" t="n">
        <v>0</v>
      </c>
      <c r="C50" s="717" t="n">
        <v>0</v>
      </c>
      <c r="D50" s="717" t="n">
        <v>0</v>
      </c>
      <c r="E50" s="717" t="n">
        <v>0</v>
      </c>
      <c r="F50" s="717" t="n">
        <v>0</v>
      </c>
      <c r="G50" s="717" t="n">
        <v>0</v>
      </c>
      <c r="H50" s="717" t="n">
        <v>0</v>
      </c>
      <c r="I50" s="717" t="n">
        <v>0</v>
      </c>
      <c r="J50" s="717" t="n">
        <v>34</v>
      </c>
      <c r="K50" s="718" t="n">
        <v>30</v>
      </c>
    </row>
    <row r="51">
      <c r="A51" s="679" t="inlineStr">
        <is>
          <t>00000000085706 - KIT SACOLA M EUDORA UNIT NATAL 2025</t>
        </is>
      </c>
      <c r="B51" s="719" t="n">
        <v>0</v>
      </c>
      <c r="C51" s="719" t="n">
        <v>0</v>
      </c>
      <c r="D51" s="719" t="n">
        <v>0</v>
      </c>
      <c r="E51" s="719" t="n">
        <v>0</v>
      </c>
      <c r="F51" s="719" t="n">
        <v>0</v>
      </c>
      <c r="G51" s="719" t="n">
        <v>0</v>
      </c>
      <c r="H51" s="719" t="n">
        <v>0</v>
      </c>
      <c r="I51" s="719" t="n">
        <v>0</v>
      </c>
      <c r="J51" s="719" t="n">
        <v>0</v>
      </c>
      <c r="K51" s="720" t="n">
        <v>13</v>
      </c>
    </row>
    <row r="52">
      <c r="A52" s="671" t="inlineStr">
        <is>
          <t>00000000094959 - PAPEL DE SEDA EUDORA UNITARIO NATAL 25</t>
        </is>
      </c>
      <c r="B52" s="704" t="n">
        <v>0</v>
      </c>
      <c r="C52" s="704" t="n">
        <v>0</v>
      </c>
      <c r="D52" s="704" t="n">
        <v>0</v>
      </c>
      <c r="E52" s="704" t="n">
        <v>0</v>
      </c>
      <c r="F52" s="704" t="n">
        <v>0</v>
      </c>
      <c r="G52" s="704" t="n">
        <v>99</v>
      </c>
      <c r="H52" s="704" t="n">
        <v>0</v>
      </c>
      <c r="I52" s="704" t="n">
        <v>0</v>
      </c>
      <c r="J52" s="704" t="n">
        <v>136</v>
      </c>
      <c r="K52" s="713" t="n">
        <v>130</v>
      </c>
    </row>
    <row r="53">
      <c r="A53" s="669" t="inlineStr">
        <is>
          <t>00000000095150 - KIT TAG VD REVEN EUD INST 2025 MOD C/200</t>
        </is>
      </c>
      <c r="B53" s="706" t="n">
        <v>0</v>
      </c>
      <c r="C53" s="706" t="n">
        <v>0</v>
      </c>
      <c r="D53" s="706" t="n">
        <v>0</v>
      </c>
      <c r="E53" s="706" t="n">
        <v>0</v>
      </c>
      <c r="F53" s="706" t="n">
        <v>0</v>
      </c>
      <c r="G53" s="706" t="n">
        <v>5</v>
      </c>
      <c r="H53" s="706" t="n">
        <v>5</v>
      </c>
      <c r="I53" s="706" t="n">
        <v>0</v>
      </c>
      <c r="J53" s="706" t="n">
        <v>0</v>
      </c>
      <c r="K53" s="712" t="n">
        <v>0</v>
      </c>
    </row>
    <row r="54">
      <c r="A54" s="671" t="inlineStr">
        <is>
          <t>00000000085705 - KIT CAIXA M EUDORA UNIT NATAL 2025</t>
        </is>
      </c>
      <c r="B54" s="704" t="n">
        <v>0</v>
      </c>
      <c r="C54" s="704" t="n">
        <v>60</v>
      </c>
      <c r="D54" s="704" t="n">
        <v>27</v>
      </c>
      <c r="E54" s="704" t="n">
        <v>27</v>
      </c>
      <c r="F54" s="704" t="n">
        <v>10</v>
      </c>
      <c r="G54" s="704" t="n">
        <v>43</v>
      </c>
      <c r="H54" s="704" t="n">
        <v>29</v>
      </c>
      <c r="I54" s="704" t="n">
        <v>39</v>
      </c>
      <c r="J54" s="704" t="n">
        <v>105</v>
      </c>
      <c r="K54" s="713" t="n">
        <v>23</v>
      </c>
    </row>
    <row r="55" ht="15.75" customHeight="1" thickBot="1">
      <c r="A55" s="673" t="inlineStr">
        <is>
          <t>00000000085704 - ENVELOPE P EUDORA UNIT NATAL 2025</t>
        </is>
      </c>
      <c r="B55" s="714" t="n">
        <v>0</v>
      </c>
      <c r="C55" s="714" t="n">
        <v>0</v>
      </c>
      <c r="D55" s="714" t="n">
        <v>7</v>
      </c>
      <c r="E55" s="714" t="n">
        <v>0</v>
      </c>
      <c r="F55" s="714" t="n">
        <v>6</v>
      </c>
      <c r="G55" s="714" t="n">
        <v>163</v>
      </c>
      <c r="H55" s="714" t="n">
        <v>82</v>
      </c>
      <c r="I55" s="714" t="n">
        <v>75</v>
      </c>
      <c r="J55" s="714" t="n">
        <v>180</v>
      </c>
      <c r="K55" s="716" t="n">
        <v>21</v>
      </c>
    </row>
    <row r="56">
      <c r="A56" s="666" t="inlineStr">
        <is>
          <t>00000000094783 - SACOLA P NATAL 2025 BOTI UNIT</t>
        </is>
      </c>
      <c r="B56" s="709" t="n">
        <v>0</v>
      </c>
      <c r="C56" s="709" t="n">
        <v>0</v>
      </c>
      <c r="D56" s="709" t="n">
        <v>0</v>
      </c>
      <c r="E56" s="709" t="n">
        <v>0</v>
      </c>
      <c r="F56" s="709" t="n">
        <v>0</v>
      </c>
      <c r="G56" s="709" t="n">
        <v>2</v>
      </c>
      <c r="H56" s="709" t="n">
        <v>0</v>
      </c>
      <c r="I56" s="709" t="n">
        <v>0</v>
      </c>
      <c r="J56" s="709" t="n">
        <v>0</v>
      </c>
      <c r="K56" s="711" t="n">
        <v>0</v>
      </c>
    </row>
    <row r="57">
      <c r="A57" s="669" t="inlineStr">
        <is>
          <t>00000000094781 - SACOLA M NATAL 2025 BOTI UNIT</t>
        </is>
      </c>
      <c r="B57" s="706" t="n">
        <v>0</v>
      </c>
      <c r="C57" s="706" t="n">
        <v>0</v>
      </c>
      <c r="D57" s="706" t="n">
        <v>0</v>
      </c>
      <c r="E57" s="706" t="n">
        <v>0</v>
      </c>
      <c r="F57" s="706" t="n">
        <v>0</v>
      </c>
      <c r="G57" s="706" t="n">
        <v>33</v>
      </c>
      <c r="H57" s="706" t="n">
        <v>0</v>
      </c>
      <c r="I57" s="706" t="n">
        <v>0</v>
      </c>
      <c r="J57" s="706" t="n">
        <v>0</v>
      </c>
      <c r="K57" s="712" t="n">
        <v>0</v>
      </c>
    </row>
    <row r="58">
      <c r="A58" s="671" t="inlineStr">
        <is>
          <t>00000000094775 - CAIXA LACO P NATAL 2025 BOTI UNIT</t>
        </is>
      </c>
      <c r="B58" s="704" t="n">
        <v>0</v>
      </c>
      <c r="C58" s="704" t="n">
        <v>0</v>
      </c>
      <c r="D58" s="704" t="n">
        <v>0</v>
      </c>
      <c r="E58" s="704" t="n">
        <v>0</v>
      </c>
      <c r="F58" s="704" t="n">
        <v>0</v>
      </c>
      <c r="G58" s="704" t="n">
        <v>5</v>
      </c>
      <c r="H58" s="704" t="n">
        <v>26</v>
      </c>
      <c r="I58" s="704" t="n">
        <v>49</v>
      </c>
      <c r="J58" s="704" t="n">
        <v>99</v>
      </c>
      <c r="K58" s="713" t="n">
        <v>15</v>
      </c>
    </row>
    <row r="59">
      <c r="A59" s="669" t="inlineStr">
        <is>
          <t>00000000094776 - CAIXA LACO M NATAL 2025 BOTI UNIT</t>
        </is>
      </c>
      <c r="B59" s="706" t="n">
        <v>0</v>
      </c>
      <c r="C59" s="706" t="n">
        <v>0</v>
      </c>
      <c r="D59" s="706" t="n">
        <v>0</v>
      </c>
      <c r="E59" s="706" t="n">
        <v>0</v>
      </c>
      <c r="F59" s="706" t="n">
        <v>0</v>
      </c>
      <c r="G59" s="706" t="n">
        <v>0</v>
      </c>
      <c r="H59" s="706" t="n">
        <v>0</v>
      </c>
      <c r="I59" s="706" t="n">
        <v>0</v>
      </c>
      <c r="J59" s="706" t="n">
        <v>40</v>
      </c>
      <c r="K59" s="712" t="n">
        <v>22</v>
      </c>
    </row>
    <row r="60">
      <c r="A60" s="671" t="inlineStr">
        <is>
          <t>00000000094778 - ENVELOPE P NATAL 2025 BOT UNIT</t>
        </is>
      </c>
      <c r="B60" s="704" t="n">
        <v>0</v>
      </c>
      <c r="C60" s="704" t="n">
        <v>0</v>
      </c>
      <c r="D60" s="704" t="n">
        <v>0</v>
      </c>
      <c r="E60" s="704" t="n">
        <v>0</v>
      </c>
      <c r="F60" s="704" t="n">
        <v>0</v>
      </c>
      <c r="G60" s="704" t="n">
        <v>0</v>
      </c>
      <c r="H60" s="704" t="n">
        <v>0</v>
      </c>
      <c r="I60" s="704" t="n">
        <v>3</v>
      </c>
      <c r="J60" s="704" t="n">
        <v>13</v>
      </c>
      <c r="K60" s="713" t="n">
        <v>1</v>
      </c>
    </row>
    <row r="61" ht="15.75" customHeight="1" thickBot="1">
      <c r="A61" s="673" t="inlineStr">
        <is>
          <t>00000000094779 - ENVELOPE M NATAL 2025 BOTI UNIT</t>
        </is>
      </c>
      <c r="B61" s="714" t="n">
        <v>0</v>
      </c>
      <c r="C61" s="714" t="n">
        <v>0</v>
      </c>
      <c r="D61" s="714" t="n">
        <v>0</v>
      </c>
      <c r="E61" s="714" t="n">
        <v>0</v>
      </c>
      <c r="F61" s="714" t="n">
        <v>0</v>
      </c>
      <c r="G61" s="714" t="n">
        <v>0</v>
      </c>
      <c r="H61" s="714" t="n">
        <v>0</v>
      </c>
      <c r="I61" s="714" t="n">
        <v>11</v>
      </c>
      <c r="J61" s="714" t="n">
        <v>51</v>
      </c>
      <c r="K61" s="716" t="n">
        <v>30</v>
      </c>
    </row>
    <row r="62">
      <c r="A62" s="660" t="inlineStr">
        <is>
          <t>00000000053657 - EUDORA ENVELOPE INST 2022 P</t>
        </is>
      </c>
      <c r="B62" s="704" t="n">
        <v>0</v>
      </c>
      <c r="C62" s="704" t="n">
        <v>0</v>
      </c>
      <c r="D62" s="704" t="n">
        <v>0</v>
      </c>
      <c r="E62" s="704" t="n">
        <v>0</v>
      </c>
      <c r="F62" s="704" t="n">
        <v>0</v>
      </c>
      <c r="G62" s="704" t="n">
        <v>0</v>
      </c>
      <c r="H62" s="704" t="n">
        <v>1</v>
      </c>
      <c r="I62" s="704" t="n">
        <v>0</v>
      </c>
      <c r="J62" s="704" t="n">
        <v>0</v>
      </c>
      <c r="K62" s="704" t="n">
        <v>0</v>
      </c>
    </row>
    <row r="63">
      <c r="A63" s="662" t="inlineStr">
        <is>
          <t>00000000086027 - CAIXA DIVERTIDAMENTE M INFANTIL 2024</t>
        </is>
      </c>
      <c r="B63" s="706" t="n">
        <v>0</v>
      </c>
      <c r="C63" s="706" t="n">
        <v>0</v>
      </c>
      <c r="D63" s="706" t="n">
        <v>22</v>
      </c>
      <c r="E63" s="706" t="n">
        <v>0</v>
      </c>
      <c r="F63" s="706" t="n">
        <v>0</v>
      </c>
      <c r="G63" s="706" t="n">
        <v>0</v>
      </c>
      <c r="H63" s="706" t="n">
        <v>0</v>
      </c>
      <c r="I63" s="706" t="n">
        <v>0</v>
      </c>
      <c r="J63" s="706" t="n">
        <v>0</v>
      </c>
      <c r="K63" s="706" t="n">
        <v>0</v>
      </c>
    </row>
    <row r="64">
      <c r="A64" s="660" t="inlineStr">
        <is>
          <t>00000000087691 - COLECIONAV BOT NAT/24 CONE ARVORE UNIT</t>
        </is>
      </c>
      <c r="B64" s="704" t="n">
        <v>0</v>
      </c>
      <c r="C64" s="704" t="n">
        <v>0</v>
      </c>
      <c r="D64" s="704" t="n">
        <v>3</v>
      </c>
      <c r="E64" s="704" t="n">
        <v>8</v>
      </c>
      <c r="F64" s="704" t="n">
        <v>0</v>
      </c>
      <c r="G64" s="704" t="n">
        <v>0</v>
      </c>
      <c r="H64" s="704" t="n">
        <v>161</v>
      </c>
      <c r="I64" s="704" t="n">
        <v>0</v>
      </c>
      <c r="J64" s="704" t="n">
        <v>208</v>
      </c>
      <c r="K64" s="704" t="n">
        <v>6</v>
      </c>
    </row>
    <row r="65">
      <c r="A65" s="662" t="inlineStr">
        <is>
          <t>00000000087694 - COLECIONAVEIS BOT NAT/24 BOLA UNITARIA</t>
        </is>
      </c>
      <c r="B65" s="706" t="n">
        <v>0</v>
      </c>
      <c r="C65" s="706" t="n">
        <v>0</v>
      </c>
      <c r="D65" s="706" t="n">
        <v>0</v>
      </c>
      <c r="E65" s="706" t="n">
        <v>1</v>
      </c>
      <c r="F65" s="706" t="n">
        <v>0</v>
      </c>
      <c r="G65" s="706" t="n">
        <v>0</v>
      </c>
      <c r="H65" s="706" t="n">
        <v>9</v>
      </c>
      <c r="I65" s="706" t="n">
        <v>0</v>
      </c>
      <c r="J65" s="706" t="n">
        <v>36</v>
      </c>
      <c r="K65" s="706" t="n">
        <v>14</v>
      </c>
    </row>
    <row r="66">
      <c r="A66" s="660" t="inlineStr">
        <is>
          <t>00000000090451 - CINTA P/CX M QDB MSP 2025</t>
        </is>
      </c>
      <c r="B66" s="704" t="n">
        <v>0</v>
      </c>
      <c r="C66" s="704" t="n">
        <v>0</v>
      </c>
      <c r="D66" s="704" t="n">
        <v>0</v>
      </c>
      <c r="E66" s="704" t="n">
        <v>0</v>
      </c>
      <c r="F66" s="704" t="n">
        <v>0</v>
      </c>
      <c r="G66" s="704" t="n">
        <v>0</v>
      </c>
      <c r="H66" s="704" t="n">
        <v>146</v>
      </c>
      <c r="I66" s="704" t="n">
        <v>0</v>
      </c>
      <c r="J66" s="704" t="n">
        <v>146</v>
      </c>
      <c r="K66" s="704" t="n">
        <v>0</v>
      </c>
    </row>
    <row r="67">
      <c r="A67" s="662" t="inlineStr">
        <is>
          <t>00000000090452 - CARTUCHO PRESENTE QDB MSP 2025</t>
        </is>
      </c>
      <c r="B67" s="706" t="n">
        <v>0</v>
      </c>
      <c r="C67" s="706" t="n">
        <v>0</v>
      </c>
      <c r="D67" s="706" t="n">
        <v>0</v>
      </c>
      <c r="E67" s="706" t="n">
        <v>0</v>
      </c>
      <c r="F67" s="706" t="n">
        <v>0</v>
      </c>
      <c r="G67" s="706" t="n">
        <v>0</v>
      </c>
      <c r="H67" s="706" t="n">
        <v>73</v>
      </c>
      <c r="I67" s="706" t="n">
        <v>0</v>
      </c>
      <c r="J67" s="706" t="n">
        <v>1</v>
      </c>
      <c r="K67" s="706" t="n">
        <v>0</v>
      </c>
    </row>
    <row r="68">
      <c r="A68" s="660" t="inlineStr">
        <is>
          <t>00000000090763 - KIT PAPEL SEDA BOTICARIO PAIS/25 C/20 VD</t>
        </is>
      </c>
      <c r="B68" s="704" t="n">
        <v>0</v>
      </c>
      <c r="C68" s="704" t="n">
        <v>0</v>
      </c>
      <c r="D68" s="704" t="n">
        <v>0</v>
      </c>
      <c r="E68" s="704" t="n">
        <v>10</v>
      </c>
      <c r="F68" s="704" t="n">
        <v>13</v>
      </c>
      <c r="G68" s="704" t="n">
        <v>0</v>
      </c>
      <c r="H68" s="704" t="n">
        <v>0</v>
      </c>
      <c r="I68" s="704" t="n">
        <v>0</v>
      </c>
      <c r="J68" s="704" t="n">
        <v>0</v>
      </c>
      <c r="K68" s="704" t="n">
        <v>0</v>
      </c>
    </row>
    <row r="69">
      <c r="A69" s="662" t="inlineStr">
        <is>
          <t>00000000094684 - SACOLA UNIT M ARANHA 2025 BOTI</t>
        </is>
      </c>
      <c r="B69" s="706" t="n">
        <v>0</v>
      </c>
      <c r="C69" s="706" t="n">
        <v>0</v>
      </c>
      <c r="D69" s="706" t="n">
        <v>0</v>
      </c>
      <c r="E69" s="706" t="n">
        <v>0</v>
      </c>
      <c r="F69" s="706" t="n">
        <v>0</v>
      </c>
      <c r="G69" s="706" t="n">
        <v>69</v>
      </c>
      <c r="H69" s="706" t="n">
        <v>0</v>
      </c>
      <c r="I69" s="706" t="n">
        <v>0</v>
      </c>
      <c r="J69" s="706" t="n">
        <v>0</v>
      </c>
      <c r="K69" s="706" t="n">
        <v>0</v>
      </c>
    </row>
    <row r="70">
      <c r="A70" s="660" t="inlineStr">
        <is>
          <t>00000000094682 - CAIXA LACO M BOTI ARANHA 2025 UNIT</t>
        </is>
      </c>
      <c r="B70" s="704" t="n">
        <v>0</v>
      </c>
      <c r="C70" s="704" t="n">
        <v>0</v>
      </c>
      <c r="D70" s="704" t="n">
        <v>16</v>
      </c>
      <c r="E70" s="704" t="n">
        <v>0</v>
      </c>
      <c r="F70" s="704" t="n">
        <v>0</v>
      </c>
      <c r="G70" s="704" t="n">
        <v>50</v>
      </c>
      <c r="H70" s="704" t="n">
        <v>15</v>
      </c>
      <c r="I70" s="704" t="n">
        <v>0</v>
      </c>
      <c r="J70" s="704" t="n">
        <v>29</v>
      </c>
      <c r="K70" s="704" t="n">
        <v>30</v>
      </c>
    </row>
    <row r="71">
      <c r="A71" s="662" t="inlineStr">
        <is>
          <t>00000000094688 - CAR PRESENTE QDB H/POTTER 2025</t>
        </is>
      </c>
      <c r="B71" s="706" t="n">
        <v>0</v>
      </c>
      <c r="C71" s="706" t="n">
        <v>0</v>
      </c>
      <c r="D71" s="706" t="n">
        <v>22</v>
      </c>
      <c r="E71" s="706" t="n">
        <v>10</v>
      </c>
      <c r="F71" s="706" t="n">
        <v>0</v>
      </c>
      <c r="G71" s="706" t="n">
        <v>65</v>
      </c>
      <c r="H71" s="706" t="n">
        <v>32</v>
      </c>
      <c r="I71" s="706" t="n">
        <v>0</v>
      </c>
      <c r="J71" s="706" t="n">
        <v>49</v>
      </c>
      <c r="K71" s="706" t="n">
        <v>10</v>
      </c>
    </row>
    <row r="72">
      <c r="A72" s="660" t="inlineStr">
        <is>
          <t>00000000095139 - KIT PAPEL SEDA BOTI NATAL 2025 C/20 VD</t>
        </is>
      </c>
      <c r="B72" s="704" t="n">
        <v>0</v>
      </c>
      <c r="C72" s="704" t="n">
        <v>0</v>
      </c>
      <c r="D72" s="704" t="n">
        <v>0</v>
      </c>
      <c r="E72" s="704" t="n">
        <v>0</v>
      </c>
      <c r="F72" s="704" t="n">
        <v>3</v>
      </c>
      <c r="G72" s="704" t="n">
        <v>0</v>
      </c>
      <c r="H72" s="704" t="n">
        <v>0</v>
      </c>
      <c r="I72" s="704" t="n">
        <v>0</v>
      </c>
      <c r="J72" s="704" t="n">
        <v>0</v>
      </c>
      <c r="K72" s="704" t="n">
        <v>0</v>
      </c>
    </row>
    <row r="73">
      <c r="A73" s="662" t="inlineStr">
        <is>
          <t>00000000044742 - FITA DE VEDACAO VOID DEVOLUCAO</t>
        </is>
      </c>
      <c r="B73" s="706" t="n">
        <v>0</v>
      </c>
      <c r="C73" s="706" t="n">
        <v>0</v>
      </c>
      <c r="D73" s="706" t="n">
        <v>0</v>
      </c>
      <c r="E73" s="706" t="n">
        <v>0</v>
      </c>
      <c r="F73" s="706" t="n">
        <v>0</v>
      </c>
      <c r="G73" s="706" t="n">
        <v>1</v>
      </c>
      <c r="H73" s="706" t="n">
        <v>1</v>
      </c>
      <c r="I73" s="706" t="n">
        <v>1</v>
      </c>
      <c r="J73" s="706" t="n">
        <v>0</v>
      </c>
      <c r="K73" s="706" t="n">
        <v>0</v>
      </c>
    </row>
    <row r="74">
      <c r="A74" s="660" t="inlineStr">
        <is>
          <t>00000000046054 - CAIXA PAPELAO TAMPA LIGADA DEVOLUCAO PCK</t>
        </is>
      </c>
      <c r="B74" s="704" t="n">
        <v>0</v>
      </c>
      <c r="C74" s="704" t="n">
        <v>0</v>
      </c>
      <c r="D74" s="704" t="n">
        <v>0</v>
      </c>
      <c r="E74" s="704" t="n">
        <v>0</v>
      </c>
      <c r="F74" s="704" t="n">
        <v>0</v>
      </c>
      <c r="G74" s="704" t="n">
        <v>0</v>
      </c>
      <c r="H74" s="704" t="n">
        <v>0</v>
      </c>
      <c r="I74" s="704" t="n">
        <v>24</v>
      </c>
      <c r="J74" s="704" t="n">
        <v>0</v>
      </c>
      <c r="K74" s="704" t="n">
        <v>0</v>
      </c>
    </row>
    <row r="75">
      <c r="A75" s="662" t="inlineStr">
        <is>
          <t>00000000053652 - KIT SACOLA EUDORA UNIT NATAL 2022 M</t>
        </is>
      </c>
      <c r="B75" s="706" t="n">
        <v>0</v>
      </c>
      <c r="C75" s="706" t="n">
        <v>50</v>
      </c>
      <c r="D75" s="706" t="n">
        <v>0</v>
      </c>
      <c r="E75" s="706" t="n">
        <v>0</v>
      </c>
      <c r="F75" s="706" t="n">
        <v>0</v>
      </c>
      <c r="G75" s="706" t="n">
        <v>0</v>
      </c>
      <c r="H75" s="706" t="n">
        <v>0</v>
      </c>
      <c r="I75" s="706" t="n">
        <v>0</v>
      </c>
      <c r="J75" s="706" t="n">
        <v>0</v>
      </c>
      <c r="K75" s="706" t="n">
        <v>0</v>
      </c>
    </row>
    <row r="76">
      <c r="A76" s="660" t="inlineStr">
        <is>
          <t>00000000088126 - CART ADESIVA QDB NAT/24 MODULO C/300 UN</t>
        </is>
      </c>
      <c r="B76" s="704" t="n">
        <v>0</v>
      </c>
      <c r="C76" s="704" t="n">
        <v>0</v>
      </c>
      <c r="D76" s="704" t="n">
        <v>0</v>
      </c>
      <c r="E76" s="704" t="n">
        <v>1</v>
      </c>
      <c r="F76" s="704" t="n">
        <v>0</v>
      </c>
      <c r="G76" s="704" t="n">
        <v>0</v>
      </c>
      <c r="H76" s="704" t="n">
        <v>0</v>
      </c>
      <c r="I76" s="704" t="n">
        <v>0</v>
      </c>
      <c r="J76" s="704" t="n">
        <v>0</v>
      </c>
      <c r="K76" s="704" t="n">
        <v>0</v>
      </c>
    </row>
    <row r="77">
      <c r="A77" s="662" t="inlineStr">
        <is>
          <t>00000000089713 - KIT TAG BOTI NAMORADOS 25 C/10 VD</t>
        </is>
      </c>
      <c r="B77" s="706" t="n">
        <v>0</v>
      </c>
      <c r="C77" s="706" t="n">
        <v>0</v>
      </c>
      <c r="D77" s="706" t="n">
        <v>5</v>
      </c>
      <c r="E77" s="706" t="n">
        <v>0</v>
      </c>
      <c r="F77" s="706" t="n">
        <v>0</v>
      </c>
      <c r="G77" s="706" t="n">
        <v>0</v>
      </c>
      <c r="H77" s="706" t="n">
        <v>0</v>
      </c>
      <c r="I77" s="706" t="n">
        <v>0</v>
      </c>
      <c r="J77" s="706" t="n">
        <v>0</v>
      </c>
      <c r="K77" s="706" t="n">
        <v>0</v>
      </c>
    </row>
    <row r="78">
      <c r="A78" s="660" t="inlineStr">
        <is>
          <t>00000000089843 - ENVELOPE M BOTI PAIS 2025 UNIT</t>
        </is>
      </c>
      <c r="B78" s="704" t="n">
        <v>0</v>
      </c>
      <c r="C78" s="704" t="n">
        <v>0</v>
      </c>
      <c r="D78" s="704" t="n">
        <v>0</v>
      </c>
      <c r="E78" s="704" t="n">
        <v>0</v>
      </c>
      <c r="F78" s="704" t="n">
        <v>0</v>
      </c>
      <c r="G78" s="704" t="n">
        <v>9</v>
      </c>
      <c r="H78" s="704" t="n">
        <v>0</v>
      </c>
      <c r="I78" s="704" t="n">
        <v>0</v>
      </c>
      <c r="J78" s="704" t="n">
        <v>0</v>
      </c>
      <c r="K78" s="704" t="n">
        <v>0</v>
      </c>
    </row>
    <row r="79">
      <c r="A79" s="662" t="inlineStr">
        <is>
          <t>00000000096583 - ENVELOPE M AMOR 2026 BOTI UNIT</t>
        </is>
      </c>
      <c r="B79" s="706" t="n">
        <v>0</v>
      </c>
      <c r="C79" s="706" t="n">
        <v>0</v>
      </c>
      <c r="D79" s="706" t="n">
        <v>0</v>
      </c>
      <c r="E79" s="706" t="n">
        <v>0</v>
      </c>
      <c r="F79" s="706" t="n">
        <v>0</v>
      </c>
      <c r="G79" s="706" t="n">
        <v>0</v>
      </c>
      <c r="H79" s="706" t="n">
        <v>0</v>
      </c>
      <c r="I79" s="706" t="n">
        <v>50</v>
      </c>
      <c r="J79" s="706" t="n">
        <v>0</v>
      </c>
      <c r="K79" s="706" t="n">
        <v>0</v>
      </c>
    </row>
    <row r="80">
      <c r="A80" s="660" t="inlineStr">
        <is>
          <t>00000000096584 - SACOLA M AMOR 2026 2025 BOTI UNIT</t>
        </is>
      </c>
      <c r="B80" s="704" t="n">
        <v>0</v>
      </c>
      <c r="C80" s="704" t="n">
        <v>0</v>
      </c>
      <c r="D80" s="704" t="n">
        <v>0</v>
      </c>
      <c r="E80" s="704" t="n">
        <v>0</v>
      </c>
      <c r="F80" s="704" t="n">
        <v>0</v>
      </c>
      <c r="G80" s="704" t="n">
        <v>0</v>
      </c>
      <c r="H80" s="704" t="n">
        <v>0</v>
      </c>
      <c r="I80" s="704" t="n">
        <v>200</v>
      </c>
      <c r="J80" s="704" t="n">
        <v>0</v>
      </c>
      <c r="K80" s="704" t="n">
        <v>0</v>
      </c>
    </row>
    <row r="81">
      <c r="A81" s="662" t="inlineStr">
        <is>
          <t>00000000097579 - SEDA BOTI VD REVEND AMOR 2026 MOD C/20</t>
        </is>
      </c>
      <c r="B81" s="706" t="n">
        <v>0</v>
      </c>
      <c r="C81" s="706" t="n">
        <v>0</v>
      </c>
      <c r="D81" s="706" t="n">
        <v>0</v>
      </c>
      <c r="E81" s="706" t="n">
        <v>0</v>
      </c>
      <c r="F81" s="706" t="n">
        <v>0</v>
      </c>
      <c r="G81" s="706" t="n">
        <v>0</v>
      </c>
      <c r="H81" s="706" t="n">
        <v>0</v>
      </c>
      <c r="I81" s="706" t="n">
        <v>10</v>
      </c>
      <c r="J81" s="706" t="n">
        <v>0</v>
      </c>
      <c r="K81" s="706" t="n">
        <v>0</v>
      </c>
    </row>
    <row r="82">
      <c r="A82" s="660" t="inlineStr">
        <is>
          <t>00000000097622 - ADES SACOLA REV BOTI AMOR/26 MOD C/20 VD</t>
        </is>
      </c>
      <c r="B82" s="704" t="n">
        <v>0</v>
      </c>
      <c r="C82" s="704" t="n">
        <v>0</v>
      </c>
      <c r="D82" s="704" t="n">
        <v>0</v>
      </c>
      <c r="E82" s="704" t="n">
        <v>0</v>
      </c>
      <c r="F82" s="704" t="n">
        <v>0</v>
      </c>
      <c r="G82" s="704" t="n">
        <v>0</v>
      </c>
      <c r="H82" s="704" t="n">
        <v>0</v>
      </c>
      <c r="I82" s="704" t="n">
        <v>10</v>
      </c>
      <c r="J82" s="704" t="n">
        <v>0</v>
      </c>
      <c r="K82" s="704" t="n">
        <v>0</v>
      </c>
    </row>
    <row r="83">
      <c r="A83" s="682" t="inlineStr">
        <is>
          <t>Total</t>
        </is>
      </c>
      <c r="B83" s="721" t="n">
        <v>0</v>
      </c>
      <c r="C83" s="721" t="n">
        <v>1830</v>
      </c>
      <c r="D83" s="721" t="n">
        <v>2868</v>
      </c>
      <c r="E83" s="721" t="n">
        <v>1384</v>
      </c>
      <c r="F83" s="721" t="n">
        <v>515</v>
      </c>
      <c r="G83" s="721" t="n">
        <v>1971</v>
      </c>
      <c r="H83" s="721" t="n">
        <v>1453</v>
      </c>
      <c r="I83" s="721" t="n">
        <v>1442</v>
      </c>
      <c r="J83" s="721" t="n">
        <v>2578</v>
      </c>
      <c r="K83" s="721" t="n">
        <v>647</v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1">
    <tabColor theme="9"/>
    <outlinePr summaryBelow="1" summaryRight="1"/>
    <pageSetUpPr/>
  </sheetPr>
  <dimension ref="A1:MI84"/>
  <sheetViews>
    <sheetView showGridLines="0" topLeftCell="A4" zoomScale="80" zoomScaleNormal="80" workbookViewId="0">
      <selection activeCell="CK56" sqref="CK56"/>
    </sheetView>
  </sheetViews>
  <sheetFormatPr baseColWidth="8" defaultColWidth="9.140625" defaultRowHeight="18.75"/>
  <cols>
    <col width="27.28515625" customWidth="1" min="1" max="1"/>
    <col width="11.28515625" customWidth="1" min="2" max="2"/>
    <col width="15" customWidth="1" min="3" max="3"/>
    <col width="1.7109375" customWidth="1" min="5" max="5"/>
    <col hidden="1" width="8.855468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9.28515625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.28515625" customWidth="1" min="77" max="77"/>
    <col hidden="1" width="13" customWidth="1" min="78" max="78"/>
    <col width="13" customWidth="1" min="79" max="79"/>
    <col width="13" customWidth="1" min="80" max="80"/>
    <col width="8.28515625" customWidth="1" min="81" max="81"/>
    <col width="1.28515625" customWidth="1" min="82" max="82"/>
    <col width="14.28515625" customWidth="1" min="83" max="83"/>
    <col width="1.7109375" customWidth="1" min="85" max="85"/>
    <col width="15.85546875" customWidth="1" min="86" max="86"/>
    <col width="1.7109375" customWidth="1" min="87" max="87"/>
    <col width="9.28515625" customWidth="1" min="88" max="88"/>
    <col width="13" customWidth="1" min="89" max="89"/>
    <col hidden="1" width="13" customWidth="1" min="90" max="90"/>
    <col hidden="1" width="13" customWidth="1" min="91" max="91"/>
    <col hidden="1" width="8.7109375" customWidth="1" min="92" max="92"/>
    <col hidden="1" width="9.28515625" customWidth="1" min="93" max="93"/>
    <col hidden="1" width="9.28515625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2.85546875" customWidth="1" min="104" max="104"/>
    <col hidden="1" width="9.28515625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2.85546875" customWidth="1" min="111" max="111"/>
    <col hidden="1" width="9.28515625" customWidth="1" min="112" max="112"/>
    <col hidden="1" width="9.42578125" customWidth="1" min="113" max="113"/>
    <col hidden="1" width="9.28515625" customWidth="1" min="114" max="114"/>
    <col hidden="1" width="13" customWidth="1" min="115" max="115"/>
    <col hidden="1" width="13" customWidth="1" min="116" max="116"/>
    <col hidden="1" width="13" customWidth="1" min="117" max="117"/>
    <col hidden="1" width="13" customWidth="1" min="118" max="118"/>
    <col hidden="1" width="14.42578125" customWidth="1" min="119" max="119"/>
    <col hidden="1" width="13" customWidth="1" min="120" max="120"/>
    <col hidden="1" width="9.28515625" customWidth="1" min="121" max="121"/>
    <col hidden="1" width="9.7109375" customWidth="1" min="122" max="122"/>
    <col hidden="1" width="9.28515625" customWidth="1" min="123" max="123"/>
    <col hidden="1" width="12.85546875" customWidth="1" min="124" max="124"/>
    <col hidden="1" width="9.28515625" customWidth="1" min="125" max="125"/>
    <col hidden="1" width="13" customWidth="1" min="126" max="126"/>
    <col hidden="1" width="13" customWidth="1" min="127" max="127"/>
    <col hidden="1" width="9.28515625" customWidth="1" min="128" max="128"/>
    <col hidden="1" width="13" customWidth="1" min="129" max="129"/>
    <col hidden="1" width="14.7109375" customWidth="1" min="130" max="130"/>
    <col hidden="1" width="9.28515625" customWidth="1" min="131" max="131"/>
    <col hidden="1" width="25.5703125" customWidth="1" min="132" max="132"/>
    <col hidden="1" width="9.28515625" customWidth="1" min="133" max="133"/>
    <col hidden="1" width="17.5703125" customWidth="1" min="134" max="134"/>
    <col hidden="1" width="12.85546875" customWidth="1" min="135" max="135"/>
    <col hidden="1" width="9.28515625" customWidth="1" min="136" max="136"/>
    <col hidden="1" width="8.7109375" customWidth="1" min="137" max="137"/>
    <col hidden="1" width="12.85546875" customWidth="1" min="138" max="138"/>
    <col hidden="1" width="9.28515625" customWidth="1" min="139" max="139"/>
    <col hidden="1" width="13" customWidth="1" min="140" max="140"/>
    <col hidden="1" width="13" customWidth="1" min="141" max="141"/>
    <col hidden="1" width="13.5703125" customWidth="1" min="142" max="142"/>
    <col hidden="1" width="14.85546875" customWidth="1" min="143" max="143"/>
    <col hidden="1" width="12.85546875" customWidth="1" min="144" max="144"/>
    <col hidden="1" width="9.28515625" customWidth="1" min="145" max="145"/>
    <col hidden="1" width="14.85546875" customWidth="1" min="146" max="146"/>
    <col hidden="1" width="9.7109375" customWidth="1" min="147" max="147"/>
    <col hidden="1" width="14.85546875" customWidth="1" min="148" max="148"/>
    <col hidden="1" width="9.28515625" customWidth="1" min="149" max="149"/>
    <col hidden="1" width="13" customWidth="1" min="150" max="150"/>
    <col hidden="1" width="13" customWidth="1" min="151" max="151"/>
    <col hidden="1" width="24.28515625" customWidth="1" min="152" max="152"/>
    <col hidden="1" width="12.5703125" customWidth="1" min="153" max="153"/>
    <col hidden="1" width="9.28515625" customWidth="1" min="154" max="154"/>
    <col hidden="1" width="13" customWidth="1" min="155" max="155"/>
    <col hidden="1" width="12" customWidth="1" min="156" max="156"/>
    <col hidden="1" width="13.42578125" customWidth="1" min="157" max="157"/>
    <col hidden="1" width="9.28515625" customWidth="1" min="158" max="158"/>
    <col hidden="1" width="13" customWidth="1" min="159" max="159"/>
    <col hidden="1" width="13.42578125" customWidth="1" min="160" max="160"/>
    <col hidden="1" width="12.7109375" customWidth="1" min="161" max="161"/>
    <col hidden="1" width="13" customWidth="1" min="162" max="162"/>
    <col hidden="1" width="9.28515625" customWidth="1" min="163" max="163"/>
    <col hidden="1" width="13" customWidth="1" min="164" max="164"/>
    <col hidden="1" width="13" customWidth="1" min="165" max="165"/>
    <col hidden="1" width="26.140625" customWidth="1" min="166" max="166"/>
    <col hidden="1" width="9.28515625" customWidth="1" min="167" max="167"/>
    <col hidden="1" width="13" customWidth="1" min="168" max="168"/>
    <col hidden="1" width="13" customWidth="1" min="169" max="169"/>
    <col hidden="1" width="13" customWidth="1" min="170" max="170"/>
    <col width="3.28515625" customWidth="1" min="171" max="171"/>
    <col width="21.85546875" customWidth="1" min="172" max="172"/>
    <col width="9.140625" customWidth="1" min="173" max="173"/>
    <col hidden="1" width="13" customWidth="1" min="174" max="174"/>
    <col hidden="1" width="13" customWidth="1" min="175" max="175"/>
    <col hidden="1" width="13" customWidth="1" min="176" max="176"/>
    <col hidden="1" width="13" customWidth="1" min="177" max="177"/>
    <col hidden="1" width="13" customWidth="1" min="178" max="178"/>
    <col hidden="1" width="9.140625" customWidth="1" min="179" max="179"/>
    <col hidden="1" width="13" customWidth="1" min="180" max="180"/>
    <col width="13" customWidth="1" min="181" max="181"/>
    <col width="13" customWidth="1" min="182" max="182"/>
  </cols>
  <sheetData>
    <row r="1" ht="23.25" customHeight="1">
      <c r="A1" s="488" t="inlineStr">
        <is>
          <t>Controle de Contagem Semanal - Antilhas</t>
        </is>
      </c>
      <c r="CC1" s="488" t="n"/>
      <c r="CD1" s="132" t="n"/>
      <c r="CE1" s="132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49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32" t="n"/>
      <c r="DH1" s="132" t="n"/>
      <c r="DI1" s="149" t="n"/>
      <c r="DJ1" s="132" t="n"/>
      <c r="DK1" s="132" t="n"/>
      <c r="DL1" s="132" t="n"/>
      <c r="DM1" s="132" t="n"/>
      <c r="DN1" s="132" t="n"/>
      <c r="DO1" s="149" t="n"/>
      <c r="DP1" s="149" t="n"/>
      <c r="DQ1" s="132" t="n"/>
      <c r="DR1" s="149" t="n"/>
      <c r="DS1" s="132" t="n"/>
      <c r="DT1" s="132" t="n"/>
      <c r="DU1" s="132" t="n"/>
      <c r="DV1" s="132" t="n"/>
      <c r="DW1" s="132" t="n"/>
      <c r="DX1" s="132" t="n"/>
      <c r="DY1" s="132" t="n"/>
      <c r="DZ1" s="488" t="n"/>
      <c r="EA1" s="132" t="n"/>
      <c r="EB1" s="149" t="n"/>
      <c r="EC1" s="132" t="n"/>
      <c r="ED1" s="149" t="n"/>
      <c r="EE1" s="132" t="n"/>
      <c r="EF1" s="132" t="n"/>
      <c r="EG1" s="149" t="n"/>
      <c r="EH1" s="132" t="n"/>
      <c r="EI1" s="132" t="n"/>
      <c r="EJ1" s="132" t="n"/>
      <c r="EK1" s="132" t="n"/>
      <c r="EL1" s="149" t="n"/>
      <c r="EM1" s="488" t="n"/>
      <c r="EN1" s="132" t="n"/>
      <c r="EO1" s="132" t="n"/>
      <c r="EP1" s="488" t="n"/>
      <c r="EQ1" s="149" t="n"/>
      <c r="ER1" s="488" t="n"/>
      <c r="ES1" s="132" t="n"/>
      <c r="ET1" s="132" t="n"/>
      <c r="EU1" s="132" t="n"/>
      <c r="EV1" s="132" t="n"/>
      <c r="EW1" s="488" t="n"/>
      <c r="EX1" s="132" t="n"/>
      <c r="EY1" s="132" t="n"/>
      <c r="EZ1" s="488" t="n"/>
      <c r="FA1" s="132" t="n"/>
      <c r="FB1" s="132" t="n"/>
      <c r="FC1" s="132" t="n"/>
      <c r="FD1" s="132" t="n"/>
      <c r="FE1" s="132" t="n"/>
      <c r="FF1" s="132" t="n"/>
      <c r="FG1" s="132" t="n"/>
      <c r="FH1" s="132" t="n"/>
      <c r="FI1" s="132" t="n"/>
      <c r="FJ1" s="149" t="n"/>
      <c r="FK1" s="132" t="n"/>
      <c r="FL1" s="132" t="n"/>
      <c r="FM1" s="132" t="n"/>
      <c r="FN1" s="132" t="n"/>
    </row>
    <row r="2">
      <c r="A2" s="43" t="inlineStr">
        <is>
          <t>LOJA:</t>
        </is>
      </c>
      <c r="B2" s="722" t="inlineStr">
        <is>
          <t>BSH</t>
        </is>
      </c>
      <c r="C2" s="723" t="n"/>
      <c r="D2" s="724" t="n"/>
      <c r="CD2" s="5" t="n"/>
      <c r="CE2" s="5" t="n"/>
      <c r="CF2" s="5" t="n"/>
      <c r="DO2" s="5" t="n"/>
      <c r="DP2" s="5" t="n"/>
      <c r="DR2" s="5" t="n"/>
      <c r="EL2" s="5" t="n"/>
      <c r="EQ2" s="5" t="n"/>
    </row>
    <row r="3">
      <c r="A3" s="43" t="inlineStr">
        <is>
          <t>Responsável:</t>
        </is>
      </c>
      <c r="B3" s="725" t="inlineStr">
        <is>
          <t>JANICE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6" t="n"/>
      <c r="CD3" s="726" t="n"/>
      <c r="CE3" s="5" t="n"/>
      <c r="CF3" s="5" t="n"/>
      <c r="CG3" s="726" t="n"/>
      <c r="DO3" s="726" t="n"/>
      <c r="DP3" s="726" t="n"/>
      <c r="DR3" s="726" t="n"/>
      <c r="EM3" s="29" t="n"/>
      <c r="EQ3" s="726" t="n"/>
    </row>
    <row r="4" ht="18" customHeight="1">
      <c r="CD4" s="133" t="n"/>
      <c r="CH4" s="5" t="n"/>
      <c r="CN4" s="249" t="n"/>
      <c r="DI4" s="249" t="n"/>
      <c r="DO4" s="5" t="n"/>
      <c r="DP4" s="5" t="n"/>
      <c r="DR4" s="5" t="n"/>
      <c r="DZ4" s="324" t="n"/>
      <c r="EB4" s="249" t="n"/>
      <c r="ED4" s="249" t="n"/>
      <c r="EG4" s="249" t="n"/>
      <c r="EL4" s="5" t="n"/>
      <c r="EM4" s="324" t="n"/>
      <c r="EP4" s="324" t="n"/>
      <c r="EQ4" s="5" t="n"/>
      <c r="ER4" s="324" t="n"/>
      <c r="EW4" s="324" t="n"/>
      <c r="EZ4" s="324" t="n"/>
      <c r="FJ4" s="249" t="n"/>
    </row>
    <row r="5" ht="23.2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89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31" t="n"/>
      <c r="CA5" s="732" t="n"/>
      <c r="CB5" s="732" t="n"/>
      <c r="CC5" s="490" t="n"/>
      <c r="CD5" s="60" t="n"/>
      <c r="CE5" s="44" t="inlineStr">
        <is>
          <t>Pendências</t>
        </is>
      </c>
      <c r="CF5" s="44" t="inlineStr">
        <is>
          <t>Pendências</t>
        </is>
      </c>
      <c r="CG5" s="5" t="n"/>
      <c r="CH5" s="12" t="inlineStr">
        <is>
          <t>Novo Pedido</t>
        </is>
      </c>
      <c r="CI5" s="733" t="n">
        <v>46161.48088267488</v>
      </c>
      <c r="CJ5" s="734" t="n">
        <v>46156</v>
      </c>
      <c r="CK5" s="734" t="n">
        <v>46149</v>
      </c>
      <c r="CL5" s="734" t="n">
        <v>46142</v>
      </c>
      <c r="CM5" s="734" t="n">
        <v>46114</v>
      </c>
      <c r="CN5" s="735" t="n">
        <v>46065</v>
      </c>
      <c r="CO5" s="734" t="n">
        <v>46099</v>
      </c>
      <c r="CP5" s="734" t="n">
        <v>46092</v>
      </c>
      <c r="CQ5" s="734" t="n">
        <v>46084</v>
      </c>
      <c r="CR5" s="734" t="n">
        <v>46071</v>
      </c>
      <c r="CS5" s="734" t="n">
        <v>46056</v>
      </c>
      <c r="CT5" s="734" t="n">
        <v>46048</v>
      </c>
      <c r="CU5" s="734" t="n">
        <v>46035</v>
      </c>
      <c r="CV5" s="734" t="n">
        <v>46043</v>
      </c>
      <c r="CW5" s="734" t="n">
        <v>46029</v>
      </c>
      <c r="CX5" s="734" t="n">
        <v>46024</v>
      </c>
      <c r="CY5" s="734" t="n">
        <v>46017</v>
      </c>
      <c r="CZ5" s="736" t="inlineStr">
        <is>
          <t>TRANSF.</t>
        </is>
      </c>
      <c r="DA5" s="734" t="n">
        <v>46007</v>
      </c>
      <c r="DB5" s="734" t="n">
        <v>46001</v>
      </c>
      <c r="DC5" s="734" t="n">
        <v>45994</v>
      </c>
      <c r="DD5" s="734" t="n">
        <v>45980</v>
      </c>
      <c r="DE5" s="734" t="n">
        <v>45965</v>
      </c>
      <c r="DF5" s="734" t="n">
        <v>45960</v>
      </c>
      <c r="DG5" s="736" t="inlineStr">
        <is>
          <t>TRANSF.</t>
        </is>
      </c>
      <c r="DH5" s="734" t="n">
        <v>45951</v>
      </c>
      <c r="DI5" s="737" t="n">
        <v>45903</v>
      </c>
      <c r="DJ5" s="734" t="n">
        <v>45945</v>
      </c>
      <c r="DK5" s="734" t="n">
        <v>45937</v>
      </c>
      <c r="DL5" s="734" t="n">
        <v>45931</v>
      </c>
      <c r="DM5" s="734" t="n">
        <v>45923</v>
      </c>
      <c r="DN5" s="734" t="n">
        <v>45923</v>
      </c>
      <c r="DO5" s="738" t="inlineStr">
        <is>
          <t>TRANSF.</t>
        </is>
      </c>
      <c r="DP5" s="738" t="inlineStr">
        <is>
          <t>TRANSF.</t>
        </is>
      </c>
      <c r="DQ5" s="734" t="n">
        <v>45915</v>
      </c>
      <c r="DR5" s="738" t="n">
        <v>45863</v>
      </c>
      <c r="DS5" s="734" t="n">
        <v>45903</v>
      </c>
      <c r="DT5" s="736" t="inlineStr">
        <is>
          <t>TRANSF.</t>
        </is>
      </c>
      <c r="DU5" s="734" t="n">
        <v>45895</v>
      </c>
      <c r="DV5" s="734" t="n">
        <v>45888</v>
      </c>
      <c r="DW5" s="739" t="inlineStr">
        <is>
          <t>TRANSF.</t>
        </is>
      </c>
      <c r="DX5" s="734" t="n">
        <v>45881</v>
      </c>
      <c r="DY5" s="734" t="n">
        <v>45874</v>
      </c>
      <c r="DZ5" s="740" t="inlineStr">
        <is>
          <t>TRANSF.</t>
        </is>
      </c>
      <c r="EA5" s="734" t="n">
        <v>45860</v>
      </c>
      <c r="EB5" s="741" t="inlineStr">
        <is>
          <t>COLLAB DORAMA</t>
        </is>
      </c>
      <c r="EC5" s="734" t="n">
        <v>45848</v>
      </c>
      <c r="ED5" s="739" t="inlineStr">
        <is>
          <t>AUTOMÁTICO</t>
        </is>
      </c>
      <c r="EE5" s="736" t="inlineStr">
        <is>
          <t>TRANSF.</t>
        </is>
      </c>
      <c r="EF5" s="734" t="n">
        <v>45839</v>
      </c>
      <c r="EG5" s="739" t="n">
        <v>45791</v>
      </c>
      <c r="EH5" s="736" t="inlineStr">
        <is>
          <t>TRANSF.</t>
        </is>
      </c>
      <c r="EI5" s="734" t="n">
        <v>45832</v>
      </c>
      <c r="EJ5" s="734" t="n">
        <v>45825</v>
      </c>
      <c r="EK5" s="734" t="n">
        <v>45813</v>
      </c>
      <c r="EL5" s="742" t="inlineStr">
        <is>
          <t>TRANSF.</t>
        </is>
      </c>
      <c r="EM5" s="740" t="inlineStr">
        <is>
          <t>TRANSF.</t>
        </is>
      </c>
      <c r="EN5" s="736" t="inlineStr">
        <is>
          <t>TRANSF.</t>
        </is>
      </c>
      <c r="EO5" s="734" t="n">
        <v>45805</v>
      </c>
      <c r="EP5" s="740" t="inlineStr">
        <is>
          <t>TRANSF.</t>
        </is>
      </c>
      <c r="EQ5" s="742" t="n">
        <v>45735</v>
      </c>
      <c r="ER5" s="740" t="inlineStr">
        <is>
          <t>TRANSF.</t>
        </is>
      </c>
      <c r="ES5" s="734" t="n">
        <v>45783</v>
      </c>
      <c r="ET5" s="734" t="n">
        <v>45770</v>
      </c>
      <c r="EU5" s="734" t="n">
        <v>45756</v>
      </c>
      <c r="EV5" s="743" t="inlineStr">
        <is>
          <t>TRANSF. DISNEY/24</t>
        </is>
      </c>
      <c r="EW5" s="740" t="inlineStr">
        <is>
          <t>TRANSF.</t>
        </is>
      </c>
      <c r="EX5" s="734" t="n">
        <v>45749</v>
      </c>
      <c r="EY5" s="734" t="n">
        <v>45734</v>
      </c>
      <c r="EZ5" s="740" t="n">
        <v>45700</v>
      </c>
      <c r="FA5" s="736" t="inlineStr">
        <is>
          <t>TRANSF.</t>
        </is>
      </c>
      <c r="FB5" s="734" t="n">
        <v>45728</v>
      </c>
      <c r="FC5" s="734" t="n">
        <v>45722</v>
      </c>
      <c r="FD5" s="736" t="inlineStr">
        <is>
          <t>TRANSF.</t>
        </is>
      </c>
      <c r="FE5" s="736" t="inlineStr">
        <is>
          <t>TRANSF.</t>
        </is>
      </c>
      <c r="FF5" s="736" t="inlineStr">
        <is>
          <t>TRANSF.</t>
        </is>
      </c>
      <c r="FG5" s="734" t="n">
        <v>45714</v>
      </c>
      <c r="FH5" s="734" t="n">
        <v>45706</v>
      </c>
      <c r="FI5" s="734" t="n">
        <v>45699</v>
      </c>
      <c r="FJ5" s="744" t="inlineStr">
        <is>
          <t>TRANSF. NATAL/24</t>
        </is>
      </c>
      <c r="FK5" s="734" t="n">
        <v>45679</v>
      </c>
      <c r="FL5" s="734" t="n">
        <v>45674</v>
      </c>
      <c r="FM5" s="734" t="n">
        <v>45660</v>
      </c>
      <c r="FN5" s="734" t="n">
        <v>45652</v>
      </c>
    </row>
    <row r="6" customFormat="1" s="3">
      <c r="A6" s="745" t="n"/>
      <c r="B6" s="745" t="n"/>
      <c r="C6" s="745" t="n"/>
      <c r="D6" s="745" t="n"/>
      <c r="E6" s="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46161.4802240162</v>
      </c>
      <c r="CB6" s="747" t="n">
        <v>46161.48088388573</v>
      </c>
      <c r="CC6" s="748" t="inlineStr">
        <is>
          <t>USOU</t>
        </is>
      </c>
      <c r="CD6" s="749" t="n"/>
      <c r="CE6" s="750" t="n"/>
      <c r="CF6" s="750" t="n">
        <v>46156</v>
      </c>
      <c r="CG6" s="751" t="n"/>
      <c r="CH6" s="752" t="n"/>
      <c r="CI6" s="734" t="n"/>
      <c r="CJ6" s="734" t="n"/>
      <c r="CK6" s="734" t="n">
        <v>46155</v>
      </c>
      <c r="CL6" s="734" t="n">
        <v>46149</v>
      </c>
      <c r="CM6" s="734" t="n">
        <v>46125</v>
      </c>
      <c r="CN6" s="735" t="n">
        <v>46111</v>
      </c>
      <c r="CO6" s="734" t="n">
        <v>46106</v>
      </c>
      <c r="CP6" s="734" t="n">
        <v>46099</v>
      </c>
      <c r="CQ6" s="734" t="n">
        <v>46091</v>
      </c>
      <c r="CR6" s="734" t="n">
        <v>46077</v>
      </c>
      <c r="CS6" s="734" t="n">
        <v>46059</v>
      </c>
      <c r="CT6" s="734" t="n">
        <v>46055</v>
      </c>
      <c r="CU6" s="734" t="n">
        <v>46037</v>
      </c>
      <c r="CV6" s="734" t="n">
        <v>46049</v>
      </c>
      <c r="CW6" s="734" t="n">
        <v>46036</v>
      </c>
      <c r="CX6" s="734" t="n">
        <v>46034</v>
      </c>
      <c r="CY6" s="734" t="n">
        <v>46024</v>
      </c>
      <c r="CZ6" s="736" t="n">
        <v>46013</v>
      </c>
      <c r="DA6" s="734" t="n">
        <v>46010</v>
      </c>
      <c r="DB6" s="734" t="n">
        <v>46009</v>
      </c>
      <c r="DC6" s="734" t="n">
        <v>46000</v>
      </c>
      <c r="DD6" s="734" t="n">
        <v>45989</v>
      </c>
      <c r="DE6" s="734" t="n">
        <v>45972</v>
      </c>
      <c r="DF6" s="734" t="n">
        <v>45967</v>
      </c>
      <c r="DG6" s="736" t="n">
        <v>45961</v>
      </c>
      <c r="DH6" s="734" t="n">
        <v>45958</v>
      </c>
      <c r="DI6" s="753" t="n">
        <v>45957</v>
      </c>
      <c r="DJ6" s="734" t="n">
        <v>45952</v>
      </c>
      <c r="DK6" s="734" t="n">
        <v>45947</v>
      </c>
      <c r="DL6" s="734" t="n">
        <v>45938</v>
      </c>
      <c r="DM6" s="734" t="n">
        <v>45938</v>
      </c>
      <c r="DN6" s="734" t="n">
        <v>45926</v>
      </c>
      <c r="DO6" s="754" t="n">
        <v>45924</v>
      </c>
      <c r="DP6" s="754" t="n">
        <v>45923</v>
      </c>
      <c r="DQ6" s="734" t="n">
        <v>45922</v>
      </c>
      <c r="DR6" s="754" t="n">
        <v>45917</v>
      </c>
      <c r="DS6" s="734" t="n">
        <v>45908</v>
      </c>
      <c r="DT6" s="736" t="n">
        <v>45902</v>
      </c>
      <c r="DU6" s="734" t="n">
        <v>45901</v>
      </c>
      <c r="DV6" s="734" t="n">
        <v>45891</v>
      </c>
      <c r="DW6" s="739" t="n">
        <v>45888</v>
      </c>
      <c r="DX6" s="734" t="n">
        <v>45884</v>
      </c>
      <c r="DY6" s="734" t="n">
        <v>45877</v>
      </c>
      <c r="DZ6" s="740" t="n">
        <v>45863</v>
      </c>
      <c r="EA6" s="734" t="n">
        <v>45863</v>
      </c>
      <c r="EB6" s="741" t="n">
        <v>45856</v>
      </c>
      <c r="EC6" s="734" t="n">
        <v>45853</v>
      </c>
      <c r="ED6" s="739" t="n">
        <v>45852</v>
      </c>
      <c r="EE6" s="736" t="n">
        <v>45851</v>
      </c>
      <c r="EF6" s="734" t="n">
        <v>45846</v>
      </c>
      <c r="EG6" s="739" t="n">
        <v>45841</v>
      </c>
      <c r="EH6" s="736" t="n">
        <v>45841</v>
      </c>
      <c r="EI6" s="734" t="n">
        <v>45838</v>
      </c>
      <c r="EJ6" s="734" t="n">
        <v>45832</v>
      </c>
      <c r="EK6" s="734" t="n">
        <v>45819</v>
      </c>
      <c r="EL6" s="755" t="n">
        <v>45826</v>
      </c>
      <c r="EM6" s="740" t="n">
        <v>45826</v>
      </c>
      <c r="EN6" s="736" t="n">
        <v>45812</v>
      </c>
      <c r="EO6" s="734" t="n">
        <v>45811</v>
      </c>
      <c r="EP6" s="740" t="n">
        <v>45800</v>
      </c>
      <c r="EQ6" s="755" t="n">
        <v>45797</v>
      </c>
      <c r="ER6" s="740" t="n">
        <v>45790</v>
      </c>
      <c r="ES6" s="734" t="n">
        <v>45785</v>
      </c>
      <c r="ET6" s="734" t="n">
        <v>45776</v>
      </c>
      <c r="EU6" s="734" t="n">
        <v>45775</v>
      </c>
      <c r="EV6" s="743" t="n">
        <v>45761</v>
      </c>
      <c r="EW6" s="740" t="n">
        <v>45759</v>
      </c>
      <c r="EX6" s="734" t="n">
        <v>45755</v>
      </c>
      <c r="EY6" s="734" t="n">
        <v>45743</v>
      </c>
      <c r="EZ6" s="740" t="n">
        <v>45743</v>
      </c>
      <c r="FA6" s="736" t="n">
        <v>45731</v>
      </c>
      <c r="FB6" s="734" t="n">
        <v>45733</v>
      </c>
      <c r="FC6" s="734" t="n">
        <v>45727</v>
      </c>
      <c r="FD6" s="736" t="n">
        <v>45727</v>
      </c>
      <c r="FE6" s="736" t="n">
        <v>45724</v>
      </c>
      <c r="FF6" s="736" t="n">
        <v>45722</v>
      </c>
      <c r="FG6" s="734" t="n">
        <v>45721</v>
      </c>
      <c r="FH6" s="734" t="n">
        <v>45713</v>
      </c>
      <c r="FI6" s="734" t="n">
        <v>45702</v>
      </c>
      <c r="FJ6" s="744" t="n">
        <v>45698</v>
      </c>
      <c r="FK6" s="734" t="n">
        <v>45686</v>
      </c>
      <c r="FL6" s="734" t="n">
        <v>45680</v>
      </c>
      <c r="FM6" s="734" t="n">
        <v>45665</v>
      </c>
      <c r="FN6" s="734" t="n">
        <v>45659</v>
      </c>
      <c r="FP6" s="5" t="n"/>
      <c r="FQ6" s="5" t="n"/>
      <c r="FR6" s="5" t="n"/>
      <c r="FS6" s="5" t="n"/>
      <c r="FT6" s="5" t="n"/>
      <c r="FU6" s="5" t="n"/>
      <c r="FV6" s="5" t="n"/>
      <c r="FW6" s="5" t="n"/>
      <c r="FX6" s="5" t="n"/>
      <c r="FY6" s="5" t="n"/>
      <c r="FZ6" s="5" t="n"/>
      <c r="GA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9" t="n"/>
      <c r="CE7" s="13" t="n"/>
      <c r="CF7" s="13" t="n"/>
      <c r="CH7" s="24" t="n"/>
      <c r="CI7" s="13" t="n"/>
      <c r="CJ7" s="13" t="n"/>
      <c r="CK7" s="13" t="n"/>
      <c r="CL7" s="13" t="n"/>
      <c r="CM7" s="13" t="n"/>
      <c r="CN7" s="13" t="inlineStr">
        <is>
          <t>MÃES</t>
        </is>
      </c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inlineStr">
        <is>
          <t>HA</t>
        </is>
      </c>
      <c r="DS7" s="13" t="n"/>
      <c r="DT7" s="13" t="n"/>
      <c r="DU7" s="13" t="n"/>
      <c r="DV7" s="13" t="n"/>
      <c r="DW7" s="13" t="inlineStr">
        <is>
          <t>PAIS/25</t>
        </is>
      </c>
      <c r="DX7" s="13" t="n"/>
      <c r="DY7" s="13" t="n"/>
      <c r="DZ7" s="13" t="inlineStr">
        <is>
          <t>MÃES/25</t>
        </is>
      </c>
      <c r="EA7" s="13" t="n"/>
      <c r="EB7" s="13" t="inlineStr">
        <is>
          <t>ENVIO AUTOMÁTICO</t>
        </is>
      </c>
      <c r="EC7" s="13" t="n"/>
      <c r="ED7" s="13" t="n"/>
      <c r="EE7" s="13" t="n"/>
      <c r="EF7" s="13" t="n"/>
      <c r="EG7" s="13" t="n"/>
      <c r="EH7" s="13" t="n"/>
      <c r="EI7" s="13" t="n"/>
      <c r="EJ7" s="13" t="n"/>
      <c r="EK7" s="13" t="n"/>
      <c r="EL7" s="13" t="inlineStr">
        <is>
          <t>NAMO/25</t>
        </is>
      </c>
      <c r="EM7" s="13" t="inlineStr">
        <is>
          <t>MÃES/25</t>
        </is>
      </c>
      <c r="EN7" s="13" t="n"/>
      <c r="EO7" s="13" t="n"/>
      <c r="EP7" s="13" t="inlineStr">
        <is>
          <t>MÃES/25</t>
        </is>
      </c>
      <c r="EQ7" s="320" t="n"/>
      <c r="ER7" s="13" t="inlineStr">
        <is>
          <t>MÃES/25</t>
        </is>
      </c>
      <c r="ES7" s="13" t="n"/>
      <c r="ET7" s="13" t="n"/>
      <c r="EU7" s="13" t="n"/>
      <c r="EV7" s="320" t="n"/>
      <c r="EW7" s="13" t="inlineStr">
        <is>
          <t>MÃES/25</t>
        </is>
      </c>
      <c r="EX7" s="13" t="n"/>
      <c r="EY7" s="13" t="n"/>
      <c r="EZ7" s="13" t="inlineStr">
        <is>
          <t>MÃES/25</t>
        </is>
      </c>
      <c r="FA7" s="13" t="n"/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K7" s="13" t="n"/>
      <c r="FL7" s="13" t="n"/>
      <c r="FM7" s="13" t="n"/>
      <c r="FN7" s="13" t="n"/>
      <c r="FO7" s="782" t="n"/>
      <c r="FP7" s="782" t="n"/>
      <c r="FQ7" s="782" t="n"/>
      <c r="FR7" s="782" t="n"/>
      <c r="FS7" s="782" t="n"/>
      <c r="FT7" s="782" t="n"/>
      <c r="FU7" s="782" t="n"/>
      <c r="FV7" s="782" t="n"/>
      <c r="FW7" s="782" t="n"/>
      <c r="FX7" s="731" t="n"/>
      <c r="FY7" s="732" t="n"/>
      <c r="FZ7" s="732" t="n"/>
      <c r="GA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1400+FL8</f>
        <v/>
      </c>
      <c r="G8" s="697" t="n">
        <v>1600</v>
      </c>
      <c r="H8" s="697" t="n">
        <v>1600</v>
      </c>
      <c r="I8" s="697" t="n">
        <v>1600</v>
      </c>
      <c r="J8" s="697" t="n">
        <v>1550</v>
      </c>
      <c r="K8" s="697" t="n">
        <v>1400</v>
      </c>
      <c r="L8" s="697" t="n">
        <v>1300</v>
      </c>
      <c r="M8" s="697" t="n">
        <v>1225</v>
      </c>
      <c r="N8" s="697" t="n">
        <v>1100</v>
      </c>
      <c r="O8" s="697" t="n">
        <v>900</v>
      </c>
      <c r="P8" s="697" t="n">
        <v>925</v>
      </c>
      <c r="Q8" s="697" t="n">
        <v>800</v>
      </c>
      <c r="R8" s="697" t="n">
        <v>800</v>
      </c>
      <c r="S8" s="697" t="n">
        <v>600</v>
      </c>
      <c r="T8" s="697">
        <f>550+EV8</f>
        <v/>
      </c>
      <c r="U8" s="697" t="n">
        <v>850</v>
      </c>
      <c r="V8" s="697" t="n">
        <v>600</v>
      </c>
      <c r="W8" s="697" t="n">
        <v>900</v>
      </c>
      <c r="X8" s="697" t="n">
        <v>1050</v>
      </c>
      <c r="Y8" s="697" t="n">
        <v>1325</v>
      </c>
      <c r="Z8" s="697" t="n">
        <v>1095</v>
      </c>
      <c r="AA8" s="697" t="n">
        <v>900</v>
      </c>
      <c r="AB8" s="697" t="n">
        <v>900</v>
      </c>
      <c r="AC8" s="697" t="n">
        <v>675</v>
      </c>
      <c r="AD8" s="697" t="n">
        <v>600</v>
      </c>
      <c r="AE8" s="697" t="n">
        <v>300</v>
      </c>
      <c r="AF8" s="697">
        <f>300+EG8</f>
        <v/>
      </c>
      <c r="AG8" s="697" t="n">
        <v>575</v>
      </c>
      <c r="AH8" s="697" t="n">
        <v>320</v>
      </c>
      <c r="AI8" s="697" t="n">
        <v>160</v>
      </c>
      <c r="AJ8" s="697" t="n">
        <v>720</v>
      </c>
      <c r="AK8" s="697" t="n">
        <v>600</v>
      </c>
      <c r="AL8" s="697" t="n">
        <v>440</v>
      </c>
      <c r="AM8" s="697" t="n">
        <v>600</v>
      </c>
      <c r="AN8" s="697">
        <f>600+DT8</f>
        <v/>
      </c>
      <c r="AO8" s="697" t="n">
        <v>1200</v>
      </c>
      <c r="AP8" s="697" t="n">
        <v>1200</v>
      </c>
      <c r="AQ8" s="697" t="n">
        <v>900</v>
      </c>
      <c r="AR8" s="697" t="n">
        <v>770</v>
      </c>
      <c r="AS8" s="697" t="n">
        <v>720</v>
      </c>
      <c r="AT8" s="697" t="n">
        <v>560</v>
      </c>
      <c r="AU8" s="697">
        <f>420+DI8</f>
        <v/>
      </c>
      <c r="AV8" s="697" t="n">
        <v>660</v>
      </c>
      <c r="AW8" s="697" t="n">
        <v>560</v>
      </c>
      <c r="AX8" s="697" t="n">
        <v>560</v>
      </c>
      <c r="AY8" s="697">
        <f>560+DC8</f>
        <v/>
      </c>
      <c r="AZ8" s="697" t="n">
        <v>300</v>
      </c>
      <c r="BA8" s="697">
        <f>230+DB8</f>
        <v/>
      </c>
      <c r="BB8" s="697" t="n">
        <v>900</v>
      </c>
      <c r="BC8" s="697">
        <f>80+DA8</f>
        <v/>
      </c>
      <c r="BD8" s="697" t="n">
        <v>380</v>
      </c>
      <c r="BE8" s="697" t="n">
        <v>980</v>
      </c>
      <c r="BF8" s="314" t="n">
        <v>1709</v>
      </c>
      <c r="BG8" s="697" t="n">
        <v>2200</v>
      </c>
      <c r="BH8" s="697" t="n">
        <v>2200</v>
      </c>
      <c r="BI8" s="697" t="n">
        <v>2250</v>
      </c>
      <c r="BJ8" s="697" t="n">
        <v>2220</v>
      </c>
      <c r="BK8" s="697" t="n">
        <v>1800</v>
      </c>
      <c r="BL8" s="697" t="n">
        <v>1800</v>
      </c>
      <c r="BM8" s="697" t="n">
        <v>1640</v>
      </c>
      <c r="BN8" s="697" t="n">
        <v>1560</v>
      </c>
      <c r="BO8" s="697" t="n">
        <v>1500</v>
      </c>
      <c r="BP8" s="697" t="n">
        <v>900</v>
      </c>
      <c r="BQ8" s="697">
        <f>900+CN8</f>
        <v/>
      </c>
      <c r="BR8" s="697" t="n">
        <v>1200</v>
      </c>
      <c r="BS8" s="697" t="n">
        <v>1200</v>
      </c>
      <c r="BT8" s="697" t="n">
        <v>900</v>
      </c>
      <c r="BU8" s="697" t="n">
        <v>900</v>
      </c>
      <c r="BV8" s="697" t="n">
        <v>900</v>
      </c>
      <c r="BW8" s="697" t="n">
        <v>650</v>
      </c>
      <c r="BX8" s="697" t="n">
        <v>300</v>
      </c>
      <c r="BY8" s="697">
        <f>300+CI8</f>
        <v/>
      </c>
      <c r="BZ8" s="697" t="n"/>
      <c r="CA8" s="699" t="n"/>
      <c r="CB8" s="699" t="n"/>
      <c r="CC8" s="192">
        <f>CA8+IF(NOT(ISBLANK(OFFSET(CC8,0,6))),N(OFFSET(CC8,0,6)),N(OFFSET(CC8,0,7)))-CB8</f>
        <v/>
      </c>
      <c r="CD8" s="129" t="n"/>
      <c r="CE8" s="22" t="n"/>
      <c r="CF8" s="22" t="n"/>
      <c r="CH8" s="27" t="n"/>
      <c r="CI8" s="757" t="n">
        <v>0</v>
      </c>
      <c r="CJ8" s="23" t="n">
        <v>0</v>
      </c>
      <c r="CK8" s="23" t="n">
        <v>600</v>
      </c>
      <c r="CL8" s="23" t="n">
        <v>0</v>
      </c>
      <c r="CM8" s="23" t="n"/>
      <c r="CN8" s="23" t="n"/>
      <c r="CO8" s="23" t="n"/>
      <c r="CP8" s="23" t="n">
        <v>300</v>
      </c>
      <c r="CQ8" s="23" t="n"/>
      <c r="CR8" s="23" t="n"/>
      <c r="CS8" s="23" t="n"/>
      <c r="CT8" s="23" t="n"/>
      <c r="CU8" s="23" t="n"/>
      <c r="CV8" s="23" t="n"/>
      <c r="CW8" s="23" t="n"/>
      <c r="CX8" s="23" t="n"/>
      <c r="CY8" s="23" t="n">
        <v>600</v>
      </c>
      <c r="CZ8" s="23" t="n"/>
      <c r="DA8" s="23" t="n">
        <v>600</v>
      </c>
      <c r="DB8" s="23" t="n">
        <v>900</v>
      </c>
      <c r="DC8" s="23" t="n">
        <v>300</v>
      </c>
      <c r="DD8" s="23" t="n">
        <v>900</v>
      </c>
      <c r="DE8" s="23" t="n">
        <v>300</v>
      </c>
      <c r="DF8" s="23" t="n"/>
      <c r="DG8" s="23" t="n"/>
      <c r="DH8" s="23" t="n"/>
      <c r="DI8" s="219" t="n"/>
      <c r="DJ8" s="23" t="n"/>
      <c r="DK8" s="23" t="n">
        <v>300</v>
      </c>
      <c r="DL8" s="23" t="n"/>
      <c r="DM8" s="23" t="n"/>
      <c r="DN8" s="23" t="n"/>
      <c r="DO8" s="219" t="n"/>
      <c r="DP8" s="219" t="n"/>
      <c r="DQ8" s="23" t="n"/>
      <c r="DR8" s="219" t="n"/>
      <c r="DS8" s="23" t="n"/>
      <c r="DT8" s="23" t="n"/>
      <c r="DU8" s="23" t="n"/>
      <c r="DV8" s="23" t="n">
        <v>600</v>
      </c>
      <c r="DW8" s="23" t="n"/>
      <c r="DX8" s="23" t="n">
        <v>300</v>
      </c>
      <c r="DY8" s="23" t="n"/>
      <c r="DZ8" s="219" t="n"/>
      <c r="EA8" s="23" t="n">
        <v>600</v>
      </c>
      <c r="EB8" s="219" t="n"/>
      <c r="EC8" s="23" t="n"/>
      <c r="ED8" s="219" t="n"/>
      <c r="EE8" s="23" t="n"/>
      <c r="EF8" s="23" t="n"/>
      <c r="EG8" s="219" t="n"/>
      <c r="EH8" s="23" t="n"/>
      <c r="EI8" s="23" t="n">
        <v>300</v>
      </c>
      <c r="EJ8" s="23" t="n"/>
      <c r="EK8" s="23" t="n"/>
      <c r="EL8" s="219" t="n"/>
      <c r="EM8" s="219" t="n"/>
      <c r="EN8" s="23" t="n"/>
      <c r="EO8" s="23" t="n"/>
      <c r="EP8" s="219" t="n"/>
      <c r="EQ8" s="219" t="n"/>
      <c r="ER8" s="219" t="n"/>
      <c r="ES8" s="23" t="n">
        <v>300</v>
      </c>
      <c r="ET8" s="23" t="n">
        <v>300</v>
      </c>
      <c r="EU8" s="23" t="n">
        <v>600</v>
      </c>
      <c r="EV8" s="23" t="n"/>
      <c r="EW8" s="219" t="n"/>
      <c r="EX8" s="23" t="n">
        <v>300</v>
      </c>
      <c r="EY8" s="23" t="n"/>
      <c r="EZ8" s="219" t="n"/>
      <c r="FA8" s="23" t="n"/>
      <c r="FB8" s="23" t="n"/>
      <c r="FC8" s="23" t="n">
        <v>300</v>
      </c>
      <c r="FD8" s="23" t="n"/>
      <c r="FE8" s="23" t="n"/>
      <c r="FF8" s="23" t="n"/>
      <c r="FG8" s="23" t="n"/>
      <c r="FH8" s="23" t="n"/>
      <c r="FI8" s="23" t="n"/>
      <c r="FJ8" s="219" t="n"/>
      <c r="FK8" s="23" t="n"/>
      <c r="FL8" s="23" t="n"/>
      <c r="FM8" s="23" t="n"/>
      <c r="FN8" s="23" t="n">
        <v>300</v>
      </c>
      <c r="FP8" s="304" t="inlineStr">
        <is>
          <t xml:space="preserve">SACOLAS </t>
        </is>
      </c>
      <c r="FQ8" s="235" t="inlineStr">
        <is>
          <t>PCT</t>
        </is>
      </c>
      <c r="FR8" s="746" t="n">
        <v>46118</v>
      </c>
      <c r="FS8" s="746" t="n">
        <v>46125</v>
      </c>
      <c r="FT8" s="746" t="n">
        <v>46132</v>
      </c>
      <c r="FU8" s="746" t="n">
        <v>46139</v>
      </c>
      <c r="FV8" s="746" t="n">
        <v>46146</v>
      </c>
      <c r="FW8" s="746" t="n">
        <v>46154</v>
      </c>
      <c r="FX8" s="746" t="n">
        <v>46160</v>
      </c>
      <c r="FY8" s="747" t="n">
        <v>46161.48022318287</v>
      </c>
      <c r="FZ8" s="747" t="n">
        <v>46161.4808832044</v>
      </c>
      <c r="GA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1200</v>
      </c>
      <c r="E9" s="41" t="n"/>
      <c r="F9" s="697">
        <f>3200+FL9</f>
        <v/>
      </c>
      <c r="G9" s="697">
        <f>3475+FK9</f>
        <v/>
      </c>
      <c r="H9" s="697" t="n">
        <v>3600</v>
      </c>
      <c r="I9" s="697">
        <f>3300+FJ9</f>
        <v/>
      </c>
      <c r="J9" s="697" t="n">
        <v>3575</v>
      </c>
      <c r="K9" s="697" t="n">
        <v>3200</v>
      </c>
      <c r="L9" s="697" t="n">
        <v>2950</v>
      </c>
      <c r="M9" s="697" t="n">
        <v>2750</v>
      </c>
      <c r="N9" s="697">
        <f>2225+FF9</f>
        <v/>
      </c>
      <c r="O9" s="697">
        <f>1950+FE9</f>
        <v/>
      </c>
      <c r="P9" s="697" t="n">
        <v>3550</v>
      </c>
      <c r="Q9" s="697" t="n">
        <v>3350</v>
      </c>
      <c r="R9" s="697" t="n">
        <v>2825</v>
      </c>
      <c r="S9" s="697" t="n">
        <v>2600</v>
      </c>
      <c r="T9" s="697" t="n">
        <v>2000</v>
      </c>
      <c r="U9" s="697" t="n">
        <v>1825</v>
      </c>
      <c r="V9" s="697" t="n">
        <v>1816</v>
      </c>
      <c r="W9" s="697" t="n">
        <v>1760</v>
      </c>
      <c r="X9" s="697" t="n">
        <v>1760</v>
      </c>
      <c r="Y9" s="697" t="n">
        <v>1560</v>
      </c>
      <c r="Z9" s="697" t="n">
        <v>1467</v>
      </c>
      <c r="AA9" s="697" t="n">
        <v>1200</v>
      </c>
      <c r="AB9" s="697" t="n">
        <v>600</v>
      </c>
      <c r="AC9" s="697">
        <f>350+EI9</f>
        <v/>
      </c>
      <c r="AD9" s="697" t="n">
        <v>900</v>
      </c>
      <c r="AE9" s="697">
        <f>450+EH9</f>
        <v/>
      </c>
      <c r="AF9" s="697">
        <f>450+EG9</f>
        <v/>
      </c>
      <c r="AG9" s="697">
        <f>550+ED9</f>
        <v/>
      </c>
      <c r="AH9" s="697">
        <f>480+EA9</f>
        <v/>
      </c>
      <c r="AI9" s="697" t="n">
        <v>560</v>
      </c>
      <c r="AJ9" s="697" t="n">
        <v>1700</v>
      </c>
      <c r="AK9" s="697" t="n">
        <v>1380</v>
      </c>
      <c r="AL9" s="697" t="n">
        <v>900</v>
      </c>
      <c r="AM9" s="697" t="n">
        <v>1200</v>
      </c>
      <c r="AN9" s="697" t="n">
        <v>840</v>
      </c>
      <c r="AO9" s="697" t="n">
        <v>800</v>
      </c>
      <c r="AP9" s="697">
        <f>520+DQ9</f>
        <v/>
      </c>
      <c r="AQ9" s="697" t="n">
        <v>800</v>
      </c>
      <c r="AR9" s="697">
        <f>230+DO9</f>
        <v/>
      </c>
      <c r="AS9" s="697" t="n">
        <v>1240</v>
      </c>
      <c r="AT9" s="697">
        <f>960+DK9</f>
        <v/>
      </c>
      <c r="AU9" s="697" t="n">
        <v>820</v>
      </c>
      <c r="AV9" s="697">
        <f>400+DH9</f>
        <v/>
      </c>
      <c r="AW9" s="697">
        <f>600+DF9</f>
        <v/>
      </c>
      <c r="AX9" s="697" t="n">
        <v>600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600+DA9</f>
        <v/>
      </c>
      <c r="BD9" s="697" t="n">
        <v>460</v>
      </c>
      <c r="BE9" s="697" t="n">
        <v>1400</v>
      </c>
      <c r="BF9" s="697" t="n">
        <v>775</v>
      </c>
      <c r="BG9" s="697" t="n">
        <v>1600</v>
      </c>
      <c r="BH9" s="697">
        <f>1500+CV9</f>
        <v/>
      </c>
      <c r="BI9" s="697" t="n">
        <v>2000</v>
      </c>
      <c r="BJ9" s="697" t="n">
        <v>1800</v>
      </c>
      <c r="BK9" s="697">
        <f>1200+CR9</f>
        <v/>
      </c>
      <c r="BL9" s="697" t="n">
        <v>1800</v>
      </c>
      <c r="BM9" s="697" t="n">
        <v>1800</v>
      </c>
      <c r="BN9" s="697">
        <f>1600+CP9</f>
        <v/>
      </c>
      <c r="BO9" s="697" t="n">
        <v>2400</v>
      </c>
      <c r="BP9" s="697" t="n">
        <v>2000</v>
      </c>
      <c r="BQ9" s="697" t="n">
        <v>1600</v>
      </c>
      <c r="BR9" s="697">
        <f>1400+CM9</f>
        <v/>
      </c>
      <c r="BS9" s="697" t="n">
        <v>1800</v>
      </c>
      <c r="BT9" s="697" t="n">
        <v>800</v>
      </c>
      <c r="BU9" s="697" t="n">
        <v>800</v>
      </c>
      <c r="BV9" s="697" t="n">
        <v>800</v>
      </c>
      <c r="BW9" s="697" t="n">
        <v>800</v>
      </c>
      <c r="BX9" s="697" t="n">
        <v>800</v>
      </c>
      <c r="BY9" s="697" t="n">
        <v>800</v>
      </c>
      <c r="BZ9" s="697" t="n"/>
      <c r="CA9" s="699" t="n"/>
      <c r="CB9" s="699" t="n"/>
      <c r="CC9" s="192">
        <f>CA9+IF(NOT(ISBLANK(OFFSET(CC9,0,6))),N(OFFSET(CC9,0,6)),N(OFFSET(CC9,0,7)))-CB9</f>
        <v/>
      </c>
      <c r="CD9" s="129" t="n"/>
      <c r="CE9" s="22" t="n"/>
      <c r="CF9" s="22" t="n"/>
      <c r="CH9" s="27" t="n"/>
      <c r="CI9" s="757" t="n">
        <v>0</v>
      </c>
      <c r="CJ9" s="23" t="n">
        <v>0</v>
      </c>
      <c r="CK9" s="23" t="n">
        <v>0</v>
      </c>
      <c r="CL9" s="23" t="n">
        <v>0</v>
      </c>
      <c r="CM9" s="23" t="n"/>
      <c r="CN9" s="219" t="n">
        <v>3000</v>
      </c>
      <c r="CO9" s="23" t="n">
        <v>400</v>
      </c>
      <c r="CP9" s="23" t="n"/>
      <c r="CQ9" s="23" t="n"/>
      <c r="CR9" s="23" t="n">
        <v>1600</v>
      </c>
      <c r="CS9" s="23" t="n">
        <v>1000</v>
      </c>
      <c r="CT9" s="23" t="n">
        <v>400</v>
      </c>
      <c r="CU9" s="23" t="n">
        <v>400</v>
      </c>
      <c r="CV9" s="23" t="n"/>
      <c r="CW9" s="23" t="n"/>
      <c r="CX9" s="23" t="n">
        <v>600</v>
      </c>
      <c r="CY9" s="23" t="n">
        <v>1400</v>
      </c>
      <c r="CZ9" s="23" t="n"/>
      <c r="DA9" s="23" t="n">
        <v>1400</v>
      </c>
      <c r="DB9" s="23" t="n">
        <v>600</v>
      </c>
      <c r="DC9" s="23" t="n">
        <v>400</v>
      </c>
      <c r="DD9" s="23" t="n"/>
      <c r="DE9" s="23" t="n"/>
      <c r="DF9" s="23" t="n">
        <v>600</v>
      </c>
      <c r="DG9" s="23" t="n"/>
      <c r="DH9" s="23" t="n">
        <v>600</v>
      </c>
      <c r="DI9" s="219" t="n">
        <v>3200</v>
      </c>
      <c r="DJ9" s="23" t="n">
        <v>600</v>
      </c>
      <c r="DK9" s="23" t="n"/>
      <c r="DL9" s="23" t="n"/>
      <c r="DM9" s="23" t="n">
        <v>200</v>
      </c>
      <c r="DN9" s="23" t="n"/>
      <c r="DO9" s="219" t="n"/>
      <c r="DP9" s="219" t="n"/>
      <c r="DQ9" s="23" t="n">
        <v>1200</v>
      </c>
      <c r="DR9" s="219" t="n"/>
      <c r="DS9" s="23" t="n">
        <v>600</v>
      </c>
      <c r="DT9" s="23" t="n"/>
      <c r="DU9" s="23" t="n">
        <v>400</v>
      </c>
      <c r="DV9" s="23" t="n">
        <v>200</v>
      </c>
      <c r="DW9" s="23" t="n"/>
      <c r="DX9" s="23" t="n">
        <v>400</v>
      </c>
      <c r="DY9" s="23" t="n"/>
      <c r="DZ9" s="219" t="n"/>
      <c r="EA9" s="23" t="n">
        <v>1200</v>
      </c>
      <c r="EB9" s="219" t="n"/>
      <c r="EC9" s="23" t="n">
        <v>600</v>
      </c>
      <c r="ED9" s="219" t="n"/>
      <c r="EE9" s="23" t="n"/>
      <c r="EF9" s="23" t="n">
        <v>400</v>
      </c>
      <c r="EG9" s="219" t="n"/>
      <c r="EH9" s="23" t="n"/>
      <c r="EI9" s="23" t="n">
        <v>400</v>
      </c>
      <c r="EJ9" s="23" t="n">
        <v>400</v>
      </c>
      <c r="EK9" s="23" t="n">
        <v>1000</v>
      </c>
      <c r="EL9" s="219" t="n"/>
      <c r="EM9" s="219" t="n"/>
      <c r="EN9" s="23" t="n"/>
      <c r="EO9" s="23" t="n"/>
      <c r="EP9" s="219" t="n"/>
      <c r="EQ9" s="219" t="n"/>
      <c r="ER9" s="219" t="n"/>
      <c r="ES9" s="23" t="n"/>
      <c r="ET9" s="23" t="n"/>
      <c r="EU9" s="23" t="n"/>
      <c r="EV9" s="23" t="n"/>
      <c r="EW9" s="219" t="n"/>
      <c r="EX9" s="23" t="n"/>
      <c r="EY9" s="23" t="n"/>
      <c r="EZ9" s="219" t="n">
        <v>2600</v>
      </c>
      <c r="FA9" s="23" t="n"/>
      <c r="FB9" s="23" t="n"/>
      <c r="FC9" s="23" t="n">
        <v>1000</v>
      </c>
      <c r="FD9" s="23" t="n"/>
      <c r="FE9" s="23" t="n"/>
      <c r="FF9" s="23" t="n"/>
      <c r="FG9" s="23" t="n">
        <v>600</v>
      </c>
      <c r="FH9" s="23" t="n">
        <v>600</v>
      </c>
      <c r="FI9" s="23" t="n">
        <v>200</v>
      </c>
      <c r="FJ9" s="219" t="n"/>
      <c r="FK9" s="23" t="n"/>
      <c r="FL9" s="23" t="n">
        <v>600</v>
      </c>
      <c r="FM9" s="23" t="n">
        <v>600</v>
      </c>
      <c r="FN9" s="23" t="n">
        <v>600</v>
      </c>
      <c r="FP9" s="300" t="inlineStr">
        <is>
          <t xml:space="preserve">SACOLA P </t>
        </is>
      </c>
      <c r="FQ9" s="162" t="n">
        <v>200</v>
      </c>
      <c r="FR9" s="697">
        <f>CL9</f>
        <v/>
      </c>
      <c r="FS9" s="697" t="n">
        <v>2850</v>
      </c>
      <c r="FT9" s="697" t="n">
        <v>2600</v>
      </c>
      <c r="FU9" s="697" t="n">
        <v>2200</v>
      </c>
      <c r="FV9" s="697" t="n">
        <v>1600</v>
      </c>
      <c r="FW9" s="697" t="n">
        <v>800</v>
      </c>
      <c r="FX9" s="697" t="n"/>
      <c r="FY9" s="699" t="n"/>
      <c r="FZ9" s="699" t="n"/>
      <c r="GA9" s="431">
        <f>FY9+IF(NOT(ISBLANK(OFFSET(GA9,0,6))),N(OFFSET(GA9,0,6)),N(OFFSET(GA9,0,7)))-FZ9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1000+FL10</f>
        <v/>
      </c>
      <c r="G10" s="697">
        <f>1775+FK10</f>
        <v/>
      </c>
      <c r="H10" s="697" t="n">
        <v>2200</v>
      </c>
      <c r="I10" s="697">
        <f>2050+FJ10</f>
        <v/>
      </c>
      <c r="J10" s="697" t="n">
        <v>1975</v>
      </c>
      <c r="K10" s="697" t="n">
        <v>1850</v>
      </c>
      <c r="L10" s="697" t="n">
        <v>1800</v>
      </c>
      <c r="M10" s="697" t="n">
        <v>1956</v>
      </c>
      <c r="N10" s="697">
        <f>1650+FF10</f>
        <v/>
      </c>
      <c r="O10" s="697">
        <f>1500+FE10</f>
        <v/>
      </c>
      <c r="P10" s="697" t="n">
        <v>2225</v>
      </c>
      <c r="Q10" s="697" t="n">
        <v>2100</v>
      </c>
      <c r="R10" s="697" t="n">
        <v>1800</v>
      </c>
      <c r="S10" s="697" t="n">
        <v>1800</v>
      </c>
      <c r="T10" s="697" t="n">
        <v>1700</v>
      </c>
      <c r="U10" s="697" t="n">
        <v>1250</v>
      </c>
      <c r="V10" s="697" t="n">
        <v>1160</v>
      </c>
      <c r="W10" s="697" t="n">
        <v>1160</v>
      </c>
      <c r="X10" s="697" t="n">
        <v>1160</v>
      </c>
      <c r="Y10" s="697" t="n">
        <v>925</v>
      </c>
      <c r="Z10" s="697" t="n">
        <v>700</v>
      </c>
      <c r="AA10" s="697" t="n">
        <v>900</v>
      </c>
      <c r="AB10" s="697">
        <f>600+EM10</f>
        <v/>
      </c>
      <c r="AC10" s="697" t="n">
        <v>700</v>
      </c>
      <c r="AD10" s="697" t="n">
        <v>650</v>
      </c>
      <c r="AE10" s="697">
        <f>475+EH10</f>
        <v/>
      </c>
      <c r="AF10" s="697" t="n">
        <v>475</v>
      </c>
      <c r="AG10" s="697">
        <f>350+ED10</f>
        <v/>
      </c>
      <c r="AH10" s="697" t="n">
        <v>580</v>
      </c>
      <c r="AI10" s="697" t="n">
        <v>340</v>
      </c>
      <c r="AJ10" s="697" t="n">
        <v>240</v>
      </c>
      <c r="AK10" s="697" t="n">
        <v>440</v>
      </c>
      <c r="AL10" s="697" t="n">
        <v>380</v>
      </c>
      <c r="AM10" s="697" t="n">
        <v>700</v>
      </c>
      <c r="AN10" s="697" t="n">
        <v>760</v>
      </c>
      <c r="AO10" s="697" t="n">
        <v>680</v>
      </c>
      <c r="AP10" s="697">
        <f>480+DQ10</f>
        <v/>
      </c>
      <c r="AQ10" s="697" t="n">
        <v>700</v>
      </c>
      <c r="AR10" s="697">
        <f>360+DO10</f>
        <v/>
      </c>
      <c r="AS10" s="697" t="n">
        <v>440</v>
      </c>
      <c r="AT10" s="697">
        <f>200+DJ10</f>
        <v/>
      </c>
      <c r="AU10" s="697">
        <f>400+DI10</f>
        <v/>
      </c>
      <c r="AV10" s="697" t="n">
        <v>600</v>
      </c>
      <c r="AW10" s="697">
        <f>400+DF10</f>
        <v/>
      </c>
      <c r="AX10" s="697" t="n">
        <v>400</v>
      </c>
      <c r="AY10" s="697" t="n">
        <v>400</v>
      </c>
      <c r="AZ10" s="697" t="n">
        <v>400</v>
      </c>
      <c r="BA10" s="697" t="n">
        <v>400</v>
      </c>
      <c r="BB10" s="697" t="n">
        <v>400</v>
      </c>
      <c r="BC10" s="697" t="n">
        <v>400</v>
      </c>
      <c r="BD10" s="697" t="n">
        <v>400</v>
      </c>
      <c r="BE10" s="697">
        <f>200+800</f>
        <v/>
      </c>
      <c r="BF10" s="697" t="n">
        <v>320</v>
      </c>
      <c r="BG10" s="697" t="n">
        <v>400</v>
      </c>
      <c r="BH10" s="697">
        <f>400+CV10</f>
        <v/>
      </c>
      <c r="BI10" s="697" t="n">
        <v>1200</v>
      </c>
      <c r="BJ10" s="697" t="n">
        <v>800</v>
      </c>
      <c r="BK10" s="697">
        <f>800+CR10</f>
        <v/>
      </c>
      <c r="BL10" s="697" t="n">
        <v>1200</v>
      </c>
      <c r="BM10" s="697" t="n">
        <v>1000</v>
      </c>
      <c r="BN10" s="697">
        <f>800+CP10</f>
        <v/>
      </c>
      <c r="BO10" s="697" t="n">
        <v>800</v>
      </c>
      <c r="BP10" s="697">
        <f>600+CO10</f>
        <v/>
      </c>
      <c r="BQ10" s="697" t="n">
        <v>800</v>
      </c>
      <c r="BR10" s="697">
        <f>800+CM10</f>
        <v/>
      </c>
      <c r="BS10" s="697" t="n">
        <v>600</v>
      </c>
      <c r="BT10" s="697" t="n">
        <v>800</v>
      </c>
      <c r="BU10" s="697" t="n">
        <v>1800</v>
      </c>
      <c r="BV10" s="697" t="n">
        <v>1800</v>
      </c>
      <c r="BW10" s="697" t="n">
        <v>1800</v>
      </c>
      <c r="BX10" s="697" t="n">
        <v>1800</v>
      </c>
      <c r="BY10" s="697" t="n">
        <v>1800</v>
      </c>
      <c r="BZ10" s="697" t="n"/>
      <c r="CA10" s="699" t="n"/>
      <c r="CB10" s="699" t="n"/>
      <c r="CC10" s="192">
        <f>CA10+IF(NOT(ISBLANK(OFFSET(CC10,0,6))),N(OFFSET(CC10,0,6)),N(OFFSET(CC10,0,7)))-CB10</f>
        <v/>
      </c>
      <c r="CD10" s="129" t="n"/>
      <c r="CE10" s="22" t="n"/>
      <c r="CF10" s="22" t="n"/>
      <c r="CG10" s="4" t="n"/>
      <c r="CH10" s="27" t="n"/>
      <c r="CI10" s="23" t="n">
        <v>0</v>
      </c>
      <c r="CJ10" s="23" t="n">
        <v>0</v>
      </c>
      <c r="CK10" s="23" t="n">
        <v>0</v>
      </c>
      <c r="CL10" s="23" t="n">
        <v>0</v>
      </c>
      <c r="CM10" s="23" t="n">
        <v>800</v>
      </c>
      <c r="CN10" s="219" t="n">
        <v>2000</v>
      </c>
      <c r="CO10" s="23" t="n">
        <v>400</v>
      </c>
      <c r="CP10" s="23" t="n"/>
      <c r="CQ10" s="23" t="n">
        <v>400</v>
      </c>
      <c r="CR10" s="23" t="n">
        <v>400</v>
      </c>
      <c r="CS10" s="23" t="n"/>
      <c r="CT10" s="23" t="n">
        <v>800</v>
      </c>
      <c r="CU10" s="23" t="n"/>
      <c r="CV10" s="23" t="n"/>
      <c r="CW10" s="23" t="n"/>
      <c r="CX10" s="23" t="n">
        <v>800</v>
      </c>
      <c r="CY10" s="23" t="n">
        <v>400</v>
      </c>
      <c r="CZ10" s="192" t="inlineStr">
        <is>
          <t>800 DE CD</t>
        </is>
      </c>
      <c r="DA10" s="23" t="n">
        <v>200</v>
      </c>
      <c r="DB10" s="23" t="n">
        <v>400</v>
      </c>
      <c r="DC10" s="23" t="n"/>
      <c r="DD10" s="23" t="n"/>
      <c r="DE10" s="23" t="n"/>
      <c r="DF10" s="23" t="n"/>
      <c r="DG10" s="23" t="n"/>
      <c r="DH10" s="23" t="n">
        <v>400</v>
      </c>
      <c r="DI10" s="219" t="n">
        <v>2600</v>
      </c>
      <c r="DJ10" s="23" t="n"/>
      <c r="DK10" s="23" t="n">
        <v>400</v>
      </c>
      <c r="DL10" s="23" t="n">
        <v>400</v>
      </c>
      <c r="DM10" s="23" t="n"/>
      <c r="DN10" s="23" t="n"/>
      <c r="DO10" s="437" t="inlineStr">
        <is>
          <t>100 P/ SHN</t>
        </is>
      </c>
      <c r="DP10" s="219" t="n"/>
      <c r="DQ10" s="23" t="n">
        <v>200</v>
      </c>
      <c r="DR10" s="219" t="n">
        <v>200</v>
      </c>
      <c r="DS10" s="23" t="n">
        <v>400</v>
      </c>
      <c r="DT10" s="23" t="n"/>
      <c r="DU10" s="23" t="n">
        <v>200</v>
      </c>
      <c r="DV10" s="23" t="n">
        <v>200</v>
      </c>
      <c r="DW10" s="23" t="n"/>
      <c r="DX10" s="23" t="n">
        <v>600</v>
      </c>
      <c r="DY10" s="23" t="n"/>
      <c r="DZ10" s="219" t="n"/>
      <c r="EA10" s="23" t="n"/>
      <c r="EB10" s="219" t="n"/>
      <c r="EC10" s="23" t="n"/>
      <c r="ED10" s="219" t="n"/>
      <c r="EE10" s="23" t="n"/>
      <c r="EF10" s="23" t="n">
        <v>400</v>
      </c>
      <c r="EG10" s="219" t="n">
        <v>1200</v>
      </c>
      <c r="EH10" s="23" t="n"/>
      <c r="EI10" s="23" t="n"/>
      <c r="EJ10" s="23" t="n">
        <v>200</v>
      </c>
      <c r="EK10" s="23" t="n"/>
      <c r="EL10" s="219" t="n"/>
      <c r="EM10" s="219" t="n"/>
      <c r="EN10" s="23" t="n"/>
      <c r="EO10" s="23" t="n">
        <v>200</v>
      </c>
      <c r="EP10" s="219" t="n"/>
      <c r="EQ10" s="219" t="n">
        <v>800</v>
      </c>
      <c r="ER10" s="219" t="n"/>
      <c r="ES10" s="23" t="n"/>
      <c r="ET10" s="23" t="n"/>
      <c r="EU10" s="23" t="n"/>
      <c r="EV10" s="333" t="inlineStr">
        <is>
          <t>50 DE TDQ</t>
        </is>
      </c>
      <c r="EW10" s="219" t="n"/>
      <c r="EX10" s="23" t="n"/>
      <c r="EY10" s="23" t="n"/>
      <c r="EZ10" s="219" t="n">
        <v>1400</v>
      </c>
      <c r="FA10" s="23" t="n"/>
      <c r="FB10" s="23" t="n"/>
      <c r="FC10" s="23" t="n">
        <v>400</v>
      </c>
      <c r="FD10" s="23" t="n"/>
      <c r="FE10" s="23" t="n"/>
      <c r="FF10" s="23" t="n"/>
      <c r="FG10" s="23" t="n">
        <v>400</v>
      </c>
      <c r="FH10" s="23" t="n">
        <v>200</v>
      </c>
      <c r="FI10" s="23" t="n">
        <v>400</v>
      </c>
      <c r="FJ10" s="219" t="n"/>
      <c r="FK10" s="23" t="n"/>
      <c r="FL10" s="23" t="n">
        <v>200</v>
      </c>
      <c r="FM10" s="23" t="n">
        <v>600</v>
      </c>
      <c r="FN10" s="23" t="n">
        <v>800</v>
      </c>
      <c r="FP10" s="65" t="inlineStr">
        <is>
          <t xml:space="preserve">SACOLA M </t>
        </is>
      </c>
      <c r="FQ10" s="699" t="n">
        <v>200</v>
      </c>
      <c r="FR10" s="697">
        <f>CL10</f>
        <v/>
      </c>
      <c r="FS10" s="697" t="n">
        <v>1800</v>
      </c>
      <c r="FT10" s="697" t="n">
        <v>1600</v>
      </c>
      <c r="FU10" s="697" t="n">
        <v>1400</v>
      </c>
      <c r="FV10" s="697" t="n">
        <v>1200</v>
      </c>
      <c r="FW10" s="697" t="n">
        <v>200</v>
      </c>
      <c r="FX10" s="697" t="n"/>
      <c r="FY10" s="699" t="n"/>
      <c r="FZ10" s="699" t="n"/>
      <c r="GA10" s="431">
        <f>FY10+IF(NOT(ISBLANK(OFFSET(GA10,0,6))),N(OFFSET(GA10,0,6)),N(OFFSET(GA10,0,7)))-FZ10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380</v>
      </c>
      <c r="G11" s="697">
        <f>380+FK11</f>
        <v/>
      </c>
      <c r="H11" s="697" t="n">
        <v>425</v>
      </c>
      <c r="I11" s="697">
        <f>465+FJ11</f>
        <v/>
      </c>
      <c r="J11" s="697" t="n">
        <v>644</v>
      </c>
      <c r="K11" s="697" t="n">
        <v>625</v>
      </c>
      <c r="L11" s="697" t="n">
        <v>625</v>
      </c>
      <c r="M11" s="697" t="n">
        <v>600</v>
      </c>
      <c r="N11" s="697" t="n">
        <v>600</v>
      </c>
      <c r="O11" s="697" t="n">
        <v>600</v>
      </c>
      <c r="P11" s="697" t="n">
        <v>600</v>
      </c>
      <c r="Q11" s="697" t="n">
        <v>600</v>
      </c>
      <c r="R11" s="697" t="n">
        <v>600</v>
      </c>
      <c r="S11" s="697" t="n">
        <v>600</v>
      </c>
      <c r="T11" s="697" t="n">
        <v>500</v>
      </c>
      <c r="U11" s="697" t="n">
        <v>580</v>
      </c>
      <c r="V11" s="697" t="n">
        <v>575</v>
      </c>
      <c r="W11" s="697" t="n">
        <v>575</v>
      </c>
      <c r="X11" s="697" t="n">
        <v>575</v>
      </c>
      <c r="Y11" s="697" t="n">
        <v>525</v>
      </c>
      <c r="Z11" s="697" t="n">
        <v>600</v>
      </c>
      <c r="AA11" s="697" t="n">
        <v>600</v>
      </c>
      <c r="AB11" s="697" t="n">
        <v>550</v>
      </c>
      <c r="AC11" s="697" t="n">
        <v>400</v>
      </c>
      <c r="AD11" s="697" t="n">
        <v>400</v>
      </c>
      <c r="AE11" s="697" t="n">
        <v>400</v>
      </c>
      <c r="AF11" s="697" t="n">
        <v>450</v>
      </c>
      <c r="AG11" s="697" t="n">
        <v>425</v>
      </c>
      <c r="AH11" s="697" t="n">
        <v>340</v>
      </c>
      <c r="AI11" s="697" t="n">
        <v>330</v>
      </c>
      <c r="AJ11" s="697" t="n">
        <v>330</v>
      </c>
      <c r="AK11" s="697" t="n">
        <v>330</v>
      </c>
      <c r="AL11" s="697" t="n">
        <v>320</v>
      </c>
      <c r="AM11" s="697" t="n">
        <v>300</v>
      </c>
      <c r="AN11" s="697" t="n">
        <v>300</v>
      </c>
      <c r="AO11" s="697">
        <f>280-100</f>
        <v/>
      </c>
      <c r="AP11" s="697" t="n">
        <v>200</v>
      </c>
      <c r="AQ11" s="697" t="n">
        <v>200</v>
      </c>
      <c r="AR11" s="697" t="n">
        <v>200</v>
      </c>
      <c r="AS11" s="697" t="n">
        <v>180</v>
      </c>
      <c r="AT11" s="697" t="n">
        <v>180</v>
      </c>
      <c r="AU11" s="697" t="n">
        <v>160</v>
      </c>
      <c r="AV11" s="697" t="n">
        <v>160</v>
      </c>
      <c r="AW11" s="697">
        <f>160-50</f>
        <v/>
      </c>
      <c r="AX11" s="697" t="n">
        <v>110</v>
      </c>
      <c r="AY11" s="697" t="n">
        <v>120</v>
      </c>
      <c r="AZ11" s="697" t="n">
        <v>120</v>
      </c>
      <c r="BA11" s="697" t="n">
        <v>120</v>
      </c>
      <c r="BB11" s="697" t="n">
        <v>120</v>
      </c>
      <c r="BC11" s="697" t="n">
        <v>120</v>
      </c>
      <c r="BD11" s="697" t="n">
        <v>67</v>
      </c>
      <c r="BE11" s="697" t="n">
        <v>167</v>
      </c>
      <c r="BF11" s="697" t="n">
        <v>167</v>
      </c>
      <c r="BG11" s="697" t="n">
        <v>260</v>
      </c>
      <c r="BH11" s="697" t="n">
        <v>260</v>
      </c>
      <c r="BI11" s="697" t="n">
        <v>260</v>
      </c>
      <c r="BJ11" s="697" t="n">
        <v>260</v>
      </c>
      <c r="BK11" s="697" t="n">
        <v>140</v>
      </c>
      <c r="BL11" s="697" t="n">
        <v>340</v>
      </c>
      <c r="BM11" s="697" t="n">
        <v>330</v>
      </c>
      <c r="BN11" s="697">
        <f>330+CP11</f>
        <v/>
      </c>
      <c r="BO11" s="697" t="n">
        <v>330</v>
      </c>
      <c r="BP11" s="697" t="n">
        <v>330</v>
      </c>
      <c r="BQ11" s="697" t="n">
        <v>330</v>
      </c>
      <c r="BR11" s="697" t="n">
        <v>300</v>
      </c>
      <c r="BS11" s="697" t="n">
        <v>300</v>
      </c>
      <c r="BT11" s="697" t="n">
        <v>340</v>
      </c>
      <c r="BU11" s="697" t="n">
        <v>315</v>
      </c>
      <c r="BV11" s="697" t="n">
        <v>315</v>
      </c>
      <c r="BW11" s="697" t="n">
        <v>315</v>
      </c>
      <c r="BX11" s="697" t="n">
        <v>315</v>
      </c>
      <c r="BY11" s="697" t="n">
        <v>315</v>
      </c>
      <c r="BZ11" s="697" t="n"/>
      <c r="CA11" s="699" t="n"/>
      <c r="CB11" s="699" t="n"/>
      <c r="CC11" s="192">
        <f>CA11+IF(NOT(ISBLANK(OFFSET(CC11,0,6))),N(OFFSET(CC11,0,6)),N(OFFSET(CC11,0,7)))-CB11</f>
        <v/>
      </c>
      <c r="CD11" s="129" t="n"/>
      <c r="CE11" s="22" t="inlineStr">
        <is>
          <t>100 P/ SHN</t>
        </is>
      </c>
      <c r="CF11" s="22" t="n"/>
      <c r="CG11" s="4" t="n"/>
      <c r="CH11" s="27" t="n"/>
      <c r="CI11" s="23" t="n">
        <v>0</v>
      </c>
      <c r="CJ11" s="23" t="n">
        <v>0</v>
      </c>
      <c r="CK11" s="23" t="n">
        <v>0</v>
      </c>
      <c r="CL11" s="23" t="n">
        <v>0</v>
      </c>
      <c r="CM11" s="23" t="n"/>
      <c r="CN11" s="219" t="n">
        <v>200</v>
      </c>
      <c r="CO11" s="23" t="n"/>
      <c r="CP11" s="23" t="n"/>
      <c r="CQ11" s="23" t="n"/>
      <c r="CR11" s="23" t="n">
        <v>100</v>
      </c>
      <c r="CS11" s="23" t="n">
        <v>100</v>
      </c>
      <c r="CT11" s="23" t="n"/>
      <c r="CU11" s="23" t="n"/>
      <c r="CV11" s="23" t="n"/>
      <c r="CW11" s="23" t="n"/>
      <c r="CX11" s="23" t="n"/>
      <c r="CY11" s="23" t="n">
        <v>100</v>
      </c>
      <c r="CZ11" s="23" t="n"/>
      <c r="DA11" s="23" t="n">
        <v>100</v>
      </c>
      <c r="DB11" s="23" t="n"/>
      <c r="DC11" s="23" t="n"/>
      <c r="DD11" s="23" t="n"/>
      <c r="DE11" s="23" t="n"/>
      <c r="DF11" s="23" t="n"/>
      <c r="DG11" s="192" t="inlineStr">
        <is>
          <t>50 P/ GV</t>
        </is>
      </c>
      <c r="DH11" s="23" t="n"/>
      <c r="DI11" s="219" t="n">
        <v>400</v>
      </c>
      <c r="DJ11" s="23" t="n"/>
      <c r="DK11" s="23" t="n"/>
      <c r="DL11" s="23" t="n"/>
      <c r="DM11" s="23" t="n"/>
      <c r="DN11" s="23" t="n"/>
      <c r="DO11" s="219" t="n"/>
      <c r="DP11" s="219" t="n"/>
      <c r="DQ11" s="23" t="n"/>
      <c r="DR11" s="219" t="n"/>
      <c r="DS11" s="23" t="n"/>
      <c r="DT11" s="192" t="inlineStr">
        <is>
          <t>100 P/ Q2</t>
        </is>
      </c>
      <c r="DU11" s="23" t="n"/>
      <c r="DV11" s="23" t="n"/>
      <c r="DW11" s="23" t="n"/>
      <c r="DX11" s="23" t="n"/>
      <c r="DY11" s="23" t="n"/>
      <c r="DZ11" s="219" t="n"/>
      <c r="EA11" s="23" t="n"/>
      <c r="EB11" s="219" t="n"/>
      <c r="EC11" s="23" t="n"/>
      <c r="ED11" s="219" t="n"/>
      <c r="EE11" s="23" t="n"/>
      <c r="EF11" s="23" t="n"/>
      <c r="EG11" s="219" t="n"/>
      <c r="EH11" s="23" t="n"/>
      <c r="EI11" s="23" t="n"/>
      <c r="EJ11" s="23" t="n"/>
      <c r="EK11" s="23" t="n"/>
      <c r="EL11" s="219" t="n"/>
      <c r="EM11" s="219" t="n"/>
      <c r="EN11" s="23" t="n"/>
      <c r="EO11" s="23" t="n"/>
      <c r="EP11" s="219" t="n"/>
      <c r="EQ11" s="219" t="n"/>
      <c r="ER11" s="219" t="n"/>
      <c r="ES11" s="23" t="n"/>
      <c r="ET11" s="23" t="n"/>
      <c r="EU11" s="23" t="n"/>
      <c r="EV11" s="23" t="n"/>
      <c r="EW11" s="219" t="n"/>
      <c r="EX11" s="23" t="n"/>
      <c r="EY11" s="23" t="n"/>
      <c r="EZ11" s="219" t="n">
        <v>200</v>
      </c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19" t="n"/>
      <c r="FK11" s="23" t="n"/>
      <c r="FL11" s="23" t="n">
        <v>200</v>
      </c>
      <c r="FM11" s="23" t="n">
        <v>100</v>
      </c>
      <c r="FN11" s="23" t="n"/>
      <c r="FP11" s="66" t="inlineStr">
        <is>
          <t xml:space="preserve">SACOLA G </t>
        </is>
      </c>
      <c r="FQ11" s="699" t="n">
        <v>100</v>
      </c>
      <c r="FR11" s="697">
        <f>CL11</f>
        <v/>
      </c>
      <c r="FS11" s="697" t="n">
        <v>150</v>
      </c>
      <c r="FT11" s="697" t="n">
        <v>150</v>
      </c>
      <c r="FU11" s="697" t="n">
        <v>150</v>
      </c>
      <c r="FV11" s="697" t="n">
        <v>130</v>
      </c>
      <c r="FW11" s="697" t="n">
        <v>100</v>
      </c>
      <c r="FX11" s="697" t="n"/>
      <c r="FY11" s="699" t="n"/>
      <c r="FZ11" s="699" t="n"/>
      <c r="GA11" s="431">
        <f>FY11+IF(NOT(ISBLANK(OFFSET(GA11,0,6))),N(OFFSET(GA11,0,6)),N(OFFSET(GA11,0,7)))-FZ11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E12" s="16" t="n"/>
      <c r="CF12" s="16" t="n"/>
      <c r="CG12" s="4" t="n"/>
      <c r="CH12" s="4" t="n"/>
      <c r="CI12" s="4" t="n"/>
      <c r="CN12" s="47" t="n"/>
      <c r="DI12" s="47" t="n"/>
      <c r="DO12" s="64" t="n"/>
      <c r="DP12" s="64" t="n"/>
      <c r="DR12" s="64" t="n"/>
      <c r="DZ12" s="308" t="n"/>
      <c r="EB12" s="47" t="n"/>
      <c r="ED12" s="47" t="n"/>
      <c r="EG12" s="47" t="n"/>
      <c r="EL12" s="64" t="n"/>
      <c r="EM12" s="308" t="n"/>
      <c r="EP12" s="308" t="n"/>
      <c r="EQ12" s="64" t="n"/>
      <c r="ER12" s="308" t="n"/>
      <c r="EW12" s="308" t="n"/>
      <c r="EZ12" s="308" t="n"/>
      <c r="FJ12" s="47" t="n"/>
      <c r="FP12" s="35" t="n"/>
      <c r="FQ12" s="2" t="n"/>
      <c r="FR12" s="4" t="n"/>
      <c r="FS12" s="4" t="n"/>
      <c r="FT12" s="4" t="n"/>
      <c r="FU12" s="4" t="n"/>
      <c r="FV12" s="4" t="n"/>
      <c r="FW12" s="4" t="n"/>
      <c r="FX12" s="4" t="n"/>
      <c r="FY12" s="2" t="n"/>
      <c r="FZ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5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46161.4802240162</v>
      </c>
      <c r="CB13" s="747" t="n">
        <v>46161.480883886</v>
      </c>
      <c r="CC13" s="748" t="inlineStr">
        <is>
          <t>USOU</t>
        </is>
      </c>
      <c r="CE13" s="44" t="inlineStr">
        <is>
          <t>Pendências</t>
        </is>
      </c>
      <c r="CF13" s="44" t="inlineStr">
        <is>
          <t>Pendências</t>
        </is>
      </c>
      <c r="CG13" s="5" t="n"/>
      <c r="CH13" s="12" t="inlineStr">
        <is>
          <t>Novo Pedido</t>
        </is>
      </c>
      <c r="CI13" s="761" t="n">
        <v>46161.48088267532</v>
      </c>
      <c r="CJ13" s="734" t="n">
        <v>46156</v>
      </c>
      <c r="CK13" s="734" t="n">
        <v>46149</v>
      </c>
      <c r="CL13" s="734" t="n">
        <v>46142</v>
      </c>
      <c r="CM13" s="734" t="n">
        <v>46114</v>
      </c>
      <c r="CN13" s="735" t="n">
        <v>46065</v>
      </c>
      <c r="CO13" s="734" t="n">
        <v>46099</v>
      </c>
      <c r="CP13" s="734" t="n">
        <v>46092</v>
      </c>
      <c r="CQ13" s="734" t="n">
        <v>46084</v>
      </c>
      <c r="CR13" s="734" t="n">
        <v>46071</v>
      </c>
      <c r="CS13" s="734" t="n">
        <v>46056</v>
      </c>
      <c r="CT13" s="734" t="n">
        <v>46048</v>
      </c>
      <c r="CU13" s="734" t="n">
        <v>46035</v>
      </c>
      <c r="CV13" s="734" t="n">
        <v>46043</v>
      </c>
      <c r="CW13" s="734" t="n">
        <v>46029</v>
      </c>
      <c r="CX13" s="734" t="n">
        <v>46024</v>
      </c>
      <c r="CY13" s="734" t="n">
        <v>46017</v>
      </c>
      <c r="CZ13" s="736" t="n">
        <v>46013</v>
      </c>
      <c r="DA13" s="734" t="n">
        <v>46007</v>
      </c>
      <c r="DB13" s="734" t="n">
        <v>46001</v>
      </c>
      <c r="DC13" s="734" t="n">
        <v>45994</v>
      </c>
      <c r="DD13" s="734" t="n">
        <v>45980</v>
      </c>
      <c r="DE13" s="734" t="n">
        <v>45965</v>
      </c>
      <c r="DF13" s="734" t="n">
        <v>45960</v>
      </c>
      <c r="DG13" s="736" t="n">
        <v>45961</v>
      </c>
      <c r="DH13" s="734" t="n">
        <v>45951</v>
      </c>
      <c r="DI13" s="737" t="n">
        <v>45903</v>
      </c>
      <c r="DJ13" s="734" t="n">
        <v>45945</v>
      </c>
      <c r="DK13" s="734" t="n">
        <v>45937</v>
      </c>
      <c r="DL13" s="734" t="n">
        <v>45931</v>
      </c>
      <c r="DM13" s="734" t="n">
        <v>45923</v>
      </c>
      <c r="DN13" s="734" t="n">
        <v>45923</v>
      </c>
      <c r="DO13" s="754" t="n">
        <v>45924</v>
      </c>
      <c r="DP13" s="754" t="n">
        <v>45923</v>
      </c>
      <c r="DQ13" s="734" t="n">
        <v>45915</v>
      </c>
      <c r="DR13" s="738" t="n">
        <v>45863</v>
      </c>
      <c r="DS13" s="734" t="n">
        <v>45903</v>
      </c>
      <c r="DT13" s="736" t="n">
        <v>45902</v>
      </c>
      <c r="DU13" s="734" t="n">
        <v>45895</v>
      </c>
      <c r="DV13" s="734" t="n">
        <v>45888</v>
      </c>
      <c r="DW13" s="739" t="n">
        <v>45888</v>
      </c>
      <c r="DX13" s="734" t="n">
        <v>45881</v>
      </c>
      <c r="DY13" s="734" t="n">
        <v>45874</v>
      </c>
      <c r="DZ13" s="740" t="n">
        <v>45863</v>
      </c>
      <c r="EA13" s="734" t="n">
        <v>45860</v>
      </c>
      <c r="EB13" s="741" t="n">
        <v>45856</v>
      </c>
      <c r="EC13" s="734" t="n">
        <v>45848</v>
      </c>
      <c r="ED13" s="739" t="n">
        <v>45852</v>
      </c>
      <c r="EE13" s="736" t="n">
        <v>45851</v>
      </c>
      <c r="EF13" s="734" t="n">
        <v>45839</v>
      </c>
      <c r="EG13" s="739" t="n">
        <v>45791</v>
      </c>
      <c r="EH13" s="736" t="n">
        <v>45841</v>
      </c>
      <c r="EI13" s="734" t="n">
        <v>45832</v>
      </c>
      <c r="EJ13" s="734" t="n">
        <v>45825</v>
      </c>
      <c r="EK13" s="734" t="n">
        <v>45813</v>
      </c>
      <c r="EL13" s="755" t="n">
        <v>45826</v>
      </c>
      <c r="EM13" s="740" t="n">
        <v>45826</v>
      </c>
      <c r="EN13" s="736" t="n">
        <v>45812</v>
      </c>
      <c r="EO13" s="734" t="n">
        <v>45805</v>
      </c>
      <c r="EP13" s="740" t="n">
        <v>45800</v>
      </c>
      <c r="EQ13" s="742" t="n">
        <v>45735</v>
      </c>
      <c r="ER13" s="740" t="n">
        <v>45790</v>
      </c>
      <c r="ES13" s="734" t="n">
        <v>45783</v>
      </c>
      <c r="ET13" s="734" t="n">
        <v>45770</v>
      </c>
      <c r="EU13" s="734" t="n">
        <v>45756</v>
      </c>
      <c r="EV13" s="743" t="n">
        <v>45761</v>
      </c>
      <c r="EW13" s="740" t="n">
        <v>45759</v>
      </c>
      <c r="EX13" s="734" t="n">
        <v>45749</v>
      </c>
      <c r="EY13" s="734" t="n">
        <v>45734</v>
      </c>
      <c r="EZ13" s="740" t="n">
        <v>45700</v>
      </c>
      <c r="FA13" s="736" t="n">
        <v>45731</v>
      </c>
      <c r="FB13" s="734" t="n">
        <v>45728</v>
      </c>
      <c r="FC13" s="734" t="n">
        <v>45722</v>
      </c>
      <c r="FD13" s="736" t="n">
        <v>45727</v>
      </c>
      <c r="FE13" s="736" t="n">
        <v>45724</v>
      </c>
      <c r="FF13" s="736" t="n">
        <v>45722</v>
      </c>
      <c r="FG13" s="734" t="n">
        <v>45714</v>
      </c>
      <c r="FH13" s="734" t="n">
        <v>45706</v>
      </c>
      <c r="FI13" s="734" t="n">
        <v>45699</v>
      </c>
      <c r="FJ13" s="744" t="n">
        <v>45698</v>
      </c>
      <c r="FK13" s="734" t="n">
        <v>45679</v>
      </c>
      <c r="FL13" s="734" t="n">
        <v>45674</v>
      </c>
      <c r="FM13" s="734" t="n">
        <v>45660</v>
      </c>
      <c r="FN13" s="734" t="n">
        <v>45652</v>
      </c>
      <c r="FP13" s="304" t="inlineStr">
        <is>
          <t>DIVERSOS</t>
        </is>
      </c>
      <c r="FQ13" s="235" t="inlineStr">
        <is>
          <t>PCT</t>
        </is>
      </c>
      <c r="FR13" s="746" t="n">
        <v>46118</v>
      </c>
      <c r="FS13" s="746" t="n">
        <v>46125</v>
      </c>
      <c r="FT13" s="746" t="n">
        <v>46132</v>
      </c>
      <c r="FU13" s="746" t="n">
        <v>46139</v>
      </c>
      <c r="FV13" s="746" t="n">
        <v>46146</v>
      </c>
      <c r="FW13" s="746" t="n">
        <v>46154</v>
      </c>
      <c r="FX13" s="746" t="n">
        <v>46160</v>
      </c>
      <c r="FY13" s="747" t="n">
        <v>46161.48022318287</v>
      </c>
      <c r="FZ13" s="747" t="n">
        <v>46161.48088320465</v>
      </c>
      <c r="GA13" s="758" t="inlineStr">
        <is>
          <t>USOU</t>
        </is>
      </c>
    </row>
    <row r="14" ht="18.75" customFormat="1" customHeight="1" s="3">
      <c r="A14" s="58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5" t="n"/>
      <c r="F14" s="697" t="n">
        <v>10</v>
      </c>
      <c r="G14" s="697" t="n">
        <v>10</v>
      </c>
      <c r="H14" s="697" t="n">
        <v>9</v>
      </c>
      <c r="I14" s="697" t="n">
        <v>9</v>
      </c>
      <c r="J14" s="697" t="n">
        <v>9</v>
      </c>
      <c r="K14" s="697" t="n">
        <v>8</v>
      </c>
      <c r="L14" s="697" t="n">
        <v>8</v>
      </c>
      <c r="M14" s="697" t="n">
        <v>7</v>
      </c>
      <c r="N14" s="697" t="n">
        <v>7</v>
      </c>
      <c r="O14" s="697" t="n">
        <v>3</v>
      </c>
      <c r="P14" s="697" t="n">
        <v>6</v>
      </c>
      <c r="Q14" s="697">
        <f>5+EZ14</f>
        <v/>
      </c>
      <c r="R14" s="697">
        <f>6+EW14</f>
        <v/>
      </c>
      <c r="S14" s="697" t="n">
        <v>6</v>
      </c>
      <c r="T14" s="697">
        <f>5+EV14</f>
        <v/>
      </c>
      <c r="U14" s="697" t="n">
        <v>4</v>
      </c>
      <c r="V14" s="697" t="n">
        <v>3</v>
      </c>
      <c r="W14" s="697" t="n">
        <v>3</v>
      </c>
      <c r="X14" s="697" t="n">
        <v>3</v>
      </c>
      <c r="Y14" s="697" t="n">
        <v>3</v>
      </c>
      <c r="Z14" s="697" t="n">
        <v>4</v>
      </c>
      <c r="AA14" s="697" t="n">
        <v>4</v>
      </c>
      <c r="AB14" s="697">
        <f>0+EM14</f>
        <v/>
      </c>
      <c r="AC14" s="697">
        <f>1+EI14</f>
        <v/>
      </c>
      <c r="AD14" s="697" t="n">
        <v>7</v>
      </c>
      <c r="AE14" s="697" t="n">
        <v>8</v>
      </c>
      <c r="AF14" s="697" t="n">
        <v>8</v>
      </c>
      <c r="AG14" s="697" t="n">
        <v>6</v>
      </c>
      <c r="AH14" s="697">
        <f>5+EA14</f>
        <v/>
      </c>
      <c r="AI14" s="697" t="n">
        <v>6</v>
      </c>
      <c r="AJ14" s="697" t="n">
        <v>6</v>
      </c>
      <c r="AK14" s="697" t="n">
        <v>6</v>
      </c>
      <c r="AL14" s="697" t="n">
        <v>6</v>
      </c>
      <c r="AM14" s="697" t="n">
        <v>5</v>
      </c>
      <c r="AN14" s="697" t="n">
        <v>5</v>
      </c>
      <c r="AO14" s="697" t="n">
        <v>4</v>
      </c>
      <c r="AP14" s="697">
        <f>4+DQ14</f>
        <v/>
      </c>
      <c r="AQ14" s="697" t="n">
        <v>6</v>
      </c>
      <c r="AR14" s="697" t="n">
        <v>4</v>
      </c>
      <c r="AS14" s="697" t="n">
        <v>7</v>
      </c>
      <c r="AT14" s="697" t="n">
        <v>6</v>
      </c>
      <c r="AU14" s="697" t="n">
        <v>6</v>
      </c>
      <c r="AV14" s="697" t="n">
        <v>5</v>
      </c>
      <c r="AW14" s="697" t="n">
        <v>4</v>
      </c>
      <c r="AX14" s="697" t="n">
        <v>4</v>
      </c>
      <c r="AY14" s="697" t="n">
        <v>4</v>
      </c>
      <c r="AZ14" s="697" t="n">
        <v>4</v>
      </c>
      <c r="BA14" s="697" t="n">
        <v>4</v>
      </c>
      <c r="BB14" s="697" t="n">
        <v>4</v>
      </c>
      <c r="BC14" s="697" t="n">
        <v>4</v>
      </c>
      <c r="BD14" s="697" t="n">
        <v>4</v>
      </c>
      <c r="BE14" s="697" t="n">
        <v>4</v>
      </c>
      <c r="BF14" s="697" t="n">
        <v>0</v>
      </c>
      <c r="BG14" s="697" t="n">
        <v>10</v>
      </c>
      <c r="BH14" s="697">
        <f>7+CV14</f>
        <v/>
      </c>
      <c r="BI14" s="697" t="n">
        <v>13</v>
      </c>
      <c r="BJ14" s="697" t="n">
        <v>13</v>
      </c>
      <c r="BK14" s="697" t="n">
        <v>10</v>
      </c>
      <c r="BL14" s="697" t="n">
        <v>20</v>
      </c>
      <c r="BM14" s="697" t="n">
        <v>18</v>
      </c>
      <c r="BN14" s="697">
        <f>17+CP14</f>
        <v/>
      </c>
      <c r="BO14" s="697" t="n">
        <v>16</v>
      </c>
      <c r="BP14" s="697" t="n">
        <v>13</v>
      </c>
      <c r="BQ14" s="697">
        <f>11+CN14</f>
        <v/>
      </c>
      <c r="BR14" s="697" t="n">
        <v>12</v>
      </c>
      <c r="BS14" s="697" t="n">
        <v>10</v>
      </c>
      <c r="BT14" s="697" t="n">
        <v>8</v>
      </c>
      <c r="BU14" s="697" t="n">
        <v>12</v>
      </c>
      <c r="BV14" s="697" t="n">
        <v>12</v>
      </c>
      <c r="BW14" s="697" t="n">
        <v>12</v>
      </c>
      <c r="BX14" s="697">
        <f>10+CJ14</f>
        <v/>
      </c>
      <c r="BY14" s="697" t="n">
        <v>6</v>
      </c>
      <c r="BZ14" s="697" t="n"/>
      <c r="CA14" s="699" t="n"/>
      <c r="CB14" s="699" t="n"/>
      <c r="CC14" s="192">
        <f>CA14+IF(NOT(ISBLANK(OFFSET(CC14,0,6))),N(OFFSET(CC14,0,6)),N(OFFSET(CC14,0,7)))-CB14</f>
        <v/>
      </c>
      <c r="CE14" s="22" t="n"/>
      <c r="CF14" s="22" t="n">
        <v>5</v>
      </c>
      <c r="CG14" s="4" t="n"/>
      <c r="CH14" s="378" t="n"/>
      <c r="CI14" s="23" t="n">
        <v>0</v>
      </c>
      <c r="CJ14" s="23" t="n">
        <v>0</v>
      </c>
      <c r="CK14" s="23" t="n">
        <v>0</v>
      </c>
      <c r="CL14" s="23" t="n">
        <v>5</v>
      </c>
      <c r="CM14" s="23" t="n">
        <v>5</v>
      </c>
      <c r="CN14" s="219" t="n">
        <v>10</v>
      </c>
      <c r="CO14" s="23" t="n"/>
      <c r="CP14" s="23" t="n">
        <v>3</v>
      </c>
      <c r="CQ14" s="23" t="n"/>
      <c r="CR14" s="23" t="n">
        <v>2</v>
      </c>
      <c r="CS14" s="23" t="n">
        <v>10</v>
      </c>
      <c r="CT14" s="23" t="n"/>
      <c r="CU14" s="23" t="n">
        <v>4</v>
      </c>
      <c r="CV14" s="23" t="n"/>
      <c r="CW14" s="23" t="n"/>
      <c r="CX14" s="23" t="n">
        <v>5</v>
      </c>
      <c r="CY14" s="23" t="n">
        <v>10</v>
      </c>
      <c r="CZ14" s="23" t="n"/>
      <c r="DA14" s="23" t="n">
        <v>5</v>
      </c>
      <c r="DB14" s="23" t="n"/>
      <c r="DC14" s="23" t="n"/>
      <c r="DD14" s="23" t="n"/>
      <c r="DE14" s="23" t="n"/>
      <c r="DF14" s="23" t="n"/>
      <c r="DG14" s="23" t="n"/>
      <c r="DH14" s="23" t="n"/>
      <c r="DI14" s="219" t="n">
        <v>25</v>
      </c>
      <c r="DJ14" s="23" t="n"/>
      <c r="DK14" s="23" t="n"/>
      <c r="DL14" s="23" t="n"/>
      <c r="DM14" s="23" t="n"/>
      <c r="DN14" s="23" t="n">
        <v>5</v>
      </c>
      <c r="DO14" s="437" t="inlineStr">
        <is>
          <t>100 P/ SHN</t>
        </is>
      </c>
      <c r="DP14" s="219" t="n"/>
      <c r="DQ14" s="23" t="n"/>
      <c r="DR14" s="219" t="n">
        <v>200</v>
      </c>
      <c r="DS14" s="23" t="n">
        <v>2</v>
      </c>
      <c r="DT14" s="23" t="n"/>
      <c r="DU14" s="23" t="n"/>
      <c r="DV14" s="23" t="n"/>
      <c r="DW14" s="23" t="n"/>
      <c r="DX14" s="23" t="n"/>
      <c r="DY14" s="23" t="n"/>
      <c r="DZ14" s="219" t="n"/>
      <c r="EA14" s="23" t="n"/>
      <c r="EB14" s="219" t="n">
        <v>200</v>
      </c>
      <c r="EC14" s="23" t="n">
        <v>1</v>
      </c>
      <c r="ED14" s="219" t="n"/>
      <c r="EE14" s="23" t="n"/>
      <c r="EF14" s="23" t="n"/>
      <c r="EG14" s="219" t="n">
        <v>8</v>
      </c>
      <c r="EH14" s="23" t="n"/>
      <c r="EI14" s="23" t="n"/>
      <c r="EJ14" s="23" t="n"/>
      <c r="EK14" s="23" t="n">
        <v>6</v>
      </c>
      <c r="EL14" s="219" t="n"/>
      <c r="EM14" s="219" t="n"/>
      <c r="EN14" s="23" t="n"/>
      <c r="EO14" s="23" t="n">
        <v>1</v>
      </c>
      <c r="EP14" s="219" t="n"/>
      <c r="EQ14" s="219" t="n">
        <v>5</v>
      </c>
      <c r="ER14" s="219" t="n"/>
      <c r="ES14" s="23" t="n">
        <v>2</v>
      </c>
      <c r="ET14" s="23" t="n"/>
      <c r="EU14" s="23" t="n"/>
      <c r="EV14" s="23" t="n"/>
      <c r="EW14" s="219" t="n"/>
      <c r="EX14" s="23" t="n">
        <v>3</v>
      </c>
      <c r="EY14" s="23" t="n">
        <v>2</v>
      </c>
      <c r="EZ14" s="219" t="n">
        <v>10</v>
      </c>
      <c r="FA14" s="23" t="n"/>
      <c r="FB14" s="23" t="n">
        <v>2</v>
      </c>
      <c r="FC14" s="23" t="n">
        <v>5</v>
      </c>
      <c r="FD14" s="23" t="n"/>
      <c r="FE14" s="23" t="n"/>
      <c r="FF14" s="23" t="n"/>
      <c r="FG14" s="23" t="n"/>
      <c r="FH14" s="23" t="n"/>
      <c r="FI14" s="23" t="n"/>
      <c r="FJ14" s="219" t="n"/>
      <c r="FK14" s="23" t="n"/>
      <c r="FL14" s="23" t="n"/>
      <c r="FM14" s="23" t="n"/>
      <c r="FN14" s="23" t="n"/>
      <c r="FP14" s="300" t="inlineStr">
        <is>
          <t>PAPEL DE SEDA</t>
        </is>
      </c>
      <c r="FQ14" s="162" t="n">
        <v>200</v>
      </c>
      <c r="FR14" s="697">
        <f>CL14</f>
        <v/>
      </c>
      <c r="FS14" s="697" t="n">
        <v>8</v>
      </c>
      <c r="FT14" s="697" t="n">
        <v>4</v>
      </c>
      <c r="FU14" s="697" t="n">
        <v>2</v>
      </c>
      <c r="FV14" s="697" t="n">
        <v>0</v>
      </c>
      <c r="FW14" s="697" t="n">
        <v>0</v>
      </c>
      <c r="FX14" s="697" t="n"/>
      <c r="FY14" s="699" t="n"/>
      <c r="FZ14" s="699" t="n"/>
      <c r="GA14" s="431">
        <f>FY14+IF(NOT(ISBLANK(OFFSET(GA14,0,6))),N(OFFSET(GA14,0,6)),N(OFFSET(GA14,0,7)))-FZ14</f>
        <v/>
      </c>
    </row>
    <row r="15" ht="19.5" customFormat="1" customHeight="1" s="3">
      <c r="A15" s="58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5" t="n"/>
      <c r="F15" s="697">
        <f>4+FL15</f>
        <v/>
      </c>
      <c r="G15" s="697" t="n">
        <v>6</v>
      </c>
      <c r="H15" s="697" t="n">
        <v>6</v>
      </c>
      <c r="I15" s="697" t="n">
        <v>5</v>
      </c>
      <c r="J15" s="697" t="n">
        <v>5</v>
      </c>
      <c r="K15" s="697" t="n">
        <v>5</v>
      </c>
      <c r="L15" s="697" t="n">
        <v>5</v>
      </c>
      <c r="M15" s="697" t="n">
        <v>5</v>
      </c>
      <c r="N15" s="697" t="n">
        <v>5</v>
      </c>
      <c r="O15" s="697" t="n">
        <v>5</v>
      </c>
      <c r="P15" s="697">
        <f>4+1</f>
        <v/>
      </c>
      <c r="Q15" s="697" t="n">
        <v>5</v>
      </c>
      <c r="R15" s="697" t="n">
        <v>6</v>
      </c>
      <c r="S15" s="697" t="n">
        <v>6</v>
      </c>
      <c r="T15" s="697" t="n">
        <v>6</v>
      </c>
      <c r="U15" s="697" t="n">
        <v>5</v>
      </c>
      <c r="V15" s="697" t="n">
        <v>5</v>
      </c>
      <c r="W15" s="697" t="n">
        <v>5</v>
      </c>
      <c r="X15" s="697" t="n">
        <v>3</v>
      </c>
      <c r="Y15" s="697" t="n">
        <v>0</v>
      </c>
      <c r="Z15" s="697" t="n">
        <v>6</v>
      </c>
      <c r="AA15" s="697" t="n">
        <v>6</v>
      </c>
      <c r="AB15" s="697" t="n">
        <v>6</v>
      </c>
      <c r="AC15" s="697" t="n">
        <v>4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3</v>
      </c>
      <c r="AI15" s="697" t="n">
        <v>3</v>
      </c>
      <c r="AJ15" s="697" t="n">
        <v>3</v>
      </c>
      <c r="AK15" s="697" t="n">
        <v>3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2</v>
      </c>
      <c r="BD15" s="697" t="n">
        <v>2</v>
      </c>
      <c r="BE15" s="697" t="n">
        <v>4</v>
      </c>
      <c r="BF15" s="314" t="n">
        <v>5</v>
      </c>
      <c r="BG15" s="697" t="n">
        <v>8</v>
      </c>
      <c r="BH15" s="697" t="n">
        <v>8</v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5</v>
      </c>
      <c r="BQ15" s="697" t="n">
        <v>5</v>
      </c>
      <c r="BR15" s="697" t="n">
        <v>2</v>
      </c>
      <c r="BS15" s="697" t="n">
        <v>2</v>
      </c>
      <c r="BT15" s="697" t="n">
        <v>2</v>
      </c>
      <c r="BU15" s="697" t="n">
        <v>2</v>
      </c>
      <c r="BV15" s="697" t="n">
        <v>2</v>
      </c>
      <c r="BW15" s="697" t="n">
        <v>2</v>
      </c>
      <c r="BX15" s="697" t="n">
        <v>0</v>
      </c>
      <c r="BY15" s="697">
        <f>0+CI15</f>
        <v/>
      </c>
      <c r="BZ15" s="697" t="n"/>
      <c r="CA15" s="699" t="n"/>
      <c r="CB15" s="699" t="n"/>
      <c r="CC15" s="192">
        <f>CA15+IF(NOT(ISBLANK(OFFSET(CC15,0,6))),N(OFFSET(CC15,0,6)),N(OFFSET(CC15,0,7)))-CB15</f>
        <v/>
      </c>
      <c r="CE15" s="22" t="n"/>
      <c r="CF15" s="22" t="n">
        <v>5</v>
      </c>
      <c r="CG15" s="4" t="n"/>
      <c r="CH15" s="27" t="n"/>
      <c r="CI15" s="23" t="n">
        <v>0</v>
      </c>
      <c r="CJ15" s="23" t="n">
        <v>0</v>
      </c>
      <c r="CK15" s="23" t="n">
        <v>3</v>
      </c>
      <c r="CL15" s="23" t="n">
        <v>0</v>
      </c>
      <c r="CM15" s="23" t="n"/>
      <c r="CN15" s="219" t="n">
        <v>4</v>
      </c>
      <c r="CO15" s="23" t="n"/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>
        <v>3</v>
      </c>
      <c r="CZ15" s="23" t="n"/>
      <c r="DA15" s="23" t="n">
        <v>2</v>
      </c>
      <c r="DB15" s="23" t="n">
        <v>3</v>
      </c>
      <c r="DC15" s="23" t="n"/>
      <c r="DD15" s="23" t="n"/>
      <c r="DE15" s="23" t="n"/>
      <c r="DF15" s="23" t="n"/>
      <c r="DG15" s="23" t="n"/>
      <c r="DH15" s="23" t="n"/>
      <c r="DI15" s="219" t="n">
        <v>9</v>
      </c>
      <c r="DJ15" s="23" t="n"/>
      <c r="DK15" s="23" t="n"/>
      <c r="DL15" s="23" t="n"/>
      <c r="DM15" s="23" t="n"/>
      <c r="DN15" s="23" t="n"/>
      <c r="DO15" s="437" t="inlineStr">
        <is>
          <t>100 P/ SHN</t>
        </is>
      </c>
      <c r="DP15" s="219" t="n"/>
      <c r="DQ15" s="23" t="n"/>
      <c r="DR15" s="219" t="n">
        <v>200</v>
      </c>
      <c r="DS15" s="23" t="n"/>
      <c r="DT15" s="23" t="n"/>
      <c r="DU15" s="23" t="n"/>
      <c r="DV15" s="23" t="n"/>
      <c r="DW15" s="23" t="n"/>
      <c r="DX15" s="23" t="n"/>
      <c r="DY15" s="23" t="n"/>
      <c r="DZ15" s="219" t="n"/>
      <c r="EA15" s="23" t="n"/>
      <c r="EB15" s="219" t="n">
        <v>100</v>
      </c>
      <c r="EC15" s="23" t="n"/>
      <c r="ED15" s="219" t="n"/>
      <c r="EE15" s="23" t="n"/>
      <c r="EF15" s="23" t="n"/>
      <c r="EG15" s="219" t="n"/>
      <c r="EH15" s="23" t="n"/>
      <c r="EI15" s="23" t="n"/>
      <c r="EJ15" s="23" t="n"/>
      <c r="EK15" s="23" t="n"/>
      <c r="EL15" s="219" t="n"/>
      <c r="EM15" s="219" t="n"/>
      <c r="EN15" s="23" t="n"/>
      <c r="EO15" s="23" t="n"/>
      <c r="EP15" s="219" t="n"/>
      <c r="EQ15" s="219" t="n">
        <v>2</v>
      </c>
      <c r="ER15" s="219" t="n"/>
      <c r="ES15" s="23" t="n">
        <v>3</v>
      </c>
      <c r="ET15" s="23" t="n"/>
      <c r="EU15" s="23" t="n"/>
      <c r="EV15" s="23" t="n"/>
      <c r="EW15" s="219" t="n"/>
      <c r="EX15" s="23" t="n"/>
      <c r="EY15" s="23" t="n"/>
      <c r="EZ15" s="219" t="n"/>
      <c r="FA15" s="219" t="n"/>
      <c r="FB15" s="23" t="n"/>
      <c r="FC15" s="23" t="n"/>
      <c r="FD15" s="282" t="inlineStr">
        <is>
          <t>01 DE TDQ</t>
        </is>
      </c>
      <c r="FE15" s="23" t="n"/>
      <c r="FF15" s="23" t="n"/>
      <c r="FG15" s="23" t="n"/>
      <c r="FH15" s="23" t="n"/>
      <c r="FI15" s="23" t="n"/>
      <c r="FJ15" s="219" t="n"/>
      <c r="FK15" s="23" t="n"/>
      <c r="FL15" s="23" t="n"/>
      <c r="FM15" s="23" t="n"/>
      <c r="FN15" s="23" t="n">
        <v>2</v>
      </c>
      <c r="FP15" s="65" t="inlineStr">
        <is>
          <t>ADESIVOS</t>
        </is>
      </c>
      <c r="FQ15" s="699" t="n">
        <v>200</v>
      </c>
      <c r="FR15" s="697">
        <f>CL15</f>
        <v/>
      </c>
      <c r="FS15" s="697" t="n">
        <v>3</v>
      </c>
      <c r="FT15" s="697" t="n">
        <v>3</v>
      </c>
      <c r="FU15" s="697" t="n">
        <v>3</v>
      </c>
      <c r="FV15" s="697" t="n">
        <v>3</v>
      </c>
      <c r="FW15" s="697" t="n">
        <v>0</v>
      </c>
      <c r="FX15" s="697" t="n"/>
      <c r="FY15" s="699" t="n"/>
      <c r="FZ15" s="699" t="n"/>
      <c r="GA15" s="431">
        <f>FY15+IF(NOT(ISBLANK(OFFSET(GA15,0,6))),N(OFFSET(GA15,0,6)),N(OFFSET(GA15,0,7)))-FZ15</f>
        <v/>
      </c>
    </row>
    <row r="16" customFormat="1" s="3">
      <c r="A16" s="58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5" t="n"/>
      <c r="F16" s="697" t="n">
        <v>5</v>
      </c>
      <c r="G16" s="697">
        <f>3+FK16</f>
        <v/>
      </c>
      <c r="H16" s="697" t="n">
        <v>3</v>
      </c>
      <c r="I16" s="697">
        <f>1+FJ16</f>
        <v/>
      </c>
      <c r="J16" s="697" t="n">
        <v>1</v>
      </c>
      <c r="K16" s="697" t="n">
        <v>4</v>
      </c>
      <c r="L16" s="697" t="n">
        <v>3</v>
      </c>
      <c r="M16" s="697" t="n">
        <v>3</v>
      </c>
      <c r="N16" s="697" t="n">
        <v>3</v>
      </c>
      <c r="O16" s="697">
        <f>1+3</f>
        <v/>
      </c>
      <c r="P16" s="697" t="n">
        <v>6</v>
      </c>
      <c r="Q16" s="697">
        <f>5+EZ16</f>
        <v/>
      </c>
      <c r="R16" s="697">
        <f>8+EW16</f>
        <v/>
      </c>
      <c r="S16" s="697" t="n">
        <v>9</v>
      </c>
      <c r="T16" s="697" t="n">
        <v>7</v>
      </c>
      <c r="U16" s="697" t="n">
        <v>5</v>
      </c>
      <c r="V16" s="697" t="n">
        <v>4</v>
      </c>
      <c r="W16" s="697" t="n">
        <v>3</v>
      </c>
      <c r="X16" s="697" t="n">
        <v>3</v>
      </c>
      <c r="Y16" s="697" t="n">
        <v>9</v>
      </c>
      <c r="Z16" s="697" t="n">
        <v>8</v>
      </c>
      <c r="AA16" s="697" t="n">
        <v>7</v>
      </c>
      <c r="AB16" s="697" t="n">
        <v>6</v>
      </c>
      <c r="AC16" s="697" t="n">
        <v>4</v>
      </c>
      <c r="AD16" s="697" t="n">
        <v>3</v>
      </c>
      <c r="AE16" s="697">
        <f>3+EH16</f>
        <v/>
      </c>
      <c r="AF16" s="697" t="n">
        <v>5</v>
      </c>
      <c r="AG16" s="697" t="n">
        <v>3</v>
      </c>
      <c r="AH16" s="697">
        <f>2+EA16</f>
        <v/>
      </c>
      <c r="AI16" s="697" t="n">
        <v>4</v>
      </c>
      <c r="AJ16" s="697" t="n">
        <v>4</v>
      </c>
      <c r="AK16" s="697" t="n">
        <v>3</v>
      </c>
      <c r="AL16" s="697" t="n">
        <v>1</v>
      </c>
      <c r="AM16" s="697" t="n">
        <v>4</v>
      </c>
      <c r="AN16" s="697" t="n">
        <v>5</v>
      </c>
      <c r="AO16" s="697" t="n">
        <v>5</v>
      </c>
      <c r="AP16" s="697" t="n">
        <v>3</v>
      </c>
      <c r="AQ16" s="697" t="n">
        <v>2</v>
      </c>
      <c r="AR16" s="697">
        <f>1+DO16</f>
        <v/>
      </c>
      <c r="AS16" s="697" t="n">
        <v>4</v>
      </c>
      <c r="AT16" s="697">
        <f>2+DJ16</f>
        <v/>
      </c>
      <c r="AU16" s="697">
        <f>2+DI16</f>
        <v/>
      </c>
      <c r="AV16" s="697" t="n">
        <v>6</v>
      </c>
      <c r="AW16" s="697" t="n">
        <v>5</v>
      </c>
      <c r="AX16" s="697" t="n">
        <v>5</v>
      </c>
      <c r="AY16" s="697" t="n">
        <v>5</v>
      </c>
      <c r="AZ16" s="697" t="n">
        <v>2</v>
      </c>
      <c r="BA16" s="697">
        <f>2+DB16</f>
        <v/>
      </c>
      <c r="BB16" s="697" t="n">
        <v>5</v>
      </c>
      <c r="BC16" s="697">
        <f>5+DA16</f>
        <v/>
      </c>
      <c r="BD16" s="697" t="n">
        <v>7</v>
      </c>
      <c r="BE16" s="697" t="n">
        <v>5</v>
      </c>
      <c r="BF16" s="697" t="n">
        <v>0</v>
      </c>
      <c r="BG16" s="697" t="n">
        <v>5</v>
      </c>
      <c r="BH16" s="697">
        <f>4+CV16</f>
        <v/>
      </c>
      <c r="BI16" s="697" t="n">
        <v>8</v>
      </c>
      <c r="BJ16" s="697" t="n">
        <v>7</v>
      </c>
      <c r="BK16" s="697">
        <f>6+CR16</f>
        <v/>
      </c>
      <c r="BL16" s="697" t="n">
        <v>6</v>
      </c>
      <c r="BM16" s="697" t="n">
        <v>4</v>
      </c>
      <c r="BN16" s="697">
        <f>3+CP16</f>
        <v/>
      </c>
      <c r="BO16" s="697" t="n">
        <v>4</v>
      </c>
      <c r="BP16" s="697">
        <f>2+CO16</f>
        <v/>
      </c>
      <c r="BQ16" s="697">
        <f>2+CN16</f>
        <v/>
      </c>
      <c r="BR16" s="697">
        <f>3+CM16</f>
        <v/>
      </c>
      <c r="BS16" s="697" t="n">
        <v>3</v>
      </c>
      <c r="BT16" s="697" t="n">
        <v>2</v>
      </c>
      <c r="BU16" s="697" t="n">
        <v>3</v>
      </c>
      <c r="BV16" s="697" t="n">
        <v>1</v>
      </c>
      <c r="BW16" s="697" t="n">
        <v>0</v>
      </c>
      <c r="BX16" s="697">
        <f>0+CJ16</f>
        <v/>
      </c>
      <c r="BY16" s="697" t="n">
        <v>4</v>
      </c>
      <c r="BZ16" s="697" t="n"/>
      <c r="CA16" s="699" t="n"/>
      <c r="CB16" s="699" t="n"/>
      <c r="CC16" s="192">
        <f>CA16+IF(NOT(ISBLANK(OFFSET(CC16,0,6))),N(OFFSET(CC16,0,6)),N(OFFSET(CC16,0,7)))-CB16</f>
        <v/>
      </c>
      <c r="CE16" s="22" t="n"/>
      <c r="CF16" s="22" t="n">
        <v>2</v>
      </c>
      <c r="CG16" s="4" t="n"/>
      <c r="CH16" s="27" t="n"/>
      <c r="CI16" s="23" t="n">
        <v>0</v>
      </c>
      <c r="CJ16" s="23" t="n">
        <v>0</v>
      </c>
      <c r="CK16" s="23" t="n">
        <v>0</v>
      </c>
      <c r="CL16" s="23" t="n">
        <v>5</v>
      </c>
      <c r="CM16" s="23" t="n">
        <v>2</v>
      </c>
      <c r="CN16" s="23" t="n"/>
      <c r="CO16" s="23" t="n">
        <v>1</v>
      </c>
      <c r="CP16" s="23" t="n">
        <v>2</v>
      </c>
      <c r="CQ16" s="23" t="n">
        <v>1</v>
      </c>
      <c r="CR16" s="23" t="n">
        <v>2</v>
      </c>
      <c r="CS16" s="23" t="n"/>
      <c r="CT16" s="23" t="n">
        <v>2</v>
      </c>
      <c r="CU16" s="23" t="n"/>
      <c r="CV16" s="23" t="n"/>
      <c r="CW16" s="23" t="n"/>
      <c r="CX16" s="23" t="n">
        <v>5</v>
      </c>
      <c r="CY16" s="23" t="n">
        <v>6</v>
      </c>
      <c r="CZ16" s="23" t="n"/>
      <c r="DA16" s="23" t="n"/>
      <c r="DB16" s="23" t="n"/>
      <c r="DC16" s="23" t="n">
        <v>2</v>
      </c>
      <c r="DD16" s="23" t="n">
        <v>5</v>
      </c>
      <c r="DE16" s="23" t="n"/>
      <c r="DF16" s="23" t="n"/>
      <c r="DG16" s="23" t="n"/>
      <c r="DH16" s="23" t="n"/>
      <c r="DI16" s="219" t="n"/>
      <c r="DJ16" s="23" t="n"/>
      <c r="DK16" s="23" t="n">
        <v>5</v>
      </c>
      <c r="DL16" s="23" t="n">
        <v>1</v>
      </c>
      <c r="DM16" s="23" t="n"/>
      <c r="DN16" s="23" t="n">
        <v>1</v>
      </c>
      <c r="DO16" s="219" t="n"/>
      <c r="DP16" s="219" t="n"/>
      <c r="DQ16" s="23" t="n">
        <v>3</v>
      </c>
      <c r="DR16" s="219" t="n"/>
      <c r="DS16" s="23" t="n"/>
      <c r="DT16" s="23" t="n"/>
      <c r="DU16" s="23" t="n"/>
      <c r="DV16" s="23" t="n">
        <v>2</v>
      </c>
      <c r="DW16" s="23" t="n"/>
      <c r="DX16" s="23" t="n">
        <v>5</v>
      </c>
      <c r="DY16" s="23" t="n">
        <v>2</v>
      </c>
      <c r="DZ16" s="219" t="n"/>
      <c r="EA16" s="23" t="n">
        <v>1</v>
      </c>
      <c r="EB16" s="219" t="n"/>
      <c r="EC16" s="23" t="n">
        <v>3</v>
      </c>
      <c r="ED16" s="219" t="n"/>
      <c r="EE16" s="23" t="n"/>
      <c r="EF16" s="23" t="n"/>
      <c r="EG16" s="219" t="n"/>
      <c r="EH16" s="23" t="n"/>
      <c r="EI16" s="23" t="n"/>
      <c r="EJ16" s="23" t="n">
        <v>3</v>
      </c>
      <c r="EK16" s="23" t="n"/>
      <c r="EL16" s="219" t="n"/>
      <c r="EM16" s="219" t="n"/>
      <c r="EN16" s="23" t="n"/>
      <c r="EO16" s="23" t="n"/>
      <c r="EP16" s="219" t="n"/>
      <c r="EQ16" s="219" t="n"/>
      <c r="ER16" s="219" t="n"/>
      <c r="ES16" s="23" t="n">
        <v>8</v>
      </c>
      <c r="ET16" s="23" t="n">
        <v>4</v>
      </c>
      <c r="EU16" s="23" t="n"/>
      <c r="EV16" s="23" t="n"/>
      <c r="EW16" s="219" t="n"/>
      <c r="EX16" s="23" t="n"/>
      <c r="EY16" s="23" t="n">
        <v>2</v>
      </c>
      <c r="EZ16" s="219" t="n">
        <v>3</v>
      </c>
      <c r="FA16" s="23" t="n"/>
      <c r="FB16" s="23" t="n">
        <v>4</v>
      </c>
      <c r="FC16" s="23" t="n">
        <v>5</v>
      </c>
      <c r="FD16" s="23" t="n"/>
      <c r="FE16" s="23" t="n"/>
      <c r="FF16" s="282" t="inlineStr">
        <is>
          <t>03 DE GV</t>
        </is>
      </c>
      <c r="FG16" s="23" t="n"/>
      <c r="FH16" s="23" t="n"/>
      <c r="FI16" s="23" t="n">
        <v>2</v>
      </c>
      <c r="FJ16" s="219" t="n"/>
      <c r="FK16" s="23" t="n">
        <v>4</v>
      </c>
      <c r="FL16" s="23" t="n">
        <v>1</v>
      </c>
      <c r="FM16" s="23" t="n">
        <v>1</v>
      </c>
      <c r="FN16" s="23" t="n"/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5" t="n"/>
      <c r="F17" s="697" t="n">
        <v>6</v>
      </c>
      <c r="G17" s="697">
        <f>5+FK17</f>
        <v/>
      </c>
      <c r="H17" s="697" t="n">
        <v>6</v>
      </c>
      <c r="I17" s="697" t="n">
        <v>4</v>
      </c>
      <c r="J17" s="697" t="n">
        <v>3</v>
      </c>
      <c r="K17" s="697" t="n">
        <v>4</v>
      </c>
      <c r="L17" s="697" t="n">
        <v>4</v>
      </c>
      <c r="M17" s="697" t="n">
        <v>3</v>
      </c>
      <c r="N17" s="697" t="n">
        <v>3</v>
      </c>
      <c r="O17" s="697" t="n">
        <v>2</v>
      </c>
      <c r="P17" s="697">
        <f>6+2+2</f>
        <v/>
      </c>
      <c r="Q17" s="697">
        <f>8+EZ17</f>
        <v/>
      </c>
      <c r="R17" s="697">
        <f>8+EW17</f>
        <v/>
      </c>
      <c r="S17" s="697" t="n">
        <v>9</v>
      </c>
      <c r="T17" s="697">
        <f>9+EV17</f>
        <v/>
      </c>
      <c r="U17" s="697" t="n">
        <v>11</v>
      </c>
      <c r="V17" s="697" t="n">
        <v>8</v>
      </c>
      <c r="W17" s="697" t="n">
        <v>8</v>
      </c>
      <c r="X17" s="697" t="n">
        <v>9</v>
      </c>
      <c r="Y17" s="697" t="n">
        <v>9</v>
      </c>
      <c r="Z17" s="697" t="n">
        <v>9</v>
      </c>
      <c r="AA17" s="697">
        <f>8-3</f>
        <v/>
      </c>
      <c r="AB17" s="697" t="n">
        <v>3</v>
      </c>
      <c r="AC17" s="697">
        <f>2+EI17</f>
        <v/>
      </c>
      <c r="AD17" s="697" t="n">
        <v>4</v>
      </c>
      <c r="AE17" s="697" t="n">
        <v>4</v>
      </c>
      <c r="AF17" s="697" t="n">
        <v>2</v>
      </c>
      <c r="AG17" s="697">
        <f>2+ED17</f>
        <v/>
      </c>
      <c r="AH17" s="697" t="n">
        <v>4</v>
      </c>
      <c r="AI17" s="697" t="n">
        <v>3</v>
      </c>
      <c r="AJ17" s="697" t="n">
        <v>3</v>
      </c>
      <c r="AK17" s="697" t="n">
        <v>3</v>
      </c>
      <c r="AL17" s="697" t="n">
        <v>2</v>
      </c>
      <c r="AM17" s="697" t="n">
        <v>4</v>
      </c>
      <c r="AN17" s="697" t="n">
        <v>3</v>
      </c>
      <c r="AO17" s="697" t="n">
        <v>2</v>
      </c>
      <c r="AP17" s="697">
        <f>2+DQ17</f>
        <v/>
      </c>
      <c r="AQ17" s="697" t="n">
        <v>3</v>
      </c>
      <c r="AR17" s="697">
        <f>2+DO17</f>
        <v/>
      </c>
      <c r="AS17" s="697" t="n">
        <v>3</v>
      </c>
      <c r="AT17" s="697">
        <f>2+DJ17</f>
        <v/>
      </c>
      <c r="AU17" s="697">
        <f>2+DI17</f>
        <v/>
      </c>
      <c r="AV17" s="697" t="n">
        <v>3</v>
      </c>
      <c r="AW17" s="697">
        <f>2+DF17</f>
        <v/>
      </c>
      <c r="AX17" s="697" t="n">
        <v>2</v>
      </c>
      <c r="AY17" s="697">
        <f>2+DC17</f>
        <v/>
      </c>
      <c r="AZ17" s="697" t="n">
        <v>3</v>
      </c>
      <c r="BA17" s="697">
        <f>2+DB17</f>
        <v/>
      </c>
      <c r="BB17" s="697" t="n">
        <v>5</v>
      </c>
      <c r="BC17" s="697">
        <f>3+DA17</f>
        <v/>
      </c>
      <c r="BD17" s="697" t="n">
        <v>3</v>
      </c>
      <c r="BE17" s="697" t="n">
        <v>3</v>
      </c>
      <c r="BF17" s="314" t="n">
        <v>5</v>
      </c>
      <c r="BG17" s="697" t="n">
        <v>9</v>
      </c>
      <c r="BH17" s="697">
        <f>8+CV17</f>
        <v/>
      </c>
      <c r="BI17" s="697" t="n">
        <v>10</v>
      </c>
      <c r="BJ17" s="697" t="n">
        <v>9</v>
      </c>
      <c r="BK17" s="697" t="n">
        <v>8</v>
      </c>
      <c r="BL17" s="697" t="n">
        <v>7</v>
      </c>
      <c r="BM17" s="697" t="n">
        <v>6</v>
      </c>
      <c r="BN17" s="697" t="n">
        <v>5</v>
      </c>
      <c r="BO17" s="697" t="n">
        <v>5</v>
      </c>
      <c r="BP17" s="697" t="n">
        <v>5</v>
      </c>
      <c r="BQ17" s="697" t="n">
        <v>2</v>
      </c>
      <c r="BR17" s="697">
        <f>2+CM17</f>
        <v/>
      </c>
      <c r="BS17" s="697" t="n">
        <v>4</v>
      </c>
      <c r="BT17" s="697" t="n">
        <v>3</v>
      </c>
      <c r="BU17" s="697" t="n">
        <v>6</v>
      </c>
      <c r="BV17" s="697" t="n">
        <v>5</v>
      </c>
      <c r="BW17" s="697" t="n">
        <v>4</v>
      </c>
      <c r="BX17" s="697">
        <f>4+CJ17</f>
        <v/>
      </c>
      <c r="BY17" s="697" t="n">
        <v>3</v>
      </c>
      <c r="BZ17" s="697" t="n"/>
      <c r="CA17" s="699" t="n"/>
      <c r="CB17" s="699" t="n"/>
      <c r="CC17" s="192">
        <f>CA17+IF(NOT(ISBLANK(OFFSET(CC17,0,6))),N(OFFSET(CC17,0,6)),N(OFFSET(CC17,0,7)))-CB17</f>
        <v/>
      </c>
      <c r="CE17" s="22" t="n"/>
      <c r="CF17" s="22" t="n">
        <v>1</v>
      </c>
      <c r="CG17" s="4" t="n"/>
      <c r="CH17" s="27" t="n"/>
      <c r="CI17" s="23" t="n">
        <v>0</v>
      </c>
      <c r="CJ17" s="23" t="n">
        <v>0</v>
      </c>
      <c r="CK17" s="23" t="n">
        <v>0</v>
      </c>
      <c r="CL17" s="23" t="n">
        <v>2</v>
      </c>
      <c r="CM17" s="23" t="n">
        <v>3</v>
      </c>
      <c r="CN17" s="23" t="n"/>
      <c r="CO17" s="23" t="n">
        <v>4</v>
      </c>
      <c r="CP17" s="23" t="n"/>
      <c r="CQ17" s="23" t="n"/>
      <c r="CR17" s="23" t="n"/>
      <c r="CS17" s="23" t="n"/>
      <c r="CT17" s="23" t="n"/>
      <c r="CU17" s="23" t="n"/>
      <c r="CV17" s="23" t="n"/>
      <c r="CW17" s="23" t="n"/>
      <c r="CX17" s="23" t="n">
        <v>3</v>
      </c>
      <c r="CY17" s="23" t="n">
        <v>4</v>
      </c>
      <c r="CZ17" s="23" t="n"/>
      <c r="DA17" s="23" t="n"/>
      <c r="DB17" s="23" t="n">
        <v>8</v>
      </c>
      <c r="DC17" s="23" t="n">
        <v>2</v>
      </c>
      <c r="DD17" s="23" t="n">
        <v>4</v>
      </c>
      <c r="DE17" s="23" t="n">
        <v>3</v>
      </c>
      <c r="DF17" s="23" t="n">
        <v>1</v>
      </c>
      <c r="DG17" s="23" t="n"/>
      <c r="DH17" s="23" t="n">
        <v>1</v>
      </c>
      <c r="DI17" s="219" t="n"/>
      <c r="DJ17" s="23" t="n"/>
      <c r="DK17" s="23" t="n">
        <v>2</v>
      </c>
      <c r="DL17" s="23" t="n">
        <v>1</v>
      </c>
      <c r="DM17" s="23" t="n"/>
      <c r="DN17" s="23" t="n">
        <v>1</v>
      </c>
      <c r="DO17" s="219" t="n"/>
      <c r="DP17" s="219" t="n"/>
      <c r="DQ17" s="23" t="n">
        <v>1</v>
      </c>
      <c r="DR17" s="219" t="n"/>
      <c r="DS17" s="23" t="n">
        <v>2</v>
      </c>
      <c r="DT17" s="23" t="n"/>
      <c r="DU17" s="23" t="n">
        <v>1</v>
      </c>
      <c r="DV17" s="23" t="n"/>
      <c r="DW17" s="23" t="n"/>
      <c r="DX17" s="23" t="n">
        <v>2</v>
      </c>
      <c r="DY17" s="23" t="n">
        <v>1</v>
      </c>
      <c r="DZ17" s="219" t="n"/>
      <c r="EA17" s="23" t="n">
        <v>1</v>
      </c>
      <c r="EB17" s="219" t="n"/>
      <c r="EC17" s="23" t="n"/>
      <c r="ED17" s="219" t="n"/>
      <c r="EE17" s="23" t="n"/>
      <c r="EF17" s="23" t="n">
        <v>3</v>
      </c>
      <c r="EG17" s="219" t="n"/>
      <c r="EH17" s="23" t="n"/>
      <c r="EI17" s="23" t="n"/>
      <c r="EJ17" s="23" t="n"/>
      <c r="EK17" s="23" t="n">
        <v>2</v>
      </c>
      <c r="EL17" s="219" t="n"/>
      <c r="EM17" s="219" t="n"/>
      <c r="EN17" s="282" t="inlineStr">
        <is>
          <t>03 P/ SHN</t>
        </is>
      </c>
      <c r="EO17" s="23" t="n"/>
      <c r="EP17" s="219" t="n"/>
      <c r="EQ17" s="219" t="n"/>
      <c r="ER17" s="219" t="n"/>
      <c r="ES17" s="23" t="n">
        <v>2</v>
      </c>
      <c r="ET17" s="23" t="n">
        <v>3</v>
      </c>
      <c r="EU17" s="23" t="n"/>
      <c r="EV17" s="23" t="n"/>
      <c r="EW17" s="219" t="n"/>
      <c r="EX17" s="23" t="n">
        <v>2</v>
      </c>
      <c r="EY17" s="23" t="n">
        <v>3</v>
      </c>
      <c r="EZ17" s="219" t="n"/>
      <c r="FA17" s="219" t="n"/>
      <c r="FB17" s="23" t="n">
        <v>1</v>
      </c>
      <c r="FC17" s="23" t="n">
        <v>5</v>
      </c>
      <c r="FD17" s="282" t="inlineStr">
        <is>
          <t>02 DE TDQ</t>
        </is>
      </c>
      <c r="FE17" s="282" t="inlineStr">
        <is>
          <t>02 DE Q7</t>
        </is>
      </c>
      <c r="FF17" s="23" t="n"/>
      <c r="FG17" s="23" t="n"/>
      <c r="FH17" s="23" t="n"/>
      <c r="FI17" s="23" t="n"/>
      <c r="FJ17" s="219" t="n"/>
      <c r="FK17" s="23" t="n">
        <v>2</v>
      </c>
      <c r="FL17" s="23" t="n"/>
      <c r="FM17" s="23" t="n">
        <v>1</v>
      </c>
      <c r="FN17" s="23" t="n"/>
    </row>
    <row r="18" ht="14.25" customFormat="1" customHeight="1" s="3">
      <c r="A18" s="35" t="n"/>
      <c r="C18" s="763" t="n"/>
      <c r="D18" s="450" t="n"/>
      <c r="E18" s="5" t="n"/>
      <c r="CE18" s="48" t="n"/>
      <c r="CF18" s="48" t="n"/>
      <c r="CN18" s="250" t="n"/>
      <c r="DO18" s="372" t="n"/>
      <c r="DP18" s="372" t="n"/>
      <c r="DR18" s="372" t="n"/>
      <c r="DZ18" s="19" t="n"/>
      <c r="EB18" s="250" t="n"/>
      <c r="ED18" s="250" t="n"/>
      <c r="EG18" s="250" t="n"/>
      <c r="EL18" s="372" t="n"/>
      <c r="EM18" s="19" t="n"/>
      <c r="EP18" s="19" t="n"/>
      <c r="EQ18" s="372" t="n"/>
      <c r="ER18" s="19" t="n"/>
      <c r="EW18" s="19" t="n"/>
      <c r="EZ18" s="19" t="n"/>
      <c r="FJ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5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46161.4802240162</v>
      </c>
      <c r="CB19" s="747" t="n">
        <v>46161.48088388611</v>
      </c>
      <c r="CC19" s="748" t="inlineStr">
        <is>
          <t>USOU</t>
        </is>
      </c>
      <c r="CE19" s="44" t="inlineStr">
        <is>
          <t>Pendências</t>
        </is>
      </c>
      <c r="CF19" s="44" t="inlineStr">
        <is>
          <t>Pendências</t>
        </is>
      </c>
      <c r="CG19" s="5" t="n"/>
      <c r="CH19" s="12" t="inlineStr">
        <is>
          <t>Novo Pedido</t>
        </is>
      </c>
      <c r="CI19" s="761" t="n">
        <v>46161.48088267558</v>
      </c>
      <c r="CJ19" s="734" t="n">
        <v>46156</v>
      </c>
      <c r="CK19" s="734" t="n">
        <v>46149</v>
      </c>
      <c r="CL19" s="734" t="n">
        <v>46142</v>
      </c>
      <c r="CM19" s="734" t="n">
        <v>46114</v>
      </c>
      <c r="CN19" s="735" t="n">
        <v>46065</v>
      </c>
      <c r="CO19" s="734" t="n">
        <v>46099</v>
      </c>
      <c r="CP19" s="734" t="n">
        <v>46092</v>
      </c>
      <c r="CQ19" s="734" t="n">
        <v>46084</v>
      </c>
      <c r="CR19" s="734" t="n">
        <v>46071</v>
      </c>
      <c r="CS19" s="734" t="n">
        <v>46056</v>
      </c>
      <c r="CT19" s="734" t="n">
        <v>46048</v>
      </c>
      <c r="CU19" s="734" t="n">
        <v>46035</v>
      </c>
      <c r="CV19" s="734" t="n">
        <v>46043</v>
      </c>
      <c r="CW19" s="734" t="n">
        <v>46029</v>
      </c>
      <c r="CX19" s="734" t="n">
        <v>46024</v>
      </c>
      <c r="CY19" s="734" t="n">
        <v>46017</v>
      </c>
      <c r="CZ19" s="736" t="n">
        <v>46013</v>
      </c>
      <c r="DA19" s="734" t="n">
        <v>46007</v>
      </c>
      <c r="DB19" s="734" t="n">
        <v>46001</v>
      </c>
      <c r="DC19" s="734" t="n">
        <v>45994</v>
      </c>
      <c r="DD19" s="734" t="n">
        <v>45980</v>
      </c>
      <c r="DE19" s="734" t="n">
        <v>45965</v>
      </c>
      <c r="DF19" s="734" t="n">
        <v>45960</v>
      </c>
      <c r="DG19" s="736" t="n">
        <v>45961</v>
      </c>
      <c r="DH19" s="734" t="n">
        <v>45951</v>
      </c>
      <c r="DI19" s="737" t="n">
        <v>45903</v>
      </c>
      <c r="DJ19" s="734" t="n">
        <v>45945</v>
      </c>
      <c r="DK19" s="734" t="n">
        <v>45937</v>
      </c>
      <c r="DL19" s="734" t="n">
        <v>45931</v>
      </c>
      <c r="DM19" s="734" t="n">
        <v>45923</v>
      </c>
      <c r="DN19" s="734" t="n">
        <v>45923</v>
      </c>
      <c r="DO19" s="754" t="n">
        <v>45924</v>
      </c>
      <c r="DP19" s="754" t="n">
        <v>45923</v>
      </c>
      <c r="DQ19" s="734" t="n">
        <v>45915</v>
      </c>
      <c r="DR19" s="738" t="n">
        <v>45863</v>
      </c>
      <c r="DS19" s="734" t="n">
        <v>45903</v>
      </c>
      <c r="DT19" s="736" t="n">
        <v>45902</v>
      </c>
      <c r="DU19" s="734" t="n">
        <v>45895</v>
      </c>
      <c r="DV19" s="734" t="n">
        <v>45888</v>
      </c>
      <c r="DW19" s="739" t="n">
        <v>45888</v>
      </c>
      <c r="DX19" s="734" t="n">
        <v>45881</v>
      </c>
      <c r="DY19" s="734" t="n">
        <v>45874</v>
      </c>
      <c r="DZ19" s="740" t="n">
        <v>45863</v>
      </c>
      <c r="EA19" s="734" t="n">
        <v>45860</v>
      </c>
      <c r="EB19" s="741" t="n">
        <v>45856</v>
      </c>
      <c r="EC19" s="734" t="n">
        <v>45848</v>
      </c>
      <c r="ED19" s="739" t="n">
        <v>45852</v>
      </c>
      <c r="EE19" s="736" t="n">
        <v>45851</v>
      </c>
      <c r="EF19" s="734" t="n">
        <v>45839</v>
      </c>
      <c r="EG19" s="739" t="n">
        <v>45791</v>
      </c>
      <c r="EH19" s="736" t="n">
        <v>45841</v>
      </c>
      <c r="EI19" s="734" t="n">
        <v>45832</v>
      </c>
      <c r="EJ19" s="734" t="n">
        <v>45825</v>
      </c>
      <c r="EK19" s="734" t="n">
        <v>45813</v>
      </c>
      <c r="EL19" s="755" t="n">
        <v>45826</v>
      </c>
      <c r="EM19" s="740" t="n">
        <v>45826</v>
      </c>
      <c r="EN19" s="736" t="n">
        <v>45812</v>
      </c>
      <c r="EO19" s="734" t="n">
        <v>45805</v>
      </c>
      <c r="EP19" s="740" t="n">
        <v>45800</v>
      </c>
      <c r="EQ19" s="742" t="n">
        <v>45735</v>
      </c>
      <c r="ER19" s="740" t="n">
        <v>45790</v>
      </c>
      <c r="ES19" s="734" t="n">
        <v>45783</v>
      </c>
      <c r="ET19" s="734" t="n">
        <v>45770</v>
      </c>
      <c r="EU19" s="734" t="n">
        <v>45756</v>
      </c>
      <c r="EV19" s="743" t="n">
        <v>45761</v>
      </c>
      <c r="EW19" s="740" t="n">
        <v>45759</v>
      </c>
      <c r="EX19" s="734" t="n">
        <v>45749</v>
      </c>
      <c r="EY19" s="734" t="n">
        <v>45734</v>
      </c>
      <c r="EZ19" s="740" t="n">
        <v>45700</v>
      </c>
      <c r="FA19" s="736" t="n">
        <v>45731</v>
      </c>
      <c r="FB19" s="734" t="n">
        <v>45728</v>
      </c>
      <c r="FC19" s="734" t="n">
        <v>45722</v>
      </c>
      <c r="FD19" s="736" t="n">
        <v>45727</v>
      </c>
      <c r="FE19" s="736" t="n">
        <v>45724</v>
      </c>
      <c r="FF19" s="736" t="n">
        <v>45722</v>
      </c>
      <c r="FG19" s="734" t="n">
        <v>45714</v>
      </c>
      <c r="FH19" s="734" t="n">
        <v>45706</v>
      </c>
      <c r="FI19" s="734" t="n">
        <v>45699</v>
      </c>
      <c r="FJ19" s="744" t="n">
        <v>45698</v>
      </c>
      <c r="FK19" s="734" t="n">
        <v>45679</v>
      </c>
      <c r="FL19" s="734" t="n">
        <v>45674</v>
      </c>
      <c r="FM19" s="734" t="n">
        <v>45660</v>
      </c>
      <c r="FN19" s="734" t="n">
        <v>45652</v>
      </c>
      <c r="FP19" s="304" t="inlineStr">
        <is>
          <t>CAIXAS</t>
        </is>
      </c>
      <c r="FQ19" s="235" t="inlineStr">
        <is>
          <t>PCT</t>
        </is>
      </c>
      <c r="FR19" s="746" t="n">
        <v>46118</v>
      </c>
      <c r="FS19" s="746" t="n">
        <v>46125</v>
      </c>
      <c r="FT19" s="746" t="n">
        <v>46132</v>
      </c>
      <c r="FU19" s="746" t="n">
        <v>46139</v>
      </c>
      <c r="FV19" s="746" t="n">
        <v>46146</v>
      </c>
      <c r="FW19" s="746" t="n">
        <v>46154</v>
      </c>
      <c r="FX19" s="746" t="n">
        <v>46160</v>
      </c>
      <c r="FY19" s="747" t="n">
        <v>46161.48022318287</v>
      </c>
      <c r="FZ19" s="747" t="n">
        <v>46161.48088320476</v>
      </c>
      <c r="GA19" s="758" t="inlineStr">
        <is>
          <t>USOU</t>
        </is>
      </c>
    </row>
    <row r="20" ht="18.75" customFormat="1" customHeigh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5" t="n"/>
      <c r="F20" s="697" t="n">
        <v>239</v>
      </c>
      <c r="G20" s="697" t="n">
        <v>239</v>
      </c>
      <c r="H20" s="697" t="n">
        <v>237</v>
      </c>
      <c r="I20" s="697" t="n">
        <v>211</v>
      </c>
      <c r="J20" s="697" t="n">
        <v>173</v>
      </c>
      <c r="K20" s="697" t="n">
        <v>120</v>
      </c>
      <c r="L20" s="697" t="n">
        <v>70</v>
      </c>
      <c r="M20" s="697" t="n">
        <v>328</v>
      </c>
      <c r="N20" s="697" t="n">
        <v>265</v>
      </c>
      <c r="O20" s="697">
        <f>204+FE20</f>
        <v/>
      </c>
      <c r="P20" s="697" t="n">
        <v>302</v>
      </c>
      <c r="Q20" s="697" t="n">
        <v>250</v>
      </c>
      <c r="R20" s="697">
        <f>214+EW20</f>
        <v/>
      </c>
      <c r="S20" s="697" t="n">
        <v>316</v>
      </c>
      <c r="T20" s="697" t="n">
        <v>274</v>
      </c>
      <c r="U20" s="697" t="n">
        <v>232</v>
      </c>
      <c r="V20" s="697" t="n">
        <v>227</v>
      </c>
      <c r="W20" s="697" t="n">
        <v>227</v>
      </c>
      <c r="X20" s="697" t="n">
        <v>224</v>
      </c>
      <c r="Y20" s="697" t="n">
        <v>223</v>
      </c>
      <c r="Z20" s="697" t="n">
        <v>223</v>
      </c>
      <c r="AA20" s="697" t="n">
        <v>222</v>
      </c>
      <c r="AB20" s="697" t="n">
        <v>216</v>
      </c>
      <c r="AC20" s="697" t="n">
        <v>212</v>
      </c>
      <c r="AD20" s="697" t="n">
        <v>209</v>
      </c>
      <c r="AE20" s="697" t="n">
        <v>186</v>
      </c>
      <c r="AF20" s="697" t="n">
        <v>325</v>
      </c>
      <c r="AG20" s="697" t="n">
        <v>298</v>
      </c>
      <c r="AH20" s="697" t="n">
        <v>270</v>
      </c>
      <c r="AI20" s="697" t="n">
        <v>236</v>
      </c>
      <c r="AJ20" s="697" t="n">
        <v>200</v>
      </c>
      <c r="AK20" s="697" t="n">
        <v>167</v>
      </c>
      <c r="AL20" s="697" t="n">
        <v>122</v>
      </c>
      <c r="AM20" s="697" t="n">
        <v>245</v>
      </c>
      <c r="AN20" s="697" t="n">
        <v>226</v>
      </c>
      <c r="AO20" s="697">
        <f>200+DS20</f>
        <v/>
      </c>
      <c r="AP20" s="697" t="n">
        <v>323</v>
      </c>
      <c r="AQ20" s="697" t="n">
        <v>284</v>
      </c>
      <c r="AR20" s="697" t="n">
        <v>239</v>
      </c>
      <c r="AS20" s="697" t="n">
        <v>203</v>
      </c>
      <c r="AT20" s="697">
        <f>146+DJ20</f>
        <v/>
      </c>
      <c r="AU20" s="697" t="n">
        <v>205</v>
      </c>
      <c r="AV20" s="697" t="n">
        <v>156</v>
      </c>
      <c r="AW20" s="697">
        <f>97+DF20</f>
        <v/>
      </c>
      <c r="AX20" s="697" t="n">
        <v>181</v>
      </c>
      <c r="AY20" s="697" t="n">
        <v>155</v>
      </c>
      <c r="AZ20" s="314" t="n">
        <v>218</v>
      </c>
      <c r="BA20" s="697" t="n">
        <v>133</v>
      </c>
      <c r="BB20" s="697" t="n">
        <v>129</v>
      </c>
      <c r="BC20" s="697" t="n">
        <v>125</v>
      </c>
      <c r="BD20" s="697" t="n">
        <v>125</v>
      </c>
      <c r="BE20" s="697" t="n">
        <v>274</v>
      </c>
      <c r="BF20" s="697" t="n">
        <v>97</v>
      </c>
      <c r="BG20" s="697" t="n">
        <v>69</v>
      </c>
      <c r="BH20" s="697">
        <f>48+CU20</f>
        <v/>
      </c>
      <c r="BI20" s="697" t="n">
        <v>337</v>
      </c>
      <c r="BJ20" s="697" t="n">
        <v>326</v>
      </c>
      <c r="BK20" s="697" t="n">
        <v>320</v>
      </c>
      <c r="BL20" s="697" t="n">
        <v>283</v>
      </c>
      <c r="BM20" s="697" t="n">
        <v>276</v>
      </c>
      <c r="BN20" s="697" t="n">
        <v>264</v>
      </c>
      <c r="BO20" s="697" t="n">
        <v>245</v>
      </c>
      <c r="BP20" s="697" t="n">
        <v>221</v>
      </c>
      <c r="BQ20" s="697">
        <f>203+CN20</f>
        <v/>
      </c>
      <c r="BR20" s="697" t="n">
        <v>337</v>
      </c>
      <c r="BS20" s="697" t="n">
        <v>327</v>
      </c>
      <c r="BT20" s="697" t="n"/>
      <c r="BU20" s="697" t="n"/>
      <c r="BV20" s="697" t="n"/>
      <c r="BW20" s="697" t="n">
        <v>311</v>
      </c>
      <c r="BX20" s="697" t="n">
        <v>311</v>
      </c>
      <c r="BY20" s="697" t="n">
        <v>260</v>
      </c>
      <c r="BZ20" s="697" t="n">
        <v>260</v>
      </c>
      <c r="CA20" s="699" t="n">
        <v>260</v>
      </c>
      <c r="CB20" s="699" t="n">
        <v>260</v>
      </c>
      <c r="CC20" s="192">
        <f>CA20+IF(NOT(ISBLANK(OFFSET(CC20,0,6))),N(OFFSET(CC20,0,6)),N(OFFSET(CC20,0,7)))-CB20</f>
        <v/>
      </c>
      <c r="CD20" s="50" t="n"/>
      <c r="CE20" s="22" t="n"/>
      <c r="CF20" s="22" t="n"/>
      <c r="CG20" s="4" t="n"/>
      <c r="CH20" s="27" t="n"/>
      <c r="CI20" s="23" t="n">
        <v>0</v>
      </c>
      <c r="CJ20" s="23" t="n">
        <v>0</v>
      </c>
      <c r="CK20" s="23" t="n">
        <v>0</v>
      </c>
      <c r="CL20" s="23" t="n">
        <v>0</v>
      </c>
      <c r="CM20" s="23" t="n"/>
      <c r="CN20" s="219" t="n">
        <v>150</v>
      </c>
      <c r="CO20" s="23" t="n"/>
      <c r="CP20" s="23" t="n">
        <v>150</v>
      </c>
      <c r="CQ20" s="23" t="n"/>
      <c r="CR20" s="23" t="n"/>
      <c r="CS20" s="23" t="n"/>
      <c r="CT20" s="23" t="n"/>
      <c r="CU20" s="23" t="n"/>
      <c r="CV20" s="23" t="n"/>
      <c r="CW20" s="23" t="n">
        <v>300</v>
      </c>
      <c r="CX20" s="23" t="n"/>
      <c r="CY20" s="23" t="n"/>
      <c r="CZ20" s="23" t="n"/>
      <c r="DA20" s="23" t="n"/>
      <c r="DB20" s="23" t="n">
        <v>150</v>
      </c>
      <c r="DC20" s="23" t="n"/>
      <c r="DD20" s="23" t="n"/>
      <c r="DE20" s="23" t="n"/>
      <c r="DF20" s="23" t="n"/>
      <c r="DG20" s="23" t="n"/>
      <c r="DH20" s="23" t="n">
        <v>150</v>
      </c>
      <c r="DI20" s="219" t="n">
        <v>150</v>
      </c>
      <c r="DJ20" s="23" t="n"/>
      <c r="DK20" s="23" t="n"/>
      <c r="DL20" s="23" t="n">
        <v>150</v>
      </c>
      <c r="DM20" s="23" t="n"/>
      <c r="DN20" s="23" t="n"/>
      <c r="DO20" s="219" t="n"/>
      <c r="DP20" s="219" t="n"/>
      <c r="DQ20" s="23" t="n"/>
      <c r="DR20" s="219" t="n"/>
      <c r="DS20" s="23" t="n"/>
      <c r="DT20" s="23" t="n"/>
      <c r="DU20" s="23" t="n">
        <v>150</v>
      </c>
      <c r="DV20" s="23" t="n"/>
      <c r="DW20" s="23" t="n"/>
      <c r="DX20" s="23" t="n">
        <v>150</v>
      </c>
      <c r="DY20" s="23" t="n">
        <v>150</v>
      </c>
      <c r="DZ20" s="219" t="n"/>
      <c r="EA20" s="23" t="n"/>
      <c r="EB20" s="219" t="n"/>
      <c r="EC20" s="23" t="n"/>
      <c r="ED20" s="219" t="n"/>
      <c r="EE20" s="23" t="n"/>
      <c r="EF20" s="23" t="n"/>
      <c r="EG20" s="219" t="n"/>
      <c r="EH20" s="23" t="n"/>
      <c r="EI20" s="23" t="n">
        <v>150</v>
      </c>
      <c r="EJ20" s="23" t="n"/>
      <c r="EK20" s="23" t="n"/>
      <c r="EL20" s="219" t="n"/>
      <c r="EM20" s="292" t="inlineStr">
        <is>
          <t>27 DE TDQ</t>
        </is>
      </c>
      <c r="EN20" s="23" t="n"/>
      <c r="EO20" s="23" t="n"/>
      <c r="EP20" s="219" t="n"/>
      <c r="EQ20" s="219" t="n"/>
      <c r="ER20" s="219" t="n"/>
      <c r="ES20" s="23" t="n"/>
      <c r="ET20" s="23" t="n"/>
      <c r="EU20" s="23" t="n"/>
      <c r="EV20" s="23" t="n"/>
      <c r="EW20" s="292" t="inlineStr">
        <is>
          <t>100 P/ Q2</t>
        </is>
      </c>
      <c r="EX20" s="23" t="n"/>
      <c r="EY20" s="23" t="n">
        <v>150</v>
      </c>
      <c r="EZ20" s="219" t="n">
        <v>300</v>
      </c>
      <c r="FA20" s="23" t="n"/>
      <c r="FB20" s="23" t="n"/>
      <c r="FC20" s="23" t="n"/>
      <c r="FD20" s="23" t="n"/>
      <c r="FE20" s="23" t="n"/>
      <c r="FF20" s="23" t="n"/>
      <c r="FG20" s="23" t="n">
        <v>150</v>
      </c>
      <c r="FH20" s="23" t="n"/>
      <c r="FI20" s="23" t="n">
        <v>300</v>
      </c>
      <c r="FJ20" s="219" t="n"/>
      <c r="FK20" s="23" t="n"/>
      <c r="FL20" s="23" t="n"/>
      <c r="FM20" s="23" t="n"/>
      <c r="FN20" s="23" t="n"/>
      <c r="FP20" s="300" t="inlineStr">
        <is>
          <t>CAIXA P</t>
        </is>
      </c>
      <c r="FQ20" s="162" t="n">
        <v>150</v>
      </c>
      <c r="FR20" s="697">
        <f>CL20</f>
        <v/>
      </c>
      <c r="FS20" s="697" t="n"/>
      <c r="FT20" s="697" t="n"/>
      <c r="FU20" s="697" t="n">
        <v>140</v>
      </c>
      <c r="FV20" s="697" t="n">
        <v>128</v>
      </c>
      <c r="FW20" s="697" t="n">
        <v>90</v>
      </c>
      <c r="FX20" s="697" t="n">
        <v>82</v>
      </c>
      <c r="FY20" s="699" t="n"/>
      <c r="FZ20" s="699" t="n"/>
      <c r="GA20" s="431">
        <f>FY20+IF(NOT(ISBLANK(OFFSET(GA20,0,6))),N(OFFSET(GA20,0,6)),N(OFFSET(GA20,0,7)))-FZ20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5" t="n"/>
      <c r="F21" s="31" t="n">
        <v>285</v>
      </c>
      <c r="G21" s="31" t="n">
        <v>285</v>
      </c>
      <c r="H21" s="31" t="n">
        <v>225</v>
      </c>
      <c r="I21" s="31" t="n">
        <v>162</v>
      </c>
      <c r="J21" s="31" t="n">
        <v>96</v>
      </c>
      <c r="K21" s="31" t="n">
        <v>127</v>
      </c>
      <c r="L21" s="31" t="n">
        <v>58</v>
      </c>
      <c r="M21" s="31" t="n">
        <v>198</v>
      </c>
      <c r="N21" s="31">
        <f>124+FF21</f>
        <v/>
      </c>
      <c r="O21" s="31" t="n">
        <v>240</v>
      </c>
      <c r="P21" s="31" t="n">
        <v>126</v>
      </c>
      <c r="Q21" s="31">
        <f>114+EZ21</f>
        <v/>
      </c>
      <c r="R21" s="31">
        <f>144+EW21</f>
        <v/>
      </c>
      <c r="S21" s="31" t="n">
        <v>377</v>
      </c>
      <c r="T21" s="31" t="n">
        <v>313</v>
      </c>
      <c r="U21" s="31" t="n">
        <v>232</v>
      </c>
      <c r="V21" s="31" t="n">
        <v>220</v>
      </c>
      <c r="W21" s="31" t="n">
        <v>217</v>
      </c>
      <c r="X21" s="31" t="n">
        <v>216</v>
      </c>
      <c r="Y21" s="31" t="n">
        <v>215</v>
      </c>
      <c r="Z21" s="31" t="n">
        <v>215</v>
      </c>
      <c r="AA21" s="31" t="n">
        <v>201</v>
      </c>
      <c r="AB21" s="31" t="n">
        <v>196</v>
      </c>
      <c r="AC21" s="31" t="n">
        <v>195</v>
      </c>
      <c r="AD21" s="31" t="n">
        <v>172</v>
      </c>
      <c r="AE21" s="31">
        <f>135+EH21</f>
        <v/>
      </c>
      <c r="AF21" s="31" t="n">
        <v>199</v>
      </c>
      <c r="AG21" s="31">
        <f>157+ED21-30</f>
        <v/>
      </c>
      <c r="AH21" s="31" t="n">
        <v>222</v>
      </c>
      <c r="AI21" s="31" t="n">
        <v>145</v>
      </c>
      <c r="AJ21" s="31" t="n">
        <v>132</v>
      </c>
      <c r="AK21" s="31" t="n">
        <v>125</v>
      </c>
      <c r="AL21" s="31" t="n">
        <v>94</v>
      </c>
      <c r="AM21" s="31" t="n">
        <v>253</v>
      </c>
      <c r="AN21" s="31" t="n">
        <v>232</v>
      </c>
      <c r="AO21" s="31">
        <f>207+DS21</f>
        <v/>
      </c>
      <c r="AP21" s="31" t="n">
        <v>270</v>
      </c>
      <c r="AQ21" s="31" t="n">
        <v>225</v>
      </c>
      <c r="AR21" s="31" t="n">
        <v>265</v>
      </c>
      <c r="AS21" s="31" t="n">
        <v>222</v>
      </c>
      <c r="AT21" s="31">
        <f>170+DJ21</f>
        <v/>
      </c>
      <c r="AU21" s="31">
        <f>213+DI21</f>
        <v/>
      </c>
      <c r="AV21" s="31" t="n">
        <v>273</v>
      </c>
      <c r="AW21" s="31" t="n">
        <v>231</v>
      </c>
      <c r="AX21" s="31" t="n">
        <v>185</v>
      </c>
      <c r="AY21" s="31" t="n">
        <v>169</v>
      </c>
      <c r="AZ21" s="31" t="n">
        <v>160</v>
      </c>
      <c r="BA21" s="31" t="n">
        <v>159</v>
      </c>
      <c r="BB21" s="31" t="n">
        <v>159</v>
      </c>
      <c r="BC21" s="31" t="n">
        <v>165</v>
      </c>
      <c r="BD21" s="31" t="n">
        <v>165</v>
      </c>
      <c r="BE21" s="31" t="n">
        <v>261</v>
      </c>
      <c r="BF21" s="31" t="n">
        <v>162</v>
      </c>
      <c r="BG21" s="31" t="n">
        <v>101</v>
      </c>
      <c r="BH21" s="31">
        <f>70+CU21</f>
        <v/>
      </c>
      <c r="BI21" s="31" t="n">
        <v>246</v>
      </c>
      <c r="BJ21" s="31">
        <f>224+CT21</f>
        <v/>
      </c>
      <c r="BK21" s="31" t="n">
        <v>308</v>
      </c>
      <c r="BL21" s="31" t="n">
        <v>269</v>
      </c>
      <c r="BM21" s="31" t="n">
        <v>250</v>
      </c>
      <c r="BN21" s="31" t="n">
        <v>237</v>
      </c>
      <c r="BO21" s="31" t="n">
        <v>210</v>
      </c>
      <c r="BP21" s="31" t="n">
        <v>177</v>
      </c>
      <c r="BQ21" s="31" t="n">
        <v>162</v>
      </c>
      <c r="BR21" s="31">
        <f>145+CM21</f>
        <v/>
      </c>
      <c r="BS21" s="31" t="n">
        <v>233</v>
      </c>
      <c r="BT21" s="31" t="n"/>
      <c r="BU21" s="31" t="n"/>
      <c r="BV21" s="31" t="n"/>
      <c r="BW21" s="31" t="n">
        <v>310</v>
      </c>
      <c r="BX21" s="31" t="n">
        <v>310</v>
      </c>
      <c r="BY21" s="31" t="n">
        <v>309</v>
      </c>
      <c r="BZ21" s="31" t="n">
        <v>307</v>
      </c>
      <c r="CA21" s="766" t="n">
        <v>307</v>
      </c>
      <c r="CB21" s="766" t="n">
        <v>307</v>
      </c>
      <c r="CC21" s="192">
        <f>CA21+IF(NOT(ISBLANK(OFFSET(CC21,0,6))),N(OFFSET(CC21,0,6)),N(OFFSET(CC21,0,7)))-CB21</f>
        <v/>
      </c>
      <c r="CD21" s="50" t="n"/>
      <c r="CE21" s="22" t="n"/>
      <c r="CF21" s="22" t="n"/>
      <c r="CG21" s="4" t="n"/>
      <c r="CH21" s="27" t="n"/>
      <c r="CI21" s="23" t="n">
        <v>0</v>
      </c>
      <c r="CJ21" s="23" t="n">
        <v>0</v>
      </c>
      <c r="CK21" s="23" t="n">
        <v>0</v>
      </c>
      <c r="CL21" s="23" t="n">
        <v>0</v>
      </c>
      <c r="CM21" s="23" t="n">
        <v>100</v>
      </c>
      <c r="CN21" s="219" t="n">
        <v>400</v>
      </c>
      <c r="CO21" s="23" t="n">
        <v>100</v>
      </c>
      <c r="CP21" s="23" t="n"/>
      <c r="CQ21" s="23" t="n"/>
      <c r="CR21" s="23" t="n"/>
      <c r="CS21" s="23" t="n"/>
      <c r="CT21" s="23" t="n"/>
      <c r="CU21" s="23" t="n"/>
      <c r="CV21" s="23" t="n">
        <v>100</v>
      </c>
      <c r="CW21" s="23" t="n">
        <v>200</v>
      </c>
      <c r="CX21" s="23" t="n"/>
      <c r="CY21" s="23" t="n"/>
      <c r="CZ21" s="23" t="n"/>
      <c r="DA21" s="23" t="n"/>
      <c r="DB21" s="23" t="n">
        <v>100</v>
      </c>
      <c r="DC21" s="23" t="n"/>
      <c r="DD21" s="23" t="n"/>
      <c r="DE21" s="23" t="n"/>
      <c r="DF21" s="23" t="n"/>
      <c r="DG21" s="23" t="n"/>
      <c r="DH21" s="23" t="n"/>
      <c r="DI21" s="219" t="n">
        <v>600</v>
      </c>
      <c r="DJ21" s="23" t="n"/>
      <c r="DK21" s="23" t="n">
        <v>100</v>
      </c>
      <c r="DL21" s="23" t="n">
        <v>100</v>
      </c>
      <c r="DM21" s="23" t="n"/>
      <c r="DN21" s="23" t="n"/>
      <c r="DO21" s="219" t="n"/>
      <c r="DP21" s="437" t="inlineStr">
        <is>
          <t>20 DE SHN</t>
        </is>
      </c>
      <c r="DQ21" s="23" t="n">
        <v>100</v>
      </c>
      <c r="DR21" s="219" t="n"/>
      <c r="DS21" s="23" t="n"/>
      <c r="DT21" s="23" t="n"/>
      <c r="DU21" s="23" t="n">
        <v>100</v>
      </c>
      <c r="DV21" s="23" t="n"/>
      <c r="DW21" s="419" t="inlineStr">
        <is>
          <t>20 DE TDQ</t>
        </is>
      </c>
      <c r="DX21" s="23" t="n">
        <v>200</v>
      </c>
      <c r="DY21" s="23" t="n">
        <v>100</v>
      </c>
      <c r="DZ21" s="219" t="n"/>
      <c r="EA21" s="23" t="n"/>
      <c r="EB21" s="219" t="n">
        <v>100</v>
      </c>
      <c r="EC21" s="23" t="n"/>
      <c r="ED21" s="219" t="n"/>
      <c r="EE21" s="282" t="inlineStr">
        <is>
          <t>30 P/ TDQ</t>
        </is>
      </c>
      <c r="EF21" s="23" t="n">
        <v>100</v>
      </c>
      <c r="EG21" s="219" t="n">
        <v>100</v>
      </c>
      <c r="EH21" s="23" t="n"/>
      <c r="EI21" s="23" t="n"/>
      <c r="EJ21" s="23" t="n">
        <v>100</v>
      </c>
      <c r="EK21" s="23" t="n"/>
      <c r="EL21" s="376" t="inlineStr">
        <is>
          <t>03 DE TDQ</t>
        </is>
      </c>
      <c r="EM21" s="219" t="n"/>
      <c r="EN21" s="23" t="n"/>
      <c r="EO21" s="23" t="n"/>
      <c r="EP21" s="219" t="n"/>
      <c r="EQ21" s="219" t="n">
        <v>200</v>
      </c>
      <c r="ER21" s="292" t="inlineStr">
        <is>
          <t>48 DE GV</t>
        </is>
      </c>
      <c r="ES21" s="23" t="n"/>
      <c r="ET21" s="23" t="n"/>
      <c r="EU21" s="23" t="n"/>
      <c r="EV21" s="23" t="n"/>
      <c r="EW21" s="219" t="n"/>
      <c r="EX21" s="23" t="n"/>
      <c r="EY21" s="23" t="n">
        <v>300</v>
      </c>
      <c r="EZ21" s="219" t="n">
        <v>400</v>
      </c>
      <c r="FA21" s="282" t="inlineStr">
        <is>
          <t>60 DE Q2</t>
        </is>
      </c>
      <c r="FB21" s="23" t="n">
        <v>100</v>
      </c>
      <c r="FC21" s="23" t="n"/>
      <c r="FD21" s="23" t="n"/>
      <c r="FE21" s="23" t="n"/>
      <c r="FF21" s="23" t="n"/>
      <c r="FG21" s="23" t="n"/>
      <c r="FH21" s="23" t="n">
        <v>200</v>
      </c>
      <c r="FI21" s="23" t="n">
        <v>200</v>
      </c>
      <c r="FJ21" s="260" t="inlineStr">
        <is>
          <t>20 DE Q2 + 14 DE Q7</t>
        </is>
      </c>
      <c r="FK21" s="23" t="n">
        <v>100</v>
      </c>
      <c r="FL21" s="23" t="n"/>
      <c r="FM21" s="23" t="n"/>
      <c r="FN21" s="23" t="n"/>
      <c r="FP21" s="65" t="inlineStr">
        <is>
          <t>CAIXA M</t>
        </is>
      </c>
      <c r="FQ21" s="699" t="n">
        <v>100</v>
      </c>
      <c r="FR21" s="697">
        <f>CL21</f>
        <v/>
      </c>
      <c r="FS21" s="697" t="n"/>
      <c r="FT21" s="697" t="n"/>
      <c r="FU21" s="697" t="n">
        <v>352</v>
      </c>
      <c r="FV21" s="697" t="n">
        <v>328</v>
      </c>
      <c r="FW21" s="697" t="n">
        <v>168</v>
      </c>
      <c r="FX21" s="697" t="n">
        <v>160</v>
      </c>
      <c r="FY21" s="699" t="n"/>
      <c r="FZ21" s="699" t="n"/>
      <c r="GA21" s="431">
        <f>FY21+IF(NOT(ISBLANK(OFFSET(GA21,0,6))),N(OFFSET(GA21,0,6)),N(OFFSET(GA21,0,7)))-FZ21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5" t="n"/>
      <c r="F22" s="697" t="n">
        <v>51</v>
      </c>
      <c r="G22" s="697" t="n">
        <v>60</v>
      </c>
      <c r="H22" s="697" t="n">
        <v>60</v>
      </c>
      <c r="I22" s="697" t="n">
        <v>59</v>
      </c>
      <c r="J22" s="697" t="n">
        <v>57</v>
      </c>
      <c r="K22" s="697" t="n">
        <v>51</v>
      </c>
      <c r="L22" s="697" t="n">
        <v>56</v>
      </c>
      <c r="M22" s="697" t="n">
        <v>56</v>
      </c>
      <c r="N22" s="697" t="n">
        <v>52</v>
      </c>
      <c r="O22" s="697" t="n">
        <v>50</v>
      </c>
      <c r="P22" s="697" t="n">
        <v>63</v>
      </c>
      <c r="Q22" s="697" t="n">
        <v>44</v>
      </c>
      <c r="R22" s="697" t="n">
        <v>44</v>
      </c>
      <c r="S22" s="697" t="n">
        <v>47</v>
      </c>
      <c r="T22" s="697" t="n">
        <v>47</v>
      </c>
      <c r="U22" s="697" t="n">
        <v>35</v>
      </c>
      <c r="V22" s="697" t="n">
        <v>47</v>
      </c>
      <c r="W22" s="697" t="n">
        <v>47</v>
      </c>
      <c r="X22" s="697" t="n">
        <v>110</v>
      </c>
      <c r="Y22" s="697" t="n">
        <v>109</v>
      </c>
      <c r="Z22" s="697" t="n">
        <v>109</v>
      </c>
      <c r="AA22" s="697" t="n">
        <v>107</v>
      </c>
      <c r="AB22" s="697" t="n">
        <v>107</v>
      </c>
      <c r="AC22" s="697" t="n">
        <v>107</v>
      </c>
      <c r="AD22" s="697" t="n">
        <v>107</v>
      </c>
      <c r="AE22" s="697" t="n">
        <v>107</v>
      </c>
      <c r="AF22" s="697">
        <f>107-20</f>
        <v/>
      </c>
      <c r="AG22" s="697" t="n">
        <v>69</v>
      </c>
      <c r="AH22" s="697" t="n">
        <v>60</v>
      </c>
      <c r="AI22" s="697" t="n">
        <v>60</v>
      </c>
      <c r="AJ22" s="697" t="n">
        <v>54</v>
      </c>
      <c r="AK22" s="697" t="n">
        <v>54</v>
      </c>
      <c r="AL22" s="697" t="n">
        <v>51</v>
      </c>
      <c r="AM22" s="697" t="n">
        <v>46</v>
      </c>
      <c r="AN22" s="697" t="n">
        <v>44</v>
      </c>
      <c r="AO22" s="697">
        <f>51-20</f>
        <v/>
      </c>
      <c r="AP22" s="697" t="n">
        <v>20</v>
      </c>
      <c r="AQ22" s="697" t="n">
        <v>20</v>
      </c>
      <c r="AR22" s="697" t="n">
        <v>48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40</v>
      </c>
      <c r="AX22" s="697" t="n">
        <v>40</v>
      </c>
      <c r="AY22" s="697" t="n">
        <v>40</v>
      </c>
      <c r="AZ22" s="697" t="n">
        <v>38</v>
      </c>
      <c r="BA22" s="697" t="n">
        <v>38</v>
      </c>
      <c r="BB22" s="697" t="n">
        <v>38</v>
      </c>
      <c r="BC22" s="697" t="n">
        <v>38</v>
      </c>
      <c r="BD22" s="697" t="n">
        <v>38</v>
      </c>
      <c r="BE22" s="697" t="n">
        <v>35</v>
      </c>
      <c r="BF22" s="697" t="n">
        <v>33</v>
      </c>
      <c r="BG22" s="697" t="n">
        <v>33</v>
      </c>
      <c r="BH22" s="697" t="n">
        <v>29</v>
      </c>
      <c r="BI22" s="697" t="n">
        <v>29</v>
      </c>
      <c r="BJ22" s="697" t="n">
        <v>27</v>
      </c>
      <c r="BK22" s="697" t="n">
        <v>27</v>
      </c>
      <c r="BL22" s="697" t="n">
        <v>27</v>
      </c>
      <c r="BM22" s="697" t="n">
        <v>27</v>
      </c>
      <c r="BN22" s="697" t="n">
        <v>27</v>
      </c>
      <c r="BO22" s="697" t="n">
        <v>27</v>
      </c>
      <c r="BP22" s="697" t="n">
        <v>27</v>
      </c>
      <c r="BQ22" s="697" t="n">
        <v>27</v>
      </c>
      <c r="BR22" s="697" t="n">
        <v>27</v>
      </c>
      <c r="BS22" s="697" t="n">
        <v>27</v>
      </c>
      <c r="BT22" s="697" t="n">
        <v>27</v>
      </c>
      <c r="BU22" s="697" t="n">
        <v>27</v>
      </c>
      <c r="BV22" s="697" t="n">
        <v>27</v>
      </c>
      <c r="BW22" s="697" t="n">
        <v>27</v>
      </c>
      <c r="BX22" s="697" t="n">
        <v>27</v>
      </c>
      <c r="BY22" s="697" t="n">
        <v>20</v>
      </c>
      <c r="BZ22" s="697" t="n">
        <v>20</v>
      </c>
      <c r="CA22" s="699" t="n">
        <v>20</v>
      </c>
      <c r="CB22" s="699" t="n">
        <v>20</v>
      </c>
      <c r="CC22" s="192">
        <f>CA22+IF(NOT(ISBLANK(OFFSET(CC22,0,6))),N(OFFSET(CC22,0,6)),N(OFFSET(CC22,0,7)))-CB22</f>
        <v/>
      </c>
      <c r="CD22" s="50" t="n"/>
      <c r="CE22" s="22" t="n"/>
      <c r="CF22" s="22" t="n"/>
      <c r="CG22" s="4" t="n"/>
      <c r="CH22" s="27" t="n"/>
      <c r="CI22" s="23" t="n">
        <v>0</v>
      </c>
      <c r="CJ22" s="23" t="n">
        <v>0</v>
      </c>
      <c r="CK22" s="23" t="n">
        <v>0</v>
      </c>
      <c r="CL22" s="23" t="n">
        <v>0</v>
      </c>
      <c r="CM22" s="23" t="n"/>
      <c r="CN22" s="219" t="n">
        <v>200</v>
      </c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443" t="n">
        <v>600</v>
      </c>
      <c r="DJ22" s="23" t="n"/>
      <c r="DK22" s="23" t="n"/>
      <c r="DL22" s="23" t="n"/>
      <c r="DM22" s="23" t="n"/>
      <c r="DN22" s="23" t="n"/>
      <c r="DO22" s="219" t="n"/>
      <c r="DP22" s="219" t="n"/>
      <c r="DQ22" s="23" t="n"/>
      <c r="DR22" s="219" t="n"/>
      <c r="DS22" s="23" t="n"/>
      <c r="DT22" s="192" t="inlineStr">
        <is>
          <t>20 P/ Q2</t>
        </is>
      </c>
      <c r="DU22" s="23" t="n"/>
      <c r="DV22" s="23" t="n"/>
      <c r="DW22" s="23" t="n"/>
      <c r="DX22" s="23" t="n"/>
      <c r="DY22" s="23" t="n"/>
      <c r="DZ22" s="219" t="n"/>
      <c r="EA22" s="23" t="n"/>
      <c r="EB22" s="219" t="n"/>
      <c r="EC22" s="23" t="n"/>
      <c r="ED22" s="219" t="n"/>
      <c r="EE22" s="23" t="n"/>
      <c r="EF22" s="23" t="n"/>
      <c r="EG22" s="219" t="n">
        <v>150</v>
      </c>
      <c r="EH22" s="282" t="inlineStr">
        <is>
          <t>20 P/ TTR</t>
        </is>
      </c>
      <c r="EI22" s="23" t="n"/>
      <c r="EJ22" s="23" t="n"/>
      <c r="EK22" s="23" t="n"/>
      <c r="EL22" s="219" t="n"/>
      <c r="EM22" s="219" t="n"/>
      <c r="EN22" s="23" t="n"/>
      <c r="EO22" s="23" t="n"/>
      <c r="EP22" s="219" t="n"/>
      <c r="EQ22" s="219" t="n">
        <v>100</v>
      </c>
      <c r="ER22" s="219" t="n"/>
      <c r="ES22" s="23" t="n"/>
      <c r="ET22" s="23" t="n">
        <v>75</v>
      </c>
      <c r="EU22" s="23" t="n"/>
      <c r="EV22" s="23" t="n"/>
      <c r="EW22" s="219" t="n"/>
      <c r="EX22" s="23" t="n"/>
      <c r="EY22" s="23" t="n"/>
      <c r="EZ22" s="219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19" t="n"/>
      <c r="FK22" s="23" t="n"/>
      <c r="FL22" s="23" t="n"/>
      <c r="FM22" s="23" t="n"/>
      <c r="FN22" s="23" t="n"/>
      <c r="FP22" s="66" t="inlineStr">
        <is>
          <t>CARTUCHO P</t>
        </is>
      </c>
      <c r="FQ22" s="699" t="n">
        <v>200</v>
      </c>
      <c r="FR22" s="697">
        <f>CL22</f>
        <v/>
      </c>
      <c r="FS22" s="697" t="n"/>
      <c r="FT22" s="697" t="n"/>
      <c r="FU22" s="697" t="n">
        <v>257</v>
      </c>
      <c r="FV22" s="697" t="n">
        <v>222</v>
      </c>
      <c r="FW22" s="697" t="n">
        <v>68</v>
      </c>
      <c r="FX22" s="697" t="n">
        <v>46</v>
      </c>
      <c r="FY22" s="699" t="n"/>
      <c r="FZ22" s="699" t="n"/>
      <c r="GA22" s="431">
        <f>FY22+IF(NOT(ISBLANK(OFFSET(GA22,0,6))),N(OFFSET(GA22,0,6)),N(OFFSET(GA22,0,7)))-FZ22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300</v>
      </c>
      <c r="BI23" s="697" t="n">
        <v>0</v>
      </c>
      <c r="BJ23" s="697" t="n">
        <v>0</v>
      </c>
      <c r="BK23" s="697">
        <f>0+CR23</f>
        <v/>
      </c>
      <c r="BL23" s="697" t="n">
        <v>73</v>
      </c>
      <c r="BM23" s="697" t="n">
        <v>33</v>
      </c>
      <c r="BN23" s="697">
        <f>4+CP23</f>
        <v/>
      </c>
      <c r="BO23" s="697" t="n">
        <v>280</v>
      </c>
      <c r="BP23" s="697" t="n">
        <v>249</v>
      </c>
      <c r="BQ23" s="697" t="n">
        <v>205</v>
      </c>
      <c r="BR23" s="697">
        <f>154+CM23</f>
        <v/>
      </c>
      <c r="BS23" s="697" t="n">
        <v>287</v>
      </c>
      <c r="BT23" s="697" t="n"/>
      <c r="BU23" s="697" t="n"/>
      <c r="BV23" s="697" t="n"/>
      <c r="BW23" s="697" t="n">
        <v>217</v>
      </c>
      <c r="BX23" s="697" t="n">
        <v>216</v>
      </c>
      <c r="BY23" s="697" t="n">
        <v>216</v>
      </c>
      <c r="BZ23" s="697" t="n">
        <v>216</v>
      </c>
      <c r="CA23" s="699" t="n">
        <v>216</v>
      </c>
      <c r="CB23" s="699" t="n">
        <v>216</v>
      </c>
      <c r="CC23" s="192">
        <f>CA23+IF(NOT(ISBLANK(OFFSET(CC23,0,6))),N(OFFSET(CC23,0,6)),N(OFFSET(CC23,0,7)))-CB23</f>
        <v/>
      </c>
      <c r="CD23" s="50" t="n"/>
      <c r="CE23" s="22" t="n"/>
      <c r="CF23" s="22" t="n"/>
      <c r="CH23" s="27" t="n"/>
      <c r="CI23" s="757" t="n">
        <v>0</v>
      </c>
      <c r="CJ23" s="23" t="n">
        <v>0</v>
      </c>
      <c r="CK23" s="23" t="n">
        <v>0</v>
      </c>
      <c r="CL23" s="23" t="n">
        <v>0</v>
      </c>
      <c r="CM23" s="23" t="n"/>
      <c r="CN23" s="219" t="n">
        <v>300</v>
      </c>
      <c r="CO23" s="23" t="n">
        <v>150</v>
      </c>
      <c r="CP23" s="23" t="n"/>
      <c r="CQ23" s="23" t="n"/>
      <c r="CR23" s="23" t="n">
        <v>300</v>
      </c>
      <c r="CS23" s="23" t="n"/>
      <c r="CT23" s="23" t="n">
        <v>150</v>
      </c>
      <c r="CU23" s="23" t="n"/>
      <c r="CV23" s="23" t="n"/>
      <c r="CW23" s="23" t="n"/>
      <c r="CX23" s="23" t="n"/>
      <c r="CY23" s="23" t="n"/>
      <c r="CZ23" s="23" t="n"/>
      <c r="DA23" s="23" t="n"/>
      <c r="DI23" s="326" t="n">
        <v>450</v>
      </c>
      <c r="DO23" s="5" t="n"/>
      <c r="DP23" s="5" t="n"/>
      <c r="DR23" s="5" t="n"/>
      <c r="DZ23" s="292" t="inlineStr">
        <is>
          <t>46 DE Q2</t>
        </is>
      </c>
      <c r="ED23" s="219" t="n">
        <v>25</v>
      </c>
      <c r="EG23" s="5" t="n"/>
      <c r="EL23" s="5" t="n"/>
      <c r="EP23" s="292" t="inlineStr">
        <is>
          <t>50 P/ TDQ</t>
        </is>
      </c>
      <c r="EQ23" s="5" t="n"/>
      <c r="EZ23" s="326" t="n">
        <v>400</v>
      </c>
      <c r="FP23" s="66" t="inlineStr">
        <is>
          <t>CARTUCHO M</t>
        </is>
      </c>
      <c r="FQ23" s="699" t="n">
        <v>150</v>
      </c>
      <c r="FR23" s="697">
        <f>CL23</f>
        <v/>
      </c>
      <c r="FS23" s="697" t="n"/>
      <c r="FT23" s="697" t="n"/>
      <c r="FU23" s="697" t="n">
        <v>229</v>
      </c>
      <c r="FV23" s="697" t="n">
        <v>183</v>
      </c>
      <c r="FW23" s="697" t="n">
        <v>7</v>
      </c>
      <c r="FX23" s="697" t="n">
        <v>7</v>
      </c>
      <c r="FY23" s="699" t="n"/>
      <c r="FZ23" s="699" t="n"/>
      <c r="GA23" s="431">
        <f>FY23+IF(NOT(ISBLANK(OFFSET(GA23,0,6))),N(OFFSET(GA23,0,6)),N(OFFSET(GA23,0,7)))-FZ23</f>
        <v/>
      </c>
    </row>
    <row r="24">
      <c r="CD24" s="50" t="n"/>
      <c r="CN24" s="5" t="n"/>
      <c r="DI24" s="327" t="n"/>
      <c r="DO24" s="5" t="n"/>
      <c r="DP24" s="5" t="n"/>
      <c r="DR24" s="5" t="n"/>
      <c r="DZ24" s="460" t="n"/>
      <c r="ED24" s="219" t="n"/>
      <c r="EG24" s="5" t="n"/>
      <c r="EL24" s="5" t="n"/>
      <c r="EP24" s="460" t="n"/>
      <c r="EQ24" s="5" t="n"/>
      <c r="EZ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46161.48022402778</v>
      </c>
      <c r="CB25" s="747" t="n">
        <v>46161.48088388634</v>
      </c>
      <c r="CC25" s="758" t="inlineStr">
        <is>
          <t>USOU</t>
        </is>
      </c>
      <c r="CD25" s="50" t="n"/>
      <c r="CN25" s="5" t="n"/>
      <c r="DI25" s="5" t="n"/>
      <c r="DO25" s="5" t="n"/>
      <c r="DP25" s="5" t="n"/>
      <c r="DR25" s="5" t="n"/>
      <c r="ED25" s="219" t="n">
        <v>25</v>
      </c>
      <c r="EG25" s="5" t="n"/>
      <c r="EL25" s="5" t="n"/>
      <c r="EQ25" s="5" t="n"/>
      <c r="EZ25" s="326" t="n">
        <v>300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1</v>
      </c>
      <c r="G26" s="697" t="n">
        <v>1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/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192">
        <f>CA26+IF(NOT(ISBLANK(OFFSET(CC26,0,6))),N(OFFSET(CC26,0,6)),N(OFFSET(CC26,0,7)))-CB26</f>
        <v/>
      </c>
      <c r="CD26" s="50" t="n"/>
      <c r="CN26" s="5" t="n"/>
      <c r="DI26" s="5" t="n"/>
      <c r="DO26" s="5" t="n"/>
      <c r="DP26" s="5" t="n"/>
      <c r="DR26" s="5" t="n"/>
      <c r="DZ26" s="327" t="n"/>
      <c r="ED26" s="219" t="n">
        <v>25</v>
      </c>
      <c r="EG26" s="5" t="n"/>
      <c r="EL26" s="5" t="n"/>
      <c r="EM26" s="327" t="n"/>
      <c r="EP26" s="327" t="n"/>
      <c r="EQ26" s="5" t="n"/>
      <c r="ER26" s="327" t="n"/>
      <c r="EW26" s="327" t="n"/>
      <c r="EZ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505</v>
      </c>
      <c r="G27" s="697" t="n">
        <v>505</v>
      </c>
      <c r="H27" s="697" t="n">
        <v>480</v>
      </c>
      <c r="I27" s="697" t="n">
        <v>480</v>
      </c>
      <c r="J27" s="697" t="n">
        <v>480</v>
      </c>
      <c r="K27" s="697" t="n">
        <v>480</v>
      </c>
      <c r="L27" s="697" t="n">
        <v>467</v>
      </c>
      <c r="M27" s="697" t="n">
        <v>450</v>
      </c>
      <c r="N27" s="697" t="n">
        <v>450</v>
      </c>
      <c r="O27" s="697" t="n">
        <v>446</v>
      </c>
      <c r="P27" s="697" t="n">
        <v>463</v>
      </c>
      <c r="Q27" s="697" t="n">
        <v>463</v>
      </c>
      <c r="R27" s="697" t="n">
        <v>450</v>
      </c>
      <c r="S27" s="697" t="n">
        <v>452</v>
      </c>
      <c r="T27" s="697" t="n">
        <v>452</v>
      </c>
      <c r="U27" s="697" t="n">
        <v>452</v>
      </c>
      <c r="V27" s="697" t="n">
        <v>452</v>
      </c>
      <c r="W27" s="697" t="n">
        <v>449</v>
      </c>
      <c r="X27" s="697" t="n">
        <v>449</v>
      </c>
      <c r="Y27" s="697" t="n">
        <v>48</v>
      </c>
      <c r="Z27" s="697" t="n">
        <v>460</v>
      </c>
      <c r="AA27" s="697" t="n">
        <v>450</v>
      </c>
      <c r="AB27" s="697" t="n">
        <v>450</v>
      </c>
      <c r="AC27" s="697" t="n">
        <v>450</v>
      </c>
      <c r="AD27" s="697" t="n">
        <v>450</v>
      </c>
      <c r="AE27" s="697" t="n">
        <v>450</v>
      </c>
      <c r="AF27" s="697" t="n">
        <v>450</v>
      </c>
      <c r="AG27" s="697" t="n">
        <v>414</v>
      </c>
      <c r="AH27" s="697" t="n">
        <v>414</v>
      </c>
      <c r="AI27" s="697" t="n">
        <v>413</v>
      </c>
      <c r="AJ27" s="697" t="n">
        <v>413</v>
      </c>
      <c r="AK27" s="697" t="n">
        <v>412</v>
      </c>
      <c r="AL27" s="697" t="n">
        <v>409</v>
      </c>
      <c r="AM27" s="697" t="n">
        <v>408</v>
      </c>
      <c r="AN27" s="697" t="n">
        <v>405</v>
      </c>
      <c r="AO27" s="697" t="n">
        <v>405</v>
      </c>
      <c r="AP27" s="697" t="n">
        <v>405</v>
      </c>
      <c r="AQ27" s="697" t="n">
        <v>403</v>
      </c>
      <c r="AR27" s="697" t="n">
        <v>401</v>
      </c>
      <c r="AS27" s="697" t="n">
        <v>345</v>
      </c>
      <c r="AT27" s="697" t="n">
        <v>345</v>
      </c>
      <c r="AU27" s="697" t="n">
        <v>372</v>
      </c>
      <c r="AV27" s="697" t="n">
        <v>368</v>
      </c>
      <c r="AW27" s="697" t="n">
        <v>367</v>
      </c>
      <c r="AX27" s="697" t="n">
        <v>367</v>
      </c>
      <c r="AY27" s="697" t="n">
        <v>367</v>
      </c>
      <c r="AZ27" s="697" t="n">
        <v>336</v>
      </c>
      <c r="BA27" s="697" t="n">
        <v>336</v>
      </c>
      <c r="BB27" s="697" t="n">
        <v>336</v>
      </c>
      <c r="BC27" s="697" t="n">
        <v>130</v>
      </c>
      <c r="BD27" s="697" t="n">
        <v>128</v>
      </c>
      <c r="BE27" s="697" t="n">
        <v>128</v>
      </c>
      <c r="BF27" s="697" t="n">
        <v>125</v>
      </c>
      <c r="BG27" s="697" t="n">
        <v>123</v>
      </c>
      <c r="BH27" s="697" t="n">
        <v>99</v>
      </c>
      <c r="BI27" s="697" t="n">
        <v>99</v>
      </c>
      <c r="BJ27" s="697" t="n">
        <v>98</v>
      </c>
      <c r="BK27" s="697" t="n">
        <v>97</v>
      </c>
      <c r="BL27" s="697" t="n">
        <v>97</v>
      </c>
      <c r="BM27" s="697" t="n">
        <v>96</v>
      </c>
      <c r="BN27" s="697" t="n">
        <v>94</v>
      </c>
      <c r="BO27" s="697" t="n">
        <v>94</v>
      </c>
      <c r="BP27" s="697" t="n">
        <v>94</v>
      </c>
      <c r="BQ27" s="697" t="n">
        <v>94</v>
      </c>
      <c r="BR27" s="697" t="n">
        <v>93</v>
      </c>
      <c r="BS27" s="697" t="n"/>
      <c r="BT27" s="697" t="n">
        <v>300</v>
      </c>
      <c r="BU27" s="697" t="n">
        <v>300</v>
      </c>
      <c r="BV27" s="697" t="n">
        <v>300</v>
      </c>
      <c r="BW27" s="697" t="n">
        <v>300</v>
      </c>
      <c r="BX27" s="697" t="n">
        <v>280</v>
      </c>
      <c r="BY27" s="697" t="n">
        <v>359</v>
      </c>
      <c r="BZ27" s="697" t="n">
        <v>359</v>
      </c>
      <c r="CA27" s="699" t="n">
        <v>359</v>
      </c>
      <c r="CB27" s="699" t="n">
        <v>359</v>
      </c>
      <c r="CC27" s="192">
        <f>CA27+IF(NOT(ISBLANK(OFFSET(CC27,0,6))),N(OFFSET(CC27,0,6)),N(OFFSET(CC27,0,7)))-CB27</f>
        <v/>
      </c>
      <c r="CD27" s="50" t="n"/>
      <c r="CN27" s="5" t="n"/>
      <c r="DI27" s="5" t="n"/>
      <c r="DO27" s="5" t="n"/>
      <c r="DP27" s="5" t="n"/>
      <c r="DR27" s="5" t="n"/>
      <c r="DZ27" s="327" t="n"/>
      <c r="ED27" s="5" t="n"/>
      <c r="EG27" s="5" t="n"/>
      <c r="EL27" s="5" t="n"/>
      <c r="EM27" s="327" t="n"/>
      <c r="EP27" s="327" t="n"/>
      <c r="EQ27" s="5" t="n"/>
      <c r="ER27" s="327" t="n"/>
      <c r="EW27" s="327" t="n"/>
      <c r="EZ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79</v>
      </c>
      <c r="G28" s="699" t="n">
        <v>48</v>
      </c>
      <c r="H28" s="697" t="n">
        <v>13</v>
      </c>
      <c r="I28" s="697" t="n">
        <v>7</v>
      </c>
      <c r="J28" s="697" t="n">
        <v>2</v>
      </c>
      <c r="K28" s="697" t="n">
        <v>2</v>
      </c>
      <c r="L28" s="697" t="n">
        <v>1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192">
        <f>CA28+IF(NOT(ISBLANK(OFFSET(CC28,0,6))),N(OFFSET(CC28,0,6)),N(OFFSET(CC28,0,7)))-CB28</f>
        <v/>
      </c>
      <c r="CD28" s="50" t="n"/>
      <c r="CN28" s="5" t="n"/>
      <c r="DI28" s="5" t="n"/>
      <c r="DO28" s="5" t="n"/>
      <c r="DP28" s="5" t="n"/>
      <c r="DR28" s="5" t="n"/>
      <c r="DZ28" s="327" t="n"/>
      <c r="EB28" s="573" t="n"/>
      <c r="ED28" s="5" t="n"/>
      <c r="EG28" s="5" t="n"/>
      <c r="EL28" s="5" t="n"/>
      <c r="EM28" s="327" t="n"/>
      <c r="EP28" s="327" t="n"/>
      <c r="EQ28" s="5" t="n"/>
      <c r="ER28" s="327" t="n"/>
      <c r="EW28" s="327" t="n"/>
      <c r="EZ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58</v>
      </c>
      <c r="G29" s="699" t="n">
        <v>19</v>
      </c>
      <c r="H29" s="697" t="n">
        <v>11</v>
      </c>
      <c r="I29" s="697" t="n">
        <v>6</v>
      </c>
      <c r="J29" s="697" t="n">
        <v>2</v>
      </c>
      <c r="K29" s="697">
        <f>2+20+14</f>
        <v/>
      </c>
      <c r="L29" s="697" t="n">
        <v>33</v>
      </c>
      <c r="M29" s="697" t="n">
        <v>13</v>
      </c>
      <c r="N29" s="697" t="n">
        <v>6</v>
      </c>
      <c r="O29" s="697" t="n">
        <v>5</v>
      </c>
      <c r="P29" s="697" t="n">
        <v>3</v>
      </c>
      <c r="Q29" s="697" t="n">
        <v>3</v>
      </c>
      <c r="R29" s="697" t="n">
        <v>3</v>
      </c>
      <c r="S29" s="697" t="n">
        <v>3</v>
      </c>
      <c r="T29" s="697" t="n">
        <v>3</v>
      </c>
      <c r="U29" s="697" t="n">
        <v>1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192">
        <f>CA29+IF(NOT(ISBLANK(OFFSET(CC29,0,6))),N(OFFSET(CC29,0,6)),N(OFFSET(CC29,0,7)))-CB29</f>
        <v/>
      </c>
      <c r="CD29" s="50" t="n"/>
      <c r="CN29" s="5" t="n"/>
      <c r="DI29" s="5" t="n"/>
      <c r="DO29" s="5" t="n"/>
      <c r="DP29" s="5" t="n"/>
      <c r="DR29" s="5" t="n"/>
      <c r="DZ29" s="327" t="n"/>
      <c r="EB29" s="573" t="n"/>
      <c r="ED29" s="5" t="n"/>
      <c r="EG29" s="5" t="n"/>
      <c r="EL29" s="5" t="n"/>
      <c r="EM29" s="327" t="n"/>
      <c r="EP29" s="327" t="n"/>
      <c r="EQ29" s="5" t="n"/>
      <c r="ER29" s="327" t="n"/>
      <c r="EW29" s="327" t="n"/>
      <c r="EZ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192">
        <f>CA30+IF(NOT(ISBLANK(OFFSET(CC30,0,6))),N(OFFSET(CC30,0,6)),N(OFFSET(CC30,0,7)))-CB30</f>
        <v/>
      </c>
      <c r="CD30" s="50" t="n"/>
      <c r="CN30" s="5" t="n"/>
      <c r="DI30" s="5" t="n"/>
      <c r="DZ30" s="327" t="n"/>
      <c r="EB30" s="573" t="n"/>
      <c r="ED30" s="5" t="n"/>
      <c r="EG30" s="5" t="n"/>
      <c r="EM30" s="327" t="n"/>
      <c r="EP30" s="327" t="n"/>
      <c r="ER30" s="327" t="n"/>
      <c r="EW30" s="327" t="n"/>
      <c r="EZ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4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192">
        <f>CA31+IF(NOT(ISBLANK(OFFSET(CC31,0,6))),N(OFFSET(CC31,0,6)),N(OFFSET(CC31,0,7)))-CB31</f>
        <v/>
      </c>
      <c r="CD31" s="50" t="n"/>
      <c r="CN31" s="5" t="n"/>
      <c r="DI31" s="5" t="n"/>
      <c r="DZ31" s="327" t="n"/>
      <c r="EB31" s="573" t="n"/>
      <c r="ED31" s="5" t="n"/>
      <c r="EG31" s="5" t="n"/>
      <c r="EM31" s="327" t="n"/>
      <c r="EP31" s="327" t="n"/>
      <c r="ER31" s="327" t="n"/>
      <c r="EW31" s="327" t="n"/>
      <c r="EZ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8</v>
      </c>
      <c r="G32" s="699" t="n">
        <v>8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192">
        <f>CA32+IF(NOT(ISBLANK(OFFSET(CC32,0,6))),N(OFFSET(CC32,0,6)),N(OFFSET(CC32,0,7)))-CB32</f>
        <v/>
      </c>
      <c r="CD32" s="50" t="n"/>
      <c r="CN32" s="5" t="n"/>
      <c r="DI32" s="5" t="n"/>
      <c r="DZ32" s="327" t="n"/>
      <c r="EB32" s="573" t="n"/>
      <c r="ED32" s="5" t="n"/>
      <c r="EG32" s="5" t="n"/>
      <c r="EM32" s="327" t="n"/>
      <c r="EP32" s="327" t="n"/>
      <c r="ER32" s="327" t="n"/>
      <c r="EW32" s="327" t="n"/>
      <c r="EZ32" s="327" t="n"/>
      <c r="FF32" s="59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2</v>
      </c>
      <c r="G33" s="699" t="n">
        <v>2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697" t="n"/>
      <c r="CA33" s="699" t="n"/>
      <c r="CB33" s="699" t="n"/>
      <c r="CC33" s="192">
        <f>CA33+IF(NOT(ISBLANK(OFFSET(CC33,0,6))),N(OFFSET(CC33,0,6)),N(OFFSET(CC33,0,7)))-CB33</f>
        <v/>
      </c>
      <c r="CD33" s="50" t="n"/>
      <c r="CN33" s="5" t="n"/>
      <c r="DI33" s="5" t="n"/>
      <c r="DZ33" s="327" t="n"/>
      <c r="EB33" s="573" t="n"/>
      <c r="ED33" s="5" t="n"/>
      <c r="EG33" s="5" t="n"/>
      <c r="EM33" s="327" t="n"/>
      <c r="EP33" s="327" t="n"/>
      <c r="ER33" s="327" t="n"/>
      <c r="EW33" s="327" t="n"/>
      <c r="EZ33" s="327" t="n"/>
      <c r="FF33" s="573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2</v>
      </c>
      <c r="G34" s="699" t="n">
        <v>2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192">
        <f>CA34+IF(NOT(ISBLANK(OFFSET(CC34,0,6))),N(OFFSET(CC34,0,6)),N(OFFSET(CC34,0,7)))-CB34</f>
        <v/>
      </c>
      <c r="CD34" s="50" t="n"/>
      <c r="CN34" s="5" t="n"/>
      <c r="DI34" s="5" t="n"/>
      <c r="DZ34" s="327" t="n"/>
      <c r="EB34" s="573" t="n"/>
      <c r="ED34" s="5" t="n"/>
      <c r="EG34" s="5" t="n"/>
      <c r="EM34" s="327" t="n"/>
      <c r="EP34" s="327" t="n"/>
      <c r="ER34" s="327" t="n"/>
      <c r="EW34" s="327" t="n"/>
      <c r="EZ34" s="327" t="n"/>
      <c r="FF34" s="573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65</v>
      </c>
      <c r="AA35" s="699" t="n">
        <v>48</v>
      </c>
      <c r="AB35" s="699" t="n">
        <v>37</v>
      </c>
      <c r="AC35" s="699" t="n">
        <v>17</v>
      </c>
      <c r="AD35" s="699">
        <f>0+27</f>
        <v/>
      </c>
      <c r="AE35" s="697" t="n">
        <v>19</v>
      </c>
      <c r="AF35" s="697" t="n">
        <v>13</v>
      </c>
      <c r="AG35" s="697" t="n">
        <v>7</v>
      </c>
      <c r="AH35" s="697" t="n">
        <v>5</v>
      </c>
      <c r="AI35" s="697" t="n">
        <v>5</v>
      </c>
      <c r="AJ35" s="697" t="n">
        <v>2</v>
      </c>
      <c r="AK35" s="697" t="n">
        <v>2</v>
      </c>
      <c r="AL35" s="697" t="n">
        <v>2</v>
      </c>
      <c r="AM35" s="697" t="n">
        <v>1</v>
      </c>
      <c r="AN35" s="697" t="n">
        <v>1</v>
      </c>
      <c r="AO35" s="697" t="n">
        <v>1</v>
      </c>
      <c r="AP35" s="697" t="n">
        <v>1</v>
      </c>
      <c r="AQ35" s="697" t="n">
        <v>1</v>
      </c>
      <c r="AR35" s="697" t="n">
        <v>1</v>
      </c>
      <c r="AS35" s="697" t="n">
        <v>1</v>
      </c>
      <c r="AT35" s="697" t="n">
        <v>1</v>
      </c>
      <c r="AU35" s="697" t="n">
        <v>0</v>
      </c>
      <c r="AV35" s="697" t="n">
        <v>0</v>
      </c>
      <c r="AW35" s="697" t="n">
        <v>0</v>
      </c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697" t="n"/>
      <c r="CA35" s="699" t="n"/>
      <c r="CB35" s="699" t="n"/>
      <c r="CC35" s="192">
        <f>CA35+IF(NOT(ISBLANK(OFFSET(CC35,0,6))),N(OFFSET(CC35,0,6)),N(OFFSET(CC35,0,7)))-CB35</f>
        <v/>
      </c>
      <c r="CD35" s="50" t="n"/>
      <c r="CN35" s="5" t="n"/>
      <c r="DI35" s="5" t="n"/>
      <c r="DZ35" s="327" t="n"/>
      <c r="EB35" s="573" t="n"/>
      <c r="ED35" s="5" t="n"/>
      <c r="EG35" s="5" t="n"/>
      <c r="EM35" s="327" t="n"/>
      <c r="EP35" s="327" t="n"/>
      <c r="ER35" s="327" t="n"/>
      <c r="EW35" s="327" t="n"/>
      <c r="EZ35" s="327" t="n"/>
      <c r="FF35" s="573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80</v>
      </c>
      <c r="AA36" s="699" t="n">
        <v>42</v>
      </c>
      <c r="AB36" s="699" t="n">
        <v>36</v>
      </c>
      <c r="AC36" s="699" t="n">
        <v>35</v>
      </c>
      <c r="AD36" s="699" t="n">
        <v>31</v>
      </c>
      <c r="AE36" s="699" t="n">
        <v>12</v>
      </c>
      <c r="AF36" s="699" t="n">
        <v>4</v>
      </c>
      <c r="AG36" s="699" t="n">
        <v>4</v>
      </c>
      <c r="AH36" s="699" t="n">
        <v>1</v>
      </c>
      <c r="AI36" s="699" t="n">
        <v>1</v>
      </c>
      <c r="AJ36" s="699" t="n">
        <v>1</v>
      </c>
      <c r="AK36" s="699" t="n">
        <v>1</v>
      </c>
      <c r="AL36" s="699" t="n">
        <v>1</v>
      </c>
      <c r="AM36" s="699" t="n">
        <v>0</v>
      </c>
      <c r="AN36" s="699" t="n">
        <v>0</v>
      </c>
      <c r="AO36" s="699" t="n">
        <v>0</v>
      </c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192">
        <f>CA36+IF(NOT(ISBLANK(OFFSET(CC36,0,6))),N(OFFSET(CC36,0,6)),N(OFFSET(CC36,0,7)))-CB36</f>
        <v/>
      </c>
      <c r="CD36" s="50" t="n"/>
      <c r="CN36" s="5" t="n"/>
      <c r="DI36" s="5" t="n"/>
      <c r="DZ36" s="327" t="n"/>
      <c r="EB36" s="573" t="n"/>
      <c r="ED36" s="5" t="n"/>
      <c r="EG36" s="5" t="n"/>
      <c r="EM36" s="327" t="n"/>
      <c r="EP36" s="327" t="n"/>
      <c r="ER36" s="327" t="n"/>
      <c r="EW36" s="327" t="n"/>
      <c r="EZ36" s="327" t="n"/>
      <c r="FF36" s="573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>
        <v>0</v>
      </c>
      <c r="AJ37" s="699" t="n">
        <v>0</v>
      </c>
      <c r="AK37" s="699" t="n"/>
      <c r="AL37" s="699" t="n"/>
      <c r="AM37" s="699" t="n"/>
      <c r="AN37" s="699" t="n"/>
      <c r="AO37" s="699" t="n">
        <v>0</v>
      </c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192">
        <f>CA37+IF(NOT(ISBLANK(OFFSET(CC37,0,6))),N(OFFSET(CC37,0,6)),N(OFFSET(CC37,0,7)))-CB37</f>
        <v/>
      </c>
      <c r="CD37" s="50" t="n"/>
      <c r="CN37" s="5" t="n"/>
      <c r="DI37" s="5" t="n"/>
      <c r="DZ37" s="327" t="n"/>
      <c r="EB37" s="573" t="n"/>
      <c r="ED37" s="5" t="n"/>
      <c r="EG37" s="5" t="n"/>
      <c r="EM37" s="327" t="n"/>
      <c r="EP37" s="327" t="n"/>
      <c r="ER37" s="327" t="n"/>
      <c r="EW37" s="327" t="n"/>
      <c r="EZ37" s="327" t="n"/>
      <c r="FF37" s="573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141-50</f>
        <v/>
      </c>
      <c r="AA38" s="699" t="n">
        <v>114</v>
      </c>
      <c r="AB38" s="699" t="n">
        <v>51</v>
      </c>
      <c r="AC38" s="699" t="n">
        <v>51</v>
      </c>
      <c r="AD38" s="699" t="n">
        <v>3</v>
      </c>
      <c r="AE38" s="699" t="n">
        <v>0</v>
      </c>
      <c r="AF38" s="699" t="n">
        <v>0</v>
      </c>
      <c r="AG38" s="699" t="n">
        <v>0</v>
      </c>
      <c r="AH38" s="699" t="n"/>
      <c r="AI38" s="699">
        <f>0+46</f>
        <v/>
      </c>
      <c r="AJ38" s="699" t="n">
        <v>46</v>
      </c>
      <c r="AK38" s="699" t="n">
        <v>43</v>
      </c>
      <c r="AL38" s="699" t="n">
        <v>43</v>
      </c>
      <c r="AM38" s="699" t="n">
        <v>10</v>
      </c>
      <c r="AN38" s="699" t="n">
        <v>0</v>
      </c>
      <c r="AO38" s="699" t="n">
        <v>-4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192">
        <f>CA38+IF(NOT(ISBLANK(OFFSET(CC38,0,6))),N(OFFSET(CC38,0,6)),N(OFFSET(CC38,0,7)))-CB38</f>
        <v/>
      </c>
      <c r="CD38" s="50" t="n"/>
      <c r="CN38" s="5" t="n"/>
      <c r="DI38" s="5" t="n"/>
      <c r="DZ38" s="327" t="n"/>
      <c r="EB38" s="573" t="n"/>
      <c r="ED38" s="5" t="n"/>
      <c r="EG38" s="5" t="n"/>
      <c r="EM38" s="327" t="n"/>
      <c r="EP38" s="327" t="n"/>
      <c r="ER38" s="327" t="n"/>
      <c r="EW38" s="327" t="n"/>
      <c r="EZ38" s="327" t="n"/>
      <c r="FF38" s="573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5</v>
      </c>
      <c r="AA39" s="699" t="n">
        <v>3</v>
      </c>
      <c r="AB39" s="699" t="n">
        <v>3</v>
      </c>
      <c r="AC39" s="699" t="n">
        <v>3</v>
      </c>
      <c r="AD39" s="699" t="n">
        <v>3</v>
      </c>
      <c r="AE39" s="699" t="n">
        <v>1</v>
      </c>
      <c r="AF39" s="699" t="n">
        <v>1</v>
      </c>
      <c r="AG39" s="699" t="n">
        <v>1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>
        <v>0</v>
      </c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192">
        <f>CA39+IF(NOT(ISBLANK(OFFSET(CC39,0,6))),N(OFFSET(CC39,0,6)),N(OFFSET(CC39,0,7)))-CB39</f>
        <v/>
      </c>
      <c r="CD39" s="50" t="n"/>
      <c r="CN39" s="51" t="n"/>
      <c r="DI39" s="5" t="n"/>
      <c r="DZ39" s="327" t="n"/>
      <c r="EB39" s="573" t="n"/>
      <c r="ED39" s="5" t="n"/>
      <c r="EG39" s="5" t="n"/>
      <c r="EM39" s="327" t="n"/>
      <c r="EP39" s="327" t="n"/>
      <c r="ER39" s="327" t="n"/>
      <c r="EW39" s="327" t="n"/>
      <c r="EZ39" s="327" t="n"/>
      <c r="FF39" s="573" t="n"/>
    </row>
    <row r="40" hidden="1" ht="18.75" customHeight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5</v>
      </c>
      <c r="AA40" s="699" t="n">
        <v>3</v>
      </c>
      <c r="AB40" s="699" t="n">
        <v>3</v>
      </c>
      <c r="AC40" s="699" t="n">
        <v>3</v>
      </c>
      <c r="AD40" s="699">
        <f>3+3</f>
        <v/>
      </c>
      <c r="AE40" s="699" t="n">
        <v>1</v>
      </c>
      <c r="AF40" s="699" t="n">
        <v>21</v>
      </c>
      <c r="AG40" s="699" t="n">
        <v>5</v>
      </c>
      <c r="AH40" s="699" t="n">
        <v>1</v>
      </c>
      <c r="AI40" s="699" t="n">
        <v>1</v>
      </c>
      <c r="AJ40" s="699" t="n">
        <v>1</v>
      </c>
      <c r="AK40" s="699" t="n">
        <v>1</v>
      </c>
      <c r="AL40" s="699" t="n">
        <v>1</v>
      </c>
      <c r="AM40" s="699" t="n">
        <v>0</v>
      </c>
      <c r="AN40" s="699" t="n">
        <v>0</v>
      </c>
      <c r="AO40" s="699" t="n">
        <v>0</v>
      </c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192">
        <f>CA40+IF(NOT(ISBLANK(OFFSET(CC40,0,6))),N(OFFSET(CC40,0,6)),N(OFFSET(CC40,0,7)))-CB40</f>
        <v/>
      </c>
      <c r="CD40" s="50" t="n"/>
      <c r="CN40" s="51" t="n"/>
      <c r="DI40" s="5" t="n"/>
      <c r="DZ40" s="327" t="n"/>
      <c r="EB40" s="573" t="n"/>
      <c r="ED40" s="5" t="n"/>
      <c r="EG40" s="5" t="n"/>
      <c r="EL40" s="173" t="n"/>
      <c r="EM40" s="327" t="n"/>
      <c r="EP40" s="327" t="n"/>
      <c r="ER40" s="327" t="n"/>
      <c r="EW40" s="327" t="n"/>
      <c r="EZ40" s="327" t="n"/>
      <c r="FF40" s="573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699" t="n"/>
      <c r="AO41" s="699" t="n">
        <v>8</v>
      </c>
      <c r="AP41" s="699" t="n">
        <v>8</v>
      </c>
      <c r="AQ41" s="699" t="n">
        <v>3</v>
      </c>
      <c r="AR41" s="699" t="n">
        <v>3</v>
      </c>
      <c r="AS41" s="699" t="n">
        <v>3</v>
      </c>
      <c r="AT41" s="699" t="n">
        <v>3</v>
      </c>
      <c r="AU41" s="699" t="n">
        <v>0</v>
      </c>
      <c r="AV41" s="699" t="n">
        <v>0</v>
      </c>
      <c r="AW41" s="699" t="n">
        <v>0</v>
      </c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192">
        <f>CA41+IF(NOT(ISBLANK(OFFSET(CC41,0,6))),N(OFFSET(CC41,0,6)),N(OFFSET(CC41,0,7)))-CB41</f>
        <v/>
      </c>
      <c r="CD41" s="50" t="n"/>
      <c r="CN41" s="573" t="n"/>
      <c r="DI41" s="5" t="n"/>
      <c r="DZ41" s="327" t="n"/>
      <c r="EB41" s="573" t="n"/>
      <c r="ED41" s="5" t="n"/>
      <c r="EG41" s="5" t="n"/>
      <c r="EL41" s="173" t="n"/>
      <c r="EM41" s="327" t="n"/>
      <c r="EP41" s="327" t="n"/>
      <c r="ER41" s="327" t="n"/>
      <c r="EW41" s="327" t="n"/>
      <c r="EZ41" s="327" t="n"/>
      <c r="FF41" s="573" t="n"/>
      <c r="FP41" s="573" t="n"/>
      <c r="FQ41" s="573" t="n"/>
      <c r="FR41" s="573" t="n"/>
      <c r="FS41" s="573" t="n"/>
      <c r="FT41" s="573" t="n"/>
      <c r="FU41" s="573" t="n"/>
      <c r="FV41" s="573" t="n"/>
      <c r="FW41" s="573" t="n"/>
      <c r="FX41" s="573" t="n"/>
      <c r="FY41" s="573" t="n"/>
      <c r="FZ41" s="573" t="n"/>
      <c r="GA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699" t="n"/>
      <c r="AO42" s="699" t="n">
        <v>72</v>
      </c>
      <c r="AP42" s="699" t="n">
        <v>67</v>
      </c>
      <c r="AQ42" s="699" t="n">
        <v>48</v>
      </c>
      <c r="AR42" s="699" t="n">
        <v>43</v>
      </c>
      <c r="AS42" s="699" t="n">
        <v>43</v>
      </c>
      <c r="AT42" s="699" t="n">
        <v>39</v>
      </c>
      <c r="AU42" s="699" t="n">
        <v>10</v>
      </c>
      <c r="AV42" s="699" t="n">
        <v>0</v>
      </c>
      <c r="AW42" s="699" t="n">
        <v>0</v>
      </c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192">
        <f>CA42+IF(NOT(ISBLANK(OFFSET(CC42,0,6))),N(OFFSET(CC42,0,6)),N(OFFSET(CC42,0,7)))-CB42</f>
        <v/>
      </c>
      <c r="CD42" s="50" t="n"/>
      <c r="CN42" s="573" t="n"/>
      <c r="DI42" s="5" t="n"/>
      <c r="DZ42" s="327" t="n"/>
      <c r="EB42" s="573" t="n"/>
      <c r="ED42" s="5" t="n"/>
      <c r="EG42" s="5" t="n"/>
      <c r="EL42" s="173" t="n"/>
      <c r="EM42" s="327" t="n"/>
      <c r="EP42" s="327" t="n"/>
      <c r="ER42" s="327" t="n"/>
      <c r="EW42" s="327" t="n"/>
      <c r="EZ42" s="327" t="n"/>
      <c r="FF42" s="573" t="n"/>
      <c r="FP42" s="573" t="n"/>
      <c r="FQ42" s="573" t="n"/>
      <c r="FR42" s="573" t="n"/>
      <c r="FS42" s="573" t="n"/>
      <c r="FT42" s="573" t="n"/>
      <c r="FU42" s="573" t="n"/>
      <c r="FV42" s="573" t="n"/>
      <c r="FW42" s="573" t="n"/>
      <c r="FX42" s="573" t="n"/>
      <c r="FY42" s="573" t="n"/>
      <c r="FZ42" s="573" t="n"/>
      <c r="GA42" s="573" t="n"/>
    </row>
    <row r="43" hidden="1" ht="18.75" customHeight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699" t="n"/>
      <c r="AO43" s="699" t="n">
        <v>20</v>
      </c>
      <c r="AP43" s="699" t="n">
        <v>20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192">
        <f>CA43+IF(NOT(ISBLANK(OFFSET(CC43,0,6))),N(OFFSET(CC43,0,6)),N(OFFSET(CC43,0,7)))-CB43</f>
        <v/>
      </c>
      <c r="CD43" s="50" t="n"/>
      <c r="CN43" s="573" t="n"/>
      <c r="DI43" s="5" t="n"/>
      <c r="DZ43" s="327" t="n"/>
      <c r="EB43" s="573" t="n"/>
      <c r="ED43" s="5" t="n"/>
      <c r="EG43" s="5" t="n"/>
      <c r="EL43" s="173" t="n"/>
      <c r="EM43" s="327" t="n"/>
      <c r="EP43" s="327" t="n"/>
      <c r="ER43" s="327" t="n"/>
      <c r="EW43" s="327" t="n"/>
      <c r="EZ43" s="327" t="n"/>
      <c r="FF43" s="573" t="n"/>
      <c r="FP43" s="573" t="n"/>
      <c r="FQ43" s="573" t="n"/>
      <c r="FR43" s="573" t="n"/>
      <c r="FS43" s="573" t="n"/>
      <c r="FT43" s="573" t="n"/>
      <c r="FU43" s="573" t="n"/>
      <c r="FV43" s="573" t="n"/>
      <c r="FW43" s="573" t="n"/>
      <c r="FX43" s="573" t="n"/>
      <c r="FY43" s="573" t="n"/>
      <c r="FZ43" s="573" t="n"/>
      <c r="GA43" s="573" t="n"/>
    </row>
    <row r="44" hidden="1" ht="18.75" customHeight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699" t="n"/>
      <c r="AO44" s="699" t="n">
        <v>-3</v>
      </c>
      <c r="AP44" s="699" t="n">
        <v>-3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>
        <v>0</v>
      </c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192">
        <f>CA44+IF(NOT(ISBLANK(OFFSET(CC44,0,6))),N(OFFSET(CC44,0,6)),N(OFFSET(CC44,0,7)))-CB44</f>
        <v/>
      </c>
      <c r="CD44" s="50" t="n"/>
      <c r="CN44" s="573" t="n"/>
      <c r="DI44" s="5" t="n"/>
      <c r="DZ44" s="327" t="n"/>
      <c r="EB44" s="573" t="n"/>
      <c r="ED44" s="5" t="n"/>
      <c r="EG44" s="5" t="n"/>
      <c r="EL44" s="173" t="n"/>
      <c r="EM44" s="327" t="n"/>
      <c r="EP44" s="327" t="n"/>
      <c r="ER44" s="327" t="n"/>
      <c r="EW44" s="327" t="n"/>
      <c r="EZ44" s="327" t="n"/>
      <c r="FF44" s="573" t="n"/>
      <c r="FP44" s="573" t="n"/>
      <c r="FQ44" s="573" t="n"/>
      <c r="FR44" s="573" t="n"/>
      <c r="FS44" s="573" t="n"/>
      <c r="FT44" s="573" t="n"/>
      <c r="FU44" s="573" t="n"/>
      <c r="FV44" s="573" t="n"/>
      <c r="FW44" s="573" t="n"/>
      <c r="FX44" s="573" t="n"/>
      <c r="FY44" s="573" t="n"/>
      <c r="FZ44" s="573" t="n"/>
      <c r="GA44" s="573" t="n"/>
    </row>
    <row r="45" hidden="1" ht="18.75" customHeight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699" t="n"/>
      <c r="AO45" s="699" t="n">
        <v>-8</v>
      </c>
      <c r="AP45" s="699" t="n">
        <v>-8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>
        <v>0</v>
      </c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192">
        <f>CA45+IF(NOT(ISBLANK(OFFSET(CC45,0,6))),N(OFFSET(CC45,0,6)),N(OFFSET(CC45,0,7)))-CB45</f>
        <v/>
      </c>
      <c r="CD45" s="50" t="n"/>
      <c r="DI45" s="51" t="n"/>
      <c r="DZ45" s="327" t="n"/>
      <c r="EB45" s="573" t="n"/>
      <c r="ED45" s="5" t="n"/>
      <c r="EG45" s="5" t="n"/>
      <c r="EL45" s="173" t="n"/>
      <c r="EM45" s="327" t="n"/>
      <c r="EP45" s="327" t="n"/>
      <c r="ER45" s="327" t="n"/>
      <c r="EW45" s="327" t="n"/>
      <c r="EZ45" s="327" t="n"/>
      <c r="FF45" s="573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699" t="n"/>
      <c r="AO46" s="699" t="n">
        <v>64</v>
      </c>
      <c r="AP46" s="699" t="n">
        <v>56</v>
      </c>
      <c r="AQ46" s="699" t="n">
        <v>50</v>
      </c>
      <c r="AR46" s="699" t="n">
        <v>49</v>
      </c>
      <c r="AS46" s="699" t="n">
        <v>46</v>
      </c>
      <c r="AT46" s="699" t="n">
        <v>42</v>
      </c>
      <c r="AU46" s="699" t="n">
        <v>40</v>
      </c>
      <c r="AV46" s="699" t="n">
        <v>39</v>
      </c>
      <c r="AW46" s="699" t="n">
        <v>38</v>
      </c>
      <c r="AX46" s="699" t="n">
        <v>38</v>
      </c>
      <c r="AY46" s="699" t="n">
        <v>28</v>
      </c>
      <c r="AZ46" s="699" t="n">
        <v>23</v>
      </c>
      <c r="BA46" s="699" t="n">
        <v>21</v>
      </c>
      <c r="BB46" s="699" t="n">
        <v>20</v>
      </c>
      <c r="BC46" s="699" t="n">
        <v>4</v>
      </c>
      <c r="BD46" s="699" t="n">
        <v>0</v>
      </c>
      <c r="BE46" s="699" t="n">
        <v>0</v>
      </c>
      <c r="BF46" s="699" t="n">
        <v>0</v>
      </c>
      <c r="BG46" s="699" t="n">
        <v>0</v>
      </c>
      <c r="BH46" s="699" t="n">
        <v>0</v>
      </c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192">
        <f>CA46+IF(NOT(ISBLANK(OFFSET(CC46,0,6))),N(OFFSET(CC46,0,6)),N(OFFSET(CC46,0,7)))-CB46</f>
        <v/>
      </c>
      <c r="CD46" s="50" t="n"/>
      <c r="DI46" s="51" t="n"/>
      <c r="DZ46" s="327" t="n"/>
      <c r="EB46" s="573" t="n"/>
      <c r="ED46" s="5" t="n"/>
      <c r="EG46" s="5" t="n"/>
      <c r="EL46" s="173" t="n"/>
      <c r="EM46" s="327" t="n"/>
      <c r="EP46" s="327" t="n"/>
      <c r="ER46" s="327" t="n"/>
      <c r="EW46" s="327" t="n"/>
      <c r="EZ46" s="327" t="n"/>
      <c r="FF46" s="573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699" t="n">
        <v>69</v>
      </c>
      <c r="BE47" s="699" t="n">
        <v>16</v>
      </c>
      <c r="BF47" s="699" t="n">
        <v>7</v>
      </c>
      <c r="BG47" s="699" t="n">
        <v>5</v>
      </c>
      <c r="BH47" s="699" t="n">
        <v>0</v>
      </c>
      <c r="BI47" s="699" t="n">
        <v>0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/>
      <c r="BQ47" s="699" t="n"/>
      <c r="BR47" s="699" t="n"/>
      <c r="BS47" s="699" t="n"/>
      <c r="BT47" s="699" t="n"/>
      <c r="BU47" s="699" t="n"/>
      <c r="BV47" s="699" t="n"/>
      <c r="BW47" s="699" t="n"/>
      <c r="BX47" s="699" t="n"/>
      <c r="BY47" s="699" t="n"/>
      <c r="BZ47" s="699" t="n"/>
      <c r="CA47" s="699" t="n"/>
      <c r="CB47" s="699" t="n"/>
      <c r="CC47" s="192">
        <f>CA47+IF(NOT(ISBLANK(OFFSET(CC47,0,6))),N(OFFSET(CC47,0,6)),N(OFFSET(CC47,0,7)))-CB47</f>
        <v/>
      </c>
      <c r="CD47" s="50" t="n"/>
      <c r="CN47" s="5" t="n"/>
      <c r="DI47" s="573" t="n"/>
      <c r="DO47" s="173" t="n"/>
      <c r="DP47" s="173" t="n"/>
      <c r="DR47" s="173" t="n"/>
      <c r="DZ47" s="327" t="n"/>
      <c r="EB47" s="573" t="n"/>
      <c r="ED47" s="51" t="n"/>
      <c r="EG47" s="5" t="n"/>
      <c r="EL47" s="174" t="n"/>
      <c r="EM47" s="327" t="n"/>
      <c r="EP47" s="327" t="n"/>
      <c r="EQ47" s="173" t="n"/>
      <c r="ER47" s="327" t="n"/>
      <c r="EW47" s="327" t="n"/>
      <c r="EZ47" s="327" t="n"/>
      <c r="FF47" s="573" t="n"/>
    </row>
    <row r="48" hidden="1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420</v>
      </c>
      <c r="BE48" s="699" t="n">
        <v>249</v>
      </c>
      <c r="BF48" s="699" t="n">
        <v>92</v>
      </c>
      <c r="BG48" s="699" t="n">
        <v>75</v>
      </c>
      <c r="BH48" s="699" t="n">
        <v>40</v>
      </c>
      <c r="BI48" s="699" t="n">
        <v>24</v>
      </c>
      <c r="BJ48" s="699" t="n">
        <v>10</v>
      </c>
      <c r="BK48" s="699" t="n">
        <v>4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699" t="n"/>
      <c r="CB48" s="699" t="n"/>
      <c r="CC48" s="192">
        <f>CA48+IF(NOT(ISBLANK(OFFSET(CC48,0,6))),N(OFFSET(CC48,0,6)),N(OFFSET(CC48,0,7)))-CB48</f>
        <v/>
      </c>
      <c r="CD48" s="50" t="n"/>
      <c r="DI48" s="573" t="n"/>
      <c r="DO48" s="173" t="n"/>
      <c r="DP48" s="173" t="n"/>
      <c r="DR48" s="173" t="n"/>
      <c r="DZ48" s="327" t="n"/>
      <c r="EB48" s="573" t="n"/>
      <c r="ED48" s="51" t="n"/>
      <c r="EG48" s="5" t="n"/>
      <c r="EL48" s="174" t="n"/>
      <c r="EM48" s="327" t="n"/>
      <c r="EP48" s="327" t="n"/>
      <c r="EQ48" s="173" t="n"/>
      <c r="ER48" s="327" t="n"/>
      <c r="EW48" s="327" t="n"/>
      <c r="EZ48" s="327" t="n"/>
      <c r="FF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212</v>
      </c>
      <c r="BE49" s="699" t="n">
        <v>-19</v>
      </c>
      <c r="BF49" s="699" t="n">
        <v>-34</v>
      </c>
      <c r="BG49" s="699" t="n">
        <v>-35</v>
      </c>
      <c r="BH49" s="699" t="n">
        <v>1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192">
        <f>CA49+IF(NOT(ISBLANK(OFFSET(CC49,0,6))),N(OFFSET(CC49,0,6)),N(OFFSET(CC49,0,7)))-CB49</f>
        <v/>
      </c>
      <c r="CD49" s="50" t="n"/>
      <c r="DI49" s="573" t="n"/>
      <c r="DO49" s="173" t="n"/>
      <c r="DP49" s="173" t="n"/>
      <c r="DR49" s="173" t="n"/>
      <c r="DZ49" s="327" t="n"/>
      <c r="EB49" s="573" t="n"/>
      <c r="ED49" s="51" t="n"/>
      <c r="EG49" s="5" t="n"/>
      <c r="EL49" s="174" t="n"/>
      <c r="EM49" s="327" t="n"/>
      <c r="EP49" s="327" t="n"/>
      <c r="EQ49" s="173" t="n"/>
      <c r="ER49" s="327" t="n"/>
      <c r="EW49" s="327" t="n"/>
      <c r="EZ49" s="327" t="n"/>
      <c r="FF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150</v>
      </c>
      <c r="BE50" s="699" t="n">
        <v>47</v>
      </c>
      <c r="BF50" s="699" t="n">
        <v>36</v>
      </c>
      <c r="BG50" s="699" t="n">
        <v>35</v>
      </c>
      <c r="BH50" s="699" t="n">
        <v>-1</v>
      </c>
      <c r="BI50" s="699" t="n">
        <v>-1</v>
      </c>
      <c r="BJ50" s="699" t="n">
        <v>-1</v>
      </c>
      <c r="BK50" s="699" t="n">
        <v>-1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192">
        <f>CA50+IF(NOT(ISBLANK(OFFSET(CC50,0,6))),N(OFFSET(CC50,0,6)),N(OFFSET(CC50,0,7)))-CB50</f>
        <v/>
      </c>
      <c r="CD50" s="50" t="n"/>
      <c r="DI50" s="573" t="n"/>
      <c r="DO50" s="173" t="n"/>
      <c r="DP50" s="173" t="n"/>
      <c r="DR50" s="173" t="n"/>
      <c r="DZ50" s="327" t="n"/>
      <c r="EB50" s="573" t="n"/>
      <c r="ED50" s="51" t="n"/>
      <c r="EG50" s="5" t="n"/>
      <c r="EL50" s="174" t="n"/>
      <c r="EM50" s="327" t="n"/>
      <c r="EP50" s="327" t="n"/>
      <c r="EQ50" s="173" t="n"/>
      <c r="ER50" s="327" t="n"/>
      <c r="EW50" s="327" t="n"/>
      <c r="EZ50" s="327" t="n"/>
      <c r="FF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3</v>
      </c>
      <c r="BG51" s="699" t="n">
        <v>3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/>
      <c r="BQ51" s="699" t="n"/>
      <c r="BR51" s="699" t="n"/>
      <c r="BS51" s="699" t="n"/>
      <c r="BT51" s="699" t="n"/>
      <c r="BU51" s="699" t="n"/>
      <c r="BV51" s="699" t="n"/>
      <c r="BW51" s="699" t="n"/>
      <c r="BX51" s="699" t="n"/>
      <c r="BY51" s="699" t="n"/>
      <c r="BZ51" s="699" t="n"/>
      <c r="CA51" s="699" t="n"/>
      <c r="CB51" s="699" t="n"/>
      <c r="CC51" s="192">
        <f>CA51+IF(NOT(ISBLANK(OFFSET(CC51,0,6))),N(OFFSET(CC51,0,6)),N(OFFSET(CC51,0,7)))-CB51</f>
        <v/>
      </c>
      <c r="CD51" s="50" t="n"/>
      <c r="DI51" s="573" t="n"/>
      <c r="DO51" s="173" t="n"/>
      <c r="DP51" s="173" t="n"/>
      <c r="DR51" s="173" t="n"/>
      <c r="DZ51" s="327" t="n"/>
      <c r="EB51" s="573" t="n"/>
      <c r="ED51" s="51" t="n"/>
      <c r="EG51" s="5" t="n"/>
      <c r="EL51" s="174" t="n"/>
      <c r="EM51" s="327" t="n"/>
      <c r="EP51" s="327" t="n"/>
      <c r="EQ51" s="173" t="n"/>
      <c r="ER51" s="327" t="n"/>
      <c r="EW51" s="327" t="n"/>
      <c r="EZ51" s="327" t="n"/>
      <c r="FF51" s="573" t="n"/>
    </row>
    <row r="52">
      <c r="CD52" s="50" t="n"/>
      <c r="DI52" s="573" t="n"/>
      <c r="DO52" s="173" t="n"/>
      <c r="DP52" s="173" t="n"/>
      <c r="DR52" s="173" t="n"/>
      <c r="DZ52" s="327" t="n"/>
      <c r="EB52" s="573" t="n"/>
      <c r="ED52" s="51" t="n"/>
      <c r="EG52" s="5" t="n"/>
      <c r="EL52" s="174" t="n"/>
      <c r="EM52" s="327" t="n"/>
      <c r="EP52" s="327" t="n"/>
      <c r="EQ52" s="173" t="n"/>
      <c r="ER52" s="327" t="n"/>
      <c r="EW52" s="327" t="n"/>
      <c r="EZ52" s="327" t="n"/>
      <c r="FF52" s="573" t="n"/>
    </row>
    <row r="53" ht="21" customHeight="1">
      <c r="A53" s="380" t="inlineStr">
        <is>
          <t>SOBRAS DATAS COMEMORATIVAS</t>
        </is>
      </c>
      <c r="B53" s="380" t="n"/>
      <c r="C53" s="380" t="n"/>
      <c r="CD53" s="50" t="n"/>
      <c r="DI53" s="573" t="n"/>
      <c r="DO53" s="174" t="n"/>
      <c r="DP53" s="174" t="n"/>
      <c r="DR53" s="174" t="n"/>
      <c r="DZ53" s="327" t="n"/>
      <c r="EB53" s="573" t="n"/>
      <c r="ED53" s="51" t="n"/>
      <c r="EG53" s="51" t="n"/>
      <c r="EL53" s="174" t="n"/>
      <c r="EM53" s="327" t="n"/>
      <c r="EP53" s="327" t="n"/>
      <c r="EQ53" s="174" t="n"/>
      <c r="ER53" s="327" t="n"/>
      <c r="EW53" s="327" t="n"/>
      <c r="EZ53" s="327" t="n"/>
    </row>
    <row r="54">
      <c r="A54" s="165" t="inlineStr">
        <is>
          <t>ITENS</t>
        </is>
      </c>
      <c r="B54" s="165" t="n"/>
      <c r="C54" s="165" t="inlineStr">
        <is>
          <t>ESTOQUE</t>
        </is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0" t="n"/>
      <c r="CE54" s="51" t="n"/>
      <c r="CF54" s="51" t="n"/>
      <c r="CI54" s="573" t="n"/>
      <c r="CJ54" s="59" t="n"/>
      <c r="CK54" s="59" t="n"/>
      <c r="CL54" s="59" t="n"/>
      <c r="CM54" s="59" t="n"/>
      <c r="CO54" s="59" t="n"/>
      <c r="CP54" s="59" t="n"/>
      <c r="CQ54" s="59" t="n"/>
      <c r="CR54" s="59" t="n"/>
      <c r="CS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9" t="n"/>
      <c r="DC54" s="59" t="n"/>
      <c r="DD54" s="59" t="n"/>
      <c r="DE54" s="59" t="n"/>
      <c r="DF54" s="59" t="n"/>
      <c r="DG54" s="59" t="n"/>
      <c r="DH54" s="59" t="n"/>
      <c r="DI54" s="573" t="n"/>
      <c r="DJ54" s="59" t="n"/>
      <c r="DK54" s="59" t="n"/>
      <c r="DL54" s="59" t="n"/>
      <c r="DM54" s="59" t="n"/>
      <c r="DN54" s="59" t="n"/>
      <c r="DO54" s="174" t="n"/>
      <c r="DP54" s="174" t="n"/>
      <c r="DQ54" s="59" t="n"/>
      <c r="DR54" s="174" t="n"/>
      <c r="DS54" s="59" t="n"/>
      <c r="DT54" s="59" t="n"/>
      <c r="DU54" s="59" t="n"/>
      <c r="DV54" s="59" t="n"/>
      <c r="DW54" s="59" t="n"/>
      <c r="DX54" s="59" t="n"/>
      <c r="DY54" s="59" t="n"/>
      <c r="DZ54" s="327" t="n"/>
      <c r="EA54" s="59" t="n"/>
      <c r="EB54" s="5" t="n"/>
      <c r="EC54" s="59" t="n"/>
      <c r="ED54" s="573" t="n"/>
      <c r="EE54" s="59" t="n"/>
      <c r="EF54" s="59" t="n"/>
      <c r="EG54" s="51" t="n"/>
      <c r="EH54" s="59" t="n"/>
      <c r="EI54" s="59" t="n"/>
      <c r="EJ54" s="59" t="n"/>
      <c r="EK54" s="59" t="n"/>
      <c r="EM54" s="327" t="n"/>
      <c r="EN54" s="59" t="n"/>
      <c r="EO54" s="59" t="n"/>
      <c r="EP54" s="327" t="n"/>
      <c r="EQ54" s="174" t="n"/>
      <c r="ER54" s="327" t="n"/>
      <c r="ES54" s="59" t="n"/>
      <c r="ET54" s="59" t="n"/>
      <c r="EU54" s="59" t="n"/>
      <c r="EW54" s="327" t="n"/>
      <c r="EX54" s="59" t="n"/>
      <c r="EY54" s="59" t="n"/>
      <c r="EZ54" s="327" t="n"/>
      <c r="FB54" s="59" t="n"/>
      <c r="FC54" s="59" t="n"/>
      <c r="FG54" s="59" t="n"/>
      <c r="FH54" s="59" t="n"/>
      <c r="FI54" s="59" t="n"/>
      <c r="FK54" s="59" t="n"/>
      <c r="FL54" s="59" t="n"/>
      <c r="FM54" s="59" t="n"/>
      <c r="FN54" s="59" t="n"/>
    </row>
    <row r="55">
      <c r="A55" s="247" t="inlineStr">
        <is>
          <t>TAG PAIS/24</t>
        </is>
      </c>
      <c r="B55" s="171" t="n"/>
      <c r="C55" s="172" t="n">
        <v>400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L55" s="573" t="n"/>
      <c r="CM55" s="573" t="n"/>
      <c r="CO55" s="573" t="n"/>
      <c r="CP55" s="573" t="n"/>
      <c r="CQ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I55" s="573" t="n"/>
      <c r="DJ55" s="573" t="n"/>
      <c r="DK55" s="573" t="n"/>
      <c r="DL55" s="573" t="n"/>
      <c r="DM55" s="573" t="n"/>
      <c r="DN55" s="573" t="n"/>
      <c r="DQ55" s="573" t="n"/>
      <c r="DS55" s="573" t="n"/>
      <c r="DT55" s="573" t="n"/>
      <c r="DU55" s="573" t="n"/>
      <c r="DV55" s="573" t="n"/>
      <c r="DW55" s="573" t="n"/>
      <c r="DX55" s="573" t="n"/>
      <c r="DY55" s="573" t="n"/>
      <c r="DZ55" s="327" t="n"/>
      <c r="EA55" s="573" t="n"/>
      <c r="EB55" s="5" t="n"/>
      <c r="EC55" s="573" t="n"/>
      <c r="ED55" s="573" t="n"/>
      <c r="EE55" s="573" t="n"/>
      <c r="EF55" s="573" t="n"/>
      <c r="EG55" s="573" t="n"/>
      <c r="EH55" s="573" t="n"/>
      <c r="EI55" s="573" t="n"/>
      <c r="EJ55" s="573" t="n"/>
      <c r="EK55" s="573" t="n"/>
      <c r="EM55" s="327" t="n"/>
      <c r="EN55" s="573" t="n"/>
      <c r="EO55" s="573" t="n"/>
      <c r="EP55" s="327" t="n"/>
      <c r="ER55" s="327" t="n"/>
      <c r="ES55" s="573" t="n"/>
      <c r="ET55" s="573" t="n"/>
      <c r="EU55" s="573" t="n"/>
      <c r="EV55" s="59" t="n"/>
      <c r="EW55" s="327" t="n"/>
      <c r="EX55" s="573" t="n"/>
      <c r="EY55" s="573" t="n"/>
      <c r="EZ55" s="327" t="n"/>
      <c r="FA55" s="59" t="n"/>
      <c r="FB55" s="573" t="n"/>
      <c r="FC55" s="573" t="n"/>
      <c r="FD55" s="59" t="n"/>
      <c r="FE55" s="59" t="n"/>
      <c r="FG55" s="573" t="n"/>
      <c r="FH55" s="573" t="n"/>
      <c r="FI55" s="573" t="n"/>
      <c r="FK55" s="573" t="n"/>
      <c r="FL55" s="573" t="n"/>
      <c r="FM55" s="573" t="n"/>
      <c r="FN55" s="573" t="n"/>
      <c r="FO55" s="573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50" t="n"/>
      <c r="HH55" s="50" t="n"/>
      <c r="HI55" s="50" t="n"/>
      <c r="HJ55" s="50" t="n"/>
      <c r="HK55" s="50" t="n"/>
      <c r="HL55" s="50" t="n"/>
      <c r="HM55" s="50" t="n"/>
      <c r="HN55" s="50" t="n"/>
      <c r="HO55" s="50" t="n"/>
      <c r="HP55" s="50" t="n"/>
      <c r="HQ55" s="50" t="n"/>
      <c r="HR55" s="29" t="n"/>
      <c r="HS55" s="29" t="n"/>
      <c r="HT55" s="50" t="n"/>
      <c r="HU55" s="50" t="n"/>
      <c r="HV55" s="50" t="n"/>
      <c r="HW55" s="50" t="n"/>
      <c r="HX55" s="50" t="n"/>
      <c r="HY55" s="50" t="n"/>
      <c r="HZ55" s="50" t="n"/>
      <c r="IA55" s="50" t="n"/>
      <c r="IB55" s="50" t="n"/>
      <c r="IC55" s="50" t="n"/>
      <c r="ID55" s="50" t="n"/>
      <c r="IE55" s="50" t="n"/>
      <c r="IF55" s="50" t="n"/>
      <c r="IG55" s="50" t="n"/>
      <c r="IH55" s="29" t="n"/>
      <c r="II55" s="29" t="n"/>
      <c r="IJ55" s="29" t="n"/>
      <c r="IK55" s="29" t="n"/>
      <c r="IL55" s="29" t="n"/>
      <c r="IM55" s="29" t="n"/>
      <c r="IN55" s="29" t="n"/>
      <c r="IO55" s="29" t="n"/>
      <c r="IP55" s="29" t="n"/>
      <c r="IQ55" s="29" t="n"/>
      <c r="IR55" s="173" t="n"/>
      <c r="IS55" s="173" t="n"/>
      <c r="IT55" s="173" t="n"/>
      <c r="IU55" s="29" t="n"/>
      <c r="IV55" s="29" t="n"/>
      <c r="IW55" s="29" t="n"/>
      <c r="IX55" s="173" t="n"/>
      <c r="IY55" s="29" t="n"/>
      <c r="IZ55" s="51" t="n"/>
      <c r="JA55" s="138" t="n"/>
      <c r="JB55" s="29" t="n"/>
      <c r="JC55" s="138" t="n"/>
      <c r="JD55" s="173" t="n"/>
      <c r="JE55" s="68" t="n"/>
      <c r="JF55" s="29" t="n"/>
      <c r="JG55" s="29" t="n"/>
      <c r="JH55" s="29" t="n"/>
      <c r="JI55" s="29" t="n"/>
      <c r="JJ55" s="173" t="n"/>
      <c r="JK55" s="29" t="n"/>
      <c r="JL55" s="29" t="n"/>
      <c r="JM55" s="138" t="n"/>
      <c r="JN55" s="51" t="n"/>
      <c r="JO55" s="29" t="n"/>
      <c r="JP55" s="29" t="n"/>
      <c r="JQ55" s="29" t="n"/>
      <c r="JR55" s="29" t="n"/>
      <c r="JS55" s="173" t="n"/>
      <c r="JT55" s="29" t="n"/>
      <c r="JU55" s="29" t="n"/>
      <c r="JV55" s="29" t="n"/>
      <c r="JW55" s="29" t="n"/>
      <c r="JX55" s="29" t="n"/>
      <c r="JY55" s="29" t="n"/>
      <c r="JZ55" s="138" t="n"/>
      <c r="KA55" s="29" t="n"/>
      <c r="KB55" s="29" t="n"/>
      <c r="KC55" s="29" t="n"/>
      <c r="KD55" s="29" t="n"/>
      <c r="KE55" s="29" t="n"/>
      <c r="KF55" s="138" t="n"/>
      <c r="KG55" s="29" t="n"/>
      <c r="KH55" s="29" t="n"/>
      <c r="KI55" s="29" t="n"/>
      <c r="KK55" s="29" t="n"/>
      <c r="KL55" s="29" t="n"/>
      <c r="KM55" s="29" t="n"/>
      <c r="KO55" s="29" t="n"/>
      <c r="KP55" s="29" t="n"/>
      <c r="KU55" s="29" t="n"/>
      <c r="KV55" s="29" t="n"/>
      <c r="KW55" s="29" t="n"/>
      <c r="KY55" s="29" t="n"/>
      <c r="KZ55" s="29" t="n"/>
      <c r="LA55" s="29" t="n"/>
      <c r="LC55" s="29" t="n"/>
      <c r="LD55" s="29" t="n"/>
      <c r="LE55" s="29" t="n"/>
      <c r="LF55" s="29" t="n"/>
      <c r="LG55" s="29" t="n"/>
      <c r="LH55" s="29" t="n"/>
      <c r="LJ55" s="29" t="n"/>
      <c r="LK55" s="29" t="n"/>
      <c r="LL55" s="29" t="n"/>
      <c r="LM55" s="29" t="n"/>
      <c r="LN55" s="29" t="n"/>
      <c r="LO55" s="29" t="n"/>
      <c r="LQ55" s="29" t="n"/>
      <c r="LS55" s="29" t="n"/>
      <c r="LT55" s="29" t="n"/>
      <c r="LU55" s="29" t="n"/>
      <c r="LV55" s="29" t="n"/>
      <c r="LW55" s="29" t="n"/>
      <c r="LX55" s="29" t="n"/>
      <c r="LZ55" s="29" t="n"/>
      <c r="MC55" s="29" t="n"/>
      <c r="MG55" s="29" t="n"/>
      <c r="MH55" s="29" t="n"/>
      <c r="MI55" s="29" t="n"/>
    </row>
    <row r="56" customFormat="1" s="29">
      <c r="A56" s="220" t="n"/>
      <c r="C56" s="221" t="n"/>
      <c r="D56" s="221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L56" s="573" t="n"/>
      <c r="CM56" s="573" t="n"/>
      <c r="CN56" s="59" t="n"/>
      <c r="CO56" s="573" t="n"/>
      <c r="CP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G56" s="573" t="n"/>
      <c r="DH56" s="573" t="n"/>
      <c r="DI56" s="573" t="n"/>
      <c r="DJ56" s="573" t="n"/>
      <c r="DK56" s="573" t="n"/>
      <c r="DL56" s="573" t="n"/>
      <c r="DM56" s="573" t="n"/>
      <c r="DN56" s="573" t="n"/>
      <c r="DQ56" s="573" t="n"/>
      <c r="DS56" s="573" t="n"/>
      <c r="DT56" s="573" t="n"/>
      <c r="DU56" s="573" t="n"/>
      <c r="DV56" s="573" t="n"/>
      <c r="DW56" s="573" t="n"/>
      <c r="DX56" s="573" t="n"/>
      <c r="DY56" s="573" t="n"/>
      <c r="DZ56" s="327" t="n"/>
      <c r="EA56" s="573" t="n"/>
      <c r="EB56" s="41" t="n"/>
      <c r="EC56" s="573" t="n"/>
      <c r="ED56" s="573" t="n"/>
      <c r="EE56" s="573" t="n"/>
      <c r="EF56" s="573" t="n"/>
      <c r="EG56" s="573" t="n"/>
      <c r="EH56" s="573" t="n"/>
      <c r="EI56" s="573" t="n"/>
      <c r="EJ56" s="573" t="n"/>
      <c r="EK56" s="573" t="n"/>
      <c r="EM56" s="327" t="n"/>
      <c r="EN56" s="573" t="n"/>
      <c r="EO56" s="573" t="n"/>
      <c r="EP56" s="327" t="n"/>
      <c r="ER56" s="327" t="n"/>
      <c r="ES56" s="573" t="n"/>
      <c r="ET56" s="573" t="n"/>
      <c r="EU56" s="573" t="n"/>
      <c r="EV56" s="573" t="n"/>
      <c r="EW56" s="327" t="n"/>
      <c r="EX56" s="573" t="n"/>
      <c r="EY56" s="573" t="n"/>
      <c r="EZ56" s="327" t="n"/>
      <c r="FA56" s="573" t="n"/>
      <c r="FB56" s="573" t="n"/>
      <c r="FC56" s="573" t="n"/>
      <c r="FD56" s="573" t="n"/>
      <c r="FE56" s="573" t="n"/>
      <c r="FG56" s="573" t="n"/>
      <c r="FH56" s="573" t="n"/>
      <c r="FI56" s="573" t="n"/>
      <c r="FJ56" s="573" t="n"/>
      <c r="FK56" s="573" t="n"/>
      <c r="FL56" s="573" t="n"/>
      <c r="FM56" s="573" t="n"/>
      <c r="FN56" s="573" t="n"/>
      <c r="FO56" s="573" t="n"/>
      <c r="FP56" s="5" t="n"/>
      <c r="FQ56" s="5" t="n"/>
      <c r="FR56" s="5" t="n"/>
      <c r="FS56" s="5" t="n"/>
      <c r="FT56" s="5" t="n"/>
      <c r="FU56" s="5" t="n"/>
      <c r="FV56" s="5" t="n"/>
      <c r="FW56" s="5" t="n"/>
      <c r="FX56" s="5" t="n"/>
      <c r="FY56" s="5" t="n"/>
      <c r="FZ56" s="5" t="n"/>
      <c r="GA56" s="5" t="n"/>
      <c r="IR56" s="174" t="n"/>
      <c r="IS56" s="174" t="n"/>
      <c r="IT56" s="174" t="n"/>
      <c r="IX56" s="174" t="n"/>
      <c r="JA56" s="71" t="n"/>
      <c r="JC56" s="71" t="n"/>
      <c r="JD56" s="174" t="n"/>
      <c r="JE56" s="68" t="n"/>
      <c r="JJ56" s="174" t="n"/>
      <c r="JM56" s="71" t="n"/>
      <c r="JS56" s="174" t="n"/>
      <c r="JZ56" s="71" t="n"/>
      <c r="KF56" s="71" t="n"/>
    </row>
    <row r="57">
      <c r="A57" s="774" t="inlineStr">
        <is>
          <t>FLACONETES</t>
        </is>
      </c>
      <c r="B57" s="731" t="n"/>
      <c r="C57" s="731" t="n"/>
      <c r="D57" s="775" t="n"/>
      <c r="F57" s="776" t="n">
        <v>45656</v>
      </c>
      <c r="G57" s="776" t="n">
        <v>45663</v>
      </c>
      <c r="H57" s="776" t="n">
        <v>45670</v>
      </c>
      <c r="I57" s="776" t="n">
        <v>45677</v>
      </c>
      <c r="J57" s="776" t="n">
        <v>45684</v>
      </c>
      <c r="K57" s="776" t="n">
        <v>45691</v>
      </c>
      <c r="L57" s="776" t="n">
        <v>45698</v>
      </c>
      <c r="M57" s="776" t="n">
        <v>45705</v>
      </c>
      <c r="N57" s="776" t="n">
        <v>45712</v>
      </c>
      <c r="O57" s="776" t="n">
        <v>45719</v>
      </c>
      <c r="P57" s="776" t="n">
        <v>45726</v>
      </c>
      <c r="Q57" s="776" t="n">
        <v>45733</v>
      </c>
      <c r="R57" s="777" t="n">
        <v>45740</v>
      </c>
      <c r="S57" s="776" t="n">
        <v>45747</v>
      </c>
      <c r="T57" s="776" t="n">
        <v>45754</v>
      </c>
      <c r="U57" s="776" t="n">
        <v>45761</v>
      </c>
      <c r="V57" s="776" t="n">
        <v>45768</v>
      </c>
      <c r="W57" s="776" t="n">
        <v>45775</v>
      </c>
      <c r="X57" s="776" t="n">
        <v>45782</v>
      </c>
      <c r="Y57" s="776" t="n">
        <v>45789</v>
      </c>
      <c r="Z57" s="776" t="n">
        <v>45796</v>
      </c>
      <c r="AA57" s="776" t="n">
        <v>45803</v>
      </c>
      <c r="AB57" s="776" t="n">
        <v>45810</v>
      </c>
      <c r="AC57" s="776" t="n">
        <v>45817</v>
      </c>
      <c r="AD57" s="776" t="n">
        <v>45824</v>
      </c>
      <c r="AE57" s="776" t="n">
        <v>45831</v>
      </c>
      <c r="AF57" s="776" t="n">
        <v>45838</v>
      </c>
      <c r="AG57" s="776" t="n">
        <v>45845</v>
      </c>
      <c r="AH57" s="776" t="n">
        <v>45852</v>
      </c>
      <c r="AI57" s="776" t="n">
        <v>45859</v>
      </c>
      <c r="AJ57" s="776" t="n">
        <v>45866</v>
      </c>
      <c r="AK57" s="776" t="n">
        <v>45873</v>
      </c>
      <c r="AL57" s="776" t="n">
        <v>45880</v>
      </c>
      <c r="AM57" s="776" t="n">
        <v>45887</v>
      </c>
      <c r="AN57" s="776" t="n">
        <v>45894</v>
      </c>
      <c r="AO57" s="776" t="n">
        <v>45901</v>
      </c>
      <c r="AP57" s="776" t="n">
        <v>45908</v>
      </c>
      <c r="AQ57" s="778" t="n">
        <v>45915</v>
      </c>
      <c r="AR57" s="776" t="n">
        <v>45922</v>
      </c>
      <c r="AS57" s="776" t="n">
        <v>45929</v>
      </c>
      <c r="AT57" s="776" t="n">
        <v>45936</v>
      </c>
      <c r="AU57" s="776" t="n">
        <v>45943</v>
      </c>
      <c r="AV57" s="776" t="n">
        <v>45950</v>
      </c>
      <c r="AW57" s="776" t="n">
        <v>45957</v>
      </c>
      <c r="AX57" s="776" t="n">
        <v>45964</v>
      </c>
      <c r="AY57" s="776" t="n">
        <v>45971</v>
      </c>
      <c r="AZ57" s="776" t="n">
        <v>45978</v>
      </c>
      <c r="BA57" s="776" t="n">
        <v>45985</v>
      </c>
      <c r="BB57" s="776" t="n">
        <v>45992</v>
      </c>
      <c r="BC57" s="776" t="n">
        <v>45999</v>
      </c>
      <c r="BD57" s="776" t="n">
        <v>46006</v>
      </c>
      <c r="BE57" s="776" t="n">
        <v>46013</v>
      </c>
      <c r="BF57" s="776" t="n">
        <v>46020</v>
      </c>
      <c r="BG57" s="776" t="n">
        <v>46027</v>
      </c>
      <c r="BH57" s="776" t="n">
        <v>46034</v>
      </c>
      <c r="BI57" s="776" t="n">
        <v>46041</v>
      </c>
      <c r="BJ57" s="776" t="n">
        <v>46048</v>
      </c>
      <c r="BK57" s="776" t="n">
        <v>46055</v>
      </c>
      <c r="BL57" s="776" t="n">
        <v>46062</v>
      </c>
      <c r="BM57" s="776" t="n">
        <v>46069</v>
      </c>
      <c r="BN57" s="776" t="n">
        <v>46076</v>
      </c>
      <c r="BO57" s="776" t="n">
        <v>46083</v>
      </c>
      <c r="BP57" s="776" t="n">
        <v>46090</v>
      </c>
      <c r="BQ57" s="776" t="n">
        <v>46097</v>
      </c>
      <c r="BR57" s="776" t="n">
        <v>46104</v>
      </c>
      <c r="BS57" s="776" t="n">
        <v>46111</v>
      </c>
      <c r="BT57" s="776" t="n">
        <v>46118</v>
      </c>
      <c r="BU57" s="776" t="n">
        <v>46125</v>
      </c>
      <c r="BV57" s="776" t="n">
        <v>46132</v>
      </c>
      <c r="BW57" s="776" t="n">
        <v>46139</v>
      </c>
      <c r="BX57" s="776" t="n">
        <v>46146</v>
      </c>
      <c r="BY57" s="776" t="n">
        <v>46154</v>
      </c>
      <c r="BZ57" s="776" t="n">
        <v>46160</v>
      </c>
      <c r="CA57" s="779" t="n">
        <v>46161.48022402778</v>
      </c>
      <c r="CB57" s="779" t="n">
        <v>46161.48088388665</v>
      </c>
      <c r="CC57" s="780" t="n"/>
      <c r="CD57" s="50" t="n"/>
      <c r="CE57" s="573" t="n"/>
      <c r="CF57" s="573" t="n"/>
      <c r="DI57" s="5" t="n"/>
      <c r="DZ57" s="327" t="n"/>
      <c r="EB57" s="41" t="n"/>
      <c r="ED57" s="573" t="n"/>
      <c r="EG57" s="573" t="n"/>
      <c r="EM57" s="327" t="n"/>
      <c r="EP57" s="327" t="n"/>
      <c r="ER57" s="327" t="n"/>
      <c r="EV57" s="573" t="n"/>
      <c r="EW57" s="327" t="n"/>
      <c r="EZ57" s="327" t="n"/>
      <c r="FA57" s="573" t="n"/>
      <c r="FD57" s="573" t="n"/>
      <c r="FE57" s="573" t="n"/>
      <c r="FJ57" s="573" t="n"/>
    </row>
    <row r="58" hidden="1" ht="18.75" customHeight="1">
      <c r="A58" s="781" t="inlineStr">
        <is>
          <t>HER CODE</t>
        </is>
      </c>
      <c r="B58" s="731" t="n"/>
      <c r="C58" s="731" t="n"/>
      <c r="D58" s="775" t="n"/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4" t="n"/>
      <c r="S58" s="697" t="n"/>
      <c r="T58" s="697" t="n"/>
      <c r="U58" s="697" t="n"/>
      <c r="V58" s="697" t="n"/>
      <c r="W58" s="697" t="n"/>
      <c r="X58" s="697" t="n"/>
      <c r="Y58" s="697" t="n"/>
      <c r="Z58" s="697" t="n"/>
      <c r="AA58" s="697" t="n"/>
      <c r="AB58" s="697" t="n"/>
      <c r="AC58" s="697" t="n"/>
      <c r="AD58" s="697" t="n"/>
      <c r="AE58" s="697" t="n"/>
      <c r="AF58" s="697" t="n"/>
      <c r="AG58" s="697" t="n"/>
      <c r="AH58" s="697" t="n"/>
      <c r="AI58" s="697" t="n"/>
      <c r="AJ58" s="697" t="n"/>
      <c r="AK58" s="697" t="n"/>
      <c r="AL58" s="697" t="n"/>
      <c r="AM58" s="697" t="n"/>
      <c r="AN58" s="697" t="n"/>
      <c r="AO58" s="697" t="n"/>
      <c r="AP58" s="697" t="n"/>
      <c r="AQ58" s="267" t="n"/>
      <c r="AR58" s="697" t="n"/>
      <c r="AS58" s="697" t="n"/>
      <c r="AT58" s="697" t="n"/>
      <c r="AU58" s="697" t="n"/>
      <c r="AV58" s="697" t="n"/>
      <c r="AW58" s="697" t="n"/>
      <c r="AX58" s="697" t="n"/>
      <c r="AY58" s="697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/>
      <c r="BL58" s="697" t="n"/>
      <c r="BM58" s="697" t="n"/>
      <c r="BN58" s="697" t="n"/>
      <c r="BO58" s="697" t="n"/>
      <c r="BP58" s="697" t="n"/>
      <c r="BQ58" s="697" t="n"/>
      <c r="BR58" s="697" t="n"/>
      <c r="BS58" s="697" t="n"/>
      <c r="BT58" s="697" t="n"/>
      <c r="BU58" s="697" t="n"/>
      <c r="BV58" s="697" t="n"/>
      <c r="BW58" s="697" t="n"/>
      <c r="BX58" s="697" t="n"/>
      <c r="BY58" s="697" t="n"/>
      <c r="BZ58" s="697" t="n"/>
      <c r="CA58" s="699" t="n"/>
      <c r="CB58" s="699" t="n"/>
      <c r="CD58" s="50" t="n"/>
      <c r="CE58" s="573" t="n"/>
      <c r="CF58" s="573" t="n"/>
      <c r="DI58" s="41" t="n"/>
      <c r="DZ58" s="327" t="n"/>
      <c r="ED58" s="573" t="n"/>
      <c r="EG58" s="573" t="n"/>
      <c r="EL58" s="5" t="n"/>
      <c r="EM58" s="327" t="n"/>
      <c r="EP58" s="327" t="n"/>
      <c r="ER58" s="327" t="n"/>
      <c r="EV58" s="573" t="n"/>
      <c r="EW58" s="327" t="n"/>
      <c r="EZ58" s="327" t="n"/>
      <c r="FA58" s="573" t="n"/>
      <c r="FD58" s="573" t="n"/>
      <c r="FE58" s="573" t="n"/>
      <c r="FJ58" s="573" t="n"/>
    </row>
    <row r="59" hidden="1" ht="18.75" customHeight="1">
      <c r="A59" s="781" t="inlineStr">
        <is>
          <t>BOTI</t>
        </is>
      </c>
      <c r="B59" s="731" t="n"/>
      <c r="C59" s="731" t="n"/>
      <c r="D59" s="775" t="n"/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4" t="n"/>
      <c r="S59" s="697" t="n"/>
      <c r="T59" s="697" t="n"/>
      <c r="U59" s="697" t="n"/>
      <c r="V59" s="697" t="n"/>
      <c r="W59" s="697" t="n"/>
      <c r="X59" s="697" t="n"/>
      <c r="Y59" s="697" t="n"/>
      <c r="Z59" s="697" t="n"/>
      <c r="AA59" s="697" t="n"/>
      <c r="AB59" s="697" t="n"/>
      <c r="AC59" s="697" t="n"/>
      <c r="AD59" s="697" t="n"/>
      <c r="AE59" s="697" t="n"/>
      <c r="AF59" s="697" t="n"/>
      <c r="AG59" s="697" t="n"/>
      <c r="AH59" s="697" t="n"/>
      <c r="AI59" s="697" t="n"/>
      <c r="AJ59" s="697" t="n"/>
      <c r="AK59" s="697" t="n"/>
      <c r="AL59" s="697" t="n"/>
      <c r="AM59" s="697" t="n"/>
      <c r="AN59" s="697" t="n"/>
      <c r="AO59" s="697" t="n"/>
      <c r="AP59" s="697" t="n"/>
      <c r="AQ59" s="267" t="n"/>
      <c r="AR59" s="697" t="n"/>
      <c r="AS59" s="697" t="n"/>
      <c r="AT59" s="697" t="n"/>
      <c r="AU59" s="697" t="n"/>
      <c r="AV59" s="697" t="n"/>
      <c r="AW59" s="697" t="n"/>
      <c r="AX59" s="697" t="n"/>
      <c r="AY59" s="697" t="n"/>
      <c r="AZ59" s="697" t="n"/>
      <c r="BA59" s="697" t="n"/>
      <c r="BB59" s="697" t="n"/>
      <c r="BC59" s="697" t="n"/>
      <c r="BD59" s="697" t="n"/>
      <c r="BE59" s="697" t="n"/>
      <c r="BF59" s="697" t="n"/>
      <c r="BG59" s="697" t="n"/>
      <c r="BH59" s="697" t="n"/>
      <c r="BI59" s="697" t="n"/>
      <c r="BJ59" s="697" t="n"/>
      <c r="BK59" s="697" t="n"/>
      <c r="BL59" s="697" t="n"/>
      <c r="BM59" s="697" t="n"/>
      <c r="BN59" s="697" t="n"/>
      <c r="BO59" s="697" t="n"/>
      <c r="BP59" s="697" t="n"/>
      <c r="BQ59" s="697" t="n"/>
      <c r="BR59" s="697" t="n"/>
      <c r="BS59" s="697" t="n"/>
      <c r="BT59" s="697" t="n"/>
      <c r="BU59" s="697" t="n"/>
      <c r="BV59" s="697" t="n"/>
      <c r="BW59" s="697" t="n"/>
      <c r="BX59" s="697" t="n"/>
      <c r="BY59" s="697" t="n"/>
      <c r="BZ59" s="697" t="n"/>
      <c r="CA59" s="699" t="n"/>
      <c r="CB59" s="699" t="n"/>
      <c r="CD59" s="50" t="n"/>
      <c r="CE59" s="573" t="n"/>
      <c r="CF59" s="573" t="n"/>
      <c r="DI59" s="41" t="n"/>
      <c r="DO59" s="5" t="n"/>
      <c r="DP59" s="5" t="n"/>
      <c r="DR59" s="5" t="n"/>
      <c r="DZ59" s="327" t="n"/>
      <c r="ED59" s="573" t="n"/>
      <c r="EG59" s="573" t="n"/>
      <c r="EL59" s="5" t="n"/>
      <c r="EM59" s="327" t="n"/>
      <c r="EP59" s="327" t="n"/>
      <c r="EQ59" s="5" t="n"/>
      <c r="ER59" s="327" t="n"/>
      <c r="EW59" s="327" t="n"/>
      <c r="EZ59" s="327" t="n"/>
      <c r="FJ59" s="573" t="n"/>
    </row>
    <row r="60" hidden="1" ht="18.75" customFormat="1" customHeight="1" s="29">
      <c r="A60" s="781" t="inlineStr">
        <is>
          <t>BOTIK</t>
        </is>
      </c>
      <c r="B60" s="731" t="n"/>
      <c r="C60" s="731" t="n"/>
      <c r="D60" s="775" t="n"/>
      <c r="E60" s="5" t="n"/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4" t="n"/>
      <c r="S60" s="697" t="n"/>
      <c r="T60" s="697" t="n"/>
      <c r="U60" s="697" t="n"/>
      <c r="V60" s="697" t="n"/>
      <c r="W60" s="697" t="n"/>
      <c r="X60" s="697" t="n"/>
      <c r="Y60" s="697" t="n"/>
      <c r="Z60" s="697" t="n"/>
      <c r="AA60" s="697" t="n"/>
      <c r="AB60" s="697" t="n"/>
      <c r="AC60" s="697" t="n"/>
      <c r="AD60" s="697" t="n"/>
      <c r="AE60" s="697" t="n"/>
      <c r="AF60" s="697" t="n"/>
      <c r="AG60" s="697" t="n"/>
      <c r="AH60" s="697" t="n"/>
      <c r="AI60" s="697" t="n"/>
      <c r="AJ60" s="697" t="n"/>
      <c r="AK60" s="697" t="n"/>
      <c r="AL60" s="697" t="n"/>
      <c r="AM60" s="697" t="n"/>
      <c r="AN60" s="697" t="n"/>
      <c r="AO60" s="697" t="n"/>
      <c r="AP60" s="697" t="n"/>
      <c r="AQ60" s="267" t="n"/>
      <c r="AR60" s="697" t="n"/>
      <c r="AS60" s="697" t="n"/>
      <c r="AT60" s="697" t="n"/>
      <c r="AU60" s="697" t="n"/>
      <c r="AV60" s="697" t="n"/>
      <c r="AW60" s="697" t="n"/>
      <c r="AX60" s="697" t="n"/>
      <c r="AY60" s="697" t="n"/>
      <c r="AZ60" s="697" t="n"/>
      <c r="BA60" s="697" t="n"/>
      <c r="BB60" s="697" t="n"/>
      <c r="BC60" s="697" t="n"/>
      <c r="BD60" s="697" t="n"/>
      <c r="BE60" s="697" t="n"/>
      <c r="BF60" s="697" t="n"/>
      <c r="BG60" s="697" t="n"/>
      <c r="BH60" s="697" t="n"/>
      <c r="BI60" s="697" t="n"/>
      <c r="BJ60" s="697" t="n"/>
      <c r="BK60" s="697" t="n"/>
      <c r="BL60" s="697" t="n"/>
      <c r="BM60" s="697" t="n"/>
      <c r="BN60" s="697" t="n"/>
      <c r="BO60" s="697" t="n"/>
      <c r="BP60" s="697" t="n"/>
      <c r="BQ60" s="697" t="n"/>
      <c r="BR60" s="697" t="n"/>
      <c r="BS60" s="697" t="n"/>
      <c r="BT60" s="697" t="n"/>
      <c r="BU60" s="697" t="n"/>
      <c r="BV60" s="697" t="n"/>
      <c r="BW60" s="697" t="n"/>
      <c r="BX60" s="697" t="n"/>
      <c r="BY60" s="697" t="n"/>
      <c r="BZ60" s="697" t="n"/>
      <c r="CA60" s="699" t="n"/>
      <c r="CB60" s="699" t="n"/>
      <c r="CC60" s="573" t="n"/>
      <c r="CE60" s="51" t="n"/>
      <c r="CF60" s="51" t="n"/>
      <c r="CN60" s="59" t="n"/>
      <c r="DO60" s="5" t="n"/>
      <c r="DP60" s="5" t="n"/>
      <c r="DR60" s="5" t="n"/>
      <c r="DZ60" s="327" t="n"/>
      <c r="ED60" s="573" t="n"/>
      <c r="EG60" s="573" t="n"/>
      <c r="EL60" s="5" t="n"/>
      <c r="EM60" s="327" t="n"/>
      <c r="EP60" s="327" t="n"/>
      <c r="EQ60" s="5" t="n"/>
      <c r="ER60" s="327" t="n"/>
      <c r="EW60" s="327" t="n"/>
      <c r="EZ60" s="327" t="n"/>
      <c r="FJ60" s="573" t="n"/>
      <c r="FP60" s="5" t="n"/>
      <c r="FQ60" s="5" t="n"/>
      <c r="FR60" s="5" t="n"/>
      <c r="FS60" s="5" t="n"/>
      <c r="FT60" s="5" t="n"/>
      <c r="FU60" s="5" t="n"/>
      <c r="FV60" s="5" t="n"/>
      <c r="FW60" s="5" t="n"/>
      <c r="FX60" s="5" t="n"/>
      <c r="FY60" s="5" t="n"/>
      <c r="FZ60" s="5" t="n"/>
      <c r="GA60" s="5" t="n"/>
    </row>
    <row r="61" hidden="1" ht="18.75" customFormat="1" customHeight="1" s="29">
      <c r="A61" s="781" t="inlineStr">
        <is>
          <t>BASE SALICYC</t>
        </is>
      </c>
      <c r="B61" s="731" t="n"/>
      <c r="C61" s="731" t="n"/>
      <c r="D61" s="775" t="n"/>
      <c r="E61" s="5" t="n"/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4" t="n"/>
      <c r="S61" s="697" t="n"/>
      <c r="T61" s="697" t="n"/>
      <c r="U61" s="697" t="n"/>
      <c r="V61" s="697" t="n"/>
      <c r="W61" s="697" t="n"/>
      <c r="X61" s="697" t="n"/>
      <c r="Y61" s="697" t="n"/>
      <c r="Z61" s="697" t="n"/>
      <c r="AA61" s="697" t="n"/>
      <c r="AB61" s="697" t="n"/>
      <c r="AC61" s="697" t="n"/>
      <c r="AD61" s="697" t="n"/>
      <c r="AE61" s="697" t="n"/>
      <c r="AF61" s="697" t="n"/>
      <c r="AG61" s="697" t="n"/>
      <c r="AH61" s="697" t="n"/>
      <c r="AI61" s="697" t="n"/>
      <c r="AJ61" s="697" t="n"/>
      <c r="AK61" s="697" t="n"/>
      <c r="AL61" s="697" t="n"/>
      <c r="AM61" s="697" t="n"/>
      <c r="AN61" s="697" t="n"/>
      <c r="AO61" s="697" t="n"/>
      <c r="AP61" s="697" t="n"/>
      <c r="AQ61" s="267" t="n"/>
      <c r="AR61" s="697" t="n"/>
      <c r="AS61" s="697" t="n"/>
      <c r="AT61" s="697" t="n"/>
      <c r="AU61" s="697" t="n"/>
      <c r="AV61" s="697" t="n"/>
      <c r="AW61" s="697" t="n"/>
      <c r="AX61" s="697" t="n"/>
      <c r="AY61" s="697" t="n"/>
      <c r="AZ61" s="697" t="n"/>
      <c r="BA61" s="697" t="n"/>
      <c r="BB61" s="697" t="n"/>
      <c r="BC61" s="697" t="n"/>
      <c r="BD61" s="697" t="n"/>
      <c r="BE61" s="697" t="n"/>
      <c r="BF61" s="697" t="n"/>
      <c r="BG61" s="697" t="n"/>
      <c r="BH61" s="697" t="n"/>
      <c r="BI61" s="697" t="n"/>
      <c r="BJ61" s="697" t="n"/>
      <c r="BK61" s="697" t="n"/>
      <c r="BL61" s="697" t="n"/>
      <c r="BM61" s="697" t="n"/>
      <c r="BN61" s="697" t="n"/>
      <c r="BO61" s="697" t="n"/>
      <c r="BP61" s="697" t="n"/>
      <c r="BQ61" s="697" t="n"/>
      <c r="BR61" s="697" t="n"/>
      <c r="BS61" s="697" t="n"/>
      <c r="BT61" s="697" t="n"/>
      <c r="BU61" s="697" t="n"/>
      <c r="BV61" s="697" t="n"/>
      <c r="BW61" s="697" t="n"/>
      <c r="BX61" s="697" t="n"/>
      <c r="BY61" s="697" t="n"/>
      <c r="BZ61" s="697" t="n"/>
      <c r="CA61" s="699" t="n"/>
      <c r="CB61" s="699" t="n"/>
      <c r="CC61" s="5" t="n"/>
      <c r="CN61" s="59" t="n"/>
      <c r="DO61" s="5" t="n"/>
      <c r="DP61" s="5" t="n"/>
      <c r="DR61" s="5" t="n"/>
      <c r="DZ61" s="327" t="n"/>
      <c r="ED61" s="573" t="n"/>
      <c r="EG61" s="573" t="n"/>
      <c r="EL61" s="5" t="n"/>
      <c r="EM61" s="327" t="n"/>
      <c r="EP61" s="327" t="n"/>
      <c r="EQ61" s="5" t="n"/>
      <c r="ER61" s="327" t="n"/>
      <c r="EW61" s="327" t="n"/>
      <c r="EZ61" s="327" t="n"/>
      <c r="FJ61" s="573" t="n"/>
      <c r="FP61" s="5" t="n"/>
      <c r="FQ61" s="5" t="n"/>
      <c r="FR61" s="5" t="n"/>
      <c r="FS61" s="5" t="n"/>
      <c r="FT61" s="5" t="n"/>
      <c r="FU61" s="5" t="n"/>
      <c r="FV61" s="5" t="n"/>
      <c r="FW61" s="5" t="n"/>
      <c r="FX61" s="5" t="n"/>
      <c r="FY61" s="5" t="n"/>
      <c r="FZ61" s="5" t="n"/>
      <c r="GA61" s="5" t="n"/>
    </row>
    <row r="62" hidden="1" ht="18.75" customFormat="1" customHeight="1" s="29">
      <c r="A62" s="482" t="inlineStr">
        <is>
          <t xml:space="preserve">BOTI SUN </t>
        </is>
      </c>
      <c r="B62" s="483" t="n"/>
      <c r="C62" s="484" t="n"/>
      <c r="D62" s="484" t="n"/>
      <c r="E62" s="5" t="n"/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4" t="n"/>
      <c r="S62" s="697" t="n"/>
      <c r="T62" s="697" t="n"/>
      <c r="U62" s="697" t="n"/>
      <c r="V62" s="697" t="n"/>
      <c r="W62" s="697" t="n"/>
      <c r="X62" s="697" t="n"/>
      <c r="Y62" s="697" t="n"/>
      <c r="Z62" s="697" t="n"/>
      <c r="AA62" s="697" t="n"/>
      <c r="AB62" s="697" t="n"/>
      <c r="AC62" s="697" t="n"/>
      <c r="AD62" s="697" t="n"/>
      <c r="AE62" s="697" t="n"/>
      <c r="AF62" s="697" t="n"/>
      <c r="AG62" s="697" t="n"/>
      <c r="AH62" s="697" t="n"/>
      <c r="AI62" s="697" t="n"/>
      <c r="AJ62" s="697" t="n"/>
      <c r="AK62" s="697" t="n"/>
      <c r="AL62" s="697" t="n"/>
      <c r="AM62" s="697" t="n"/>
      <c r="AN62" s="697" t="n"/>
      <c r="AO62" s="697" t="n"/>
      <c r="AP62" s="697" t="n"/>
      <c r="AQ62" s="267" t="n"/>
      <c r="AR62" s="697" t="n"/>
      <c r="AS62" s="697" t="n"/>
      <c r="AT62" s="697" t="n"/>
      <c r="AU62" s="697" t="n"/>
      <c r="AV62" s="697" t="n"/>
      <c r="AW62" s="697" t="n"/>
      <c r="AX62" s="697" t="n"/>
      <c r="AY62" s="697" t="n"/>
      <c r="AZ62" s="697" t="n"/>
      <c r="BA62" s="697" t="n"/>
      <c r="BB62" s="697" t="n"/>
      <c r="BC62" s="697" t="n"/>
      <c r="BD62" s="697" t="n"/>
      <c r="BE62" s="697" t="n"/>
      <c r="BF62" s="697" t="n"/>
      <c r="BG62" s="697" t="n"/>
      <c r="BH62" s="697" t="n"/>
      <c r="BI62" s="697" t="n"/>
      <c r="BJ62" s="697" t="n"/>
      <c r="BK62" s="697" t="n"/>
      <c r="BL62" s="697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  <c r="BZ62" s="697" t="n"/>
      <c r="CA62" s="699" t="n"/>
      <c r="CB62" s="699" t="n"/>
      <c r="CC62" s="5" t="n"/>
      <c r="CN62" s="59" t="n"/>
      <c r="DO62" s="5" t="n"/>
      <c r="DP62" s="5" t="n"/>
      <c r="DR62" s="5" t="n"/>
      <c r="DZ62" s="327" t="n"/>
      <c r="ED62" s="5" t="n"/>
      <c r="EG62" s="573" t="n"/>
      <c r="EL62" s="5" t="n"/>
      <c r="EM62" s="327" t="n"/>
      <c r="EP62" s="327" t="n"/>
      <c r="EQ62" s="5" t="n"/>
      <c r="ER62" s="327" t="n"/>
      <c r="EW62" s="327" t="n"/>
      <c r="EZ62" s="327" t="n"/>
      <c r="FJ62" s="573" t="n"/>
      <c r="FP62" s="5" t="n"/>
      <c r="FQ62" s="5" t="n"/>
      <c r="FR62" s="5" t="n"/>
      <c r="FS62" s="5" t="n"/>
      <c r="FT62" s="5" t="n"/>
      <c r="FU62" s="5" t="n"/>
      <c r="FV62" s="5" t="n"/>
      <c r="FW62" s="5" t="n"/>
      <c r="FX62" s="5" t="n"/>
      <c r="FY62" s="5" t="n"/>
      <c r="FZ62" s="5" t="n"/>
      <c r="GA62" s="5" t="n"/>
    </row>
    <row r="63" hidden="1" ht="18.75" customFormat="1" customHeight="1" s="29">
      <c r="A63" s="482" t="inlineStr">
        <is>
          <t>Batin intense 120</t>
        </is>
      </c>
      <c r="B63" s="483" t="n"/>
      <c r="C63" s="484" t="n"/>
      <c r="D63" s="484" t="n"/>
      <c r="E63" s="5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4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26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697" t="n"/>
      <c r="CA63" s="699" t="n"/>
      <c r="CB63" s="699" t="n"/>
      <c r="CC63" s="5" t="n"/>
      <c r="CE63" s="5" t="n"/>
      <c r="CF63" s="5" t="n"/>
      <c r="CN63" s="59" t="n"/>
      <c r="DO63" s="5" t="n"/>
      <c r="DP63" s="5" t="n"/>
      <c r="DR63" s="5" t="n"/>
      <c r="DZ63" s="327" t="n"/>
      <c r="ED63" s="5" t="n"/>
      <c r="EG63" s="5" t="n"/>
      <c r="EL63" s="5" t="n"/>
      <c r="EM63" s="327" t="n"/>
      <c r="EP63" s="327" t="n"/>
      <c r="EQ63" s="5" t="n"/>
      <c r="ER63" s="327" t="n"/>
      <c r="EW63" s="327" t="n"/>
      <c r="EZ63" s="327" t="n"/>
      <c r="FJ63" s="5" t="n"/>
      <c r="FP63" s="5" t="n"/>
      <c r="FQ63" s="5" t="n"/>
      <c r="FR63" s="5" t="n"/>
      <c r="FS63" s="5" t="n"/>
      <c r="FT63" s="5" t="n"/>
      <c r="FU63" s="5" t="n"/>
      <c r="FV63" s="5" t="n"/>
      <c r="FW63" s="5" t="n"/>
      <c r="FX63" s="5" t="n"/>
      <c r="FY63" s="5" t="n"/>
      <c r="FZ63" s="5" t="n"/>
      <c r="GA63" s="5" t="n"/>
    </row>
    <row r="64" hidden="1" ht="18.75" customFormat="1" customHeight="1" s="29">
      <c r="A64" s="482" t="inlineStr">
        <is>
          <t xml:space="preserve">Floratta Romance Verao </t>
        </is>
      </c>
      <c r="B64" s="483" t="n"/>
      <c r="C64" s="484" t="n"/>
      <c r="D64" s="484" t="n"/>
      <c r="E64" s="5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4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26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5" t="n"/>
      <c r="CE64" s="5" t="n"/>
      <c r="CF64" s="5" t="n"/>
      <c r="CN64" s="59" t="n"/>
      <c r="DI64" s="5" t="n"/>
      <c r="DO64" s="5" t="n"/>
      <c r="DP64" s="5" t="n"/>
      <c r="DR64" s="5" t="n"/>
      <c r="DZ64" s="327" t="n"/>
      <c r="EB64" s="5" t="n"/>
      <c r="ED64" s="41" t="n"/>
      <c r="EG64" s="5" t="n"/>
      <c r="EL64" s="5" t="n"/>
      <c r="EM64" s="327" t="n"/>
      <c r="EP64" s="327" t="n"/>
      <c r="EQ64" s="5" t="n"/>
      <c r="ER64" s="327" t="n"/>
      <c r="EW64" s="327" t="n"/>
      <c r="EZ64" s="327" t="n"/>
      <c r="FJ64" s="5" t="n"/>
      <c r="FP64" s="5" t="n"/>
      <c r="FQ64" s="5" t="n"/>
      <c r="FR64" s="5" t="n"/>
      <c r="FS64" s="5" t="n"/>
      <c r="FT64" s="5" t="n"/>
      <c r="FU64" s="5" t="n"/>
      <c r="FV64" s="5" t="n"/>
      <c r="FW64" s="5" t="n"/>
      <c r="FX64" s="5" t="n"/>
      <c r="FY64" s="5" t="n"/>
      <c r="FZ64" s="5" t="n"/>
      <c r="GA64" s="5" t="n"/>
    </row>
    <row r="65" hidden="1" ht="18.75" customHeight="1">
      <c r="A65" s="781" t="inlineStr">
        <is>
          <t>quasar blue</t>
        </is>
      </c>
      <c r="B65" s="731" t="n"/>
      <c r="C65" s="731" t="n"/>
      <c r="D65" s="775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4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26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E65" s="5" t="n"/>
      <c r="CF65" s="5" t="n"/>
      <c r="DI65" s="5" t="n"/>
      <c r="DO65" s="5" t="n"/>
      <c r="DP65" s="5" t="n"/>
      <c r="DR65" s="5" t="n"/>
      <c r="DZ65" s="327" t="n"/>
      <c r="EB65" s="5" t="n"/>
      <c r="ED65" s="41" t="n"/>
      <c r="EG65" s="41" t="n"/>
      <c r="EL65" s="5" t="n"/>
      <c r="EM65" s="328" t="n"/>
      <c r="EP65" s="327" t="n"/>
      <c r="EQ65" s="5" t="n"/>
      <c r="ER65" s="327" t="n"/>
      <c r="EW65" s="327" t="n"/>
      <c r="EZ65" s="327" t="n"/>
      <c r="FJ65" s="41" t="n"/>
    </row>
    <row r="66" hidden="1" ht="18.75" customHeight="1">
      <c r="A66" s="781" t="inlineStr">
        <is>
          <t>arbo</t>
        </is>
      </c>
      <c r="B66" s="731" t="n"/>
      <c r="C66" s="731" t="n"/>
      <c r="D66" s="775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4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26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DI66" s="5" t="n"/>
      <c r="DO66" s="5" t="n"/>
      <c r="DP66" s="5" t="n"/>
      <c r="DR66" s="5" t="n"/>
      <c r="DZ66" s="328" t="n"/>
      <c r="EB66" s="5" t="n"/>
      <c r="ED66" s="41" t="n"/>
      <c r="EG66" s="41" t="n"/>
      <c r="EL66" s="5" t="n"/>
      <c r="EM66" s="328" t="n"/>
      <c r="EP66" s="328" t="n"/>
      <c r="EQ66" s="5" t="n"/>
      <c r="ER66" s="328" t="n"/>
      <c r="EW66" s="328" t="n"/>
      <c r="EZ66" s="328" t="n"/>
      <c r="FJ66" s="41" t="n"/>
    </row>
    <row r="67" hidden="1" ht="18.75" customHeight="1">
      <c r="A67" s="781" t="inlineStr">
        <is>
          <t>feirinha</t>
        </is>
      </c>
      <c r="B67" s="731" t="n"/>
      <c r="C67" s="731" t="n"/>
      <c r="D67" s="775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4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26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DO67" s="5" t="n"/>
      <c r="DP67" s="5" t="n"/>
      <c r="DR67" s="5" t="n"/>
      <c r="DZ67" s="328" t="n"/>
      <c r="EB67" s="5" t="n"/>
      <c r="EG67" s="41" t="n"/>
      <c r="EM67" s="329" t="n"/>
      <c r="EP67" s="328" t="n"/>
      <c r="EQ67" s="5" t="n"/>
      <c r="ER67" s="328" t="n"/>
      <c r="EW67" s="328" t="n"/>
      <c r="EZ67" s="328" t="n"/>
    </row>
    <row r="68" hidden="1" ht="18.75" customHeight="1">
      <c r="A68" s="482" t="inlineStr">
        <is>
          <t>rosa e algodão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4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26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DO68" s="5" t="n"/>
      <c r="DP68" s="5" t="n"/>
      <c r="DR68" s="5" t="n"/>
      <c r="DZ68" s="329" t="n"/>
      <c r="EB68" s="5" t="n"/>
      <c r="EL68" s="5" t="n"/>
      <c r="EM68" s="329" t="n"/>
      <c r="EP68" s="329" t="n"/>
      <c r="ER68" s="329" t="n"/>
      <c r="EW68" s="329" t="n"/>
      <c r="EZ68" s="329" t="n"/>
    </row>
    <row r="69" hidden="1" ht="18.75" customHeight="1">
      <c r="A69" s="482" t="inlineStr">
        <is>
          <t>vuvem hiratante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4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26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DO69" s="5" t="n"/>
      <c r="DP69" s="5" t="n"/>
      <c r="DR69" s="5" t="n"/>
      <c r="DZ69" s="329" t="n"/>
      <c r="EB69" s="5" t="n"/>
      <c r="EM69" s="329" t="n"/>
      <c r="EP69" s="329" t="n"/>
      <c r="EQ69" s="5" t="n"/>
      <c r="ER69" s="329" t="n"/>
      <c r="EW69" s="329" t="n"/>
      <c r="EZ69" s="329" t="n"/>
    </row>
    <row r="70" hidden="1" ht="18.75" customHeight="1">
      <c r="A70" s="781" t="inlineStr">
        <is>
          <t>04/09 - sem amostras</t>
        </is>
      </c>
      <c r="B70" s="731" t="n"/>
      <c r="C70" s="731" t="n"/>
      <c r="D70" s="775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4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26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DZ70" s="329" t="n"/>
      <c r="EB70" s="5" t="n"/>
      <c r="EM70" s="329" t="n"/>
      <c r="EP70" s="329" t="n"/>
      <c r="ER70" s="329" t="n"/>
      <c r="EW70" s="329" t="n"/>
      <c r="EZ70" s="329" t="n"/>
    </row>
    <row r="71" hidden="1" ht="18.75" customHeight="1">
      <c r="A71" s="781" t="inlineStr">
        <is>
          <t>LILLY GARDENIA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>
        <v>0</v>
      </c>
      <c r="L71" s="697" t="n">
        <v>0</v>
      </c>
      <c r="M71" s="697" t="n">
        <v>0</v>
      </c>
      <c r="N71" s="697" t="n">
        <v>0</v>
      </c>
      <c r="O71" s="697" t="n">
        <v>0</v>
      </c>
      <c r="P71" s="697" t="n">
        <v>0</v>
      </c>
      <c r="Q71" s="697" t="n">
        <v>0</v>
      </c>
      <c r="R71" s="697" t="n">
        <v>0</v>
      </c>
      <c r="S71" s="697" t="n">
        <v>0</v>
      </c>
      <c r="T71" s="697" t="n">
        <v>0</v>
      </c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26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DO71" s="5" t="n"/>
      <c r="DP71" s="5" t="n"/>
      <c r="DR71" s="5" t="n"/>
      <c r="DZ71" s="329" t="n"/>
      <c r="EB71" s="5" t="n"/>
      <c r="EL71" s="173" t="n"/>
      <c r="EM71" s="329" t="n"/>
      <c r="EP71" s="329" t="n"/>
      <c r="ER71" s="329" t="n"/>
      <c r="EW71" s="329" t="n"/>
      <c r="EZ71" s="329" t="n"/>
    </row>
    <row r="72" hidden="1" ht="18.75" customHeight="1">
      <c r="A72" s="781" t="inlineStr">
        <is>
          <t>EGEO CHOC HIGH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26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DZ72" s="329" t="n"/>
      <c r="EL72" s="173" t="n"/>
      <c r="EM72" s="329" t="n"/>
      <c r="EP72" s="329" t="n"/>
      <c r="EQ72" s="173" t="n"/>
      <c r="ER72" s="329" t="n"/>
      <c r="EW72" s="329" t="n"/>
      <c r="EZ72" s="329" t="n"/>
    </row>
    <row r="73" hidden="1" ht="18.75" customHeight="1">
      <c r="A73" s="781" t="inlineStr">
        <is>
          <t>MALBEC ICON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>
        <v>0</v>
      </c>
      <c r="L73" s="697" t="n">
        <v>0</v>
      </c>
      <c r="M73" s="697" t="n">
        <v>0</v>
      </c>
      <c r="N73" s="697" t="n">
        <v>0</v>
      </c>
      <c r="O73" s="697" t="n">
        <v>0</v>
      </c>
      <c r="P73" s="697" t="n">
        <v>0</v>
      </c>
      <c r="Q73" s="697" t="n">
        <v>0</v>
      </c>
      <c r="R73" s="697" t="n">
        <v>0</v>
      </c>
      <c r="S73" s="697" t="n">
        <v>0</v>
      </c>
      <c r="T73" s="697" t="n">
        <v>0</v>
      </c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26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DZ73" s="329" t="n"/>
      <c r="ED73" s="5" t="n"/>
      <c r="EL73" s="173" t="n"/>
      <c r="EM73" s="327" t="n"/>
      <c r="EP73" s="329" t="n"/>
      <c r="EQ73" s="173" t="n"/>
      <c r="ER73" s="329" t="n"/>
      <c r="EW73" s="329" t="n"/>
      <c r="EZ73" s="329" t="n"/>
      <c r="FJ73" s="5" t="n"/>
    </row>
    <row r="74">
      <c r="A74" s="781" t="inlineStr">
        <is>
          <t>CBEM HIDR. DOCURA NA PESSEGURA</t>
        </is>
      </c>
      <c r="B74" s="731" t="n"/>
      <c r="C74" s="731" t="n"/>
      <c r="D74" s="775" t="n"/>
      <c r="J74" s="697" t="n">
        <v>0</v>
      </c>
      <c r="K74" s="697" t="n">
        <v>100</v>
      </c>
      <c r="L74" s="697" t="n">
        <v>80</v>
      </c>
      <c r="M74" s="697" t="n">
        <v>65</v>
      </c>
      <c r="N74" s="697" t="n">
        <v>0</v>
      </c>
      <c r="O74" s="697" t="n">
        <v>0</v>
      </c>
      <c r="P74" s="697" t="n">
        <v>0</v>
      </c>
      <c r="Q74" s="697" t="n">
        <v>0</v>
      </c>
      <c r="R74" s="697" t="n">
        <v>0</v>
      </c>
      <c r="S74" s="697" t="n">
        <v>0</v>
      </c>
      <c r="T74" s="697" t="n">
        <v>0</v>
      </c>
      <c r="U74" s="697" t="n">
        <v>0</v>
      </c>
      <c r="V74" s="697" t="n">
        <v>10</v>
      </c>
      <c r="W74" s="697" t="n">
        <v>148</v>
      </c>
      <c r="X74" s="697" t="n">
        <v>140</v>
      </c>
      <c r="Y74" s="697" t="n">
        <v>90</v>
      </c>
      <c r="Z74" s="697" t="n">
        <v>14</v>
      </c>
      <c r="AA74" s="697" t="n">
        <v>0</v>
      </c>
      <c r="AB74" s="697" t="n">
        <v>0</v>
      </c>
      <c r="AC74" s="697" t="n">
        <v>0</v>
      </c>
      <c r="AD74" s="697" t="n">
        <v>0</v>
      </c>
      <c r="AE74" s="697" t="n">
        <v>0</v>
      </c>
      <c r="AF74" s="697" t="n">
        <v>0</v>
      </c>
      <c r="AG74" s="697" t="n">
        <v>0</v>
      </c>
      <c r="AH74" s="697" t="n">
        <v>0</v>
      </c>
      <c r="AI74" s="697" t="n">
        <v>0</v>
      </c>
      <c r="AJ74" s="697" t="n">
        <v>0</v>
      </c>
      <c r="AK74" s="697" t="n">
        <v>0</v>
      </c>
      <c r="AL74" s="697" t="n">
        <v>0</v>
      </c>
      <c r="AM74" s="697" t="n">
        <v>0</v>
      </c>
      <c r="AN74" s="697" t="n">
        <v>0</v>
      </c>
      <c r="AO74" s="697" t="n">
        <v>0</v>
      </c>
      <c r="AP74" s="697" t="n">
        <v>0</v>
      </c>
      <c r="AQ74" s="267" t="n">
        <v>0</v>
      </c>
      <c r="AR74" s="697" t="n">
        <v>0</v>
      </c>
      <c r="AS74" s="697" t="n">
        <v>0</v>
      </c>
      <c r="AT74" s="697" t="n">
        <v>0</v>
      </c>
      <c r="AU74" s="697" t="n">
        <v>0</v>
      </c>
      <c r="AV74" s="697" t="n">
        <v>0</v>
      </c>
      <c r="AW74" s="697" t="n">
        <v>0</v>
      </c>
      <c r="AX74" s="697" t="n">
        <v>0</v>
      </c>
      <c r="AY74" s="697" t="n">
        <v>0</v>
      </c>
      <c r="AZ74" s="697" t="n">
        <v>0</v>
      </c>
      <c r="BA74" s="697" t="n">
        <v>0</v>
      </c>
      <c r="BB74" s="697" t="n">
        <v>0</v>
      </c>
      <c r="BC74" s="697" t="n">
        <v>0</v>
      </c>
      <c r="BD74" s="697" t="n">
        <v>0</v>
      </c>
      <c r="BE74" s="697" t="n">
        <v>0</v>
      </c>
      <c r="BF74" s="697" t="n">
        <v>0</v>
      </c>
      <c r="BG74" s="697" t="n">
        <v>0</v>
      </c>
      <c r="BH74" s="697" t="n">
        <v>0</v>
      </c>
      <c r="BI74" s="697" t="n">
        <v>0</v>
      </c>
      <c r="BJ74" s="697" t="n">
        <v>0</v>
      </c>
      <c r="BK74" s="697" t="n">
        <v>0</v>
      </c>
      <c r="BL74" s="697" t="n">
        <v>0</v>
      </c>
      <c r="BM74" s="697" t="n">
        <v>0</v>
      </c>
      <c r="BN74" s="697" t="n">
        <v>0</v>
      </c>
      <c r="BO74" s="697" t="n">
        <v>0</v>
      </c>
      <c r="BP74" s="697" t="n">
        <v>0</v>
      </c>
      <c r="BQ74" s="697" t="n">
        <v>0</v>
      </c>
      <c r="BR74" s="697" t="n">
        <v>0</v>
      </c>
      <c r="BS74" s="697" t="n">
        <v>0</v>
      </c>
      <c r="BT74" s="697" t="n">
        <v>0</v>
      </c>
      <c r="BU74" s="697" t="n">
        <v>0</v>
      </c>
      <c r="BV74" s="697" t="n">
        <v>0</v>
      </c>
      <c r="BW74" s="697" t="n">
        <v>0</v>
      </c>
      <c r="BX74" s="697" t="n">
        <v>0</v>
      </c>
      <c r="BY74" s="697" t="n">
        <v>0</v>
      </c>
      <c r="BZ74" s="697" t="n"/>
      <c r="CA74" s="699" t="n"/>
      <c r="CB74" s="699" t="n"/>
      <c r="DO74" s="173" t="n"/>
      <c r="DP74" s="173" t="n"/>
      <c r="DR74" s="173" t="n"/>
      <c r="DZ74" s="327" t="n"/>
      <c r="ED74" s="5" t="n"/>
      <c r="EG74" s="5" t="n"/>
      <c r="EM74" s="327" t="n"/>
      <c r="EP74" s="327" t="n"/>
      <c r="EQ74" s="173" t="n"/>
      <c r="ER74" s="327" t="n"/>
      <c r="EW74" s="327" t="n"/>
      <c r="EZ74" s="327" t="n"/>
      <c r="FJ74" s="5" t="n"/>
    </row>
    <row r="75" hidden="1" ht="18.75" customHeight="1">
      <c r="A75" s="781" t="inlineStr">
        <is>
          <t>LILY BLANCHE</t>
        </is>
      </c>
      <c r="B75" s="731" t="n"/>
      <c r="C75" s="731" t="n"/>
      <c r="D75" s="775" t="n"/>
      <c r="L75" s="697" t="n">
        <v>0</v>
      </c>
      <c r="M75" s="697" t="n">
        <v>60</v>
      </c>
      <c r="N75" s="697" t="n">
        <v>68</v>
      </c>
      <c r="O75" s="697" t="n">
        <v>60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26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DO75" s="173" t="n"/>
      <c r="DP75" s="173" t="n"/>
      <c r="DR75" s="173" t="n"/>
      <c r="DZ75" s="327" t="n"/>
      <c r="ED75" s="5" t="n"/>
      <c r="EG75" s="5" t="n"/>
      <c r="EM75" s="327" t="n"/>
      <c r="EP75" s="327" t="n"/>
      <c r="ER75" s="327" t="n"/>
      <c r="EW75" s="327" t="n"/>
      <c r="EZ75" s="327" t="n"/>
      <c r="FJ75" s="5" t="n"/>
    </row>
    <row r="76">
      <c r="A76" s="781" t="inlineStr">
        <is>
          <t>MEN NBA</t>
        </is>
      </c>
      <c r="B76" s="731" t="n"/>
      <c r="C76" s="731" t="n"/>
      <c r="D76" s="775" t="n"/>
      <c r="O76" s="697" t="n">
        <v>0</v>
      </c>
      <c r="P76" s="697" t="n">
        <v>12</v>
      </c>
      <c r="Q76" s="697" t="n">
        <v>12</v>
      </c>
      <c r="R76" s="697" t="n">
        <v>12</v>
      </c>
      <c r="S76" s="697" t="n">
        <v>12</v>
      </c>
      <c r="T76" s="697" t="n">
        <v>60</v>
      </c>
      <c r="U76" s="697" t="n">
        <v>40</v>
      </c>
      <c r="V76" s="697" t="n">
        <v>213</v>
      </c>
      <c r="W76" s="697" t="n">
        <v>209</v>
      </c>
      <c r="X76" s="697" t="n">
        <v>189</v>
      </c>
      <c r="Y76" s="697" t="n">
        <v>160</v>
      </c>
      <c r="Z76" s="697" t="n">
        <v>120</v>
      </c>
      <c r="AA76" s="697" t="n">
        <v>0</v>
      </c>
      <c r="AB76" s="697" t="n">
        <v>0</v>
      </c>
      <c r="AC76" s="697" t="n">
        <v>0</v>
      </c>
      <c r="AD76" s="697" t="n">
        <v>0</v>
      </c>
      <c r="AE76" s="697" t="n">
        <v>0</v>
      </c>
      <c r="AF76" s="697" t="n">
        <v>0</v>
      </c>
      <c r="AG76" s="697" t="n">
        <v>0</v>
      </c>
      <c r="AH76" s="697" t="n">
        <v>0</v>
      </c>
      <c r="AI76" s="697" t="n">
        <v>0</v>
      </c>
      <c r="AJ76" s="697" t="n">
        <v>0</v>
      </c>
      <c r="AK76" s="697" t="n">
        <v>0</v>
      </c>
      <c r="AL76" s="697" t="n">
        <v>0</v>
      </c>
      <c r="AM76" s="697" t="n">
        <v>0</v>
      </c>
      <c r="AN76" s="697" t="n">
        <v>0</v>
      </c>
      <c r="AO76" s="697" t="n">
        <v>0</v>
      </c>
      <c r="AP76" s="697" t="n">
        <v>0</v>
      </c>
      <c r="AQ76" s="267" t="n">
        <v>0</v>
      </c>
      <c r="AR76" s="697" t="n">
        <v>0</v>
      </c>
      <c r="AS76" s="697" t="n">
        <v>0</v>
      </c>
      <c r="AT76" s="697" t="n">
        <v>0</v>
      </c>
      <c r="AU76" s="697" t="n">
        <v>0</v>
      </c>
      <c r="AV76" s="697" t="n">
        <v>0</v>
      </c>
      <c r="AW76" s="697" t="n">
        <v>0</v>
      </c>
      <c r="AX76" s="697" t="n">
        <v>0</v>
      </c>
      <c r="AY76" s="697" t="n">
        <v>0</v>
      </c>
      <c r="AZ76" s="697" t="n">
        <v>0</v>
      </c>
      <c r="BA76" s="697" t="n">
        <v>0</v>
      </c>
      <c r="BB76" s="697" t="n">
        <v>0</v>
      </c>
      <c r="BC76" s="697" t="n">
        <v>0</v>
      </c>
      <c r="BD76" s="697" t="n">
        <v>0</v>
      </c>
      <c r="BE76" s="697" t="n">
        <v>0</v>
      </c>
      <c r="BF76" s="697" t="n">
        <v>0</v>
      </c>
      <c r="BG76" s="697" t="n">
        <v>0</v>
      </c>
      <c r="BH76" s="697" t="n">
        <v>0</v>
      </c>
      <c r="BI76" s="697" t="n">
        <v>0</v>
      </c>
      <c r="BJ76" s="697" t="n">
        <v>0</v>
      </c>
      <c r="BK76" s="697" t="n">
        <v>0</v>
      </c>
      <c r="BL76" s="697" t="n">
        <v>0</v>
      </c>
      <c r="BM76" s="697" t="n">
        <v>0</v>
      </c>
      <c r="BN76" s="697" t="n">
        <v>0</v>
      </c>
      <c r="BO76" s="697" t="n">
        <v>0</v>
      </c>
      <c r="BP76" s="697" t="n">
        <v>0</v>
      </c>
      <c r="BQ76" s="697" t="n">
        <v>0</v>
      </c>
      <c r="BR76" s="697" t="n">
        <v>0</v>
      </c>
      <c r="BS76" s="697" t="n">
        <v>0</v>
      </c>
      <c r="BT76" s="697" t="n">
        <v>0</v>
      </c>
      <c r="BU76" s="697" t="n">
        <v>0</v>
      </c>
      <c r="BV76" s="697" t="n">
        <v>0</v>
      </c>
      <c r="BW76" s="697" t="n">
        <v>0</v>
      </c>
      <c r="BX76" s="697" t="n">
        <v>0</v>
      </c>
      <c r="BY76" s="697" t="n">
        <v>0</v>
      </c>
      <c r="BZ76" s="697" t="n"/>
      <c r="CA76" s="699" t="n"/>
      <c r="CB76" s="699" t="n"/>
      <c r="DO76" s="173" t="n"/>
      <c r="DP76" s="173" t="n"/>
      <c r="DR76" s="173" t="n"/>
      <c r="DZ76" s="327" t="n"/>
      <c r="EG76" s="5" t="n"/>
      <c r="EP76" s="327" t="n"/>
      <c r="ER76" s="327" t="n"/>
      <c r="EW76" s="327" t="n"/>
      <c r="EZ76" s="327" t="n"/>
    </row>
    <row r="77">
      <c r="A77" s="781" t="inlineStr">
        <is>
          <t>QUASAR DEEP BLUE</t>
        </is>
      </c>
      <c r="B77" s="731" t="n"/>
      <c r="C77" s="731" t="n"/>
      <c r="D77" s="775" t="n"/>
      <c r="S77" s="697" t="n">
        <v>0</v>
      </c>
      <c r="T77" s="697" t="n">
        <v>60</v>
      </c>
      <c r="U77" s="697" t="n">
        <v>45</v>
      </c>
      <c r="V77" s="697" t="n">
        <v>183</v>
      </c>
      <c r="W77" s="697" t="n">
        <v>167</v>
      </c>
      <c r="X77" s="697" t="n">
        <v>160</v>
      </c>
      <c r="Y77" s="697" t="n">
        <v>100</v>
      </c>
      <c r="Z77" s="697" t="n">
        <v>132</v>
      </c>
      <c r="AA77" s="697" t="n">
        <v>0</v>
      </c>
      <c r="AB77" s="697" t="n">
        <v>0</v>
      </c>
      <c r="AC77" s="697" t="n">
        <v>0</v>
      </c>
      <c r="AD77" s="697" t="n">
        <v>0</v>
      </c>
      <c r="AE77" s="697" t="n">
        <v>0</v>
      </c>
      <c r="AF77" s="697" t="n">
        <v>0</v>
      </c>
      <c r="AG77" s="697" t="n">
        <v>0</v>
      </c>
      <c r="AH77" s="697" t="n">
        <v>0</v>
      </c>
      <c r="AI77" s="697" t="n">
        <v>0</v>
      </c>
      <c r="AJ77" s="697" t="n">
        <v>0</v>
      </c>
      <c r="AK77" s="697" t="n">
        <v>0</v>
      </c>
      <c r="AL77" s="697" t="n">
        <v>0</v>
      </c>
      <c r="AM77" s="697" t="n">
        <v>0</v>
      </c>
      <c r="AN77" s="697" t="n">
        <v>0</v>
      </c>
      <c r="AO77" s="697" t="n">
        <v>0</v>
      </c>
      <c r="AP77" s="697" t="n">
        <v>0</v>
      </c>
      <c r="AQ77" s="267" t="n">
        <v>0</v>
      </c>
      <c r="AR77" s="697" t="n">
        <v>0</v>
      </c>
      <c r="AS77" s="697" t="n">
        <v>0</v>
      </c>
      <c r="AT77" s="697" t="n">
        <v>0</v>
      </c>
      <c r="AU77" s="697" t="n">
        <v>0</v>
      </c>
      <c r="AV77" s="697" t="n">
        <v>0</v>
      </c>
      <c r="AW77" s="697" t="n">
        <v>0</v>
      </c>
      <c r="AX77" s="697" t="n">
        <v>0</v>
      </c>
      <c r="AY77" s="697" t="n">
        <v>0</v>
      </c>
      <c r="AZ77" s="697" t="n">
        <v>0</v>
      </c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>
        <v>0</v>
      </c>
      <c r="BL77" s="697" t="n">
        <v>0</v>
      </c>
      <c r="BM77" s="697" t="n">
        <v>0</v>
      </c>
      <c r="BN77" s="697" t="n">
        <v>0</v>
      </c>
      <c r="BO77" s="697" t="n">
        <v>0</v>
      </c>
      <c r="BP77" s="697" t="n">
        <v>0</v>
      </c>
      <c r="BQ77" s="697" t="n">
        <v>0</v>
      </c>
      <c r="BR77" s="697" t="n">
        <v>0</v>
      </c>
      <c r="BS77" s="697" t="n">
        <v>0</v>
      </c>
      <c r="BT77" s="697" t="n">
        <v>0</v>
      </c>
      <c r="BU77" s="697" t="n">
        <v>0</v>
      </c>
      <c r="BV77" s="697" t="n">
        <v>0</v>
      </c>
      <c r="BW77" s="697" t="n">
        <v>0</v>
      </c>
      <c r="BX77" s="697" t="n">
        <v>0</v>
      </c>
      <c r="BY77" s="697" t="n">
        <v>0</v>
      </c>
      <c r="BZ77" s="697" t="n"/>
      <c r="CA77" s="699" t="n"/>
      <c r="CB77" s="699" t="n"/>
    </row>
    <row r="78">
      <c r="A78" s="781" t="inlineStr">
        <is>
          <t>ARBO ATLATICA</t>
        </is>
      </c>
      <c r="B78" s="731" t="n"/>
      <c r="C78" s="731" t="n"/>
      <c r="D78" s="775" t="n"/>
      <c r="S78" s="697" t="n"/>
      <c r="T78" s="697" t="n"/>
      <c r="U78" s="697" t="n">
        <v>0</v>
      </c>
      <c r="V78" s="697" t="n">
        <v>162</v>
      </c>
      <c r="W78" s="697" t="n">
        <v>152</v>
      </c>
      <c r="X78" s="697" t="n">
        <v>145</v>
      </c>
      <c r="Y78" s="697" t="n">
        <v>100</v>
      </c>
      <c r="Z78" s="697" t="n">
        <v>118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26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  <c r="BZ78" s="697" t="n"/>
      <c r="CA78" s="699" t="n"/>
      <c r="CB78" s="699" t="n"/>
    </row>
    <row r="79">
      <c r="A79" s="781" t="inlineStr">
        <is>
          <t>PROTETOR FACIAL COM COR</t>
        </is>
      </c>
      <c r="B79" s="731" t="n"/>
      <c r="C79" s="731" t="n"/>
      <c r="D79" s="775" t="n"/>
      <c r="Z79" s="32" t="n">
        <v>0</v>
      </c>
      <c r="AA79" s="697" t="n">
        <v>0</v>
      </c>
      <c r="AB79" s="697" t="n">
        <v>20</v>
      </c>
      <c r="AC79" s="697" t="n">
        <v>8</v>
      </c>
      <c r="AD79" s="697" t="n">
        <v>0</v>
      </c>
      <c r="AE79" s="697" t="n">
        <v>2</v>
      </c>
      <c r="AF79" s="697" t="n">
        <v>0</v>
      </c>
      <c r="AG79" s="697" t="n">
        <v>0</v>
      </c>
      <c r="AH79" s="697" t="n">
        <v>0</v>
      </c>
      <c r="AI79" s="697" t="n">
        <v>0</v>
      </c>
      <c r="AJ79" s="697" t="n">
        <v>0</v>
      </c>
      <c r="AK79" s="697" t="n">
        <v>0</v>
      </c>
      <c r="AL79" s="697" t="n">
        <v>0</v>
      </c>
      <c r="AM79" s="697" t="n">
        <v>0</v>
      </c>
      <c r="AN79" s="697" t="n">
        <v>0</v>
      </c>
      <c r="AO79" s="697" t="n">
        <v>0</v>
      </c>
      <c r="AP79" s="697" t="n">
        <v>0</v>
      </c>
      <c r="AQ79" s="267" t="n">
        <v>0</v>
      </c>
      <c r="AR79" s="697" t="n">
        <v>0</v>
      </c>
      <c r="AS79" s="697" t="n">
        <v>0</v>
      </c>
      <c r="AT79" s="697" t="n">
        <v>0</v>
      </c>
      <c r="AU79" s="697" t="n">
        <v>0</v>
      </c>
      <c r="AV79" s="697" t="n">
        <v>0</v>
      </c>
      <c r="AW79" s="697" t="n">
        <v>0</v>
      </c>
      <c r="AX79" s="697" t="n">
        <v>0</v>
      </c>
      <c r="AY79" s="697" t="n">
        <v>0</v>
      </c>
      <c r="AZ79" s="697" t="n">
        <v>0</v>
      </c>
      <c r="BA79" s="697" t="n">
        <v>0</v>
      </c>
      <c r="BB79" s="697" t="n">
        <v>0</v>
      </c>
      <c r="BC79" s="697" t="n">
        <v>0</v>
      </c>
      <c r="BD79" s="697" t="n">
        <v>0</v>
      </c>
      <c r="BE79" s="697" t="n">
        <v>0</v>
      </c>
      <c r="BF79" s="697" t="n">
        <v>0</v>
      </c>
      <c r="BG79" s="697" t="n">
        <v>0</v>
      </c>
      <c r="BH79" s="697" t="n">
        <v>0</v>
      </c>
      <c r="BI79" s="697" t="n">
        <v>0</v>
      </c>
      <c r="BJ79" s="697" t="n">
        <v>0</v>
      </c>
      <c r="BK79" s="697" t="n">
        <v>0</v>
      </c>
      <c r="BL79" s="697" t="n">
        <v>0</v>
      </c>
      <c r="BM79" s="697" t="n">
        <v>0</v>
      </c>
      <c r="BN79" s="697" t="n">
        <v>0</v>
      </c>
      <c r="BO79" s="697" t="n">
        <v>0</v>
      </c>
      <c r="BP79" s="697" t="n">
        <v>0</v>
      </c>
      <c r="BQ79" s="697" t="n">
        <v>0</v>
      </c>
      <c r="BR79" s="697" t="n">
        <v>0</v>
      </c>
      <c r="BS79" s="697" t="n">
        <v>0</v>
      </c>
      <c r="BT79" s="697" t="n">
        <v>0</v>
      </c>
      <c r="BU79" s="697" t="n">
        <v>0</v>
      </c>
      <c r="BV79" s="697" t="n">
        <v>0</v>
      </c>
      <c r="BW79" s="697" t="n">
        <v>0</v>
      </c>
      <c r="BX79" s="697" t="n">
        <v>0</v>
      </c>
      <c r="BY79" s="697" t="n">
        <v>0</v>
      </c>
      <c r="BZ79" s="697" t="n"/>
      <c r="CA79" s="699" t="n"/>
      <c r="CB79" s="699" t="n"/>
    </row>
    <row r="80">
      <c r="A80" s="781" t="inlineStr">
        <is>
          <t>SHAMPOO CACHOS DE UVA</t>
        </is>
      </c>
      <c r="B80" s="731" t="n"/>
      <c r="C80" s="731" t="n"/>
      <c r="D80" s="775" t="n"/>
      <c r="Z80" s="32" t="n">
        <v>0</v>
      </c>
      <c r="AA80" s="32" t="n">
        <v>0</v>
      </c>
      <c r="AB80" s="32" t="n">
        <v>0</v>
      </c>
      <c r="AC80" s="32" t="n">
        <v>0</v>
      </c>
      <c r="AD80" s="32" t="n">
        <v>0</v>
      </c>
      <c r="AE80" s="697" t="n">
        <v>0</v>
      </c>
      <c r="AF80" s="697" t="n">
        <v>1</v>
      </c>
      <c r="AG80" s="697" t="n">
        <v>0</v>
      </c>
      <c r="AH80" s="697" t="n">
        <v>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26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  <c r="BZ80" s="697" t="n"/>
      <c r="CA80" s="699" t="n"/>
      <c r="CB80" s="699" t="n"/>
    </row>
    <row r="81">
      <c r="A81" s="781" t="inlineStr">
        <is>
          <t>EGEO COGU</t>
        </is>
      </c>
      <c r="B81" s="731" t="n"/>
      <c r="C81" s="731" t="n"/>
      <c r="D81" s="775" t="n"/>
      <c r="AG81" s="697" t="n">
        <v>0</v>
      </c>
      <c r="AH81" s="697" t="n">
        <v>29</v>
      </c>
      <c r="AI81" s="697" t="n">
        <v>10</v>
      </c>
      <c r="AJ81" s="697" t="n">
        <v>6</v>
      </c>
      <c r="AK81" s="697" t="n">
        <v>2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26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697" t="n"/>
      <c r="CA81" s="699" t="n"/>
      <c r="CB81" s="699" t="n"/>
    </row>
    <row r="82">
      <c r="A82" s="781" t="inlineStr">
        <is>
          <t>HER CODE CLIMAX</t>
        </is>
      </c>
      <c r="B82" s="731" t="n"/>
      <c r="C82" s="731" t="n"/>
      <c r="D82" s="775" t="n"/>
      <c r="AL82" s="697" t="n">
        <v>0</v>
      </c>
      <c r="AM82" s="697" t="n">
        <v>8</v>
      </c>
      <c r="AN82" s="697" t="n">
        <v>3</v>
      </c>
      <c r="AO82" s="697" t="n">
        <v>0</v>
      </c>
      <c r="AP82" s="697" t="n">
        <v>0</v>
      </c>
      <c r="AQ82" s="26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  <c r="BZ82" s="697" t="n"/>
      <c r="CA82" s="699" t="n"/>
      <c r="CB82" s="699" t="n"/>
    </row>
    <row r="83">
      <c r="A83" s="781" t="inlineStr">
        <is>
          <t>FLORATTA BOUQUET</t>
        </is>
      </c>
      <c r="B83" s="731" t="n"/>
      <c r="C83" s="731" t="n"/>
      <c r="D83" s="775" t="n"/>
      <c r="AP83" s="697" t="n">
        <v>0</v>
      </c>
      <c r="AQ83" s="267" t="n">
        <v>30</v>
      </c>
      <c r="AR83" s="697" t="n">
        <v>22</v>
      </c>
      <c r="AS83" s="697" t="n">
        <v>16</v>
      </c>
      <c r="AT83" s="697" t="n">
        <v>0</v>
      </c>
      <c r="AU83" s="697" t="n">
        <v>12</v>
      </c>
      <c r="AV83" s="697" t="n">
        <v>8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</row>
    <row r="84">
      <c r="A84" s="781" t="n"/>
      <c r="B84" s="731" t="n"/>
      <c r="C84" s="731" t="n"/>
      <c r="D84" s="775" t="n"/>
      <c r="AP84" s="697" t="n"/>
      <c r="AQ84" s="267" t="n"/>
      <c r="AR84" s="697" t="n"/>
      <c r="AS84" s="697" t="n"/>
      <c r="AT84" s="697" t="n"/>
      <c r="AU84" s="697" t="n"/>
      <c r="AV84" s="697" t="n"/>
      <c r="AW84" s="697" t="n"/>
      <c r="AX84" s="697" t="n"/>
      <c r="AY84" s="697" t="n"/>
      <c r="AZ84" s="697" t="n"/>
      <c r="BA84" s="697" t="n"/>
      <c r="BB84" s="697" t="n"/>
      <c r="BC84" s="697" t="n"/>
      <c r="BD84" s="697" t="n"/>
      <c r="BE84" s="697" t="n"/>
      <c r="BF84" s="697" t="n"/>
      <c r="BG84" s="697" t="n"/>
      <c r="BH84" s="697" t="n"/>
      <c r="BI84" s="697" t="n"/>
      <c r="BJ84" s="697" t="n"/>
      <c r="BK84" s="697" t="n"/>
      <c r="BL84" s="697" t="n"/>
      <c r="BM84" s="697" t="n"/>
      <c r="BN84" s="697" t="n"/>
      <c r="BO84" s="697" t="n"/>
      <c r="BP84" s="697" t="n"/>
      <c r="BQ84" s="697" t="n"/>
      <c r="BR84" s="697" t="n"/>
      <c r="BS84" s="697" t="n"/>
      <c r="BT84" s="697" t="n"/>
      <c r="BU84" s="697" t="n"/>
      <c r="BV84" s="697" t="n"/>
      <c r="BW84" s="697" t="n"/>
      <c r="BX84" s="697" t="n"/>
      <c r="BY84" s="697" t="n"/>
      <c r="BZ84" s="697" t="n"/>
      <c r="CA84" s="699" t="n"/>
      <c r="CB84" s="699" t="n"/>
    </row>
  </sheetData>
  <mergeCells count="32">
    <mergeCell ref="F5:BZ5"/>
    <mergeCell ref="A72:D72"/>
    <mergeCell ref="A81:D81"/>
    <mergeCell ref="A1:BZ1"/>
    <mergeCell ref="A67:D67"/>
    <mergeCell ref="A58:D58"/>
    <mergeCell ref="A77:D77"/>
    <mergeCell ref="A83:D83"/>
    <mergeCell ref="A82:D82"/>
    <mergeCell ref="A59:D59"/>
    <mergeCell ref="A73:D73"/>
    <mergeCell ref="FN7:FV7"/>
    <mergeCell ref="A60:D60"/>
    <mergeCell ref="A5:A6"/>
    <mergeCell ref="A70:D70"/>
    <mergeCell ref="A79:D79"/>
    <mergeCell ref="A61:D61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57:D57"/>
    <mergeCell ref="A71:D71"/>
    <mergeCell ref="A76:D76"/>
    <mergeCell ref="B2:D2"/>
    <mergeCell ref="C5:C6"/>
  </mergeCells>
  <conditionalFormatting sqref="CC8:CD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5" fitToHeight="0"/>
</worksheet>
</file>

<file path=xl/worksheets/sheet6.xml><?xml version="1.0" encoding="utf-8"?>
<worksheet xmlns="http://schemas.openxmlformats.org/spreadsheetml/2006/main">
  <sheetPr codeName="Planilha24">
    <tabColor theme="9"/>
    <outlinePr summaryBelow="1" summaryRight="1"/>
    <pageSetUpPr/>
  </sheetPr>
  <dimension ref="A1:MB84"/>
  <sheetViews>
    <sheetView showGridLines="0" topLeftCell="A4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7.28515625" customWidth="1" style="42" min="1" max="1"/>
    <col width="11.28515625" customWidth="1" style="5" min="2" max="2"/>
    <col width="15" customWidth="1" style="5" min="3" max="4"/>
    <col width="1.7109375" customWidth="1" style="5" min="5" max="5"/>
    <col hidden="1" width="8.85546875" customWidth="1" style="5" min="6" max="48"/>
    <col hidden="1" width="9.28515625" customWidth="1" style="5" min="49" max="75"/>
    <col width="9.28515625" customWidth="1" style="5" min="76" max="77"/>
    <col width="8.28515625" customWidth="1" style="5" min="78" max="78"/>
    <col width="1.28515625" customWidth="1" style="29" min="79" max="79"/>
    <col width="14.28515625" bestFit="1" customWidth="1" style="29" min="80" max="81"/>
    <col width="1.7109375" customWidth="1" style="29" min="82" max="82"/>
    <col width="15.85546875" bestFit="1" customWidth="1" style="29" min="83" max="83"/>
    <col width="1.7109375" customWidth="1" style="29" min="84" max="84"/>
    <col width="9.28515625" customWidth="1" style="29" min="85" max="87"/>
    <col width="8.7109375" customWidth="1" style="59" min="88" max="88"/>
    <col width="9.28515625" customWidth="1" style="29" min="89" max="89"/>
    <col hidden="1" width="9.28515625" customWidth="1" style="29" min="90" max="99"/>
    <col hidden="1" width="12.85546875" customWidth="1" style="29" min="100" max="100"/>
    <col hidden="1" width="9.28515625" customWidth="1" style="29" min="101" max="106"/>
    <col hidden="1" width="12.85546875" customWidth="1" style="29" min="107" max="107"/>
    <col hidden="1" width="9.28515625" customWidth="1" style="29" min="108" max="108"/>
    <col hidden="1" width="9.42578125" customWidth="1" style="59" min="109" max="109"/>
    <col hidden="1" width="9.28515625" customWidth="1" style="29" min="110" max="114"/>
    <col hidden="1" width="14.42578125" customWidth="1" style="29" min="115" max="116"/>
    <col hidden="1" width="9.28515625" customWidth="1" style="29" min="117" max="117"/>
    <col hidden="1" width="9.7109375" customWidth="1" style="29" min="118" max="118"/>
    <col hidden="1" width="9.28515625" customWidth="1" style="29" min="119" max="119"/>
    <col hidden="1" width="12.85546875" customWidth="1" style="29" min="120" max="120"/>
    <col hidden="1" width="9.28515625" customWidth="1" style="29" min="121" max="122"/>
    <col hidden="1" width="13" customWidth="1" style="29" min="123" max="123"/>
    <col hidden="1" width="9.28515625" customWidth="1" style="29" min="124" max="125"/>
    <col hidden="1" width="14.7109375" customWidth="1" style="323" min="126" max="126"/>
    <col hidden="1" width="9.28515625" customWidth="1" style="29" min="127" max="127"/>
    <col hidden="1" width="25.5703125" customWidth="1" style="59" min="128" max="128"/>
    <col hidden="1" width="9.28515625" customWidth="1" style="29" min="129" max="129"/>
    <col hidden="1" width="17.5703125" customWidth="1" style="59" min="130" max="130"/>
    <col hidden="1" width="12.85546875" customWidth="1" style="29" min="131" max="131"/>
    <col hidden="1" width="9.28515625" customWidth="1" style="29" min="132" max="132"/>
    <col hidden="1" width="8.7109375" customWidth="1" style="59" min="133" max="133"/>
    <col hidden="1" width="12.85546875" customWidth="1" style="29" min="134" max="134"/>
    <col hidden="1" width="9.28515625" customWidth="1" style="29" min="135" max="137"/>
    <col hidden="1" width="13.5703125" customWidth="1" style="29" min="138" max="138"/>
    <col hidden="1" width="14.85546875" customWidth="1" style="323" min="139" max="139"/>
    <col hidden="1" width="12.85546875" customWidth="1" style="29" min="140" max="140"/>
    <col hidden="1" width="9.28515625" customWidth="1" style="29" min="141" max="141"/>
    <col hidden="1" width="14.85546875" customWidth="1" style="323" min="142" max="142"/>
    <col hidden="1" width="9.7109375" customWidth="1" style="29" min="143" max="143"/>
    <col hidden="1" width="14.85546875" customWidth="1" style="323" min="144" max="144"/>
    <col hidden="1" width="9.28515625" customWidth="1" style="29" min="145" max="147"/>
    <col hidden="1" width="24.28515625" customWidth="1" style="29" min="148" max="148"/>
    <col hidden="1" width="12.5703125" customWidth="1" style="323" min="149" max="149"/>
    <col hidden="1" width="9.28515625" customWidth="1" style="29" min="150" max="151"/>
    <col hidden="1" width="12" customWidth="1" style="323" min="152" max="152"/>
    <col hidden="1" width="13.42578125" customWidth="1" style="29" min="153" max="153"/>
    <col hidden="1" width="9.28515625" customWidth="1" style="29" min="154" max="155"/>
    <col hidden="1" width="13.42578125" customWidth="1" style="29" min="156" max="156"/>
    <col hidden="1" width="12.7109375" customWidth="1" style="29" min="157" max="158"/>
    <col hidden="1" width="9.28515625" customWidth="1" style="29" min="159" max="161"/>
    <col hidden="1" width="26.140625" customWidth="1" style="59" min="162" max="162"/>
    <col hidden="1" width="9.28515625" customWidth="1" style="29" min="163" max="166"/>
    <col width="3.28515625" customWidth="1" style="5" min="167" max="167"/>
    <col width="21.85546875" bestFit="1" customWidth="1" style="5" min="168" max="168"/>
    <col width="9.140625" customWidth="1" style="5" min="169" max="169"/>
    <col hidden="1" width="13" customWidth="1" style="5" min="170" max="173"/>
    <col width="9.140625" customWidth="1" style="5" min="174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49" t="n"/>
      <c r="DF1" s="132" t="n"/>
      <c r="DG1" s="132" t="n"/>
      <c r="DH1" s="132" t="n"/>
      <c r="DI1" s="132" t="n"/>
      <c r="DJ1" s="132" t="n"/>
      <c r="DK1" s="149" t="n"/>
      <c r="DL1" s="149" t="n"/>
      <c r="DM1" s="132" t="n"/>
      <c r="DN1" s="149" t="n"/>
      <c r="DO1" s="132" t="n"/>
      <c r="DP1" s="132" t="n"/>
      <c r="DQ1" s="132" t="n"/>
      <c r="DR1" s="132" t="n"/>
      <c r="DS1" s="132" t="n"/>
      <c r="DT1" s="132" t="n"/>
      <c r="DU1" s="132" t="n"/>
      <c r="DV1" s="488" t="n"/>
      <c r="DW1" s="132" t="n"/>
      <c r="DX1" s="149" t="n"/>
      <c r="DY1" s="132" t="n"/>
      <c r="DZ1" s="149" t="n"/>
      <c r="EA1" s="132" t="n"/>
      <c r="EB1" s="132" t="n"/>
      <c r="EC1" s="149" t="n"/>
      <c r="ED1" s="132" t="n"/>
      <c r="EE1" s="132" t="n"/>
      <c r="EF1" s="132" t="n"/>
      <c r="EG1" s="132" t="n"/>
      <c r="EH1" s="149" t="n"/>
      <c r="EI1" s="488" t="n"/>
      <c r="EJ1" s="132" t="n"/>
      <c r="EK1" s="132" t="n"/>
      <c r="EL1" s="488" t="n"/>
      <c r="EM1" s="149" t="n"/>
      <c r="EN1" s="488" t="n"/>
      <c r="EO1" s="132" t="n"/>
      <c r="EP1" s="132" t="n"/>
      <c r="EQ1" s="132" t="n"/>
      <c r="ER1" s="132" t="n"/>
      <c r="ES1" s="488" t="n"/>
      <c r="ET1" s="132" t="n"/>
      <c r="EU1" s="132" t="n"/>
      <c r="EV1" s="488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49" t="n"/>
      <c r="FG1" s="132" t="n"/>
      <c r="FH1" s="132" t="n"/>
      <c r="FI1" s="132" t="n"/>
      <c r="FJ1" s="132" t="n"/>
    </row>
    <row r="2">
      <c r="A2" s="43" t="inlineStr">
        <is>
          <t>LOJA:</t>
        </is>
      </c>
      <c r="B2" s="722" t="inlineStr">
        <is>
          <t>BSH</t>
        </is>
      </c>
      <c r="C2" s="723" t="n"/>
      <c r="D2" s="724" t="n"/>
      <c r="CA2" s="5" t="n"/>
      <c r="CB2" s="5" t="n"/>
      <c r="CC2" s="5" t="n"/>
      <c r="DK2" s="5" t="n"/>
      <c r="DL2" s="5" t="n"/>
      <c r="DN2" s="5" t="n"/>
      <c r="EH2" s="5" t="n"/>
      <c r="EM2" s="5" t="n"/>
    </row>
    <row r="3">
      <c r="A3" s="43" t="inlineStr">
        <is>
          <t>Responsável:</t>
        </is>
      </c>
      <c r="B3" s="725" t="inlineStr">
        <is>
          <t>JANICE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5" t="n"/>
      <c r="CD3" s="726" t="n"/>
      <c r="DK3" s="726" t="n"/>
      <c r="DL3" s="726" t="n"/>
      <c r="DN3" s="726" t="n"/>
      <c r="EI3" s="29" t="n"/>
      <c r="EM3" s="726" t="n"/>
    </row>
    <row r="4" ht="18" customHeight="1">
      <c r="CA4" s="133" t="n"/>
      <c r="CE4" s="5" t="n"/>
      <c r="CJ4" s="249" t="n"/>
      <c r="DE4" s="249" t="n"/>
      <c r="DK4" s="5" t="n"/>
      <c r="DL4" s="5" t="n"/>
      <c r="DN4" s="5" t="n"/>
      <c r="DV4" s="324" t="n"/>
      <c r="DX4" s="249" t="n"/>
      <c r="DZ4" s="249" t="n"/>
      <c r="EC4" s="249" t="n"/>
      <c r="EH4" s="5" t="n"/>
      <c r="EI4" s="324" t="n"/>
      <c r="EL4" s="324" t="n"/>
      <c r="EM4" s="5" t="n"/>
      <c r="EN4" s="324" t="n"/>
      <c r="ES4" s="324" t="n"/>
      <c r="EV4" s="324" t="n"/>
      <c r="FF4" s="249" t="n"/>
    </row>
    <row r="5" ht="23.2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90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75" t="n"/>
      <c r="CA5" s="60" t="n"/>
      <c r="CB5" s="44" t="inlineStr">
        <is>
          <t>Pendências</t>
        </is>
      </c>
      <c r="CC5" s="44" t="inlineStr">
        <is>
          <t>Pendências</t>
        </is>
      </c>
      <c r="CD5" s="5" t="n"/>
      <c r="CE5" s="12" t="inlineStr">
        <is>
          <t>Novo Pedido</t>
        </is>
      </c>
      <c r="CF5" s="5" t="n"/>
      <c r="CG5" s="734" t="n">
        <v>46149</v>
      </c>
      <c r="CH5" s="734" t="n">
        <v>46142</v>
      </c>
      <c r="CI5" s="734" t="n">
        <v>46114</v>
      </c>
      <c r="CJ5" s="735" t="n">
        <v>46065</v>
      </c>
      <c r="CK5" s="734" t="n">
        <v>46099</v>
      </c>
      <c r="CL5" s="734" t="n">
        <v>46092</v>
      </c>
      <c r="CM5" s="734" t="n">
        <v>46084</v>
      </c>
      <c r="CN5" s="734" t="n">
        <v>46071</v>
      </c>
      <c r="CO5" s="734" t="n">
        <v>46056</v>
      </c>
      <c r="CP5" s="734" t="n">
        <v>46048</v>
      </c>
      <c r="CQ5" s="734" t="n">
        <v>46035</v>
      </c>
      <c r="CR5" s="734" t="n">
        <v>46043</v>
      </c>
      <c r="CS5" s="734" t="n">
        <v>46029</v>
      </c>
      <c r="CT5" s="734" t="n">
        <v>46024</v>
      </c>
      <c r="CU5" s="734" t="n">
        <v>46017</v>
      </c>
      <c r="CV5" s="736" t="inlineStr">
        <is>
          <t>TRANSF.</t>
        </is>
      </c>
      <c r="CW5" s="734" t="n">
        <v>46007</v>
      </c>
      <c r="CX5" s="734" t="n">
        <v>46001</v>
      </c>
      <c r="CY5" s="734" t="n">
        <v>45994</v>
      </c>
      <c r="CZ5" s="734" t="n">
        <v>45980</v>
      </c>
      <c r="DA5" s="734" t="n">
        <v>45965</v>
      </c>
      <c r="DB5" s="734" t="n">
        <v>45960</v>
      </c>
      <c r="DC5" s="736" t="inlineStr">
        <is>
          <t>TRANSF.</t>
        </is>
      </c>
      <c r="DD5" s="734" t="n">
        <v>45951</v>
      </c>
      <c r="DE5" s="737" t="n">
        <v>45903</v>
      </c>
      <c r="DF5" s="734" t="n">
        <v>45945</v>
      </c>
      <c r="DG5" s="734" t="n">
        <v>45937</v>
      </c>
      <c r="DH5" s="734" t="n">
        <v>45931</v>
      </c>
      <c r="DI5" s="734" t="n">
        <v>45923</v>
      </c>
      <c r="DJ5" s="734" t="n">
        <v>45923</v>
      </c>
      <c r="DK5" s="738" t="inlineStr">
        <is>
          <t>TRANSF.</t>
        </is>
      </c>
      <c r="DL5" s="738" t="inlineStr">
        <is>
          <t>TRANSF.</t>
        </is>
      </c>
      <c r="DM5" s="734" t="n">
        <v>45915</v>
      </c>
      <c r="DN5" s="738" t="n">
        <v>45863</v>
      </c>
      <c r="DO5" s="734" t="n">
        <v>45903</v>
      </c>
      <c r="DP5" s="736" t="inlineStr">
        <is>
          <t>TRANSF.</t>
        </is>
      </c>
      <c r="DQ5" s="734" t="n">
        <v>45895</v>
      </c>
      <c r="DR5" s="734" t="n">
        <v>45888</v>
      </c>
      <c r="DS5" s="739" t="inlineStr">
        <is>
          <t>TRANSF.</t>
        </is>
      </c>
      <c r="DT5" s="734" t="n">
        <v>45881</v>
      </c>
      <c r="DU5" s="734" t="n">
        <v>45874</v>
      </c>
      <c r="DV5" s="740" t="inlineStr">
        <is>
          <t>TRANSF.</t>
        </is>
      </c>
      <c r="DW5" s="734" t="n">
        <v>45860</v>
      </c>
      <c r="DX5" s="741" t="inlineStr">
        <is>
          <t>COLLAB DORAMA</t>
        </is>
      </c>
      <c r="DY5" s="734" t="n">
        <v>45848</v>
      </c>
      <c r="DZ5" s="739" t="inlineStr">
        <is>
          <t>AUTOMÁTICO</t>
        </is>
      </c>
      <c r="EA5" s="736" t="inlineStr">
        <is>
          <t>TRANSF.</t>
        </is>
      </c>
      <c r="EB5" s="734" t="n">
        <v>45839</v>
      </c>
      <c r="EC5" s="739" t="n">
        <v>45791</v>
      </c>
      <c r="ED5" s="736" t="inlineStr">
        <is>
          <t>TRANSF.</t>
        </is>
      </c>
      <c r="EE5" s="734" t="n">
        <v>45832</v>
      </c>
      <c r="EF5" s="734" t="n">
        <v>45825</v>
      </c>
      <c r="EG5" s="734" t="n">
        <v>45813</v>
      </c>
      <c r="EH5" s="742" t="inlineStr">
        <is>
          <t>TRANSF.</t>
        </is>
      </c>
      <c r="EI5" s="740" t="inlineStr">
        <is>
          <t>TRANSF.</t>
        </is>
      </c>
      <c r="EJ5" s="736" t="inlineStr">
        <is>
          <t>TRANSF.</t>
        </is>
      </c>
      <c r="EK5" s="734" t="n">
        <v>45805</v>
      </c>
      <c r="EL5" s="740" t="inlineStr">
        <is>
          <t>TRANSF.</t>
        </is>
      </c>
      <c r="EM5" s="742" t="n">
        <v>45735</v>
      </c>
      <c r="EN5" s="740" t="inlineStr">
        <is>
          <t>TRANSF.</t>
        </is>
      </c>
      <c r="EO5" s="734" t="n">
        <v>45783</v>
      </c>
      <c r="EP5" s="734" t="n">
        <v>45770</v>
      </c>
      <c r="EQ5" s="734" t="n">
        <v>45756</v>
      </c>
      <c r="ER5" s="743" t="inlineStr">
        <is>
          <t>TRANSF. DISNEY/24</t>
        </is>
      </c>
      <c r="ES5" s="740" t="inlineStr">
        <is>
          <t>TRANSF.</t>
        </is>
      </c>
      <c r="ET5" s="734" t="n">
        <v>45749</v>
      </c>
      <c r="EU5" s="734" t="n">
        <v>45734</v>
      </c>
      <c r="EV5" s="740" t="n">
        <v>45700</v>
      </c>
      <c r="EW5" s="736" t="inlineStr">
        <is>
          <t>TRANSF.</t>
        </is>
      </c>
      <c r="EX5" s="734" t="n">
        <v>45728</v>
      </c>
      <c r="EY5" s="734" t="n">
        <v>45722</v>
      </c>
      <c r="EZ5" s="736" t="inlineStr">
        <is>
          <t>TRANSF.</t>
        </is>
      </c>
      <c r="FA5" s="736" t="inlineStr">
        <is>
          <t>TRANSF.</t>
        </is>
      </c>
      <c r="FB5" s="736" t="inlineStr">
        <is>
          <t>TRANSF.</t>
        </is>
      </c>
      <c r="FC5" s="734" t="n">
        <v>45714</v>
      </c>
      <c r="FD5" s="734" t="n">
        <v>45706</v>
      </c>
      <c r="FE5" s="734" t="n">
        <v>45699</v>
      </c>
      <c r="FF5" s="744" t="inlineStr">
        <is>
          <t>TRANSF. NATAL/24</t>
        </is>
      </c>
      <c r="FG5" s="734" t="n">
        <v>45679</v>
      </c>
      <c r="FH5" s="734" t="n">
        <v>45674</v>
      </c>
      <c r="FI5" s="734" t="n">
        <v>45660</v>
      </c>
      <c r="FJ5" s="734" t="n">
        <v>45652</v>
      </c>
    </row>
    <row r="6" customFormat="1" s="3">
      <c r="A6" s="745" t="n"/>
      <c r="B6" s="745" t="n"/>
      <c r="C6" s="745" t="n"/>
      <c r="D6" s="745" t="n"/>
      <c r="E6" s="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750" t="n"/>
      <c r="CD6" s="751" t="n"/>
      <c r="CE6" s="752" t="n">
        <v>46156</v>
      </c>
      <c r="CF6" s="751" t="n"/>
      <c r="CG6" s="734" t="n">
        <v>46155</v>
      </c>
      <c r="CH6" s="734" t="n">
        <v>46149</v>
      </c>
      <c r="CI6" s="734" t="n">
        <v>46125</v>
      </c>
      <c r="CJ6" s="735" t="n">
        <v>46111</v>
      </c>
      <c r="CK6" s="734" t="n">
        <v>46106</v>
      </c>
      <c r="CL6" s="734" t="n">
        <v>46099</v>
      </c>
      <c r="CM6" s="734" t="n">
        <v>46091</v>
      </c>
      <c r="CN6" s="734" t="n">
        <v>46077</v>
      </c>
      <c r="CO6" s="734" t="n">
        <v>46059</v>
      </c>
      <c r="CP6" s="734" t="n">
        <v>46055</v>
      </c>
      <c r="CQ6" s="734" t="n">
        <v>46037</v>
      </c>
      <c r="CR6" s="734" t="n">
        <v>46049</v>
      </c>
      <c r="CS6" s="734" t="n">
        <v>46036</v>
      </c>
      <c r="CT6" s="734" t="n">
        <v>46034</v>
      </c>
      <c r="CU6" s="734" t="n">
        <v>46024</v>
      </c>
      <c r="CV6" s="736" t="n">
        <v>46013</v>
      </c>
      <c r="CW6" s="734" t="n">
        <v>46010</v>
      </c>
      <c r="CX6" s="734" t="n">
        <v>46009</v>
      </c>
      <c r="CY6" s="734" t="n">
        <v>46000</v>
      </c>
      <c r="CZ6" s="734" t="n">
        <v>45989</v>
      </c>
      <c r="DA6" s="734" t="n">
        <v>45972</v>
      </c>
      <c r="DB6" s="734" t="n">
        <v>45967</v>
      </c>
      <c r="DC6" s="736" t="n">
        <v>45961</v>
      </c>
      <c r="DD6" s="734" t="n">
        <v>45958</v>
      </c>
      <c r="DE6" s="753" t="n">
        <v>45957</v>
      </c>
      <c r="DF6" s="734" t="n">
        <v>45952</v>
      </c>
      <c r="DG6" s="734" t="n">
        <v>45947</v>
      </c>
      <c r="DH6" s="734" t="n">
        <v>45938</v>
      </c>
      <c r="DI6" s="734" t="n">
        <v>45938</v>
      </c>
      <c r="DJ6" s="734" t="n">
        <v>45926</v>
      </c>
      <c r="DK6" s="754" t="n">
        <v>45924</v>
      </c>
      <c r="DL6" s="754" t="n">
        <v>45923</v>
      </c>
      <c r="DM6" s="734" t="n">
        <v>45922</v>
      </c>
      <c r="DN6" s="754" t="n">
        <v>45917</v>
      </c>
      <c r="DO6" s="734" t="n">
        <v>45908</v>
      </c>
      <c r="DP6" s="736" t="n">
        <v>45902</v>
      </c>
      <c r="DQ6" s="734" t="n">
        <v>45901</v>
      </c>
      <c r="DR6" s="734" t="n">
        <v>45891</v>
      </c>
      <c r="DS6" s="739" t="n">
        <v>45888</v>
      </c>
      <c r="DT6" s="734" t="n">
        <v>45884</v>
      </c>
      <c r="DU6" s="734" t="n">
        <v>45877</v>
      </c>
      <c r="DV6" s="740" t="n">
        <v>45863</v>
      </c>
      <c r="DW6" s="734" t="n">
        <v>45863</v>
      </c>
      <c r="DX6" s="741" t="n">
        <v>45856</v>
      </c>
      <c r="DY6" s="734" t="n">
        <v>45853</v>
      </c>
      <c r="DZ6" s="739" t="n">
        <v>45852</v>
      </c>
      <c r="EA6" s="736" t="n">
        <v>45851</v>
      </c>
      <c r="EB6" s="734" t="n">
        <v>45846</v>
      </c>
      <c r="EC6" s="739" t="n">
        <v>45841</v>
      </c>
      <c r="ED6" s="736" t="n">
        <v>45841</v>
      </c>
      <c r="EE6" s="734" t="n">
        <v>45838</v>
      </c>
      <c r="EF6" s="734" t="n">
        <v>45832</v>
      </c>
      <c r="EG6" s="734" t="n">
        <v>45819</v>
      </c>
      <c r="EH6" s="755" t="n">
        <v>45826</v>
      </c>
      <c r="EI6" s="740" t="n">
        <v>45826</v>
      </c>
      <c r="EJ6" s="736" t="n">
        <v>45812</v>
      </c>
      <c r="EK6" s="734" t="n">
        <v>45811</v>
      </c>
      <c r="EL6" s="740" t="n">
        <v>45800</v>
      </c>
      <c r="EM6" s="755" t="n">
        <v>45797</v>
      </c>
      <c r="EN6" s="740" t="n">
        <v>45790</v>
      </c>
      <c r="EO6" s="734" t="n">
        <v>45785</v>
      </c>
      <c r="EP6" s="734" t="n">
        <v>45776</v>
      </c>
      <c r="EQ6" s="734" t="n">
        <v>45775</v>
      </c>
      <c r="ER6" s="743" t="n">
        <v>45761</v>
      </c>
      <c r="ES6" s="740" t="n">
        <v>45759</v>
      </c>
      <c r="ET6" s="734" t="n">
        <v>45755</v>
      </c>
      <c r="EU6" s="734" t="n">
        <v>45743</v>
      </c>
      <c r="EV6" s="740" t="n">
        <v>45743</v>
      </c>
      <c r="EW6" s="736" t="n">
        <v>45731</v>
      </c>
      <c r="EX6" s="734" t="n">
        <v>45733</v>
      </c>
      <c r="EY6" s="734" t="n">
        <v>45727</v>
      </c>
      <c r="EZ6" s="736" t="n">
        <v>45727</v>
      </c>
      <c r="FA6" s="736" t="n">
        <v>45724</v>
      </c>
      <c r="FB6" s="736" t="n">
        <v>45722</v>
      </c>
      <c r="FC6" s="734" t="n">
        <v>45721</v>
      </c>
      <c r="FD6" s="734" t="n">
        <v>45713</v>
      </c>
      <c r="FE6" s="734" t="n">
        <v>45702</v>
      </c>
      <c r="FF6" s="744" t="n">
        <v>45698</v>
      </c>
      <c r="FG6" s="734" t="n">
        <v>45686</v>
      </c>
      <c r="FH6" s="734" t="n">
        <v>45680</v>
      </c>
      <c r="FI6" s="734" t="n">
        <v>45665</v>
      </c>
      <c r="FJ6" s="734" t="n">
        <v>45659</v>
      </c>
      <c r="FL6" s="5" t="n"/>
      <c r="FM6" s="5" t="n"/>
      <c r="FN6" s="5" t="n"/>
      <c r="FO6" s="5" t="n"/>
      <c r="FP6" s="5" t="n"/>
      <c r="FQ6" s="5" t="n"/>
      <c r="FR6" s="5" t="n"/>
      <c r="FS6" s="5" t="n"/>
      <c r="FT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13" t="n"/>
      <c r="CC7" s="13" t="n"/>
      <c r="CE7" s="24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inlineStr">
        <is>
          <t>HA</t>
        </is>
      </c>
      <c r="DO7" s="13" t="n"/>
      <c r="DP7" s="13" t="n"/>
      <c r="DQ7" s="13" t="n"/>
      <c r="DR7" s="13" t="n"/>
      <c r="DS7" s="13" t="inlineStr">
        <is>
          <t>PAIS/25</t>
        </is>
      </c>
      <c r="DT7" s="13" t="n"/>
      <c r="DU7" s="13" t="n"/>
      <c r="DV7" s="13" t="inlineStr">
        <is>
          <t>MÃES/25</t>
        </is>
      </c>
      <c r="DW7" s="13" t="n"/>
      <c r="DX7" s="13" t="inlineStr">
        <is>
          <t>ENVIO AUTOMÁTICO</t>
        </is>
      </c>
      <c r="DY7" s="13" t="n"/>
      <c r="DZ7" s="13" t="n"/>
      <c r="EA7" s="13" t="n"/>
      <c r="EB7" s="13" t="n"/>
      <c r="EC7" s="13" t="n"/>
      <c r="ED7" s="13" t="n"/>
      <c r="EE7" s="13" t="n"/>
      <c r="EF7" s="13" t="n"/>
      <c r="EG7" s="13" t="n"/>
      <c r="EH7" s="13" t="inlineStr">
        <is>
          <t>NAMO/25</t>
        </is>
      </c>
      <c r="EI7" s="13" t="inlineStr">
        <is>
          <t>MÃES/25</t>
        </is>
      </c>
      <c r="EJ7" s="13" t="n"/>
      <c r="EK7" s="13" t="n"/>
      <c r="EL7" s="13" t="inlineStr">
        <is>
          <t>MÃES/25</t>
        </is>
      </c>
      <c r="EM7" s="320" t="n"/>
      <c r="EN7" s="13" t="inlineStr">
        <is>
          <t>MÃES/25</t>
        </is>
      </c>
      <c r="EO7" s="13" t="n"/>
      <c r="EP7" s="13" t="n"/>
      <c r="EQ7" s="13" t="n"/>
      <c r="ER7" s="320" t="n"/>
      <c r="ES7" s="13" t="inlineStr">
        <is>
          <t>MÃES/25</t>
        </is>
      </c>
      <c r="ET7" s="13" t="n"/>
      <c r="EU7" s="13" t="n"/>
      <c r="EV7" s="13" t="inlineStr">
        <is>
          <t>MÃES/25</t>
        </is>
      </c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L7" s="235" t="inlineStr">
        <is>
          <t>MÃES 2026</t>
        </is>
      </c>
      <c r="FM7" s="731" t="n"/>
      <c r="FN7" s="731" t="n"/>
      <c r="FO7" s="731" t="n"/>
      <c r="FP7" s="731" t="n"/>
      <c r="FQ7" s="731" t="n"/>
      <c r="FR7" s="731" t="n"/>
      <c r="FS7" s="731" t="n"/>
      <c r="FT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1400+FJ8</f>
        <v/>
      </c>
      <c r="G8" s="697" t="n">
        <v>1600</v>
      </c>
      <c r="H8" s="697" t="n">
        <v>1600</v>
      </c>
      <c r="I8" s="697" t="n">
        <v>1600</v>
      </c>
      <c r="J8" s="697" t="n">
        <v>1550</v>
      </c>
      <c r="K8" s="697" t="n">
        <v>1400</v>
      </c>
      <c r="L8" s="697" t="n">
        <v>1300</v>
      </c>
      <c r="M8" s="697" t="n">
        <v>1225</v>
      </c>
      <c r="N8" s="697" t="n">
        <v>1100</v>
      </c>
      <c r="O8" s="697" t="n">
        <v>900</v>
      </c>
      <c r="P8" s="697" t="n">
        <v>925</v>
      </c>
      <c r="Q8" s="697" t="n">
        <v>800</v>
      </c>
      <c r="R8" s="697" t="n">
        <v>800</v>
      </c>
      <c r="S8" s="697" t="n">
        <v>600</v>
      </c>
      <c r="T8" s="697">
        <f>550+ET8</f>
        <v/>
      </c>
      <c r="U8" s="697" t="n">
        <v>850</v>
      </c>
      <c r="V8" s="697" t="n">
        <v>600</v>
      </c>
      <c r="W8" s="697" t="n">
        <v>900</v>
      </c>
      <c r="X8" s="697" t="n">
        <v>1050</v>
      </c>
      <c r="Y8" s="697" t="n">
        <v>1325</v>
      </c>
      <c r="Z8" s="697" t="n">
        <v>1095</v>
      </c>
      <c r="AA8" s="697" t="n">
        <v>900</v>
      </c>
      <c r="AB8" s="697" t="n">
        <v>900</v>
      </c>
      <c r="AC8" s="697" t="n">
        <v>675</v>
      </c>
      <c r="AD8" s="697" t="n">
        <v>600</v>
      </c>
      <c r="AE8" s="697" t="n">
        <v>300</v>
      </c>
      <c r="AF8" s="697">
        <f>300+EE8</f>
        <v/>
      </c>
      <c r="AG8" s="697" t="n">
        <v>575</v>
      </c>
      <c r="AH8" s="697" t="n">
        <v>320</v>
      </c>
      <c r="AI8" s="697" t="n">
        <v>160</v>
      </c>
      <c r="AJ8" s="697" t="n">
        <v>720</v>
      </c>
      <c r="AK8" s="697" t="n">
        <v>600</v>
      </c>
      <c r="AL8" s="697" t="n">
        <v>440</v>
      </c>
      <c r="AM8" s="697" t="n">
        <v>600</v>
      </c>
      <c r="AN8" s="697">
        <f>600+DR8</f>
        <v/>
      </c>
      <c r="AO8" s="697" t="n">
        <v>1200</v>
      </c>
      <c r="AP8" s="697" t="n">
        <v>1200</v>
      </c>
      <c r="AQ8" s="697" t="n">
        <v>900</v>
      </c>
      <c r="AR8" s="697" t="n">
        <v>770</v>
      </c>
      <c r="AS8" s="697" t="n">
        <v>720</v>
      </c>
      <c r="AT8" s="697" t="n">
        <v>560</v>
      </c>
      <c r="AU8" s="697">
        <f>420+DG8</f>
        <v/>
      </c>
      <c r="AV8" s="697" t="n">
        <v>660</v>
      </c>
      <c r="AW8" s="697" t="n">
        <v>560</v>
      </c>
      <c r="AX8" s="697" t="n">
        <v>560</v>
      </c>
      <c r="AY8" s="697">
        <f>560+DA8</f>
        <v/>
      </c>
      <c r="AZ8" s="697" t="n">
        <v>300</v>
      </c>
      <c r="BA8" s="697">
        <f>230+CZ8</f>
        <v/>
      </c>
      <c r="BB8" s="697" t="n">
        <v>900</v>
      </c>
      <c r="BC8" s="697">
        <f>80+CY8</f>
        <v/>
      </c>
      <c r="BD8" s="697" t="n">
        <v>380</v>
      </c>
      <c r="BE8" s="697" t="n">
        <v>980</v>
      </c>
      <c r="BF8" s="314" t="n">
        <v>1709</v>
      </c>
      <c r="BG8" s="697" t="n">
        <v>2200</v>
      </c>
      <c r="BH8" s="697" t="n">
        <v>2200</v>
      </c>
      <c r="BI8" s="697" t="n">
        <v>2250</v>
      </c>
      <c r="BJ8" s="697" t="n">
        <v>2220</v>
      </c>
      <c r="BK8" s="697" t="n">
        <v>1800</v>
      </c>
      <c r="BL8" s="697" t="n">
        <v>1800</v>
      </c>
      <c r="BM8" s="697" t="n">
        <v>1640</v>
      </c>
      <c r="BN8" s="697" t="n">
        <v>1560</v>
      </c>
      <c r="BO8" s="697" t="n">
        <v>1500</v>
      </c>
      <c r="BP8" s="697" t="n">
        <v>900</v>
      </c>
      <c r="BQ8" s="697">
        <f>900+CL8</f>
        <v/>
      </c>
      <c r="BR8" s="697" t="n">
        <v>1200</v>
      </c>
      <c r="BS8" s="697" t="n">
        <v>1200</v>
      </c>
      <c r="BT8" s="697" t="n">
        <v>900</v>
      </c>
      <c r="BU8" s="697" t="n">
        <v>900</v>
      </c>
      <c r="BV8" s="697" t="n">
        <v>900</v>
      </c>
      <c r="BW8" s="697" t="n">
        <v>650</v>
      </c>
      <c r="BX8" s="697" t="n">
        <v>300</v>
      </c>
      <c r="BY8" s="697">
        <f>300+CG8</f>
        <v/>
      </c>
      <c r="BZ8" s="192">
        <f>BX8+IF(NOT(ISBLANK(OFFSET(BZ8,0,6))),N(OFFSET(BZ8,0,6)),N(OFFSET(BZ8,0,7)))-BY8</f>
        <v/>
      </c>
      <c r="CA8" s="129" t="n"/>
      <c r="CB8" s="22" t="n"/>
      <c r="CC8" s="22" t="n"/>
      <c r="CE8" s="27" t="n"/>
      <c r="CG8" s="23" t="n">
        <v>600</v>
      </c>
      <c r="CH8" s="23" t="n">
        <v>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/>
      <c r="CT8" s="23" t="n"/>
      <c r="CU8" s="23" t="n">
        <v>600</v>
      </c>
      <c r="CV8" s="23" t="n"/>
      <c r="CW8" s="23" t="n">
        <v>600</v>
      </c>
      <c r="CX8" s="23" t="n">
        <v>900</v>
      </c>
      <c r="CY8" s="23" t="n">
        <v>300</v>
      </c>
      <c r="CZ8" s="23" t="n">
        <v>900</v>
      </c>
      <c r="DA8" s="23" t="n">
        <v>300</v>
      </c>
      <c r="DB8" s="23" t="n"/>
      <c r="DC8" s="23" t="n"/>
      <c r="DD8" s="23" t="n"/>
      <c r="DE8" s="219" t="n"/>
      <c r="DF8" s="23" t="n"/>
      <c r="DG8" s="23" t="n">
        <v>300</v>
      </c>
      <c r="DH8" s="23" t="n"/>
      <c r="DI8" s="23" t="n"/>
      <c r="DJ8" s="23" t="n"/>
      <c r="DK8" s="219" t="n"/>
      <c r="DL8" s="219" t="n"/>
      <c r="DM8" s="23" t="n"/>
      <c r="DN8" s="219" t="n"/>
      <c r="DO8" s="23" t="n"/>
      <c r="DP8" s="23" t="n"/>
      <c r="DQ8" s="23" t="n"/>
      <c r="DR8" s="23" t="n">
        <v>600</v>
      </c>
      <c r="DS8" s="23" t="n"/>
      <c r="DT8" s="23" t="n">
        <v>300</v>
      </c>
      <c r="DU8" s="23" t="n"/>
      <c r="DV8" s="219" t="n"/>
      <c r="DW8" s="23" t="n">
        <v>600</v>
      </c>
      <c r="DX8" s="219" t="n"/>
      <c r="DY8" s="23" t="n"/>
      <c r="DZ8" s="219" t="n"/>
      <c r="EA8" s="23" t="n"/>
      <c r="EB8" s="23" t="n"/>
      <c r="EC8" s="219" t="n"/>
      <c r="ED8" s="23" t="n"/>
      <c r="EE8" s="23" t="n">
        <v>300</v>
      </c>
      <c r="EF8" s="23" t="n"/>
      <c r="EG8" s="23" t="n"/>
      <c r="EH8" s="219" t="n"/>
      <c r="EI8" s="219" t="n"/>
      <c r="EJ8" s="23" t="n"/>
      <c r="EK8" s="23" t="n"/>
      <c r="EL8" s="219" t="n"/>
      <c r="EM8" s="219" t="n"/>
      <c r="EN8" s="219" t="n"/>
      <c r="EO8" s="23" t="n">
        <v>300</v>
      </c>
      <c r="EP8" s="23" t="n">
        <v>300</v>
      </c>
      <c r="EQ8" s="23" t="n">
        <v>600</v>
      </c>
      <c r="ER8" s="23" t="n"/>
      <c r="ES8" s="219" t="n"/>
      <c r="ET8" s="23" t="n">
        <v>300</v>
      </c>
      <c r="EU8" s="23" t="n"/>
      <c r="EV8" s="219" t="n"/>
      <c r="EW8" s="23" t="n"/>
      <c r="EX8" s="23" t="n"/>
      <c r="EY8" s="23" t="n">
        <v>300</v>
      </c>
      <c r="EZ8" s="23" t="n"/>
      <c r="FA8" s="23" t="n"/>
      <c r="FB8" s="23" t="n"/>
      <c r="FC8" s="23" t="n"/>
      <c r="FD8" s="23" t="n"/>
      <c r="FE8" s="23" t="n"/>
      <c r="FF8" s="219" t="n"/>
      <c r="FG8" s="23" t="n"/>
      <c r="FH8" s="23" t="n"/>
      <c r="FI8" s="23" t="n"/>
      <c r="FJ8" s="23" t="n">
        <v>300</v>
      </c>
      <c r="FL8" s="304" t="inlineStr">
        <is>
          <t xml:space="preserve">SACOLAS </t>
        </is>
      </c>
      <c r="FM8" s="235" t="inlineStr">
        <is>
          <t>PCT</t>
        </is>
      </c>
      <c r="FN8" s="746" t="n">
        <v>46118</v>
      </c>
      <c r="FO8" s="746" t="n">
        <v>46125</v>
      </c>
      <c r="FP8" s="746" t="n">
        <v>46132</v>
      </c>
      <c r="FQ8" s="746" t="n">
        <v>46139</v>
      </c>
      <c r="FR8" s="746" t="n">
        <v>46146</v>
      </c>
      <c r="FS8" s="746" t="n">
        <v>46154</v>
      </c>
      <c r="FT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1200</v>
      </c>
      <c r="E9" s="41" t="n"/>
      <c r="F9" s="697">
        <f>3200+FJ9</f>
        <v/>
      </c>
      <c r="G9" s="697">
        <f>3475+FI9</f>
        <v/>
      </c>
      <c r="H9" s="697" t="n">
        <v>3600</v>
      </c>
      <c r="I9" s="697">
        <f>3300+FH9</f>
        <v/>
      </c>
      <c r="J9" s="697" t="n">
        <v>3575</v>
      </c>
      <c r="K9" s="697" t="n">
        <v>3200</v>
      </c>
      <c r="L9" s="697" t="n">
        <v>2950</v>
      </c>
      <c r="M9" s="697" t="n">
        <v>2750</v>
      </c>
      <c r="N9" s="697">
        <f>2225+FD9</f>
        <v/>
      </c>
      <c r="O9" s="697">
        <f>1950+FC9</f>
        <v/>
      </c>
      <c r="P9" s="697" t="n">
        <v>3550</v>
      </c>
      <c r="Q9" s="697" t="n">
        <v>3350</v>
      </c>
      <c r="R9" s="697" t="n">
        <v>2825</v>
      </c>
      <c r="S9" s="697" t="n">
        <v>2600</v>
      </c>
      <c r="T9" s="697" t="n">
        <v>2000</v>
      </c>
      <c r="U9" s="697" t="n">
        <v>1825</v>
      </c>
      <c r="V9" s="697" t="n">
        <v>1816</v>
      </c>
      <c r="W9" s="697" t="n">
        <v>1760</v>
      </c>
      <c r="X9" s="697" t="n">
        <v>1760</v>
      </c>
      <c r="Y9" s="697" t="n">
        <v>1560</v>
      </c>
      <c r="Z9" s="697" t="n">
        <v>1467</v>
      </c>
      <c r="AA9" s="697" t="n">
        <v>1200</v>
      </c>
      <c r="AB9" s="697" t="n">
        <v>600</v>
      </c>
      <c r="AC9" s="697">
        <f>350+EG9</f>
        <v/>
      </c>
      <c r="AD9" s="697" t="n">
        <v>900</v>
      </c>
      <c r="AE9" s="697">
        <f>450+EF9</f>
        <v/>
      </c>
      <c r="AF9" s="697">
        <f>450+EE9</f>
        <v/>
      </c>
      <c r="AG9" s="697">
        <f>550+EB9</f>
        <v/>
      </c>
      <c r="AH9" s="697">
        <f>480+DY9</f>
        <v/>
      </c>
      <c r="AI9" s="697" t="n">
        <v>560</v>
      </c>
      <c r="AJ9" s="697" t="n">
        <v>1700</v>
      </c>
      <c r="AK9" s="697" t="n">
        <v>1380</v>
      </c>
      <c r="AL9" s="697" t="n">
        <v>900</v>
      </c>
      <c r="AM9" s="697" t="n">
        <v>1200</v>
      </c>
      <c r="AN9" s="697" t="n">
        <v>840</v>
      </c>
      <c r="AO9" s="697" t="n">
        <v>800</v>
      </c>
      <c r="AP9" s="697">
        <f>520+DO9</f>
        <v/>
      </c>
      <c r="AQ9" s="697" t="n">
        <v>800</v>
      </c>
      <c r="AR9" s="697">
        <f>230+DM9</f>
        <v/>
      </c>
      <c r="AS9" s="697" t="n">
        <v>1240</v>
      </c>
      <c r="AT9" s="697">
        <f>960+DI9</f>
        <v/>
      </c>
      <c r="AU9" s="697" t="n">
        <v>820</v>
      </c>
      <c r="AV9" s="697">
        <f>400+DF9</f>
        <v/>
      </c>
      <c r="AW9" s="697">
        <f>600+DD9</f>
        <v/>
      </c>
      <c r="AX9" s="697" t="n">
        <v>600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600+CY9</f>
        <v/>
      </c>
      <c r="BD9" s="697" t="n">
        <v>460</v>
      </c>
      <c r="BE9" s="697" t="n">
        <v>1400</v>
      </c>
      <c r="BF9" s="697" t="n">
        <v>775</v>
      </c>
      <c r="BG9" s="697" t="n">
        <v>1600</v>
      </c>
      <c r="BH9" s="697">
        <f>1500+CT9</f>
        <v/>
      </c>
      <c r="BI9" s="697" t="n">
        <v>2000</v>
      </c>
      <c r="BJ9" s="697" t="n">
        <v>1800</v>
      </c>
      <c r="BK9" s="697">
        <f>1200+CP9</f>
        <v/>
      </c>
      <c r="BL9" s="697" t="n">
        <v>1800</v>
      </c>
      <c r="BM9" s="697" t="n">
        <v>1800</v>
      </c>
      <c r="BN9" s="697">
        <f>1600+CN9</f>
        <v/>
      </c>
      <c r="BO9" s="697" t="n">
        <v>2400</v>
      </c>
      <c r="BP9" s="697" t="n">
        <v>2000</v>
      </c>
      <c r="BQ9" s="697" t="n">
        <v>1600</v>
      </c>
      <c r="BR9" s="697">
        <f>1400+CK9</f>
        <v/>
      </c>
      <c r="BS9" s="697" t="n">
        <v>1800</v>
      </c>
      <c r="BT9" s="697" t="n">
        <v>800</v>
      </c>
      <c r="BU9" s="697" t="n">
        <v>800</v>
      </c>
      <c r="BV9" s="697" t="n">
        <v>800</v>
      </c>
      <c r="BW9" s="697" t="n">
        <v>800</v>
      </c>
      <c r="BX9" s="697" t="n">
        <v>800</v>
      </c>
      <c r="BY9" s="697" t="n">
        <v>800</v>
      </c>
      <c r="BZ9" s="192">
        <f>BX9+IF(NOT(ISBLANK(OFFSET(BZ9,0,6))),N(OFFSET(BZ9,0,6)),N(OFFSET(BZ9,0,7)))-BY9</f>
        <v/>
      </c>
      <c r="CA9" s="129" t="n"/>
      <c r="CB9" s="22" t="n"/>
      <c r="CC9" s="22" t="n"/>
      <c r="CE9" s="27" t="n"/>
      <c r="CG9" s="23" t="n">
        <v>0</v>
      </c>
      <c r="CH9" s="23" t="n">
        <v>0</v>
      </c>
      <c r="CI9" s="23" t="n"/>
      <c r="CJ9" s="219" t="n">
        <v>3000</v>
      </c>
      <c r="CK9" s="23" t="n">
        <v>400</v>
      </c>
      <c r="CL9" s="23" t="n"/>
      <c r="CM9" s="23" t="n"/>
      <c r="CN9" s="23" t="n">
        <v>1600</v>
      </c>
      <c r="CO9" s="23" t="n">
        <v>1000</v>
      </c>
      <c r="CP9" s="23" t="n">
        <v>400</v>
      </c>
      <c r="CQ9" s="23" t="n">
        <v>400</v>
      </c>
      <c r="CR9" s="23" t="n"/>
      <c r="CS9" s="23" t="n"/>
      <c r="CT9" s="23" t="n">
        <v>600</v>
      </c>
      <c r="CU9" s="23" t="n">
        <v>1400</v>
      </c>
      <c r="CV9" s="23" t="n"/>
      <c r="CW9" s="23" t="n">
        <v>1400</v>
      </c>
      <c r="CX9" s="23" t="n">
        <v>600</v>
      </c>
      <c r="CY9" s="23" t="n">
        <v>400</v>
      </c>
      <c r="CZ9" s="23" t="n"/>
      <c r="DA9" s="23" t="n"/>
      <c r="DB9" s="23" t="n">
        <v>600</v>
      </c>
      <c r="DC9" s="23" t="n"/>
      <c r="DD9" s="23" t="n">
        <v>600</v>
      </c>
      <c r="DE9" s="219" t="n">
        <v>3200</v>
      </c>
      <c r="DF9" s="23" t="n">
        <v>600</v>
      </c>
      <c r="DG9" s="23" t="n"/>
      <c r="DH9" s="23" t="n"/>
      <c r="DI9" s="23" t="n">
        <v>200</v>
      </c>
      <c r="DJ9" s="23" t="n"/>
      <c r="DK9" s="219" t="n"/>
      <c r="DL9" s="219" t="n"/>
      <c r="DM9" s="23" t="n">
        <v>1200</v>
      </c>
      <c r="DN9" s="219" t="n"/>
      <c r="DO9" s="23" t="n">
        <v>600</v>
      </c>
      <c r="DP9" s="23" t="n"/>
      <c r="DQ9" s="23" t="n">
        <v>400</v>
      </c>
      <c r="DR9" s="23" t="n">
        <v>200</v>
      </c>
      <c r="DS9" s="23" t="n"/>
      <c r="DT9" s="23" t="n">
        <v>400</v>
      </c>
      <c r="DU9" s="23" t="n"/>
      <c r="DV9" s="219" t="n"/>
      <c r="DW9" s="23" t="n">
        <v>1200</v>
      </c>
      <c r="DX9" s="219" t="n"/>
      <c r="DY9" s="23" t="n">
        <v>600</v>
      </c>
      <c r="DZ9" s="219" t="n"/>
      <c r="EA9" s="23" t="n"/>
      <c r="EB9" s="23" t="n">
        <v>400</v>
      </c>
      <c r="EC9" s="219" t="n"/>
      <c r="ED9" s="23" t="n"/>
      <c r="EE9" s="23" t="n">
        <v>400</v>
      </c>
      <c r="EF9" s="23" t="n">
        <v>400</v>
      </c>
      <c r="EG9" s="23" t="n">
        <v>1000</v>
      </c>
      <c r="EH9" s="219" t="n"/>
      <c r="EI9" s="219" t="n"/>
      <c r="EJ9" s="23" t="n"/>
      <c r="EK9" s="23" t="n"/>
      <c r="EL9" s="219" t="n"/>
      <c r="EM9" s="219" t="n"/>
      <c r="EN9" s="219" t="n"/>
      <c r="EO9" s="23" t="n"/>
      <c r="EP9" s="23" t="n"/>
      <c r="EQ9" s="23" t="n"/>
      <c r="ER9" s="23" t="n"/>
      <c r="ES9" s="219" t="n"/>
      <c r="ET9" s="23" t="n"/>
      <c r="EU9" s="23" t="n"/>
      <c r="EV9" s="219" t="n">
        <v>2600</v>
      </c>
      <c r="EW9" s="23" t="n"/>
      <c r="EX9" s="23" t="n"/>
      <c r="EY9" s="23" t="n">
        <v>1000</v>
      </c>
      <c r="EZ9" s="23" t="n"/>
      <c r="FA9" s="23" t="n"/>
      <c r="FB9" s="23" t="n"/>
      <c r="FC9" s="23" t="n">
        <v>600</v>
      </c>
      <c r="FD9" s="23" t="n">
        <v>600</v>
      </c>
      <c r="FE9" s="23" t="n">
        <v>200</v>
      </c>
      <c r="FF9" s="219" t="n"/>
      <c r="FG9" s="23" t="n"/>
      <c r="FH9" s="23" t="n">
        <v>600</v>
      </c>
      <c r="FI9" s="23" t="n">
        <v>600</v>
      </c>
      <c r="FJ9" s="23" t="n">
        <v>600</v>
      </c>
      <c r="FL9" s="300" t="inlineStr">
        <is>
          <t xml:space="preserve">SACOLA P </t>
        </is>
      </c>
      <c r="FM9" s="162" t="n">
        <v>200</v>
      </c>
      <c r="FN9" s="697">
        <f>CJ9</f>
        <v/>
      </c>
      <c r="FO9" s="697" t="n">
        <v>2850</v>
      </c>
      <c r="FP9" s="697" t="n">
        <v>2600</v>
      </c>
      <c r="FQ9" s="697" t="n">
        <v>2200</v>
      </c>
      <c r="FR9" s="697" t="n">
        <v>1600</v>
      </c>
      <c r="FS9" s="697" t="n">
        <v>800</v>
      </c>
      <c r="FT9" s="431">
        <f>FR9+IF(NOT(ISBLANK(OFFSET(FT9,0,6))),N(OFFSET(FT9,0,6)),N(OFFSET(FT9,0,7)))-FS9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1000+FJ10</f>
        <v/>
      </c>
      <c r="G10" s="697">
        <f>1775+FI10</f>
        <v/>
      </c>
      <c r="H10" s="697" t="n">
        <v>2200</v>
      </c>
      <c r="I10" s="697">
        <f>2050+FH10</f>
        <v/>
      </c>
      <c r="J10" s="697" t="n">
        <v>1975</v>
      </c>
      <c r="K10" s="697" t="n">
        <v>1850</v>
      </c>
      <c r="L10" s="697" t="n">
        <v>1800</v>
      </c>
      <c r="M10" s="697" t="n">
        <v>1956</v>
      </c>
      <c r="N10" s="697">
        <f>1650+FD10</f>
        <v/>
      </c>
      <c r="O10" s="697">
        <f>1500+FC10</f>
        <v/>
      </c>
      <c r="P10" s="697" t="n">
        <v>2225</v>
      </c>
      <c r="Q10" s="697" t="n">
        <v>2100</v>
      </c>
      <c r="R10" s="697" t="n">
        <v>1800</v>
      </c>
      <c r="S10" s="697" t="n">
        <v>1800</v>
      </c>
      <c r="T10" s="697" t="n">
        <v>1700</v>
      </c>
      <c r="U10" s="697" t="n">
        <v>1250</v>
      </c>
      <c r="V10" s="697" t="n">
        <v>1160</v>
      </c>
      <c r="W10" s="697" t="n">
        <v>1160</v>
      </c>
      <c r="X10" s="697" t="n">
        <v>1160</v>
      </c>
      <c r="Y10" s="697" t="n">
        <v>925</v>
      </c>
      <c r="Z10" s="697" t="n">
        <v>700</v>
      </c>
      <c r="AA10" s="697" t="n">
        <v>900</v>
      </c>
      <c r="AB10" s="697">
        <f>600+EK10</f>
        <v/>
      </c>
      <c r="AC10" s="697" t="n">
        <v>700</v>
      </c>
      <c r="AD10" s="697" t="n">
        <v>650</v>
      </c>
      <c r="AE10" s="697">
        <f>475+EF10</f>
        <v/>
      </c>
      <c r="AF10" s="697" t="n">
        <v>475</v>
      </c>
      <c r="AG10" s="697">
        <f>350+EB10</f>
        <v/>
      </c>
      <c r="AH10" s="697" t="n">
        <v>580</v>
      </c>
      <c r="AI10" s="697" t="n">
        <v>340</v>
      </c>
      <c r="AJ10" s="697" t="n">
        <v>240</v>
      </c>
      <c r="AK10" s="697" t="n">
        <v>440</v>
      </c>
      <c r="AL10" s="697" t="n">
        <v>380</v>
      </c>
      <c r="AM10" s="697" t="n">
        <v>700</v>
      </c>
      <c r="AN10" s="697" t="n">
        <v>760</v>
      </c>
      <c r="AO10" s="697" t="n">
        <v>680</v>
      </c>
      <c r="AP10" s="697">
        <f>480+DO10</f>
        <v/>
      </c>
      <c r="AQ10" s="697" t="n">
        <v>700</v>
      </c>
      <c r="AR10" s="697">
        <f>360+DM10</f>
        <v/>
      </c>
      <c r="AS10" s="697" t="n">
        <v>440</v>
      </c>
      <c r="AT10" s="697">
        <f>200+DH10</f>
        <v/>
      </c>
      <c r="AU10" s="697">
        <f>400+DG10</f>
        <v/>
      </c>
      <c r="AV10" s="697" t="n">
        <v>600</v>
      </c>
      <c r="AW10" s="697">
        <f>400+DD10</f>
        <v/>
      </c>
      <c r="AX10" s="697" t="n">
        <v>400</v>
      </c>
      <c r="AY10" s="697" t="n">
        <v>400</v>
      </c>
      <c r="AZ10" s="697" t="n">
        <v>400</v>
      </c>
      <c r="BA10" s="697" t="n">
        <v>400</v>
      </c>
      <c r="BB10" s="697" t="n">
        <v>400</v>
      </c>
      <c r="BC10" s="697" t="n">
        <v>400</v>
      </c>
      <c r="BD10" s="697" t="n">
        <v>400</v>
      </c>
      <c r="BE10" s="697">
        <f>200+800</f>
        <v/>
      </c>
      <c r="BF10" s="697" t="n">
        <v>320</v>
      </c>
      <c r="BG10" s="697" t="n">
        <v>400</v>
      </c>
      <c r="BH10" s="697">
        <f>400+CT10</f>
        <v/>
      </c>
      <c r="BI10" s="697" t="n">
        <v>1200</v>
      </c>
      <c r="BJ10" s="697" t="n">
        <v>800</v>
      </c>
      <c r="BK10" s="697">
        <f>800+CP10</f>
        <v/>
      </c>
      <c r="BL10" s="697" t="n">
        <v>1200</v>
      </c>
      <c r="BM10" s="697" t="n">
        <v>1000</v>
      </c>
      <c r="BN10" s="697">
        <f>800+CN10</f>
        <v/>
      </c>
      <c r="BO10" s="697" t="n">
        <v>800</v>
      </c>
      <c r="BP10" s="697">
        <f>600+CM10</f>
        <v/>
      </c>
      <c r="BQ10" s="697" t="n">
        <v>800</v>
      </c>
      <c r="BR10" s="697">
        <f>800+CK10</f>
        <v/>
      </c>
      <c r="BS10" s="697" t="n">
        <v>600</v>
      </c>
      <c r="BT10" s="697" t="n">
        <v>800</v>
      </c>
      <c r="BU10" s="697" t="n">
        <v>1800</v>
      </c>
      <c r="BV10" s="697" t="n">
        <v>1800</v>
      </c>
      <c r="BW10" s="697" t="n">
        <v>1800</v>
      </c>
      <c r="BX10" s="697" t="n">
        <v>1800</v>
      </c>
      <c r="BY10" s="697" t="n">
        <v>1800</v>
      </c>
      <c r="BZ10" s="192">
        <f>BX10+IF(NOT(ISBLANK(OFFSET(BZ10,0,6))),N(OFFSET(BZ10,0,6)),N(OFFSET(BZ10,0,7)))-BY10</f>
        <v/>
      </c>
      <c r="CA10" s="129" t="n"/>
      <c r="CB10" s="22" t="n"/>
      <c r="CC10" s="22" t="n"/>
      <c r="CD10" s="4" t="n"/>
      <c r="CE10" s="27" t="n"/>
      <c r="CF10" s="4" t="n"/>
      <c r="CG10" s="23" t="n">
        <v>0</v>
      </c>
      <c r="CH10" s="23" t="n">
        <v>0</v>
      </c>
      <c r="CI10" s="23" t="n">
        <v>800</v>
      </c>
      <c r="CJ10" s="219" t="n">
        <v>2000</v>
      </c>
      <c r="CK10" s="23" t="n">
        <v>400</v>
      </c>
      <c r="CL10" s="23" t="n"/>
      <c r="CM10" s="23" t="n">
        <v>400</v>
      </c>
      <c r="CN10" s="23" t="n">
        <v>400</v>
      </c>
      <c r="CO10" s="23" t="n"/>
      <c r="CP10" s="23" t="n">
        <v>800</v>
      </c>
      <c r="CQ10" s="23" t="n"/>
      <c r="CR10" s="23" t="n"/>
      <c r="CS10" s="23" t="n"/>
      <c r="CT10" s="23" t="n">
        <v>800</v>
      </c>
      <c r="CU10" s="23" t="n">
        <v>400</v>
      </c>
      <c r="CV10" s="192" t="inlineStr">
        <is>
          <t>800 DE CD</t>
        </is>
      </c>
      <c r="CW10" s="23" t="n">
        <v>200</v>
      </c>
      <c r="CX10" s="23" t="n">
        <v>400</v>
      </c>
      <c r="CY10" s="23" t="n"/>
      <c r="CZ10" s="23" t="n"/>
      <c r="DA10" s="23" t="n"/>
      <c r="DB10" s="23" t="n"/>
      <c r="DC10" s="23" t="n"/>
      <c r="DD10" s="23" t="n">
        <v>400</v>
      </c>
      <c r="DE10" s="219" t="n">
        <v>2600</v>
      </c>
      <c r="DF10" s="23" t="n"/>
      <c r="DG10" s="23" t="n">
        <v>400</v>
      </c>
      <c r="DH10" s="23" t="n">
        <v>400</v>
      </c>
      <c r="DI10" s="23" t="n"/>
      <c r="DJ10" s="23" t="n"/>
      <c r="DK10" s="437" t="inlineStr">
        <is>
          <t>100 P/ SHN</t>
        </is>
      </c>
      <c r="DL10" s="219" t="n"/>
      <c r="DM10" s="23" t="n">
        <v>200</v>
      </c>
      <c r="DN10" s="219" t="n">
        <v>200</v>
      </c>
      <c r="DO10" s="23" t="n">
        <v>400</v>
      </c>
      <c r="DP10" s="23" t="n"/>
      <c r="DQ10" s="23" t="n">
        <v>200</v>
      </c>
      <c r="DR10" s="23" t="n">
        <v>200</v>
      </c>
      <c r="DS10" s="23" t="n"/>
      <c r="DT10" s="23" t="n">
        <v>600</v>
      </c>
      <c r="DU10" s="23" t="n"/>
      <c r="DV10" s="219" t="n"/>
      <c r="DW10" s="23" t="n"/>
      <c r="DX10" s="219" t="n"/>
      <c r="DY10" s="23" t="n"/>
      <c r="DZ10" s="219" t="n"/>
      <c r="EA10" s="23" t="n"/>
      <c r="EB10" s="23" t="n">
        <v>400</v>
      </c>
      <c r="EC10" s="219" t="n">
        <v>1200</v>
      </c>
      <c r="ED10" s="23" t="n"/>
      <c r="EE10" s="23" t="n"/>
      <c r="EF10" s="23" t="n">
        <v>200</v>
      </c>
      <c r="EG10" s="23" t="n"/>
      <c r="EH10" s="219" t="n"/>
      <c r="EI10" s="219" t="n"/>
      <c r="EJ10" s="23" t="n"/>
      <c r="EK10" s="23" t="n">
        <v>200</v>
      </c>
      <c r="EL10" s="219" t="n"/>
      <c r="EM10" s="219" t="n">
        <v>800</v>
      </c>
      <c r="EN10" s="219" t="n"/>
      <c r="EO10" s="23" t="n"/>
      <c r="EP10" s="23" t="n"/>
      <c r="EQ10" s="23" t="n"/>
      <c r="ER10" s="333" t="inlineStr">
        <is>
          <t>50 DE TDQ</t>
        </is>
      </c>
      <c r="ES10" s="219" t="n"/>
      <c r="ET10" s="23" t="n"/>
      <c r="EU10" s="23" t="n"/>
      <c r="EV10" s="219" t="n">
        <v>1400</v>
      </c>
      <c r="EW10" s="23" t="n"/>
      <c r="EX10" s="23" t="n"/>
      <c r="EY10" s="23" t="n">
        <v>400</v>
      </c>
      <c r="EZ10" s="23" t="n"/>
      <c r="FA10" s="23" t="n"/>
      <c r="FB10" s="23" t="n"/>
      <c r="FC10" s="23" t="n">
        <v>400</v>
      </c>
      <c r="FD10" s="23" t="n">
        <v>200</v>
      </c>
      <c r="FE10" s="23" t="n">
        <v>400</v>
      </c>
      <c r="FF10" s="219" t="n"/>
      <c r="FG10" s="23" t="n"/>
      <c r="FH10" s="23" t="n">
        <v>200</v>
      </c>
      <c r="FI10" s="23" t="n">
        <v>600</v>
      </c>
      <c r="FJ10" s="23" t="n">
        <v>800</v>
      </c>
      <c r="FL10" s="65" t="inlineStr">
        <is>
          <t xml:space="preserve">SACOLA M </t>
        </is>
      </c>
      <c r="FM10" s="699" t="n">
        <v>200</v>
      </c>
      <c r="FN10" s="697">
        <f>CJ10</f>
        <v/>
      </c>
      <c r="FO10" s="697" t="n">
        <v>1800</v>
      </c>
      <c r="FP10" s="697" t="n">
        <v>1600</v>
      </c>
      <c r="FQ10" s="697" t="n">
        <v>1400</v>
      </c>
      <c r="FR10" s="697" t="n">
        <v>1200</v>
      </c>
      <c r="FS10" s="697" t="n">
        <v>200</v>
      </c>
      <c r="FT10" s="431">
        <f>FR10+IF(NOT(ISBLANK(OFFSET(FT10,0,6))),N(OFFSET(FT10,0,6)),N(OFFSET(FT10,0,7)))-FS10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380</v>
      </c>
      <c r="G11" s="697">
        <f>380+FI11</f>
        <v/>
      </c>
      <c r="H11" s="697" t="n">
        <v>425</v>
      </c>
      <c r="I11" s="697">
        <f>465+FH11</f>
        <v/>
      </c>
      <c r="J11" s="697" t="n">
        <v>644</v>
      </c>
      <c r="K11" s="697" t="n">
        <v>625</v>
      </c>
      <c r="L11" s="697" t="n">
        <v>625</v>
      </c>
      <c r="M11" s="697" t="n">
        <v>600</v>
      </c>
      <c r="N11" s="697" t="n">
        <v>600</v>
      </c>
      <c r="O11" s="697" t="n">
        <v>600</v>
      </c>
      <c r="P11" s="697" t="n">
        <v>600</v>
      </c>
      <c r="Q11" s="697" t="n">
        <v>600</v>
      </c>
      <c r="R11" s="697" t="n">
        <v>600</v>
      </c>
      <c r="S11" s="697" t="n">
        <v>600</v>
      </c>
      <c r="T11" s="697" t="n">
        <v>500</v>
      </c>
      <c r="U11" s="697" t="n">
        <v>580</v>
      </c>
      <c r="V11" s="697" t="n">
        <v>575</v>
      </c>
      <c r="W11" s="697" t="n">
        <v>575</v>
      </c>
      <c r="X11" s="697" t="n">
        <v>575</v>
      </c>
      <c r="Y11" s="697" t="n">
        <v>525</v>
      </c>
      <c r="Z11" s="697" t="n">
        <v>600</v>
      </c>
      <c r="AA11" s="697" t="n">
        <v>600</v>
      </c>
      <c r="AB11" s="697" t="n">
        <v>550</v>
      </c>
      <c r="AC11" s="697" t="n">
        <v>400</v>
      </c>
      <c r="AD11" s="697" t="n">
        <v>400</v>
      </c>
      <c r="AE11" s="697" t="n">
        <v>400</v>
      </c>
      <c r="AF11" s="697" t="n">
        <v>450</v>
      </c>
      <c r="AG11" s="697" t="n">
        <v>425</v>
      </c>
      <c r="AH11" s="697" t="n">
        <v>340</v>
      </c>
      <c r="AI11" s="697" t="n">
        <v>330</v>
      </c>
      <c r="AJ11" s="697" t="n">
        <v>330</v>
      </c>
      <c r="AK11" s="697" t="n">
        <v>330</v>
      </c>
      <c r="AL11" s="697" t="n">
        <v>320</v>
      </c>
      <c r="AM11" s="697" t="n">
        <v>300</v>
      </c>
      <c r="AN11" s="697" t="n">
        <v>300</v>
      </c>
      <c r="AO11" s="697">
        <f>280-100</f>
        <v/>
      </c>
      <c r="AP11" s="697" t="n">
        <v>200</v>
      </c>
      <c r="AQ11" s="697" t="n">
        <v>200</v>
      </c>
      <c r="AR11" s="697" t="n">
        <v>200</v>
      </c>
      <c r="AS11" s="697" t="n">
        <v>180</v>
      </c>
      <c r="AT11" s="697" t="n">
        <v>180</v>
      </c>
      <c r="AU11" s="697" t="n">
        <v>160</v>
      </c>
      <c r="AV11" s="697" t="n">
        <v>160</v>
      </c>
      <c r="AW11" s="697">
        <f>160-50</f>
        <v/>
      </c>
      <c r="AX11" s="697" t="n">
        <v>110</v>
      </c>
      <c r="AY11" s="697" t="n">
        <v>120</v>
      </c>
      <c r="AZ11" s="697" t="n">
        <v>120</v>
      </c>
      <c r="BA11" s="697" t="n">
        <v>120</v>
      </c>
      <c r="BB11" s="697" t="n">
        <v>120</v>
      </c>
      <c r="BC11" s="697" t="n">
        <v>120</v>
      </c>
      <c r="BD11" s="697" t="n">
        <v>67</v>
      </c>
      <c r="BE11" s="697" t="n">
        <v>167</v>
      </c>
      <c r="BF11" s="697" t="n">
        <v>167</v>
      </c>
      <c r="BG11" s="697" t="n">
        <v>260</v>
      </c>
      <c r="BH11" s="697" t="n">
        <v>260</v>
      </c>
      <c r="BI11" s="697" t="n">
        <v>260</v>
      </c>
      <c r="BJ11" s="697" t="n">
        <v>260</v>
      </c>
      <c r="BK11" s="697" t="n">
        <v>140</v>
      </c>
      <c r="BL11" s="697" t="n">
        <v>340</v>
      </c>
      <c r="BM11" s="697" t="n">
        <v>330</v>
      </c>
      <c r="BN11" s="697">
        <f>330+CN11</f>
        <v/>
      </c>
      <c r="BO11" s="697" t="n">
        <v>330</v>
      </c>
      <c r="BP11" s="697" t="n">
        <v>330</v>
      </c>
      <c r="BQ11" s="697" t="n">
        <v>330</v>
      </c>
      <c r="BR11" s="697" t="n">
        <v>300</v>
      </c>
      <c r="BS11" s="697" t="n">
        <v>300</v>
      </c>
      <c r="BT11" s="697" t="n">
        <v>340</v>
      </c>
      <c r="BU11" s="697" t="n">
        <v>315</v>
      </c>
      <c r="BV11" s="697" t="n">
        <v>315</v>
      </c>
      <c r="BW11" s="697" t="n">
        <v>315</v>
      </c>
      <c r="BX11" s="697" t="n">
        <v>315</v>
      </c>
      <c r="BY11" s="697" t="n">
        <v>315</v>
      </c>
      <c r="BZ11" s="192">
        <f>BX11+IF(NOT(ISBLANK(OFFSET(BZ11,0,6))),N(OFFSET(BZ11,0,6)),N(OFFSET(BZ11,0,7)))-BY11</f>
        <v/>
      </c>
      <c r="CA11" s="129" t="n"/>
      <c r="CB11" s="22" t="inlineStr">
        <is>
          <t>100 P/ SHN</t>
        </is>
      </c>
      <c r="CC11" s="22" t="n"/>
      <c r="CD11" s="4" t="n"/>
      <c r="CE11" s="27" t="n"/>
      <c r="CF11" s="4" t="n"/>
      <c r="CG11" s="23" t="n">
        <v>0</v>
      </c>
      <c r="CH11" s="23" t="n">
        <v>0</v>
      </c>
      <c r="CI11" s="23" t="n"/>
      <c r="CJ11" s="219" t="n">
        <v>200</v>
      </c>
      <c r="CK11" s="23" t="n"/>
      <c r="CL11" s="23" t="n"/>
      <c r="CM11" s="23" t="n"/>
      <c r="CN11" s="23" t="n">
        <v>100</v>
      </c>
      <c r="CO11" s="23" t="n">
        <v>100</v>
      </c>
      <c r="CP11" s="23" t="n"/>
      <c r="CQ11" s="23" t="n"/>
      <c r="CR11" s="23" t="n"/>
      <c r="CS11" s="23" t="n"/>
      <c r="CT11" s="23" t="n"/>
      <c r="CU11" s="23" t="n">
        <v>100</v>
      </c>
      <c r="CV11" s="23" t="n"/>
      <c r="CW11" s="23" t="n">
        <v>100</v>
      </c>
      <c r="CX11" s="23" t="n"/>
      <c r="CY11" s="23" t="n"/>
      <c r="CZ11" s="23" t="n"/>
      <c r="DA11" s="23" t="n"/>
      <c r="DB11" s="23" t="n"/>
      <c r="DC11" s="192" t="inlineStr">
        <is>
          <t>50 P/ GV</t>
        </is>
      </c>
      <c r="DD11" s="23" t="n"/>
      <c r="DE11" s="219" t="n">
        <v>400</v>
      </c>
      <c r="DF11" s="23" t="n"/>
      <c r="DG11" s="23" t="n"/>
      <c r="DH11" s="23" t="n"/>
      <c r="DI11" s="23" t="n"/>
      <c r="DJ11" s="23" t="n"/>
      <c r="DK11" s="219" t="n"/>
      <c r="DL11" s="219" t="n"/>
      <c r="DM11" s="23" t="n"/>
      <c r="DN11" s="219" t="n"/>
      <c r="DO11" s="23" t="n"/>
      <c r="DP11" s="192" t="inlineStr">
        <is>
          <t>100 P/ Q2</t>
        </is>
      </c>
      <c r="DQ11" s="23" t="n"/>
      <c r="DR11" s="23" t="n"/>
      <c r="DS11" s="23" t="n"/>
      <c r="DT11" s="23" t="n"/>
      <c r="DU11" s="23" t="n"/>
      <c r="DV11" s="219" t="n"/>
      <c r="DW11" s="23" t="n"/>
      <c r="DX11" s="219" t="n"/>
      <c r="DY11" s="23" t="n"/>
      <c r="DZ11" s="219" t="n"/>
      <c r="EA11" s="23" t="n"/>
      <c r="EB11" s="23" t="n"/>
      <c r="EC11" s="219" t="n"/>
      <c r="ED11" s="23" t="n"/>
      <c r="EE11" s="23" t="n"/>
      <c r="EF11" s="23" t="n"/>
      <c r="EG11" s="23" t="n"/>
      <c r="EH11" s="219" t="n"/>
      <c r="EI11" s="219" t="n"/>
      <c r="EJ11" s="23" t="n"/>
      <c r="EK11" s="23" t="n"/>
      <c r="EL11" s="219" t="n"/>
      <c r="EM11" s="219" t="n"/>
      <c r="EN11" s="219" t="n"/>
      <c r="EO11" s="23" t="n"/>
      <c r="EP11" s="23" t="n"/>
      <c r="EQ11" s="23" t="n"/>
      <c r="ER11" s="23" t="n"/>
      <c r="ES11" s="219" t="n"/>
      <c r="ET11" s="23" t="n"/>
      <c r="EU11" s="23" t="n"/>
      <c r="EV11" s="219" t="n">
        <v>200</v>
      </c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19" t="n"/>
      <c r="FG11" s="23" t="n"/>
      <c r="FH11" s="23" t="n">
        <v>200</v>
      </c>
      <c r="FI11" s="23" t="n">
        <v>100</v>
      </c>
      <c r="FJ11" s="23" t="n"/>
      <c r="FL11" s="66" t="inlineStr">
        <is>
          <t xml:space="preserve">SACOLA G </t>
        </is>
      </c>
      <c r="FM11" s="699" t="n">
        <v>100</v>
      </c>
      <c r="FN11" s="697">
        <f>CJ11</f>
        <v/>
      </c>
      <c r="FO11" s="697" t="n">
        <v>150</v>
      </c>
      <c r="FP11" s="697" t="n">
        <v>150</v>
      </c>
      <c r="FQ11" s="697" t="n">
        <v>150</v>
      </c>
      <c r="FR11" s="697" t="n">
        <v>130</v>
      </c>
      <c r="FS11" s="697" t="n">
        <v>100</v>
      </c>
      <c r="FT11" s="431">
        <f>FR11+IF(NOT(ISBLANK(OFFSET(FT11,0,6))),N(OFFSET(FT11,0,6)),N(OFFSET(FT11,0,7)))-FS11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16" t="n"/>
      <c r="CD12" s="4" t="n"/>
      <c r="CE12" s="4" t="n"/>
      <c r="CF12" s="4" t="n"/>
      <c r="CJ12" s="47" t="n"/>
      <c r="DE12" s="47" t="n"/>
      <c r="DK12" s="64" t="n"/>
      <c r="DL12" s="64" t="n"/>
      <c r="DN12" s="64" t="n"/>
      <c r="DV12" s="308" t="n"/>
      <c r="DX12" s="47" t="n"/>
      <c r="DZ12" s="47" t="n"/>
      <c r="EC12" s="47" t="n"/>
      <c r="EH12" s="64" t="n"/>
      <c r="EI12" s="308" t="n"/>
      <c r="EL12" s="308" t="n"/>
      <c r="EM12" s="64" t="n"/>
      <c r="EN12" s="308" t="n"/>
      <c r="ES12" s="308" t="n"/>
      <c r="EV12" s="308" t="n"/>
      <c r="FF12" s="47" t="n"/>
      <c r="FL12" s="35" t="n"/>
      <c r="FM12" s="2" t="n"/>
      <c r="FN12" s="4" t="n"/>
      <c r="FO12" s="4" t="n"/>
      <c r="FP12" s="4" t="n"/>
      <c r="FQ12" s="4" t="n"/>
      <c r="FR12" s="4" t="n"/>
      <c r="FS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5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44" t="inlineStr">
        <is>
          <t>Pendências</t>
        </is>
      </c>
      <c r="CD13" s="5" t="n"/>
      <c r="CE13" s="12" t="inlineStr">
        <is>
          <t>Novo Pedido</t>
        </is>
      </c>
      <c r="CF13" s="4" t="n"/>
      <c r="CG13" s="734" t="n">
        <v>46149</v>
      </c>
      <c r="CH13" s="734" t="n">
        <v>46142</v>
      </c>
      <c r="CI13" s="734" t="n">
        <v>46114</v>
      </c>
      <c r="CJ13" s="735" t="n">
        <v>46065</v>
      </c>
      <c r="CK13" s="734" t="n">
        <v>46099</v>
      </c>
      <c r="CL13" s="734" t="n">
        <v>46092</v>
      </c>
      <c r="CM13" s="734" t="n">
        <v>46084</v>
      </c>
      <c r="CN13" s="734" t="n">
        <v>46071</v>
      </c>
      <c r="CO13" s="734" t="n">
        <v>46056</v>
      </c>
      <c r="CP13" s="734" t="n">
        <v>46048</v>
      </c>
      <c r="CQ13" s="734" t="n">
        <v>46035</v>
      </c>
      <c r="CR13" s="734" t="n">
        <v>46043</v>
      </c>
      <c r="CS13" s="734" t="n">
        <v>46029</v>
      </c>
      <c r="CT13" s="734" t="n">
        <v>46024</v>
      </c>
      <c r="CU13" s="734" t="n">
        <v>46017</v>
      </c>
      <c r="CV13" s="736" t="n">
        <v>46013</v>
      </c>
      <c r="CW13" s="734" t="n">
        <v>46007</v>
      </c>
      <c r="CX13" s="734" t="n">
        <v>46001</v>
      </c>
      <c r="CY13" s="734" t="n">
        <v>45994</v>
      </c>
      <c r="CZ13" s="734" t="n">
        <v>45980</v>
      </c>
      <c r="DA13" s="734" t="n">
        <v>45965</v>
      </c>
      <c r="DB13" s="734" t="n">
        <v>45960</v>
      </c>
      <c r="DC13" s="736" t="n">
        <v>45961</v>
      </c>
      <c r="DD13" s="734" t="n">
        <v>45951</v>
      </c>
      <c r="DE13" s="737" t="n">
        <v>45903</v>
      </c>
      <c r="DF13" s="734" t="n">
        <v>45945</v>
      </c>
      <c r="DG13" s="734" t="n">
        <v>45937</v>
      </c>
      <c r="DH13" s="734" t="n">
        <v>45931</v>
      </c>
      <c r="DI13" s="734" t="n">
        <v>45923</v>
      </c>
      <c r="DJ13" s="734" t="n">
        <v>45923</v>
      </c>
      <c r="DK13" s="754" t="n">
        <v>45924</v>
      </c>
      <c r="DL13" s="754" t="n">
        <v>45923</v>
      </c>
      <c r="DM13" s="734" t="n">
        <v>45915</v>
      </c>
      <c r="DN13" s="738" t="n">
        <v>45863</v>
      </c>
      <c r="DO13" s="734" t="n">
        <v>45903</v>
      </c>
      <c r="DP13" s="736" t="n">
        <v>45902</v>
      </c>
      <c r="DQ13" s="734" t="n">
        <v>45895</v>
      </c>
      <c r="DR13" s="734" t="n">
        <v>45888</v>
      </c>
      <c r="DS13" s="739" t="n">
        <v>45888</v>
      </c>
      <c r="DT13" s="734" t="n">
        <v>45881</v>
      </c>
      <c r="DU13" s="734" t="n">
        <v>45874</v>
      </c>
      <c r="DV13" s="740" t="n">
        <v>45863</v>
      </c>
      <c r="DW13" s="734" t="n">
        <v>45860</v>
      </c>
      <c r="DX13" s="741" t="n">
        <v>45856</v>
      </c>
      <c r="DY13" s="734" t="n">
        <v>45848</v>
      </c>
      <c r="DZ13" s="739" t="n">
        <v>45852</v>
      </c>
      <c r="EA13" s="736" t="n">
        <v>45851</v>
      </c>
      <c r="EB13" s="734" t="n">
        <v>45839</v>
      </c>
      <c r="EC13" s="739" t="n">
        <v>45791</v>
      </c>
      <c r="ED13" s="736" t="n">
        <v>45841</v>
      </c>
      <c r="EE13" s="734" t="n">
        <v>45832</v>
      </c>
      <c r="EF13" s="734" t="n">
        <v>45825</v>
      </c>
      <c r="EG13" s="734" t="n">
        <v>45813</v>
      </c>
      <c r="EH13" s="755" t="n">
        <v>45826</v>
      </c>
      <c r="EI13" s="740" t="n">
        <v>45826</v>
      </c>
      <c r="EJ13" s="736" t="n">
        <v>45812</v>
      </c>
      <c r="EK13" s="734" t="n">
        <v>45805</v>
      </c>
      <c r="EL13" s="740" t="n">
        <v>45800</v>
      </c>
      <c r="EM13" s="742" t="n">
        <v>45735</v>
      </c>
      <c r="EN13" s="740" t="n">
        <v>45790</v>
      </c>
      <c r="EO13" s="734" t="n">
        <v>45783</v>
      </c>
      <c r="EP13" s="734" t="n">
        <v>45770</v>
      </c>
      <c r="EQ13" s="734" t="n">
        <v>45756</v>
      </c>
      <c r="ER13" s="743" t="n">
        <v>45761</v>
      </c>
      <c r="ES13" s="740" t="n">
        <v>45759</v>
      </c>
      <c r="ET13" s="734" t="n">
        <v>45749</v>
      </c>
      <c r="EU13" s="734" t="n">
        <v>45734</v>
      </c>
      <c r="EV13" s="740" t="n">
        <v>45700</v>
      </c>
      <c r="EW13" s="736" t="n">
        <v>45731</v>
      </c>
      <c r="EX13" s="734" t="n">
        <v>45728</v>
      </c>
      <c r="EY13" s="734" t="n">
        <v>45722</v>
      </c>
      <c r="EZ13" s="736" t="n">
        <v>45727</v>
      </c>
      <c r="FA13" s="736" t="n">
        <v>45724</v>
      </c>
      <c r="FB13" s="736" t="n">
        <v>45722</v>
      </c>
      <c r="FC13" s="734" t="n">
        <v>45714</v>
      </c>
      <c r="FD13" s="734" t="n">
        <v>45706</v>
      </c>
      <c r="FE13" s="734" t="n">
        <v>45699</v>
      </c>
      <c r="FF13" s="744" t="n">
        <v>45698</v>
      </c>
      <c r="FG13" s="734" t="n">
        <v>45679</v>
      </c>
      <c r="FH13" s="734" t="n">
        <v>45674</v>
      </c>
      <c r="FI13" s="734" t="n">
        <v>45660</v>
      </c>
      <c r="FJ13" s="734" t="n">
        <v>45652</v>
      </c>
      <c r="FL13" s="304" t="inlineStr">
        <is>
          <t>DIVERSOS</t>
        </is>
      </c>
      <c r="FM13" s="235" t="inlineStr">
        <is>
          <t>PCT</t>
        </is>
      </c>
      <c r="FN13" s="746" t="n">
        <v>46118</v>
      </c>
      <c r="FO13" s="746" t="n">
        <v>46125</v>
      </c>
      <c r="FP13" s="746" t="n">
        <v>46132</v>
      </c>
      <c r="FQ13" s="746" t="n">
        <v>46139</v>
      </c>
      <c r="FR13" s="746" t="n">
        <v>46146</v>
      </c>
      <c r="FS13" s="746" t="n">
        <v>46154</v>
      </c>
      <c r="FT13" s="758" t="inlineStr">
        <is>
          <t>USOU</t>
        </is>
      </c>
    </row>
    <row r="14" ht="18.75" customFormat="1" customHeight="1" s="3">
      <c r="A14" s="58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5" t="n"/>
      <c r="F14" s="697" t="n">
        <v>10</v>
      </c>
      <c r="G14" s="697" t="n">
        <v>10</v>
      </c>
      <c r="H14" s="697" t="n">
        <v>9</v>
      </c>
      <c r="I14" s="697" t="n">
        <v>9</v>
      </c>
      <c r="J14" s="697" t="n">
        <v>9</v>
      </c>
      <c r="K14" s="697" t="n">
        <v>8</v>
      </c>
      <c r="L14" s="697" t="n">
        <v>8</v>
      </c>
      <c r="M14" s="697" t="n">
        <v>7</v>
      </c>
      <c r="N14" s="697" t="n">
        <v>7</v>
      </c>
      <c r="O14" s="697" t="n">
        <v>3</v>
      </c>
      <c r="P14" s="697" t="n">
        <v>6</v>
      </c>
      <c r="Q14" s="697">
        <f>5+EX14</f>
        <v/>
      </c>
      <c r="R14" s="697">
        <f>6+EU14</f>
        <v/>
      </c>
      <c r="S14" s="697" t="n">
        <v>6</v>
      </c>
      <c r="T14" s="697">
        <f>5+ET14</f>
        <v/>
      </c>
      <c r="U14" s="697" t="n">
        <v>4</v>
      </c>
      <c r="V14" s="697" t="n">
        <v>3</v>
      </c>
      <c r="W14" s="697" t="n">
        <v>3</v>
      </c>
      <c r="X14" s="697" t="n">
        <v>3</v>
      </c>
      <c r="Y14" s="697" t="n">
        <v>3</v>
      </c>
      <c r="Z14" s="697" t="n">
        <v>4</v>
      </c>
      <c r="AA14" s="697" t="n">
        <v>4</v>
      </c>
      <c r="AB14" s="697">
        <f>0+EK14</f>
        <v/>
      </c>
      <c r="AC14" s="697">
        <f>1+EG14</f>
        <v/>
      </c>
      <c r="AD14" s="697" t="n">
        <v>7</v>
      </c>
      <c r="AE14" s="697" t="n">
        <v>8</v>
      </c>
      <c r="AF14" s="697" t="n">
        <v>8</v>
      </c>
      <c r="AG14" s="697" t="n">
        <v>6</v>
      </c>
      <c r="AH14" s="697">
        <f>5+DY14</f>
        <v/>
      </c>
      <c r="AI14" s="697" t="n">
        <v>6</v>
      </c>
      <c r="AJ14" s="697" t="n">
        <v>6</v>
      </c>
      <c r="AK14" s="697" t="n">
        <v>6</v>
      </c>
      <c r="AL14" s="697" t="n">
        <v>6</v>
      </c>
      <c r="AM14" s="697" t="n">
        <v>5</v>
      </c>
      <c r="AN14" s="697" t="n">
        <v>5</v>
      </c>
      <c r="AO14" s="697" t="n">
        <v>4</v>
      </c>
      <c r="AP14" s="697">
        <f>4+DO14</f>
        <v/>
      </c>
      <c r="AQ14" s="697" t="n">
        <v>6</v>
      </c>
      <c r="AR14" s="697" t="n">
        <v>4</v>
      </c>
      <c r="AS14" s="697" t="n">
        <v>7</v>
      </c>
      <c r="AT14" s="697" t="n">
        <v>6</v>
      </c>
      <c r="AU14" s="697" t="n">
        <v>6</v>
      </c>
      <c r="AV14" s="697" t="n">
        <v>5</v>
      </c>
      <c r="AW14" s="697" t="n">
        <v>4</v>
      </c>
      <c r="AX14" s="697" t="n">
        <v>4</v>
      </c>
      <c r="AY14" s="697" t="n">
        <v>4</v>
      </c>
      <c r="AZ14" s="697" t="n">
        <v>4</v>
      </c>
      <c r="BA14" s="697" t="n">
        <v>4</v>
      </c>
      <c r="BB14" s="697" t="n">
        <v>4</v>
      </c>
      <c r="BC14" s="697" t="n">
        <v>4</v>
      </c>
      <c r="BD14" s="697" t="n">
        <v>4</v>
      </c>
      <c r="BE14" s="697" t="n">
        <v>4</v>
      </c>
      <c r="BF14" s="697" t="n">
        <v>0</v>
      </c>
      <c r="BG14" s="697" t="n">
        <v>10</v>
      </c>
      <c r="BH14" s="697">
        <f>7+CT14</f>
        <v/>
      </c>
      <c r="BI14" s="697" t="n">
        <v>13</v>
      </c>
      <c r="BJ14" s="697" t="n">
        <v>13</v>
      </c>
      <c r="BK14" s="697" t="n">
        <v>10</v>
      </c>
      <c r="BL14" s="697" t="n">
        <v>20</v>
      </c>
      <c r="BM14" s="697" t="n">
        <v>18</v>
      </c>
      <c r="BN14" s="697">
        <f>17+CN14</f>
        <v/>
      </c>
      <c r="BO14" s="697" t="n">
        <v>16</v>
      </c>
      <c r="BP14" s="697" t="n">
        <v>13</v>
      </c>
      <c r="BQ14" s="697">
        <f>11+CL14</f>
        <v/>
      </c>
      <c r="BR14" s="697" t="n">
        <v>12</v>
      </c>
      <c r="BS14" s="697" t="n">
        <v>10</v>
      </c>
      <c r="BT14" s="697" t="n">
        <v>8</v>
      </c>
      <c r="BU14" s="697" t="n">
        <v>12</v>
      </c>
      <c r="BV14" s="697" t="n">
        <v>12</v>
      </c>
      <c r="BW14" s="697" t="n">
        <v>12</v>
      </c>
      <c r="BX14" s="697">
        <f>10+CH14</f>
        <v/>
      </c>
      <c r="BY14" s="697" t="n">
        <v>6</v>
      </c>
      <c r="BZ14" s="192">
        <f>BX14+IF(NOT(ISBLANK(OFFSET(BZ14,0,6))),N(OFFSET(BZ14,0,6)),N(OFFSET(BZ14,0,7)))-BY14</f>
        <v/>
      </c>
      <c r="CB14" s="22" t="n"/>
      <c r="CC14" s="22" t="n"/>
      <c r="CD14" s="4" t="n"/>
      <c r="CE14" s="378" t="inlineStr">
        <is>
          <t>5</t>
        </is>
      </c>
      <c r="CF14" s="4" t="n"/>
      <c r="CG14" s="23" t="n">
        <v>0</v>
      </c>
      <c r="CH14" s="23" t="n">
        <v>5</v>
      </c>
      <c r="CI14" s="23" t="n">
        <v>5</v>
      </c>
      <c r="CJ14" s="219" t="n">
        <v>10</v>
      </c>
      <c r="CK14" s="23" t="n"/>
      <c r="CL14" s="23" t="n">
        <v>3</v>
      </c>
      <c r="CM14" s="23" t="n"/>
      <c r="CN14" s="23" t="n">
        <v>2</v>
      </c>
      <c r="CO14" s="23" t="n">
        <v>10</v>
      </c>
      <c r="CP14" s="23" t="n"/>
      <c r="CQ14" s="23" t="n">
        <v>4</v>
      </c>
      <c r="CR14" s="23" t="n"/>
      <c r="CS14" s="23" t="n"/>
      <c r="CT14" s="23" t="n">
        <v>5</v>
      </c>
      <c r="CU14" s="23" t="n">
        <v>10</v>
      </c>
      <c r="CV14" s="23" t="n"/>
      <c r="CW14" s="23" t="n">
        <v>5</v>
      </c>
      <c r="CX14" s="23" t="n"/>
      <c r="CY14" s="23" t="n"/>
      <c r="CZ14" s="23" t="n"/>
      <c r="DA14" s="23" t="n"/>
      <c r="DB14" s="23" t="n"/>
      <c r="DC14" s="23" t="n"/>
      <c r="DD14" s="23" t="n"/>
      <c r="DE14" s="219" t="n">
        <v>25</v>
      </c>
      <c r="DF14" s="23" t="n"/>
      <c r="DG14" s="23" t="n"/>
      <c r="DH14" s="23" t="n"/>
      <c r="DI14" s="23" t="n"/>
      <c r="DJ14" s="23" t="n">
        <v>5</v>
      </c>
      <c r="DK14" s="437" t="inlineStr">
        <is>
          <t>100 P/ SHN</t>
        </is>
      </c>
      <c r="DL14" s="219" t="n"/>
      <c r="DM14" s="23" t="n"/>
      <c r="DN14" s="219" t="n">
        <v>200</v>
      </c>
      <c r="DO14" s="23" t="n">
        <v>2</v>
      </c>
      <c r="DP14" s="23" t="n"/>
      <c r="DQ14" s="23" t="n"/>
      <c r="DR14" s="23" t="n"/>
      <c r="DS14" s="23" t="n"/>
      <c r="DT14" s="23" t="n"/>
      <c r="DU14" s="23" t="n"/>
      <c r="DV14" s="219" t="n"/>
      <c r="DW14" s="23" t="n"/>
      <c r="DX14" s="219" t="n">
        <v>200</v>
      </c>
      <c r="DY14" s="23" t="n">
        <v>1</v>
      </c>
      <c r="DZ14" s="219" t="n"/>
      <c r="EA14" s="23" t="n"/>
      <c r="EB14" s="23" t="n"/>
      <c r="EC14" s="219" t="n">
        <v>8</v>
      </c>
      <c r="ED14" s="23" t="n"/>
      <c r="EE14" s="23" t="n"/>
      <c r="EF14" s="23" t="n"/>
      <c r="EG14" s="23" t="n">
        <v>6</v>
      </c>
      <c r="EH14" s="219" t="n"/>
      <c r="EI14" s="219" t="n"/>
      <c r="EJ14" s="23" t="n"/>
      <c r="EK14" s="23" t="n">
        <v>1</v>
      </c>
      <c r="EL14" s="219" t="n"/>
      <c r="EM14" s="219" t="n">
        <v>5</v>
      </c>
      <c r="EN14" s="219" t="n"/>
      <c r="EO14" s="23" t="n">
        <v>2</v>
      </c>
      <c r="EP14" s="23" t="n"/>
      <c r="EQ14" s="23" t="n"/>
      <c r="ER14" s="23" t="n"/>
      <c r="ES14" s="219" t="n"/>
      <c r="ET14" s="23" t="n">
        <v>3</v>
      </c>
      <c r="EU14" s="23" t="n">
        <v>2</v>
      </c>
      <c r="EV14" s="219" t="n">
        <v>10</v>
      </c>
      <c r="EW14" s="23" t="n"/>
      <c r="EX14" s="23" t="n">
        <v>2</v>
      </c>
      <c r="EY14" s="23" t="n">
        <v>5</v>
      </c>
      <c r="EZ14" s="23" t="n"/>
      <c r="FA14" s="23" t="n"/>
      <c r="FB14" s="23" t="n"/>
      <c r="FC14" s="23" t="n"/>
      <c r="FD14" s="23" t="n"/>
      <c r="FE14" s="23" t="n"/>
      <c r="FF14" s="219" t="n"/>
      <c r="FG14" s="23" t="n"/>
      <c r="FH14" s="23" t="n"/>
      <c r="FI14" s="23" t="n"/>
      <c r="FJ14" s="23" t="n"/>
      <c r="FL14" s="300" t="inlineStr">
        <is>
          <t>PAPEL DE SEDA</t>
        </is>
      </c>
      <c r="FM14" s="162" t="n">
        <v>200</v>
      </c>
      <c r="FN14" s="697">
        <f>CJ14</f>
        <v/>
      </c>
      <c r="FO14" s="697" t="n">
        <v>8</v>
      </c>
      <c r="FP14" s="697" t="n">
        <v>4</v>
      </c>
      <c r="FQ14" s="697" t="n">
        <v>2</v>
      </c>
      <c r="FR14" s="697" t="n">
        <v>0</v>
      </c>
      <c r="FS14" s="697" t="n">
        <v>0</v>
      </c>
      <c r="FT14" s="431">
        <f>FR14+IF(NOT(ISBLANK(OFFSET(FT14,0,6))),N(OFFSET(FT14,0,6)),N(OFFSET(FT14,0,7)))-FS14</f>
        <v/>
      </c>
    </row>
    <row r="15" ht="19.5" customFormat="1" customHeight="1" s="3">
      <c r="A15" s="58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5" t="n"/>
      <c r="F15" s="697">
        <f>4+FJ15</f>
        <v/>
      </c>
      <c r="G15" s="697" t="n">
        <v>6</v>
      </c>
      <c r="H15" s="697" t="n">
        <v>6</v>
      </c>
      <c r="I15" s="697" t="n">
        <v>5</v>
      </c>
      <c r="J15" s="697" t="n">
        <v>5</v>
      </c>
      <c r="K15" s="697" t="n">
        <v>5</v>
      </c>
      <c r="L15" s="697" t="n">
        <v>5</v>
      </c>
      <c r="M15" s="697" t="n">
        <v>5</v>
      </c>
      <c r="N15" s="697" t="n">
        <v>5</v>
      </c>
      <c r="O15" s="697" t="n">
        <v>5</v>
      </c>
      <c r="P15" s="697">
        <f>4+1</f>
        <v/>
      </c>
      <c r="Q15" s="697" t="n">
        <v>5</v>
      </c>
      <c r="R15" s="697" t="n">
        <v>6</v>
      </c>
      <c r="S15" s="697" t="n">
        <v>6</v>
      </c>
      <c r="T15" s="697" t="n">
        <v>6</v>
      </c>
      <c r="U15" s="697" t="n">
        <v>5</v>
      </c>
      <c r="V15" s="697" t="n">
        <v>5</v>
      </c>
      <c r="W15" s="697" t="n">
        <v>5</v>
      </c>
      <c r="X15" s="697" t="n">
        <v>3</v>
      </c>
      <c r="Y15" s="697" t="n">
        <v>0</v>
      </c>
      <c r="Z15" s="697" t="n">
        <v>6</v>
      </c>
      <c r="AA15" s="697" t="n">
        <v>6</v>
      </c>
      <c r="AB15" s="697" t="n">
        <v>6</v>
      </c>
      <c r="AC15" s="697" t="n">
        <v>4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3</v>
      </c>
      <c r="AI15" s="697" t="n">
        <v>3</v>
      </c>
      <c r="AJ15" s="697" t="n">
        <v>3</v>
      </c>
      <c r="AK15" s="697" t="n">
        <v>3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2</v>
      </c>
      <c r="BD15" s="697" t="n">
        <v>2</v>
      </c>
      <c r="BE15" s="697" t="n">
        <v>4</v>
      </c>
      <c r="BF15" s="314" t="n">
        <v>5</v>
      </c>
      <c r="BG15" s="697" t="n">
        <v>8</v>
      </c>
      <c r="BH15" s="697" t="n">
        <v>8</v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5</v>
      </c>
      <c r="BQ15" s="697" t="n">
        <v>5</v>
      </c>
      <c r="BR15" s="697" t="n">
        <v>2</v>
      </c>
      <c r="BS15" s="697" t="n">
        <v>2</v>
      </c>
      <c r="BT15" s="697" t="n">
        <v>2</v>
      </c>
      <c r="BU15" s="697" t="n">
        <v>2</v>
      </c>
      <c r="BV15" s="697" t="n">
        <v>2</v>
      </c>
      <c r="BW15" s="697" t="n">
        <v>2</v>
      </c>
      <c r="BX15" s="697" t="n">
        <v>0</v>
      </c>
      <c r="BY15" s="697">
        <f>0+CG15</f>
        <v/>
      </c>
      <c r="BZ15" s="192">
        <f>BX15+IF(NOT(ISBLANK(OFFSET(BZ15,0,6))),N(OFFSET(BZ15,0,6)),N(OFFSET(BZ15,0,7)))-BY15</f>
        <v/>
      </c>
      <c r="CB15" s="22" t="n"/>
      <c r="CC15" s="22" t="n"/>
      <c r="CD15" s="4" t="n"/>
      <c r="CE15" s="27" t="n">
        <v>5</v>
      </c>
      <c r="CF15" s="4" t="n"/>
      <c r="CG15" s="23" t="n">
        <v>3</v>
      </c>
      <c r="CH15" s="23" t="n">
        <v>0</v>
      </c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3</v>
      </c>
      <c r="CV15" s="23" t="n"/>
      <c r="CW15" s="23" t="n">
        <v>2</v>
      </c>
      <c r="CX15" s="23" t="n">
        <v>3</v>
      </c>
      <c r="CY15" s="23" t="n"/>
      <c r="CZ15" s="23" t="n"/>
      <c r="DA15" s="23" t="n"/>
      <c r="DB15" s="23" t="n"/>
      <c r="DC15" s="23" t="n"/>
      <c r="DD15" s="23" t="n"/>
      <c r="DE15" s="219" t="n">
        <v>9</v>
      </c>
      <c r="DF15" s="23" t="n"/>
      <c r="DG15" s="23" t="n"/>
      <c r="DH15" s="23" t="n"/>
      <c r="DI15" s="23" t="n"/>
      <c r="DJ15" s="23" t="n"/>
      <c r="DK15" s="437" t="inlineStr">
        <is>
          <t>100 P/ SHN</t>
        </is>
      </c>
      <c r="DL15" s="219" t="n"/>
      <c r="DM15" s="23" t="n"/>
      <c r="DN15" s="219" t="n">
        <v>200</v>
      </c>
      <c r="DO15" s="23" t="n"/>
      <c r="DP15" s="23" t="n"/>
      <c r="DQ15" s="23" t="n"/>
      <c r="DR15" s="23" t="n"/>
      <c r="DS15" s="23" t="n"/>
      <c r="DT15" s="23" t="n"/>
      <c r="DU15" s="23" t="n"/>
      <c r="DV15" s="219" t="n"/>
      <c r="DW15" s="23" t="n"/>
      <c r="DX15" s="219" t="n">
        <v>100</v>
      </c>
      <c r="DY15" s="23" t="n"/>
      <c r="DZ15" s="219" t="n"/>
      <c r="EA15" s="23" t="n"/>
      <c r="EB15" s="23" t="n"/>
      <c r="EC15" s="219" t="n"/>
      <c r="ED15" s="23" t="n"/>
      <c r="EE15" s="23" t="n"/>
      <c r="EF15" s="23" t="n"/>
      <c r="EG15" s="23" t="n"/>
      <c r="EH15" s="219" t="n"/>
      <c r="EI15" s="219" t="n"/>
      <c r="EJ15" s="23" t="n"/>
      <c r="EK15" s="23" t="n"/>
      <c r="EL15" s="219" t="n"/>
      <c r="EM15" s="219" t="n">
        <v>2</v>
      </c>
      <c r="EN15" s="219" t="n"/>
      <c r="EO15" s="23" t="n">
        <v>3</v>
      </c>
      <c r="EP15" s="23" t="n"/>
      <c r="EQ15" s="23" t="n"/>
      <c r="ER15" s="23" t="n"/>
      <c r="ES15" s="219" t="n"/>
      <c r="ET15" s="23" t="n"/>
      <c r="EU15" s="23" t="n"/>
      <c r="EV15" s="219" t="n"/>
      <c r="EW15" s="219" t="n"/>
      <c r="EX15" s="23" t="n"/>
      <c r="EY15" s="23" t="n"/>
      <c r="EZ15" s="282" t="inlineStr">
        <is>
          <t>01 DE TDQ</t>
        </is>
      </c>
      <c r="FA15" s="23" t="n"/>
      <c r="FB15" s="23" t="n"/>
      <c r="FC15" s="23" t="n"/>
      <c r="FD15" s="23" t="n"/>
      <c r="FE15" s="23" t="n"/>
      <c r="FF15" s="219" t="n"/>
      <c r="FG15" s="23" t="n"/>
      <c r="FH15" s="23" t="n"/>
      <c r="FI15" s="23" t="n"/>
      <c r="FJ15" s="23" t="n">
        <v>2</v>
      </c>
      <c r="FL15" s="65" t="inlineStr">
        <is>
          <t>ADESIVOS</t>
        </is>
      </c>
      <c r="FM15" s="699" t="n">
        <v>200</v>
      </c>
      <c r="FN15" s="697">
        <f>CJ15</f>
        <v/>
      </c>
      <c r="FO15" s="697" t="n">
        <v>3</v>
      </c>
      <c r="FP15" s="697" t="n">
        <v>3</v>
      </c>
      <c r="FQ15" s="697" t="n">
        <v>3</v>
      </c>
      <c r="FR15" s="697" t="n">
        <v>3</v>
      </c>
      <c r="FS15" s="697" t="n">
        <v>0</v>
      </c>
      <c r="FT15" s="431">
        <f>FR15+IF(NOT(ISBLANK(OFFSET(FT15,0,6))),N(OFFSET(FT15,0,6)),N(OFFSET(FT15,0,7)))-FS15</f>
        <v/>
      </c>
    </row>
    <row r="16" customFormat="1" s="3">
      <c r="A16" s="58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5" t="n"/>
      <c r="F16" s="697" t="n">
        <v>5</v>
      </c>
      <c r="G16" s="697">
        <f>3+FI16</f>
        <v/>
      </c>
      <c r="H16" s="697" t="n">
        <v>3</v>
      </c>
      <c r="I16" s="697">
        <f>1+FH16</f>
        <v/>
      </c>
      <c r="J16" s="697" t="n">
        <v>1</v>
      </c>
      <c r="K16" s="697" t="n">
        <v>4</v>
      </c>
      <c r="L16" s="697" t="n">
        <v>3</v>
      </c>
      <c r="M16" s="697" t="n">
        <v>3</v>
      </c>
      <c r="N16" s="697" t="n">
        <v>3</v>
      </c>
      <c r="O16" s="697">
        <f>1+3</f>
        <v/>
      </c>
      <c r="P16" s="697" t="n">
        <v>6</v>
      </c>
      <c r="Q16" s="697">
        <f>5+EX16</f>
        <v/>
      </c>
      <c r="R16" s="697">
        <f>8+EU16</f>
        <v/>
      </c>
      <c r="S16" s="697" t="n">
        <v>9</v>
      </c>
      <c r="T16" s="697" t="n">
        <v>7</v>
      </c>
      <c r="U16" s="697" t="n">
        <v>5</v>
      </c>
      <c r="V16" s="697" t="n">
        <v>4</v>
      </c>
      <c r="W16" s="697" t="n">
        <v>3</v>
      </c>
      <c r="X16" s="697" t="n">
        <v>3</v>
      </c>
      <c r="Y16" s="697" t="n">
        <v>9</v>
      </c>
      <c r="Z16" s="697" t="n">
        <v>8</v>
      </c>
      <c r="AA16" s="697" t="n">
        <v>7</v>
      </c>
      <c r="AB16" s="697" t="n">
        <v>6</v>
      </c>
      <c r="AC16" s="697" t="n">
        <v>4</v>
      </c>
      <c r="AD16" s="697" t="n">
        <v>3</v>
      </c>
      <c r="AE16" s="697">
        <f>3+EF16</f>
        <v/>
      </c>
      <c r="AF16" s="697" t="n">
        <v>5</v>
      </c>
      <c r="AG16" s="697" t="n">
        <v>3</v>
      </c>
      <c r="AH16" s="697">
        <f>2+DY16</f>
        <v/>
      </c>
      <c r="AI16" s="697" t="n">
        <v>4</v>
      </c>
      <c r="AJ16" s="697" t="n">
        <v>4</v>
      </c>
      <c r="AK16" s="697" t="n">
        <v>3</v>
      </c>
      <c r="AL16" s="697" t="n">
        <v>1</v>
      </c>
      <c r="AM16" s="697" t="n">
        <v>4</v>
      </c>
      <c r="AN16" s="697" t="n">
        <v>5</v>
      </c>
      <c r="AO16" s="697" t="n">
        <v>5</v>
      </c>
      <c r="AP16" s="697" t="n">
        <v>3</v>
      </c>
      <c r="AQ16" s="697" t="n">
        <v>2</v>
      </c>
      <c r="AR16" s="697">
        <f>1+DM16</f>
        <v/>
      </c>
      <c r="AS16" s="697" t="n">
        <v>4</v>
      </c>
      <c r="AT16" s="697">
        <f>2+DH16</f>
        <v/>
      </c>
      <c r="AU16" s="697">
        <f>2+DG16</f>
        <v/>
      </c>
      <c r="AV16" s="697" t="n">
        <v>6</v>
      </c>
      <c r="AW16" s="697" t="n">
        <v>5</v>
      </c>
      <c r="AX16" s="697" t="n">
        <v>5</v>
      </c>
      <c r="AY16" s="697" t="n">
        <v>5</v>
      </c>
      <c r="AZ16" s="697" t="n">
        <v>2</v>
      </c>
      <c r="BA16" s="697">
        <f>2+CZ16</f>
        <v/>
      </c>
      <c r="BB16" s="697" t="n">
        <v>5</v>
      </c>
      <c r="BC16" s="697">
        <f>5+CY16</f>
        <v/>
      </c>
      <c r="BD16" s="697" t="n">
        <v>7</v>
      </c>
      <c r="BE16" s="697" t="n">
        <v>5</v>
      </c>
      <c r="BF16" s="697" t="n">
        <v>0</v>
      </c>
      <c r="BG16" s="697" t="n">
        <v>5</v>
      </c>
      <c r="BH16" s="697">
        <f>4+CT16</f>
        <v/>
      </c>
      <c r="BI16" s="697" t="n">
        <v>8</v>
      </c>
      <c r="BJ16" s="697" t="n">
        <v>7</v>
      </c>
      <c r="BK16" s="697">
        <f>6+CP16</f>
        <v/>
      </c>
      <c r="BL16" s="697" t="n">
        <v>6</v>
      </c>
      <c r="BM16" s="697" t="n">
        <v>4</v>
      </c>
      <c r="BN16" s="697">
        <f>3+CN16</f>
        <v/>
      </c>
      <c r="BO16" s="697" t="n">
        <v>4</v>
      </c>
      <c r="BP16" s="697">
        <f>2+CM16</f>
        <v/>
      </c>
      <c r="BQ16" s="697">
        <f>2+CL16</f>
        <v/>
      </c>
      <c r="BR16" s="697">
        <f>3+CK16</f>
        <v/>
      </c>
      <c r="BS16" s="697" t="n">
        <v>3</v>
      </c>
      <c r="BT16" s="697" t="n">
        <v>2</v>
      </c>
      <c r="BU16" s="697" t="n">
        <v>3</v>
      </c>
      <c r="BV16" s="697" t="n">
        <v>1</v>
      </c>
      <c r="BW16" s="697" t="n">
        <v>0</v>
      </c>
      <c r="BX16" s="697">
        <f>0+CH16</f>
        <v/>
      </c>
      <c r="BY16" s="697" t="n">
        <v>4</v>
      </c>
      <c r="BZ16" s="192">
        <f>BX16+IF(NOT(ISBLANK(OFFSET(BZ16,0,6))),N(OFFSET(BZ16,0,6)),N(OFFSET(BZ16,0,7)))-BY16</f>
        <v/>
      </c>
      <c r="CB16" s="22" t="n"/>
      <c r="CC16" s="22" t="n"/>
      <c r="CD16" s="4" t="n"/>
      <c r="CE16" s="27" t="n">
        <v>2</v>
      </c>
      <c r="CF16" s="4" t="n"/>
      <c r="CG16" s="23" t="n">
        <v>0</v>
      </c>
      <c r="CH16" s="23" t="n">
        <v>5</v>
      </c>
      <c r="CI16" s="23" t="n">
        <v>2</v>
      </c>
      <c r="CJ16" s="23" t="n"/>
      <c r="CK16" s="23" t="n">
        <v>1</v>
      </c>
      <c r="CL16" s="23" t="n">
        <v>2</v>
      </c>
      <c r="CM16" s="23" t="n">
        <v>1</v>
      </c>
      <c r="CN16" s="23" t="n">
        <v>2</v>
      </c>
      <c r="CO16" s="23" t="n"/>
      <c r="CP16" s="23" t="n">
        <v>2</v>
      </c>
      <c r="CQ16" s="23" t="n"/>
      <c r="CR16" s="23" t="n"/>
      <c r="CS16" s="23" t="n"/>
      <c r="CT16" s="23" t="n">
        <v>5</v>
      </c>
      <c r="CU16" s="23" t="n">
        <v>6</v>
      </c>
      <c r="CV16" s="23" t="n"/>
      <c r="CW16" s="23" t="n"/>
      <c r="CX16" s="23" t="n"/>
      <c r="CY16" s="23" t="n">
        <v>2</v>
      </c>
      <c r="CZ16" s="23" t="n">
        <v>5</v>
      </c>
      <c r="DA16" s="23" t="n"/>
      <c r="DB16" s="23" t="n"/>
      <c r="DC16" s="23" t="n"/>
      <c r="DD16" s="23" t="n"/>
      <c r="DE16" s="219" t="n"/>
      <c r="DF16" s="23" t="n"/>
      <c r="DG16" s="23" t="n">
        <v>5</v>
      </c>
      <c r="DH16" s="23" t="n">
        <v>1</v>
      </c>
      <c r="DI16" s="23" t="n"/>
      <c r="DJ16" s="23" t="n">
        <v>1</v>
      </c>
      <c r="DK16" s="219" t="n"/>
      <c r="DL16" s="219" t="n"/>
      <c r="DM16" s="23" t="n">
        <v>3</v>
      </c>
      <c r="DN16" s="219" t="n"/>
      <c r="DO16" s="23" t="n"/>
      <c r="DP16" s="23" t="n"/>
      <c r="DQ16" s="23" t="n"/>
      <c r="DR16" s="23" t="n">
        <v>2</v>
      </c>
      <c r="DS16" s="23" t="n"/>
      <c r="DT16" s="23" t="n">
        <v>5</v>
      </c>
      <c r="DU16" s="23" t="n">
        <v>2</v>
      </c>
      <c r="DV16" s="219" t="n"/>
      <c r="DW16" s="23" t="n">
        <v>1</v>
      </c>
      <c r="DX16" s="219" t="n"/>
      <c r="DY16" s="23" t="n">
        <v>3</v>
      </c>
      <c r="DZ16" s="219" t="n"/>
      <c r="EA16" s="23" t="n"/>
      <c r="EB16" s="23" t="n"/>
      <c r="EC16" s="219" t="n"/>
      <c r="ED16" s="23" t="n"/>
      <c r="EE16" s="23" t="n"/>
      <c r="EF16" s="23" t="n">
        <v>3</v>
      </c>
      <c r="EG16" s="23" t="n"/>
      <c r="EH16" s="219" t="n"/>
      <c r="EI16" s="219" t="n"/>
      <c r="EJ16" s="23" t="n"/>
      <c r="EK16" s="23" t="n"/>
      <c r="EL16" s="219" t="n"/>
      <c r="EM16" s="219" t="n"/>
      <c r="EN16" s="219" t="n"/>
      <c r="EO16" s="23" t="n">
        <v>8</v>
      </c>
      <c r="EP16" s="23" t="n">
        <v>4</v>
      </c>
      <c r="EQ16" s="23" t="n"/>
      <c r="ER16" s="23" t="n"/>
      <c r="ES16" s="219" t="n"/>
      <c r="ET16" s="23" t="n"/>
      <c r="EU16" s="23" t="n">
        <v>2</v>
      </c>
      <c r="EV16" s="219" t="n">
        <v>3</v>
      </c>
      <c r="EW16" s="23" t="n"/>
      <c r="EX16" s="23" t="n">
        <v>4</v>
      </c>
      <c r="EY16" s="23" t="n">
        <v>5</v>
      </c>
      <c r="EZ16" s="23" t="n"/>
      <c r="FA16" s="23" t="n"/>
      <c r="FB16" s="282" t="inlineStr">
        <is>
          <t>03 DE GV</t>
        </is>
      </c>
      <c r="FC16" s="23" t="n"/>
      <c r="FD16" s="23" t="n"/>
      <c r="FE16" s="23" t="n">
        <v>2</v>
      </c>
      <c r="FF16" s="219" t="n"/>
      <c r="FG16" s="23" t="n">
        <v>4</v>
      </c>
      <c r="FH16" s="23" t="n">
        <v>1</v>
      </c>
      <c r="FI16" s="23" t="n">
        <v>1</v>
      </c>
      <c r="FJ16" s="23" t="n"/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5" t="n"/>
      <c r="F17" s="697" t="n">
        <v>6</v>
      </c>
      <c r="G17" s="697">
        <f>5+FI17</f>
        <v/>
      </c>
      <c r="H17" s="697" t="n">
        <v>6</v>
      </c>
      <c r="I17" s="697" t="n">
        <v>4</v>
      </c>
      <c r="J17" s="697" t="n">
        <v>3</v>
      </c>
      <c r="K17" s="697" t="n">
        <v>4</v>
      </c>
      <c r="L17" s="697" t="n">
        <v>4</v>
      </c>
      <c r="M17" s="697" t="n">
        <v>3</v>
      </c>
      <c r="N17" s="697" t="n">
        <v>3</v>
      </c>
      <c r="O17" s="697" t="n">
        <v>2</v>
      </c>
      <c r="P17" s="697">
        <f>6+2+2</f>
        <v/>
      </c>
      <c r="Q17" s="697">
        <f>8+EX17</f>
        <v/>
      </c>
      <c r="R17" s="697">
        <f>8+EU17</f>
        <v/>
      </c>
      <c r="S17" s="697" t="n">
        <v>9</v>
      </c>
      <c r="T17" s="697">
        <f>9+ET17</f>
        <v/>
      </c>
      <c r="U17" s="697" t="n">
        <v>11</v>
      </c>
      <c r="V17" s="697" t="n">
        <v>8</v>
      </c>
      <c r="W17" s="697" t="n">
        <v>8</v>
      </c>
      <c r="X17" s="697" t="n">
        <v>9</v>
      </c>
      <c r="Y17" s="697" t="n">
        <v>9</v>
      </c>
      <c r="Z17" s="697" t="n">
        <v>9</v>
      </c>
      <c r="AA17" s="697">
        <f>8-3</f>
        <v/>
      </c>
      <c r="AB17" s="697" t="n">
        <v>3</v>
      </c>
      <c r="AC17" s="697">
        <f>2+EG17</f>
        <v/>
      </c>
      <c r="AD17" s="697" t="n">
        <v>4</v>
      </c>
      <c r="AE17" s="697" t="n">
        <v>4</v>
      </c>
      <c r="AF17" s="697" t="n">
        <v>2</v>
      </c>
      <c r="AG17" s="697">
        <f>2+EB17</f>
        <v/>
      </c>
      <c r="AH17" s="697" t="n">
        <v>4</v>
      </c>
      <c r="AI17" s="697" t="n">
        <v>3</v>
      </c>
      <c r="AJ17" s="697" t="n">
        <v>3</v>
      </c>
      <c r="AK17" s="697" t="n">
        <v>3</v>
      </c>
      <c r="AL17" s="697" t="n">
        <v>2</v>
      </c>
      <c r="AM17" s="697" t="n">
        <v>4</v>
      </c>
      <c r="AN17" s="697" t="n">
        <v>3</v>
      </c>
      <c r="AO17" s="697" t="n">
        <v>2</v>
      </c>
      <c r="AP17" s="697">
        <f>2+DO17</f>
        <v/>
      </c>
      <c r="AQ17" s="697" t="n">
        <v>3</v>
      </c>
      <c r="AR17" s="697">
        <f>2+DM17</f>
        <v/>
      </c>
      <c r="AS17" s="697" t="n">
        <v>3</v>
      </c>
      <c r="AT17" s="697">
        <f>2+DH17</f>
        <v/>
      </c>
      <c r="AU17" s="697">
        <f>2+DG17</f>
        <v/>
      </c>
      <c r="AV17" s="697" t="n">
        <v>3</v>
      </c>
      <c r="AW17" s="697">
        <f>2+DD17</f>
        <v/>
      </c>
      <c r="AX17" s="697" t="n">
        <v>2</v>
      </c>
      <c r="AY17" s="697">
        <f>2+DA17</f>
        <v/>
      </c>
      <c r="AZ17" s="697" t="n">
        <v>3</v>
      </c>
      <c r="BA17" s="697">
        <f>2+CZ17</f>
        <v/>
      </c>
      <c r="BB17" s="697" t="n">
        <v>5</v>
      </c>
      <c r="BC17" s="697">
        <f>3+CY17</f>
        <v/>
      </c>
      <c r="BD17" s="697" t="n">
        <v>3</v>
      </c>
      <c r="BE17" s="697" t="n">
        <v>3</v>
      </c>
      <c r="BF17" s="314" t="n">
        <v>5</v>
      </c>
      <c r="BG17" s="697" t="n">
        <v>9</v>
      </c>
      <c r="BH17" s="697">
        <f>8+CT17</f>
        <v/>
      </c>
      <c r="BI17" s="697" t="n">
        <v>10</v>
      </c>
      <c r="BJ17" s="697" t="n">
        <v>9</v>
      </c>
      <c r="BK17" s="697" t="n">
        <v>8</v>
      </c>
      <c r="BL17" s="697" t="n">
        <v>7</v>
      </c>
      <c r="BM17" s="697" t="n">
        <v>6</v>
      </c>
      <c r="BN17" s="697" t="n">
        <v>5</v>
      </c>
      <c r="BO17" s="697" t="n">
        <v>5</v>
      </c>
      <c r="BP17" s="697" t="n">
        <v>5</v>
      </c>
      <c r="BQ17" s="697" t="n">
        <v>2</v>
      </c>
      <c r="BR17" s="697">
        <f>2+CK17</f>
        <v/>
      </c>
      <c r="BS17" s="697" t="n">
        <v>4</v>
      </c>
      <c r="BT17" s="697" t="n">
        <v>3</v>
      </c>
      <c r="BU17" s="697" t="n">
        <v>6</v>
      </c>
      <c r="BV17" s="697" t="n">
        <v>5</v>
      </c>
      <c r="BW17" s="697" t="n">
        <v>4</v>
      </c>
      <c r="BX17" s="697">
        <f>4+CH17</f>
        <v/>
      </c>
      <c r="BY17" s="697" t="n">
        <v>3</v>
      </c>
      <c r="BZ17" s="192">
        <f>BX17+IF(NOT(ISBLANK(OFFSET(BZ17,0,6))),N(OFFSET(BZ17,0,6)),N(OFFSET(BZ17,0,7)))-BY17</f>
        <v/>
      </c>
      <c r="CB17" s="22" t="n"/>
      <c r="CC17" s="22" t="n"/>
      <c r="CD17" s="4" t="n"/>
      <c r="CE17" s="27" t="n">
        <v>1</v>
      </c>
      <c r="CF17" s="4" t="n"/>
      <c r="CG17" s="23" t="n">
        <v>0</v>
      </c>
      <c r="CH17" s="23" t="n">
        <v>2</v>
      </c>
      <c r="CI17" s="23" t="n">
        <v>3</v>
      </c>
      <c r="CJ17" s="23" t="n"/>
      <c r="CK17" s="23" t="n">
        <v>4</v>
      </c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>
        <v>3</v>
      </c>
      <c r="CU17" s="23" t="n">
        <v>4</v>
      </c>
      <c r="CV17" s="23" t="n"/>
      <c r="CW17" s="23" t="n"/>
      <c r="CX17" s="23" t="n">
        <v>8</v>
      </c>
      <c r="CY17" s="23" t="n">
        <v>2</v>
      </c>
      <c r="CZ17" s="23" t="n">
        <v>4</v>
      </c>
      <c r="DA17" s="23" t="n">
        <v>3</v>
      </c>
      <c r="DB17" s="23" t="n">
        <v>1</v>
      </c>
      <c r="DC17" s="23" t="n"/>
      <c r="DD17" s="23" t="n">
        <v>1</v>
      </c>
      <c r="DE17" s="219" t="n"/>
      <c r="DF17" s="23" t="n"/>
      <c r="DG17" s="23" t="n">
        <v>2</v>
      </c>
      <c r="DH17" s="23" t="n">
        <v>1</v>
      </c>
      <c r="DI17" s="23" t="n"/>
      <c r="DJ17" s="23" t="n">
        <v>1</v>
      </c>
      <c r="DK17" s="219" t="n"/>
      <c r="DL17" s="219" t="n"/>
      <c r="DM17" s="23" t="n">
        <v>1</v>
      </c>
      <c r="DN17" s="219" t="n"/>
      <c r="DO17" s="23" t="n">
        <v>2</v>
      </c>
      <c r="DP17" s="23" t="n"/>
      <c r="DQ17" s="23" t="n">
        <v>1</v>
      </c>
      <c r="DR17" s="23" t="n"/>
      <c r="DS17" s="23" t="n"/>
      <c r="DT17" s="23" t="n">
        <v>2</v>
      </c>
      <c r="DU17" s="23" t="n">
        <v>1</v>
      </c>
      <c r="DV17" s="219" t="n"/>
      <c r="DW17" s="23" t="n">
        <v>1</v>
      </c>
      <c r="DX17" s="219" t="n"/>
      <c r="DY17" s="23" t="n"/>
      <c r="DZ17" s="219" t="n"/>
      <c r="EA17" s="23" t="n"/>
      <c r="EB17" s="23" t="n">
        <v>3</v>
      </c>
      <c r="EC17" s="219" t="n"/>
      <c r="ED17" s="23" t="n"/>
      <c r="EE17" s="23" t="n"/>
      <c r="EF17" s="23" t="n"/>
      <c r="EG17" s="23" t="n">
        <v>2</v>
      </c>
      <c r="EH17" s="219" t="n"/>
      <c r="EI17" s="219" t="n"/>
      <c r="EJ17" s="282" t="inlineStr">
        <is>
          <t>03 P/ SHN</t>
        </is>
      </c>
      <c r="EK17" s="23" t="n"/>
      <c r="EL17" s="219" t="n"/>
      <c r="EM17" s="219" t="n"/>
      <c r="EN17" s="219" t="n"/>
      <c r="EO17" s="23" t="n">
        <v>2</v>
      </c>
      <c r="EP17" s="23" t="n">
        <v>3</v>
      </c>
      <c r="EQ17" s="23" t="n"/>
      <c r="ER17" s="23" t="n"/>
      <c r="ES17" s="219" t="n"/>
      <c r="ET17" s="23" t="n">
        <v>2</v>
      </c>
      <c r="EU17" s="23" t="n">
        <v>3</v>
      </c>
      <c r="EV17" s="219" t="n"/>
      <c r="EW17" s="219" t="n"/>
      <c r="EX17" s="23" t="n">
        <v>1</v>
      </c>
      <c r="EY17" s="23" t="n">
        <v>5</v>
      </c>
      <c r="EZ17" s="282" t="inlineStr">
        <is>
          <t>02 DE TDQ</t>
        </is>
      </c>
      <c r="FA17" s="282" t="inlineStr">
        <is>
          <t>02 DE Q7</t>
        </is>
      </c>
      <c r="FB17" s="23" t="n"/>
      <c r="FC17" s="23" t="n"/>
      <c r="FD17" s="23" t="n"/>
      <c r="FE17" s="23" t="n"/>
      <c r="FF17" s="219" t="n"/>
      <c r="FG17" s="23" t="n">
        <v>2</v>
      </c>
      <c r="FH17" s="23" t="n"/>
      <c r="FI17" s="23" t="n">
        <v>1</v>
      </c>
      <c r="FJ17" s="23" t="n"/>
    </row>
    <row r="18" ht="14.25" customFormat="1" customHeight="1" s="3">
      <c r="A18" s="35" t="n"/>
      <c r="C18" s="763" t="n"/>
      <c r="D18" s="450" t="n"/>
      <c r="E18" s="5" t="n"/>
      <c r="CB18" s="48" t="n"/>
      <c r="CC18" s="48" t="n"/>
      <c r="CJ18" s="250" t="n"/>
      <c r="DK18" s="372" t="n"/>
      <c r="DL18" s="372" t="n"/>
      <c r="DN18" s="372" t="n"/>
      <c r="DV18" s="19" t="n"/>
      <c r="DX18" s="250" t="n"/>
      <c r="DZ18" s="250" t="n"/>
      <c r="EC18" s="250" t="n"/>
      <c r="EH18" s="372" t="n"/>
      <c r="EI18" s="19" t="n"/>
      <c r="EL18" s="19" t="n"/>
      <c r="EM18" s="372" t="n"/>
      <c r="EN18" s="19" t="n"/>
      <c r="ES18" s="19" t="n"/>
      <c r="EV18" s="19" t="n"/>
      <c r="FF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5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44" t="inlineStr">
        <is>
          <t>Pendências</t>
        </is>
      </c>
      <c r="CD19" s="5" t="n"/>
      <c r="CE19" s="12" t="inlineStr">
        <is>
          <t>Novo Pedido</t>
        </is>
      </c>
      <c r="CF19" s="4" t="n"/>
      <c r="CG19" s="734" t="n">
        <v>46149</v>
      </c>
      <c r="CH19" s="734" t="n">
        <v>46142</v>
      </c>
      <c r="CI19" s="734" t="n">
        <v>46114</v>
      </c>
      <c r="CJ19" s="735" t="n">
        <v>46065</v>
      </c>
      <c r="CK19" s="734" t="n">
        <v>46099</v>
      </c>
      <c r="CL19" s="734" t="n">
        <v>46092</v>
      </c>
      <c r="CM19" s="734" t="n">
        <v>46084</v>
      </c>
      <c r="CN19" s="734" t="n">
        <v>46071</v>
      </c>
      <c r="CO19" s="734" t="n">
        <v>46056</v>
      </c>
      <c r="CP19" s="734" t="n">
        <v>46048</v>
      </c>
      <c r="CQ19" s="734" t="n">
        <v>46035</v>
      </c>
      <c r="CR19" s="734" t="n">
        <v>46043</v>
      </c>
      <c r="CS19" s="734" t="n">
        <v>46029</v>
      </c>
      <c r="CT19" s="734" t="n">
        <v>46024</v>
      </c>
      <c r="CU19" s="734" t="n">
        <v>46017</v>
      </c>
      <c r="CV19" s="736" t="n">
        <v>46013</v>
      </c>
      <c r="CW19" s="734" t="n">
        <v>46007</v>
      </c>
      <c r="CX19" s="734" t="n">
        <v>46001</v>
      </c>
      <c r="CY19" s="734" t="n">
        <v>45994</v>
      </c>
      <c r="CZ19" s="734" t="n">
        <v>45980</v>
      </c>
      <c r="DA19" s="734" t="n">
        <v>45965</v>
      </c>
      <c r="DB19" s="734" t="n">
        <v>45960</v>
      </c>
      <c r="DC19" s="736" t="n">
        <v>45961</v>
      </c>
      <c r="DD19" s="734" t="n">
        <v>45951</v>
      </c>
      <c r="DE19" s="737" t="n">
        <v>45903</v>
      </c>
      <c r="DF19" s="734" t="n">
        <v>45945</v>
      </c>
      <c r="DG19" s="734" t="n">
        <v>45937</v>
      </c>
      <c r="DH19" s="734" t="n">
        <v>45931</v>
      </c>
      <c r="DI19" s="734" t="n">
        <v>45923</v>
      </c>
      <c r="DJ19" s="734" t="n">
        <v>45923</v>
      </c>
      <c r="DK19" s="754" t="n">
        <v>45924</v>
      </c>
      <c r="DL19" s="754" t="n">
        <v>45923</v>
      </c>
      <c r="DM19" s="734" t="n">
        <v>45915</v>
      </c>
      <c r="DN19" s="738" t="n">
        <v>45863</v>
      </c>
      <c r="DO19" s="734" t="n">
        <v>45903</v>
      </c>
      <c r="DP19" s="736" t="n">
        <v>45902</v>
      </c>
      <c r="DQ19" s="734" t="n">
        <v>45895</v>
      </c>
      <c r="DR19" s="734" t="n">
        <v>45888</v>
      </c>
      <c r="DS19" s="739" t="n">
        <v>45888</v>
      </c>
      <c r="DT19" s="734" t="n">
        <v>45881</v>
      </c>
      <c r="DU19" s="734" t="n">
        <v>45874</v>
      </c>
      <c r="DV19" s="740" t="n">
        <v>45863</v>
      </c>
      <c r="DW19" s="734" t="n">
        <v>45860</v>
      </c>
      <c r="DX19" s="741" t="n">
        <v>45856</v>
      </c>
      <c r="DY19" s="734" t="n">
        <v>45848</v>
      </c>
      <c r="DZ19" s="739" t="n">
        <v>45852</v>
      </c>
      <c r="EA19" s="736" t="n">
        <v>45851</v>
      </c>
      <c r="EB19" s="734" t="n">
        <v>45839</v>
      </c>
      <c r="EC19" s="739" t="n">
        <v>45791</v>
      </c>
      <c r="ED19" s="736" t="n">
        <v>45841</v>
      </c>
      <c r="EE19" s="734" t="n">
        <v>45832</v>
      </c>
      <c r="EF19" s="734" t="n">
        <v>45825</v>
      </c>
      <c r="EG19" s="734" t="n">
        <v>45813</v>
      </c>
      <c r="EH19" s="755" t="n">
        <v>45826</v>
      </c>
      <c r="EI19" s="740" t="n">
        <v>45826</v>
      </c>
      <c r="EJ19" s="736" t="n">
        <v>45812</v>
      </c>
      <c r="EK19" s="734" t="n">
        <v>45805</v>
      </c>
      <c r="EL19" s="740" t="n">
        <v>45800</v>
      </c>
      <c r="EM19" s="742" t="n">
        <v>45735</v>
      </c>
      <c r="EN19" s="740" t="n">
        <v>45790</v>
      </c>
      <c r="EO19" s="734" t="n">
        <v>45783</v>
      </c>
      <c r="EP19" s="734" t="n">
        <v>45770</v>
      </c>
      <c r="EQ19" s="734" t="n">
        <v>45756</v>
      </c>
      <c r="ER19" s="743" t="n">
        <v>45761</v>
      </c>
      <c r="ES19" s="740" t="n">
        <v>45759</v>
      </c>
      <c r="ET19" s="734" t="n">
        <v>45749</v>
      </c>
      <c r="EU19" s="734" t="n">
        <v>45734</v>
      </c>
      <c r="EV19" s="740" t="n">
        <v>45700</v>
      </c>
      <c r="EW19" s="736" t="n">
        <v>45731</v>
      </c>
      <c r="EX19" s="734" t="n">
        <v>45728</v>
      </c>
      <c r="EY19" s="734" t="n">
        <v>45722</v>
      </c>
      <c r="EZ19" s="736" t="n">
        <v>45727</v>
      </c>
      <c r="FA19" s="736" t="n">
        <v>45724</v>
      </c>
      <c r="FB19" s="736" t="n">
        <v>45722</v>
      </c>
      <c r="FC19" s="734" t="n">
        <v>45714</v>
      </c>
      <c r="FD19" s="734" t="n">
        <v>45706</v>
      </c>
      <c r="FE19" s="734" t="n">
        <v>45699</v>
      </c>
      <c r="FF19" s="744" t="n">
        <v>45698</v>
      </c>
      <c r="FG19" s="734" t="n">
        <v>45679</v>
      </c>
      <c r="FH19" s="734" t="n">
        <v>45674</v>
      </c>
      <c r="FI19" s="734" t="n">
        <v>45660</v>
      </c>
      <c r="FJ19" s="734" t="n">
        <v>45652</v>
      </c>
      <c r="FL19" s="304" t="inlineStr">
        <is>
          <t>CAIXAS</t>
        </is>
      </c>
      <c r="FM19" s="235" t="inlineStr">
        <is>
          <t>PCT</t>
        </is>
      </c>
      <c r="FN19" s="746" t="n">
        <v>46118</v>
      </c>
      <c r="FO19" s="746" t="n">
        <v>46125</v>
      </c>
      <c r="FP19" s="746" t="n">
        <v>46132</v>
      </c>
      <c r="FQ19" s="746" t="n">
        <v>46139</v>
      </c>
      <c r="FR19" s="746" t="n">
        <v>46146</v>
      </c>
      <c r="FS19" s="746" t="n">
        <v>46154</v>
      </c>
      <c r="FT19" s="758" t="inlineStr">
        <is>
          <t>USOU</t>
        </is>
      </c>
    </row>
    <row r="20" ht="18.75" customFormat="1" customHeigh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5" t="n"/>
      <c r="F20" s="697" t="n">
        <v>239</v>
      </c>
      <c r="G20" s="697" t="n">
        <v>239</v>
      </c>
      <c r="H20" s="697" t="n">
        <v>237</v>
      </c>
      <c r="I20" s="697" t="n">
        <v>211</v>
      </c>
      <c r="J20" s="697" t="n">
        <v>173</v>
      </c>
      <c r="K20" s="697" t="n">
        <v>120</v>
      </c>
      <c r="L20" s="697" t="n">
        <v>70</v>
      </c>
      <c r="M20" s="697" t="n">
        <v>328</v>
      </c>
      <c r="N20" s="697" t="n">
        <v>265</v>
      </c>
      <c r="O20" s="697">
        <f>204+FC20</f>
        <v/>
      </c>
      <c r="P20" s="697" t="n">
        <v>302</v>
      </c>
      <c r="Q20" s="697" t="n">
        <v>250</v>
      </c>
      <c r="R20" s="697">
        <f>214+EU20</f>
        <v/>
      </c>
      <c r="S20" s="697" t="n">
        <v>316</v>
      </c>
      <c r="T20" s="697" t="n">
        <v>274</v>
      </c>
      <c r="U20" s="697" t="n">
        <v>232</v>
      </c>
      <c r="V20" s="697" t="n">
        <v>227</v>
      </c>
      <c r="W20" s="697" t="n">
        <v>227</v>
      </c>
      <c r="X20" s="697" t="n">
        <v>224</v>
      </c>
      <c r="Y20" s="697" t="n">
        <v>223</v>
      </c>
      <c r="Z20" s="697" t="n">
        <v>223</v>
      </c>
      <c r="AA20" s="697" t="n">
        <v>222</v>
      </c>
      <c r="AB20" s="697" t="n">
        <v>216</v>
      </c>
      <c r="AC20" s="697" t="n">
        <v>212</v>
      </c>
      <c r="AD20" s="697" t="n">
        <v>209</v>
      </c>
      <c r="AE20" s="697" t="n">
        <v>186</v>
      </c>
      <c r="AF20" s="697" t="n">
        <v>325</v>
      </c>
      <c r="AG20" s="697" t="n">
        <v>298</v>
      </c>
      <c r="AH20" s="697" t="n">
        <v>270</v>
      </c>
      <c r="AI20" s="697" t="n">
        <v>236</v>
      </c>
      <c r="AJ20" s="697" t="n">
        <v>200</v>
      </c>
      <c r="AK20" s="697" t="n">
        <v>167</v>
      </c>
      <c r="AL20" s="697" t="n">
        <v>122</v>
      </c>
      <c r="AM20" s="697" t="n">
        <v>245</v>
      </c>
      <c r="AN20" s="697" t="n">
        <v>226</v>
      </c>
      <c r="AO20" s="697">
        <f>200+DQ20</f>
        <v/>
      </c>
      <c r="AP20" s="697" t="n">
        <v>323</v>
      </c>
      <c r="AQ20" s="697" t="n">
        <v>284</v>
      </c>
      <c r="AR20" s="697" t="n">
        <v>239</v>
      </c>
      <c r="AS20" s="697" t="n">
        <v>203</v>
      </c>
      <c r="AT20" s="697">
        <f>146+DH20</f>
        <v/>
      </c>
      <c r="AU20" s="697" t="n">
        <v>205</v>
      </c>
      <c r="AV20" s="697" t="n">
        <v>156</v>
      </c>
      <c r="AW20" s="697">
        <f>97+DD20</f>
        <v/>
      </c>
      <c r="AX20" s="697" t="n">
        <v>181</v>
      </c>
      <c r="AY20" s="697" t="n">
        <v>155</v>
      </c>
      <c r="AZ20" s="314" t="n">
        <v>218</v>
      </c>
      <c r="BA20" s="697" t="n">
        <v>133</v>
      </c>
      <c r="BB20" s="697" t="n">
        <v>129</v>
      </c>
      <c r="BC20" s="697" t="n">
        <v>125</v>
      </c>
      <c r="BD20" s="697" t="n">
        <v>125</v>
      </c>
      <c r="BE20" s="697" t="n">
        <v>274</v>
      </c>
      <c r="BF20" s="697" t="n">
        <v>97</v>
      </c>
      <c r="BG20" s="697" t="n">
        <v>69</v>
      </c>
      <c r="BH20" s="697">
        <f>48+CS20</f>
        <v/>
      </c>
      <c r="BI20" s="697" t="n">
        <v>337</v>
      </c>
      <c r="BJ20" s="697" t="n">
        <v>326</v>
      </c>
      <c r="BK20" s="697" t="n">
        <v>320</v>
      </c>
      <c r="BL20" s="697" t="n">
        <v>283</v>
      </c>
      <c r="BM20" s="697" t="n">
        <v>276</v>
      </c>
      <c r="BN20" s="697" t="n">
        <v>264</v>
      </c>
      <c r="BO20" s="697" t="n">
        <v>245</v>
      </c>
      <c r="BP20" s="697" t="n">
        <v>221</v>
      </c>
      <c r="BQ20" s="697">
        <f>203+CL20</f>
        <v/>
      </c>
      <c r="BR20" s="697" t="n">
        <v>337</v>
      </c>
      <c r="BS20" s="697" t="n">
        <v>327</v>
      </c>
      <c r="BT20" s="697" t="n"/>
      <c r="BU20" s="697" t="n"/>
      <c r="BV20" s="697" t="n"/>
      <c r="BW20" s="697" t="n">
        <v>311</v>
      </c>
      <c r="BX20" s="697" t="n">
        <v>311</v>
      </c>
      <c r="BY20" s="697" t="n">
        <v>260</v>
      </c>
      <c r="BZ20" s="192">
        <f>BX20+IF(NOT(ISBLANK(OFFSET(BZ20,0,6))),N(OFFSET(BZ20,0,6)),N(OFFSET(BZ20,0,7)))-BY20</f>
        <v/>
      </c>
      <c r="CA20" s="50" t="n"/>
      <c r="CB20" s="22" t="n"/>
      <c r="CC20" s="22" t="n"/>
      <c r="CD20" s="4" t="n"/>
      <c r="CE20" s="27" t="n"/>
      <c r="CF20" s="4" t="n"/>
      <c r="CG20" s="23" t="n">
        <v>0</v>
      </c>
      <c r="CH20" s="23" t="n">
        <v>0</v>
      </c>
      <c r="CI20" s="23" t="n"/>
      <c r="CJ20" s="219" t="n">
        <v>150</v>
      </c>
      <c r="CK20" s="23" t="n"/>
      <c r="CL20" s="23" t="n">
        <v>150</v>
      </c>
      <c r="CM20" s="23" t="n"/>
      <c r="CN20" s="23" t="n"/>
      <c r="CO20" s="23" t="n"/>
      <c r="CP20" s="23" t="n"/>
      <c r="CQ20" s="23" t="n"/>
      <c r="CR20" s="23" t="n"/>
      <c r="CS20" s="23" t="n">
        <v>300</v>
      </c>
      <c r="CT20" s="23" t="n"/>
      <c r="CU20" s="23" t="n"/>
      <c r="CV20" s="23" t="n"/>
      <c r="CW20" s="23" t="n"/>
      <c r="CX20" s="23" t="n">
        <v>150</v>
      </c>
      <c r="CY20" s="23" t="n"/>
      <c r="CZ20" s="23" t="n"/>
      <c r="DA20" s="23" t="n"/>
      <c r="DB20" s="23" t="n"/>
      <c r="DC20" s="23" t="n"/>
      <c r="DD20" s="23" t="n">
        <v>150</v>
      </c>
      <c r="DE20" s="219" t="n">
        <v>150</v>
      </c>
      <c r="DF20" s="23" t="n"/>
      <c r="DG20" s="23" t="n"/>
      <c r="DH20" s="23" t="n">
        <v>150</v>
      </c>
      <c r="DI20" s="23" t="n"/>
      <c r="DJ20" s="23" t="n"/>
      <c r="DK20" s="219" t="n"/>
      <c r="DL20" s="219" t="n"/>
      <c r="DM20" s="23" t="n"/>
      <c r="DN20" s="219" t="n"/>
      <c r="DO20" s="23" t="n"/>
      <c r="DP20" s="23" t="n"/>
      <c r="DQ20" s="23" t="n">
        <v>150</v>
      </c>
      <c r="DR20" s="23" t="n"/>
      <c r="DS20" s="23" t="n"/>
      <c r="DT20" s="23" t="n">
        <v>150</v>
      </c>
      <c r="DU20" s="23" t="n">
        <v>150</v>
      </c>
      <c r="DV20" s="219" t="n"/>
      <c r="DW20" s="23" t="n"/>
      <c r="DX20" s="219" t="n"/>
      <c r="DY20" s="23" t="n"/>
      <c r="DZ20" s="219" t="n"/>
      <c r="EA20" s="23" t="n"/>
      <c r="EB20" s="23" t="n"/>
      <c r="EC20" s="219" t="n"/>
      <c r="ED20" s="23" t="n"/>
      <c r="EE20" s="23" t="n">
        <v>150</v>
      </c>
      <c r="EF20" s="23" t="n"/>
      <c r="EG20" s="23" t="n"/>
      <c r="EH20" s="219" t="n"/>
      <c r="EI20" s="292" t="inlineStr">
        <is>
          <t>27 DE TDQ</t>
        </is>
      </c>
      <c r="EJ20" s="23" t="n"/>
      <c r="EK20" s="23" t="n"/>
      <c r="EL20" s="219" t="n"/>
      <c r="EM20" s="219" t="n"/>
      <c r="EN20" s="219" t="n"/>
      <c r="EO20" s="23" t="n"/>
      <c r="EP20" s="23" t="n"/>
      <c r="EQ20" s="23" t="n"/>
      <c r="ER20" s="23" t="n"/>
      <c r="ES20" s="292" t="inlineStr">
        <is>
          <t>100 P/ Q2</t>
        </is>
      </c>
      <c r="ET20" s="23" t="n"/>
      <c r="EU20" s="23" t="n">
        <v>150</v>
      </c>
      <c r="EV20" s="219" t="n">
        <v>300</v>
      </c>
      <c r="EW20" s="23" t="n"/>
      <c r="EX20" s="23" t="n"/>
      <c r="EY20" s="23" t="n"/>
      <c r="EZ20" s="23" t="n"/>
      <c r="FA20" s="23" t="n"/>
      <c r="FB20" s="23" t="n"/>
      <c r="FC20" s="23" t="n">
        <v>150</v>
      </c>
      <c r="FD20" s="23" t="n"/>
      <c r="FE20" s="23" t="n">
        <v>300</v>
      </c>
      <c r="FF20" s="219" t="n"/>
      <c r="FG20" s="23" t="n"/>
      <c r="FH20" s="23" t="n"/>
      <c r="FI20" s="23" t="n"/>
      <c r="FJ20" s="23" t="n"/>
      <c r="FL20" s="300" t="inlineStr">
        <is>
          <t>CAIXA P</t>
        </is>
      </c>
      <c r="FM20" s="162" t="n">
        <v>150</v>
      </c>
      <c r="FN20" s="697">
        <f>CJ20</f>
        <v/>
      </c>
      <c r="FO20" s="697" t="n"/>
      <c r="FP20" s="697" t="n"/>
      <c r="FQ20" s="697" t="n">
        <v>140</v>
      </c>
      <c r="FR20" s="697" t="n">
        <v>128</v>
      </c>
      <c r="FS20" s="697" t="n"/>
      <c r="FT20" s="431">
        <f>FR20+IF(NOT(ISBLANK(OFFSET(FT20,0,6))),N(OFFSET(FT20,0,6)),N(OFFSET(FT20,0,7)))-FS20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5" t="n"/>
      <c r="F21" s="31" t="n">
        <v>285</v>
      </c>
      <c r="G21" s="31" t="n">
        <v>285</v>
      </c>
      <c r="H21" s="31" t="n">
        <v>225</v>
      </c>
      <c r="I21" s="31" t="n">
        <v>162</v>
      </c>
      <c r="J21" s="31" t="n">
        <v>96</v>
      </c>
      <c r="K21" s="31" t="n">
        <v>127</v>
      </c>
      <c r="L21" s="31" t="n">
        <v>58</v>
      </c>
      <c r="M21" s="31" t="n">
        <v>198</v>
      </c>
      <c r="N21" s="31">
        <f>124+FD21</f>
        <v/>
      </c>
      <c r="O21" s="31" t="n">
        <v>240</v>
      </c>
      <c r="P21" s="31" t="n">
        <v>126</v>
      </c>
      <c r="Q21" s="31">
        <f>114+EX21</f>
        <v/>
      </c>
      <c r="R21" s="31">
        <f>144+EU21</f>
        <v/>
      </c>
      <c r="S21" s="31" t="n">
        <v>377</v>
      </c>
      <c r="T21" s="31" t="n">
        <v>313</v>
      </c>
      <c r="U21" s="31" t="n">
        <v>232</v>
      </c>
      <c r="V21" s="31" t="n">
        <v>220</v>
      </c>
      <c r="W21" s="31" t="n">
        <v>217</v>
      </c>
      <c r="X21" s="31" t="n">
        <v>216</v>
      </c>
      <c r="Y21" s="31" t="n">
        <v>215</v>
      </c>
      <c r="Z21" s="31" t="n">
        <v>215</v>
      </c>
      <c r="AA21" s="31" t="n">
        <v>201</v>
      </c>
      <c r="AB21" s="31" t="n">
        <v>196</v>
      </c>
      <c r="AC21" s="31" t="n">
        <v>195</v>
      </c>
      <c r="AD21" s="31" t="n">
        <v>172</v>
      </c>
      <c r="AE21" s="31">
        <f>135+EF21</f>
        <v/>
      </c>
      <c r="AF21" s="31" t="n">
        <v>199</v>
      </c>
      <c r="AG21" s="31">
        <f>157+EB21-30</f>
        <v/>
      </c>
      <c r="AH21" s="31" t="n">
        <v>222</v>
      </c>
      <c r="AI21" s="31" t="n">
        <v>145</v>
      </c>
      <c r="AJ21" s="31" t="n">
        <v>132</v>
      </c>
      <c r="AK21" s="31" t="n">
        <v>125</v>
      </c>
      <c r="AL21" s="31" t="n">
        <v>94</v>
      </c>
      <c r="AM21" s="31" t="n">
        <v>253</v>
      </c>
      <c r="AN21" s="31" t="n">
        <v>232</v>
      </c>
      <c r="AO21" s="31">
        <f>207+DQ21</f>
        <v/>
      </c>
      <c r="AP21" s="31" t="n">
        <v>270</v>
      </c>
      <c r="AQ21" s="31" t="n">
        <v>225</v>
      </c>
      <c r="AR21" s="31" t="n">
        <v>265</v>
      </c>
      <c r="AS21" s="31" t="n">
        <v>222</v>
      </c>
      <c r="AT21" s="31">
        <f>170+DH21</f>
        <v/>
      </c>
      <c r="AU21" s="31">
        <f>213+DG21</f>
        <v/>
      </c>
      <c r="AV21" s="31" t="n">
        <v>273</v>
      </c>
      <c r="AW21" s="31" t="n">
        <v>231</v>
      </c>
      <c r="AX21" s="31" t="n">
        <v>185</v>
      </c>
      <c r="AY21" s="31" t="n">
        <v>169</v>
      </c>
      <c r="AZ21" s="31" t="n">
        <v>160</v>
      </c>
      <c r="BA21" s="31" t="n">
        <v>159</v>
      </c>
      <c r="BB21" s="31" t="n">
        <v>159</v>
      </c>
      <c r="BC21" s="31" t="n">
        <v>165</v>
      </c>
      <c r="BD21" s="31" t="n">
        <v>165</v>
      </c>
      <c r="BE21" s="31" t="n">
        <v>261</v>
      </c>
      <c r="BF21" s="31" t="n">
        <v>162</v>
      </c>
      <c r="BG21" s="31" t="n">
        <v>101</v>
      </c>
      <c r="BH21" s="31">
        <f>70+CS21</f>
        <v/>
      </c>
      <c r="BI21" s="31" t="n">
        <v>246</v>
      </c>
      <c r="BJ21" s="31">
        <f>224+CR21</f>
        <v/>
      </c>
      <c r="BK21" s="31" t="n">
        <v>308</v>
      </c>
      <c r="BL21" s="31" t="n">
        <v>269</v>
      </c>
      <c r="BM21" s="31" t="n">
        <v>250</v>
      </c>
      <c r="BN21" s="31" t="n">
        <v>237</v>
      </c>
      <c r="BO21" s="31" t="n">
        <v>210</v>
      </c>
      <c r="BP21" s="31" t="n">
        <v>177</v>
      </c>
      <c r="BQ21" s="31" t="n">
        <v>162</v>
      </c>
      <c r="BR21" s="31">
        <f>145+CK21</f>
        <v/>
      </c>
      <c r="BS21" s="31" t="n">
        <v>233</v>
      </c>
      <c r="BT21" s="31" t="n"/>
      <c r="BU21" s="31" t="n"/>
      <c r="BV21" s="31" t="n"/>
      <c r="BW21" s="31" t="n">
        <v>310</v>
      </c>
      <c r="BX21" s="31" t="n">
        <v>310</v>
      </c>
      <c r="BY21" s="31" t="n">
        <v>309</v>
      </c>
      <c r="BZ21" s="192">
        <f>BX21+IF(NOT(ISBLANK(OFFSET(BZ21,0,6))),N(OFFSET(BZ21,0,6)),N(OFFSET(BZ21,0,7)))-BY21</f>
        <v/>
      </c>
      <c r="CA21" s="50" t="n"/>
      <c r="CB21" s="22" t="n"/>
      <c r="CC21" s="22" t="n"/>
      <c r="CD21" s="4" t="n"/>
      <c r="CE21" s="27" t="n"/>
      <c r="CF21" s="4" t="n"/>
      <c r="CG21" s="23" t="n">
        <v>0</v>
      </c>
      <c r="CH21" s="23" t="n">
        <v>0</v>
      </c>
      <c r="CI21" s="23" t="n">
        <v>100</v>
      </c>
      <c r="CJ21" s="219" t="n">
        <v>400</v>
      </c>
      <c r="CK21" s="23" t="n">
        <v>100</v>
      </c>
      <c r="CL21" s="23" t="n"/>
      <c r="CM21" s="23" t="n"/>
      <c r="CN21" s="23" t="n"/>
      <c r="CO21" s="23" t="n"/>
      <c r="CP21" s="23" t="n"/>
      <c r="CQ21" s="23" t="n"/>
      <c r="CR21" s="23" t="n">
        <v>100</v>
      </c>
      <c r="CS21" s="23" t="n">
        <v>200</v>
      </c>
      <c r="CT21" s="23" t="n"/>
      <c r="CU21" s="23" t="n"/>
      <c r="CV21" s="23" t="n"/>
      <c r="CW21" s="23" t="n"/>
      <c r="CX21" s="23" t="n">
        <v>100</v>
      </c>
      <c r="CY21" s="23" t="n"/>
      <c r="CZ21" s="23" t="n"/>
      <c r="DA21" s="23" t="n"/>
      <c r="DB21" s="23" t="n"/>
      <c r="DC21" s="23" t="n"/>
      <c r="DD21" s="23" t="n"/>
      <c r="DE21" s="219" t="n">
        <v>600</v>
      </c>
      <c r="DF21" s="23" t="n"/>
      <c r="DG21" s="23" t="n">
        <v>100</v>
      </c>
      <c r="DH21" s="23" t="n">
        <v>100</v>
      </c>
      <c r="DI21" s="23" t="n"/>
      <c r="DJ21" s="23" t="n"/>
      <c r="DK21" s="219" t="n"/>
      <c r="DL21" s="437" t="inlineStr">
        <is>
          <t>20 DE SHN</t>
        </is>
      </c>
      <c r="DM21" s="23" t="n">
        <v>100</v>
      </c>
      <c r="DN21" s="219" t="n"/>
      <c r="DO21" s="23" t="n"/>
      <c r="DP21" s="23" t="n"/>
      <c r="DQ21" s="23" t="n">
        <v>100</v>
      </c>
      <c r="DR21" s="23" t="n"/>
      <c r="DS21" s="419" t="inlineStr">
        <is>
          <t>20 DE TDQ</t>
        </is>
      </c>
      <c r="DT21" s="23" t="n">
        <v>200</v>
      </c>
      <c r="DU21" s="23" t="n">
        <v>100</v>
      </c>
      <c r="DV21" s="219" t="n"/>
      <c r="DW21" s="23" t="n"/>
      <c r="DX21" s="219" t="n">
        <v>100</v>
      </c>
      <c r="DY21" s="23" t="n"/>
      <c r="DZ21" s="219" t="n"/>
      <c r="EA21" s="282" t="inlineStr">
        <is>
          <t>30 P/ TDQ</t>
        </is>
      </c>
      <c r="EB21" s="23" t="n">
        <v>100</v>
      </c>
      <c r="EC21" s="219" t="n">
        <v>100</v>
      </c>
      <c r="ED21" s="23" t="n"/>
      <c r="EE21" s="23" t="n"/>
      <c r="EF21" s="23" t="n">
        <v>100</v>
      </c>
      <c r="EG21" s="23" t="n"/>
      <c r="EH21" s="376" t="inlineStr">
        <is>
          <t>03 DE TDQ</t>
        </is>
      </c>
      <c r="EI21" s="219" t="n"/>
      <c r="EJ21" s="23" t="n"/>
      <c r="EK21" s="23" t="n"/>
      <c r="EL21" s="219" t="n"/>
      <c r="EM21" s="219" t="n">
        <v>200</v>
      </c>
      <c r="EN21" s="292" t="inlineStr">
        <is>
          <t>48 DE GV</t>
        </is>
      </c>
      <c r="EO21" s="23" t="n"/>
      <c r="EP21" s="23" t="n"/>
      <c r="EQ21" s="23" t="n"/>
      <c r="ER21" s="23" t="n"/>
      <c r="ES21" s="219" t="n"/>
      <c r="ET21" s="23" t="n"/>
      <c r="EU21" s="23" t="n">
        <v>300</v>
      </c>
      <c r="EV21" s="219" t="n">
        <v>400</v>
      </c>
      <c r="EW21" s="282" t="inlineStr">
        <is>
          <t>60 DE Q2</t>
        </is>
      </c>
      <c r="EX21" s="23" t="n">
        <v>100</v>
      </c>
      <c r="EY21" s="23" t="n"/>
      <c r="EZ21" s="23" t="n"/>
      <c r="FA21" s="23" t="n"/>
      <c r="FB21" s="23" t="n"/>
      <c r="FC21" s="23" t="n"/>
      <c r="FD21" s="23" t="n">
        <v>200</v>
      </c>
      <c r="FE21" s="23" t="n">
        <v>200</v>
      </c>
      <c r="FF21" s="260" t="inlineStr">
        <is>
          <t>20 DE Q2 + 14 DE Q7</t>
        </is>
      </c>
      <c r="FG21" s="23" t="n">
        <v>100</v>
      </c>
      <c r="FH21" s="23" t="n"/>
      <c r="FI21" s="23" t="n"/>
      <c r="FJ21" s="23" t="n"/>
      <c r="FL21" s="65" t="inlineStr">
        <is>
          <t>CAIXA M</t>
        </is>
      </c>
      <c r="FM21" s="699" t="n">
        <v>100</v>
      </c>
      <c r="FN21" s="697">
        <f>CJ21</f>
        <v/>
      </c>
      <c r="FO21" s="697" t="n"/>
      <c r="FP21" s="697" t="n"/>
      <c r="FQ21" s="697" t="n">
        <v>352</v>
      </c>
      <c r="FR21" s="697" t="n">
        <v>328</v>
      </c>
      <c r="FS21" s="697" t="n"/>
      <c r="FT21" s="431">
        <f>FR21+IF(NOT(ISBLANK(OFFSET(FT21,0,6))),N(OFFSET(FT21,0,6)),N(OFFSET(FT21,0,7)))-FS21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5" t="n"/>
      <c r="F22" s="697" t="n">
        <v>51</v>
      </c>
      <c r="G22" s="697" t="n">
        <v>60</v>
      </c>
      <c r="H22" s="697" t="n">
        <v>60</v>
      </c>
      <c r="I22" s="697" t="n">
        <v>59</v>
      </c>
      <c r="J22" s="697" t="n">
        <v>57</v>
      </c>
      <c r="K22" s="697" t="n">
        <v>51</v>
      </c>
      <c r="L22" s="697" t="n">
        <v>56</v>
      </c>
      <c r="M22" s="697" t="n">
        <v>56</v>
      </c>
      <c r="N22" s="697" t="n">
        <v>52</v>
      </c>
      <c r="O22" s="697" t="n">
        <v>50</v>
      </c>
      <c r="P22" s="697" t="n">
        <v>63</v>
      </c>
      <c r="Q22" s="697" t="n">
        <v>44</v>
      </c>
      <c r="R22" s="697" t="n">
        <v>44</v>
      </c>
      <c r="S22" s="697" t="n">
        <v>47</v>
      </c>
      <c r="T22" s="697" t="n">
        <v>47</v>
      </c>
      <c r="U22" s="697" t="n">
        <v>35</v>
      </c>
      <c r="V22" s="697" t="n">
        <v>47</v>
      </c>
      <c r="W22" s="697" t="n">
        <v>47</v>
      </c>
      <c r="X22" s="697" t="n">
        <v>110</v>
      </c>
      <c r="Y22" s="697" t="n">
        <v>109</v>
      </c>
      <c r="Z22" s="697" t="n">
        <v>109</v>
      </c>
      <c r="AA22" s="697" t="n">
        <v>107</v>
      </c>
      <c r="AB22" s="697" t="n">
        <v>107</v>
      </c>
      <c r="AC22" s="697" t="n">
        <v>107</v>
      </c>
      <c r="AD22" s="697" t="n">
        <v>107</v>
      </c>
      <c r="AE22" s="697" t="n">
        <v>107</v>
      </c>
      <c r="AF22" s="697">
        <f>107-20</f>
        <v/>
      </c>
      <c r="AG22" s="697" t="n">
        <v>69</v>
      </c>
      <c r="AH22" s="697" t="n">
        <v>60</v>
      </c>
      <c r="AI22" s="697" t="n">
        <v>60</v>
      </c>
      <c r="AJ22" s="697" t="n">
        <v>54</v>
      </c>
      <c r="AK22" s="697" t="n">
        <v>54</v>
      </c>
      <c r="AL22" s="697" t="n">
        <v>51</v>
      </c>
      <c r="AM22" s="697" t="n">
        <v>46</v>
      </c>
      <c r="AN22" s="697" t="n">
        <v>44</v>
      </c>
      <c r="AO22" s="697">
        <f>51-20</f>
        <v/>
      </c>
      <c r="AP22" s="697" t="n">
        <v>20</v>
      </c>
      <c r="AQ22" s="697" t="n">
        <v>20</v>
      </c>
      <c r="AR22" s="697" t="n">
        <v>48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40</v>
      </c>
      <c r="AX22" s="697" t="n">
        <v>40</v>
      </c>
      <c r="AY22" s="697" t="n">
        <v>40</v>
      </c>
      <c r="AZ22" s="697" t="n">
        <v>38</v>
      </c>
      <c r="BA22" s="697" t="n">
        <v>38</v>
      </c>
      <c r="BB22" s="697" t="n">
        <v>38</v>
      </c>
      <c r="BC22" s="697" t="n">
        <v>38</v>
      </c>
      <c r="BD22" s="697" t="n">
        <v>38</v>
      </c>
      <c r="BE22" s="697" t="n">
        <v>35</v>
      </c>
      <c r="BF22" s="697" t="n">
        <v>33</v>
      </c>
      <c r="BG22" s="697" t="n">
        <v>33</v>
      </c>
      <c r="BH22" s="697" t="n">
        <v>29</v>
      </c>
      <c r="BI22" s="697" t="n">
        <v>29</v>
      </c>
      <c r="BJ22" s="697" t="n">
        <v>27</v>
      </c>
      <c r="BK22" s="697" t="n">
        <v>27</v>
      </c>
      <c r="BL22" s="697" t="n">
        <v>27</v>
      </c>
      <c r="BM22" s="697" t="n">
        <v>27</v>
      </c>
      <c r="BN22" s="697" t="n">
        <v>27</v>
      </c>
      <c r="BO22" s="697" t="n">
        <v>27</v>
      </c>
      <c r="BP22" s="697" t="n">
        <v>27</v>
      </c>
      <c r="BQ22" s="697" t="n">
        <v>27</v>
      </c>
      <c r="BR22" s="697" t="n">
        <v>27</v>
      </c>
      <c r="BS22" s="697" t="n">
        <v>27</v>
      </c>
      <c r="BT22" s="697" t="n">
        <v>27</v>
      </c>
      <c r="BU22" s="697" t="n">
        <v>27</v>
      </c>
      <c r="BV22" s="697" t="n">
        <v>27</v>
      </c>
      <c r="BW22" s="697" t="n">
        <v>27</v>
      </c>
      <c r="BX22" s="697" t="n">
        <v>27</v>
      </c>
      <c r="BY22" s="697" t="n">
        <v>20</v>
      </c>
      <c r="BZ22" s="192">
        <f>BX22+IF(NOT(ISBLANK(OFFSET(BZ22,0,6))),N(OFFSET(BZ22,0,6)),N(OFFSET(BZ22,0,7)))-BY22</f>
        <v/>
      </c>
      <c r="CA22" s="50" t="n"/>
      <c r="CB22" s="22" t="n"/>
      <c r="CC22" s="22" t="n"/>
      <c r="CD22" s="4" t="n"/>
      <c r="CE22" s="27" t="n"/>
      <c r="CF22" s="4" t="n"/>
      <c r="CG22" s="23" t="n">
        <v>0</v>
      </c>
      <c r="CH22" s="23" t="n">
        <v>0</v>
      </c>
      <c r="CI22" s="23" t="n"/>
      <c r="CJ22" s="2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443" t="n">
        <v>600</v>
      </c>
      <c r="DF22" s="23" t="n"/>
      <c r="DG22" s="23" t="n"/>
      <c r="DH22" s="23" t="n"/>
      <c r="DI22" s="23" t="n"/>
      <c r="DJ22" s="23" t="n"/>
      <c r="DK22" s="219" t="n"/>
      <c r="DL22" s="219" t="n"/>
      <c r="DM22" s="23" t="n"/>
      <c r="DN22" s="219" t="n"/>
      <c r="DO22" s="23" t="n"/>
      <c r="DP22" s="192" t="inlineStr">
        <is>
          <t>20 P/ Q2</t>
        </is>
      </c>
      <c r="DQ22" s="23" t="n"/>
      <c r="DR22" s="23" t="n"/>
      <c r="DS22" s="23" t="n"/>
      <c r="DT22" s="23" t="n"/>
      <c r="DU22" s="23" t="n"/>
      <c r="DV22" s="219" t="n"/>
      <c r="DW22" s="23" t="n"/>
      <c r="DX22" s="219" t="n"/>
      <c r="DY22" s="23" t="n"/>
      <c r="DZ22" s="219" t="n"/>
      <c r="EA22" s="23" t="n"/>
      <c r="EB22" s="23" t="n"/>
      <c r="EC22" s="219" t="n">
        <v>150</v>
      </c>
      <c r="ED22" s="282" t="inlineStr">
        <is>
          <t>20 P/ TTR</t>
        </is>
      </c>
      <c r="EE22" s="23" t="n"/>
      <c r="EF22" s="23" t="n"/>
      <c r="EG22" s="23" t="n"/>
      <c r="EH22" s="219" t="n"/>
      <c r="EI22" s="219" t="n"/>
      <c r="EJ22" s="23" t="n"/>
      <c r="EK22" s="23" t="n"/>
      <c r="EL22" s="219" t="n"/>
      <c r="EM22" s="219" t="n">
        <v>100</v>
      </c>
      <c r="EN22" s="219" t="n"/>
      <c r="EO22" s="23" t="n"/>
      <c r="EP22" s="23" t="n">
        <v>75</v>
      </c>
      <c r="EQ22" s="23" t="n"/>
      <c r="ER22" s="23" t="n"/>
      <c r="ES22" s="219" t="n"/>
      <c r="ET22" s="23" t="n"/>
      <c r="EU22" s="23" t="n"/>
      <c r="EV22" s="219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19" t="n"/>
      <c r="FG22" s="23" t="n"/>
      <c r="FH22" s="23" t="n"/>
      <c r="FI22" s="23" t="n"/>
      <c r="FJ22" s="23" t="n"/>
      <c r="FL22" s="66" t="inlineStr">
        <is>
          <t>CARTUCHO P</t>
        </is>
      </c>
      <c r="FM22" s="699" t="n">
        <v>200</v>
      </c>
      <c r="FN22" s="697">
        <f>CJ22</f>
        <v/>
      </c>
      <c r="FO22" s="697" t="n"/>
      <c r="FP22" s="697" t="n"/>
      <c r="FQ22" s="697" t="n">
        <v>257</v>
      </c>
      <c r="FR22" s="697" t="n">
        <v>222</v>
      </c>
      <c r="FS22" s="697" t="n"/>
      <c r="FT22" s="431">
        <f>FR22+IF(NOT(ISBLANK(OFFSET(FT22,0,6))),N(OFFSET(FT22,0,6)),N(OFFSET(FT22,0,7)))-FS22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300</v>
      </c>
      <c r="BI23" s="697" t="n">
        <v>0</v>
      </c>
      <c r="BJ23" s="697" t="n">
        <v>0</v>
      </c>
      <c r="BK23" s="697">
        <f>0+CP23</f>
        <v/>
      </c>
      <c r="BL23" s="697" t="n">
        <v>73</v>
      </c>
      <c r="BM23" s="697" t="n">
        <v>33</v>
      </c>
      <c r="BN23" s="697">
        <f>4+CN23</f>
        <v/>
      </c>
      <c r="BO23" s="697" t="n">
        <v>280</v>
      </c>
      <c r="BP23" s="697" t="n">
        <v>249</v>
      </c>
      <c r="BQ23" s="697" t="n">
        <v>205</v>
      </c>
      <c r="BR23" s="697">
        <f>154+CK23</f>
        <v/>
      </c>
      <c r="BS23" s="697" t="n">
        <v>287</v>
      </c>
      <c r="BT23" s="697" t="n"/>
      <c r="BU23" s="697" t="n"/>
      <c r="BV23" s="697" t="n"/>
      <c r="BW23" s="697" t="n">
        <v>217</v>
      </c>
      <c r="BX23" s="697" t="n">
        <v>216</v>
      </c>
      <c r="BY23" s="697" t="n"/>
      <c r="BZ23" s="192">
        <f>BX23+IF(NOT(ISBLANK(OFFSET(BZ23,0,6))),N(OFFSET(BZ23,0,6)),N(OFFSET(BZ23,0,7)))-BY23</f>
        <v/>
      </c>
      <c r="CA23" s="50" t="n"/>
      <c r="CB23" s="22" t="n"/>
      <c r="CC23" s="22" t="n"/>
      <c r="CE23" s="27" t="n"/>
      <c r="CG23" s="23" t="n">
        <v>0</v>
      </c>
      <c r="CH23" s="23" t="n">
        <v>0</v>
      </c>
      <c r="CI23" s="23" t="n"/>
      <c r="CJ23" s="219" t="n">
        <v>300</v>
      </c>
      <c r="CK23" s="23" t="n">
        <v>150</v>
      </c>
      <c r="CL23" s="23" t="n"/>
      <c r="CM23" s="23" t="n"/>
      <c r="CN23" s="23" t="n">
        <v>300</v>
      </c>
      <c r="CO23" s="23" t="n"/>
      <c r="CP23" s="23" t="n">
        <v>150</v>
      </c>
      <c r="CQ23" s="23" t="n"/>
      <c r="CR23" s="23" t="n"/>
      <c r="CS23" s="23" t="n"/>
      <c r="CT23" s="23" t="n"/>
      <c r="CU23" s="23" t="n"/>
      <c r="CV23" s="23" t="n"/>
      <c r="CW23" s="23" t="n"/>
      <c r="DE23" s="326" t="n">
        <v>450</v>
      </c>
      <c r="DK23" s="5" t="n"/>
      <c r="DL23" s="5" t="n"/>
      <c r="DN23" s="5" t="n"/>
      <c r="DV23" s="292" t="inlineStr">
        <is>
          <t>46 DE Q2</t>
        </is>
      </c>
      <c r="DZ23" s="219" t="n">
        <v>25</v>
      </c>
      <c r="EC23" s="5" t="n"/>
      <c r="EH23" s="5" t="n"/>
      <c r="EL23" s="292" t="inlineStr">
        <is>
          <t>50 P/ TDQ</t>
        </is>
      </c>
      <c r="EM23" s="5" t="n"/>
      <c r="EV23" s="326" t="n">
        <v>400</v>
      </c>
      <c r="FL23" s="66" t="inlineStr">
        <is>
          <t>CARTUCHO M</t>
        </is>
      </c>
      <c r="FM23" s="699" t="n">
        <v>150</v>
      </c>
      <c r="FN23" s="697">
        <f>CJ23</f>
        <v/>
      </c>
      <c r="FO23" s="697" t="n"/>
      <c r="FP23" s="697" t="n"/>
      <c r="FQ23" s="697" t="n">
        <v>229</v>
      </c>
      <c r="FR23" s="697" t="n">
        <v>183</v>
      </c>
      <c r="FS23" s="697" t="n"/>
      <c r="FT23" s="431">
        <f>FR23+IF(NOT(ISBLANK(OFFSET(FT23,0,6))),N(OFFSET(FT23,0,6)),N(OFFSET(FT23,0,7)))-FS23</f>
        <v/>
      </c>
    </row>
    <row r="24">
      <c r="CA24" s="50" t="n"/>
      <c r="CJ24" s="5" t="n"/>
      <c r="DE24" s="327" t="n"/>
      <c r="DK24" s="5" t="n"/>
      <c r="DL24" s="5" t="n"/>
      <c r="DN24" s="5" t="n"/>
      <c r="DV24" s="460" t="n"/>
      <c r="DZ24" s="219" t="n"/>
      <c r="EC24" s="5" t="n"/>
      <c r="EH24" s="5" t="n"/>
      <c r="EL24" s="460" t="n"/>
      <c r="EM24" s="5" t="n"/>
      <c r="EV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J25" s="5" t="n"/>
      <c r="DE25" s="5" t="n"/>
      <c r="DK25" s="5" t="n"/>
      <c r="DL25" s="5" t="n"/>
      <c r="DN25" s="5" t="n"/>
      <c r="DZ25" s="219" t="n">
        <v>25</v>
      </c>
      <c r="EC25" s="5" t="n"/>
      <c r="EH25" s="5" t="n"/>
      <c r="EM25" s="5" t="n"/>
      <c r="EV25" s="326" t="n">
        <v>300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1</v>
      </c>
      <c r="G26" s="697" t="n">
        <v>1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/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A26" s="50" t="n"/>
      <c r="CJ26" s="5" t="n"/>
      <c r="DE26" s="5" t="n"/>
      <c r="DK26" s="5" t="n"/>
      <c r="DL26" s="5" t="n"/>
      <c r="DN26" s="5" t="n"/>
      <c r="DV26" s="327" t="n"/>
      <c r="DZ26" s="219" t="n">
        <v>25</v>
      </c>
      <c r="EC26" s="5" t="n"/>
      <c r="EH26" s="5" t="n"/>
      <c r="EI26" s="327" t="n"/>
      <c r="EL26" s="327" t="n"/>
      <c r="EM26" s="5" t="n"/>
      <c r="EN26" s="327" t="n"/>
      <c r="ES26" s="327" t="n"/>
      <c r="EV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505</v>
      </c>
      <c r="G27" s="697" t="n">
        <v>505</v>
      </c>
      <c r="H27" s="697" t="n">
        <v>480</v>
      </c>
      <c r="I27" s="697" t="n">
        <v>480</v>
      </c>
      <c r="J27" s="697" t="n">
        <v>480</v>
      </c>
      <c r="K27" s="697" t="n">
        <v>480</v>
      </c>
      <c r="L27" s="697" t="n">
        <v>467</v>
      </c>
      <c r="M27" s="697" t="n">
        <v>450</v>
      </c>
      <c r="N27" s="697" t="n">
        <v>450</v>
      </c>
      <c r="O27" s="697" t="n">
        <v>446</v>
      </c>
      <c r="P27" s="697" t="n">
        <v>463</v>
      </c>
      <c r="Q27" s="697" t="n">
        <v>463</v>
      </c>
      <c r="R27" s="697" t="n">
        <v>450</v>
      </c>
      <c r="S27" s="697" t="n">
        <v>452</v>
      </c>
      <c r="T27" s="697" t="n">
        <v>452</v>
      </c>
      <c r="U27" s="697" t="n">
        <v>452</v>
      </c>
      <c r="V27" s="697" t="n">
        <v>452</v>
      </c>
      <c r="W27" s="697" t="n">
        <v>449</v>
      </c>
      <c r="X27" s="697" t="n">
        <v>449</v>
      </c>
      <c r="Y27" s="697" t="n">
        <v>48</v>
      </c>
      <c r="Z27" s="697" t="n">
        <v>460</v>
      </c>
      <c r="AA27" s="697" t="n">
        <v>450</v>
      </c>
      <c r="AB27" s="697" t="n">
        <v>450</v>
      </c>
      <c r="AC27" s="697" t="n">
        <v>450</v>
      </c>
      <c r="AD27" s="697" t="n">
        <v>450</v>
      </c>
      <c r="AE27" s="697" t="n">
        <v>450</v>
      </c>
      <c r="AF27" s="697" t="n">
        <v>450</v>
      </c>
      <c r="AG27" s="697" t="n">
        <v>414</v>
      </c>
      <c r="AH27" s="697" t="n">
        <v>414</v>
      </c>
      <c r="AI27" s="697" t="n">
        <v>413</v>
      </c>
      <c r="AJ27" s="697" t="n">
        <v>413</v>
      </c>
      <c r="AK27" s="697" t="n">
        <v>412</v>
      </c>
      <c r="AL27" s="697" t="n">
        <v>409</v>
      </c>
      <c r="AM27" s="697" t="n">
        <v>408</v>
      </c>
      <c r="AN27" s="697" t="n">
        <v>405</v>
      </c>
      <c r="AO27" s="697" t="n">
        <v>405</v>
      </c>
      <c r="AP27" s="697" t="n">
        <v>405</v>
      </c>
      <c r="AQ27" s="697" t="n">
        <v>403</v>
      </c>
      <c r="AR27" s="697" t="n">
        <v>401</v>
      </c>
      <c r="AS27" s="697" t="n">
        <v>345</v>
      </c>
      <c r="AT27" s="697" t="n">
        <v>345</v>
      </c>
      <c r="AU27" s="697" t="n">
        <v>372</v>
      </c>
      <c r="AV27" s="697" t="n">
        <v>368</v>
      </c>
      <c r="AW27" s="697" t="n">
        <v>367</v>
      </c>
      <c r="AX27" s="697" t="n">
        <v>367</v>
      </c>
      <c r="AY27" s="697" t="n">
        <v>367</v>
      </c>
      <c r="AZ27" s="697" t="n">
        <v>336</v>
      </c>
      <c r="BA27" s="697" t="n">
        <v>336</v>
      </c>
      <c r="BB27" s="697" t="n">
        <v>336</v>
      </c>
      <c r="BC27" s="697" t="n">
        <v>130</v>
      </c>
      <c r="BD27" s="697" t="n">
        <v>128</v>
      </c>
      <c r="BE27" s="697" t="n">
        <v>128</v>
      </c>
      <c r="BF27" s="697" t="n">
        <v>125</v>
      </c>
      <c r="BG27" s="697" t="n">
        <v>123</v>
      </c>
      <c r="BH27" s="697" t="n">
        <v>99</v>
      </c>
      <c r="BI27" s="697" t="n">
        <v>99</v>
      </c>
      <c r="BJ27" s="697" t="n">
        <v>98</v>
      </c>
      <c r="BK27" s="697" t="n">
        <v>97</v>
      </c>
      <c r="BL27" s="697" t="n">
        <v>97</v>
      </c>
      <c r="BM27" s="697" t="n">
        <v>96</v>
      </c>
      <c r="BN27" s="697" t="n">
        <v>94</v>
      </c>
      <c r="BO27" s="697" t="n">
        <v>94</v>
      </c>
      <c r="BP27" s="697" t="n">
        <v>94</v>
      </c>
      <c r="BQ27" s="697" t="n">
        <v>94</v>
      </c>
      <c r="BR27" s="697" t="n">
        <v>93</v>
      </c>
      <c r="BS27" s="697" t="n"/>
      <c r="BT27" s="697" t="n">
        <v>300</v>
      </c>
      <c r="BU27" s="697" t="n">
        <v>300</v>
      </c>
      <c r="BV27" s="697" t="n">
        <v>300</v>
      </c>
      <c r="BW27" s="697" t="n">
        <v>300</v>
      </c>
      <c r="BX27" s="697" t="n">
        <v>280</v>
      </c>
      <c r="BY27" s="697" t="n">
        <v>359</v>
      </c>
      <c r="BZ27" s="192">
        <f>BX27+IF(NOT(ISBLANK(OFFSET(BZ27,0,6))),N(OFFSET(BZ27,0,6)),N(OFFSET(BZ27,0,7)))-BY27</f>
        <v/>
      </c>
      <c r="CA27" s="50" t="n"/>
      <c r="CJ27" s="5" t="n"/>
      <c r="DE27" s="5" t="n"/>
      <c r="DK27" s="5" t="n"/>
      <c r="DL27" s="5" t="n"/>
      <c r="DN27" s="5" t="n"/>
      <c r="DV27" s="327" t="n"/>
      <c r="DZ27" s="5" t="n"/>
      <c r="EC27" s="5" t="n"/>
      <c r="EH27" s="5" t="n"/>
      <c r="EI27" s="327" t="n"/>
      <c r="EL27" s="327" t="n"/>
      <c r="EM27" s="5" t="n"/>
      <c r="EN27" s="327" t="n"/>
      <c r="ES27" s="327" t="n"/>
      <c r="EV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79</v>
      </c>
      <c r="G28" s="699" t="n">
        <v>48</v>
      </c>
      <c r="H28" s="697" t="n">
        <v>13</v>
      </c>
      <c r="I28" s="697" t="n">
        <v>7</v>
      </c>
      <c r="J28" s="697" t="n">
        <v>2</v>
      </c>
      <c r="K28" s="697" t="n">
        <v>2</v>
      </c>
      <c r="L28" s="697" t="n">
        <v>1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J28" s="5" t="n"/>
      <c r="DE28" s="5" t="n"/>
      <c r="DK28" s="5" t="n"/>
      <c r="DL28" s="5" t="n"/>
      <c r="DN28" s="5" t="n"/>
      <c r="DV28" s="327" t="n"/>
      <c r="DX28" s="573" t="n"/>
      <c r="DZ28" s="5" t="n"/>
      <c r="EC28" s="5" t="n"/>
      <c r="EH28" s="5" t="n"/>
      <c r="EI28" s="327" t="n"/>
      <c r="EL28" s="327" t="n"/>
      <c r="EM28" s="5" t="n"/>
      <c r="EN28" s="327" t="n"/>
      <c r="ES28" s="327" t="n"/>
      <c r="EV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58</v>
      </c>
      <c r="G29" s="699" t="n">
        <v>19</v>
      </c>
      <c r="H29" s="697" t="n">
        <v>11</v>
      </c>
      <c r="I29" s="697" t="n">
        <v>6</v>
      </c>
      <c r="J29" s="697" t="n">
        <v>2</v>
      </c>
      <c r="K29" s="697">
        <f>2+20+14</f>
        <v/>
      </c>
      <c r="L29" s="697" t="n">
        <v>33</v>
      </c>
      <c r="M29" s="697" t="n">
        <v>13</v>
      </c>
      <c r="N29" s="697" t="n">
        <v>6</v>
      </c>
      <c r="O29" s="697" t="n">
        <v>5</v>
      </c>
      <c r="P29" s="697" t="n">
        <v>3</v>
      </c>
      <c r="Q29" s="697" t="n">
        <v>3</v>
      </c>
      <c r="R29" s="697" t="n">
        <v>3</v>
      </c>
      <c r="S29" s="697" t="n">
        <v>3</v>
      </c>
      <c r="T29" s="697" t="n">
        <v>3</v>
      </c>
      <c r="U29" s="697" t="n">
        <v>1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A29" s="50" t="n"/>
      <c r="CJ29" s="5" t="n"/>
      <c r="DE29" s="5" t="n"/>
      <c r="DK29" s="5" t="n"/>
      <c r="DL29" s="5" t="n"/>
      <c r="DN29" s="5" t="n"/>
      <c r="DV29" s="327" t="n"/>
      <c r="DX29" s="573" t="n"/>
      <c r="DZ29" s="5" t="n"/>
      <c r="EC29" s="5" t="n"/>
      <c r="EH29" s="5" t="n"/>
      <c r="EI29" s="327" t="n"/>
      <c r="EL29" s="327" t="n"/>
      <c r="EM29" s="5" t="n"/>
      <c r="EN29" s="327" t="n"/>
      <c r="ES29" s="327" t="n"/>
      <c r="EV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A30" s="50" t="n"/>
      <c r="CJ30" s="5" t="n"/>
      <c r="DE30" s="5" t="n"/>
      <c r="DV30" s="327" t="n"/>
      <c r="DX30" s="573" t="n"/>
      <c r="DZ30" s="5" t="n"/>
      <c r="EC30" s="5" t="n"/>
      <c r="EI30" s="327" t="n"/>
      <c r="EL30" s="327" t="n"/>
      <c r="EN30" s="327" t="n"/>
      <c r="ES30" s="327" t="n"/>
      <c r="EV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4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A31" s="50" t="n"/>
      <c r="CJ31" s="5" t="n"/>
      <c r="DE31" s="5" t="n"/>
      <c r="DV31" s="327" t="n"/>
      <c r="DX31" s="573" t="n"/>
      <c r="DZ31" s="5" t="n"/>
      <c r="EC31" s="5" t="n"/>
      <c r="EI31" s="327" t="n"/>
      <c r="EL31" s="327" t="n"/>
      <c r="EN31" s="327" t="n"/>
      <c r="ES31" s="327" t="n"/>
      <c r="EV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8</v>
      </c>
      <c r="G32" s="699" t="n">
        <v>8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A32" s="50" t="n"/>
      <c r="CJ32" s="5" t="n"/>
      <c r="DE32" s="5" t="n"/>
      <c r="DV32" s="327" t="n"/>
      <c r="DX32" s="573" t="n"/>
      <c r="DZ32" s="5" t="n"/>
      <c r="EC32" s="5" t="n"/>
      <c r="EI32" s="327" t="n"/>
      <c r="EL32" s="327" t="n"/>
      <c r="EN32" s="327" t="n"/>
      <c r="ES32" s="327" t="n"/>
      <c r="EV32" s="327" t="n"/>
      <c r="FB32" s="59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2</v>
      </c>
      <c r="G33" s="699" t="n">
        <v>2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192">
        <f>BX33+IF(NOT(ISBLANK(OFFSET(BZ33,0,6))),N(OFFSET(BZ33,0,6)),N(OFFSET(BZ33,0,7)))-BY33</f>
        <v/>
      </c>
      <c r="CA33" s="50" t="n"/>
      <c r="CJ33" s="5" t="n"/>
      <c r="DE33" s="5" t="n"/>
      <c r="DV33" s="327" t="n"/>
      <c r="DX33" s="573" t="n"/>
      <c r="DZ33" s="5" t="n"/>
      <c r="EC33" s="5" t="n"/>
      <c r="EI33" s="327" t="n"/>
      <c r="EL33" s="327" t="n"/>
      <c r="EN33" s="327" t="n"/>
      <c r="ES33" s="327" t="n"/>
      <c r="EV33" s="327" t="n"/>
      <c r="FB33" s="573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2</v>
      </c>
      <c r="G34" s="699" t="n">
        <v>2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A34" s="50" t="n"/>
      <c r="CJ34" s="5" t="n"/>
      <c r="DE34" s="5" t="n"/>
      <c r="DV34" s="327" t="n"/>
      <c r="DX34" s="573" t="n"/>
      <c r="DZ34" s="5" t="n"/>
      <c r="EC34" s="5" t="n"/>
      <c r="EI34" s="327" t="n"/>
      <c r="EL34" s="327" t="n"/>
      <c r="EN34" s="327" t="n"/>
      <c r="ES34" s="327" t="n"/>
      <c r="EV34" s="327" t="n"/>
      <c r="FB34" s="573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65</v>
      </c>
      <c r="AA35" s="699" t="n">
        <v>48</v>
      </c>
      <c r="AB35" s="699" t="n">
        <v>37</v>
      </c>
      <c r="AC35" s="699" t="n">
        <v>17</v>
      </c>
      <c r="AD35" s="699">
        <f>0+27</f>
        <v/>
      </c>
      <c r="AE35" s="697" t="n">
        <v>19</v>
      </c>
      <c r="AF35" s="697" t="n">
        <v>13</v>
      </c>
      <c r="AG35" s="697" t="n">
        <v>7</v>
      </c>
      <c r="AH35" s="697" t="n">
        <v>5</v>
      </c>
      <c r="AI35" s="697" t="n">
        <v>5</v>
      </c>
      <c r="AJ35" s="697" t="n">
        <v>2</v>
      </c>
      <c r="AK35" s="697" t="n">
        <v>2</v>
      </c>
      <c r="AL35" s="697" t="n">
        <v>2</v>
      </c>
      <c r="AM35" s="697" t="n">
        <v>1</v>
      </c>
      <c r="AN35" s="697" t="n">
        <v>1</v>
      </c>
      <c r="AO35" s="697" t="n">
        <v>1</v>
      </c>
      <c r="AP35" s="697" t="n">
        <v>1</v>
      </c>
      <c r="AQ35" s="697" t="n">
        <v>1</v>
      </c>
      <c r="AR35" s="697" t="n">
        <v>1</v>
      </c>
      <c r="AS35" s="697" t="n">
        <v>1</v>
      </c>
      <c r="AT35" s="697" t="n">
        <v>1</v>
      </c>
      <c r="AU35" s="697" t="n">
        <v>0</v>
      </c>
      <c r="AV35" s="697" t="n">
        <v>0</v>
      </c>
      <c r="AW35" s="697" t="n">
        <v>0</v>
      </c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192">
        <f>BX35+IF(NOT(ISBLANK(OFFSET(BZ35,0,6))),N(OFFSET(BZ35,0,6)),N(OFFSET(BZ35,0,7)))-BY35</f>
        <v/>
      </c>
      <c r="CA35" s="50" t="n"/>
      <c r="CJ35" s="5" t="n"/>
      <c r="DE35" s="5" t="n"/>
      <c r="DV35" s="327" t="n"/>
      <c r="DX35" s="573" t="n"/>
      <c r="DZ35" s="5" t="n"/>
      <c r="EC35" s="5" t="n"/>
      <c r="EI35" s="327" t="n"/>
      <c r="EL35" s="327" t="n"/>
      <c r="EN35" s="327" t="n"/>
      <c r="ES35" s="327" t="n"/>
      <c r="EV35" s="327" t="n"/>
      <c r="FB35" s="573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80</v>
      </c>
      <c r="AA36" s="699" t="n">
        <v>42</v>
      </c>
      <c r="AB36" s="699" t="n">
        <v>36</v>
      </c>
      <c r="AC36" s="699" t="n">
        <v>35</v>
      </c>
      <c r="AD36" s="699" t="n">
        <v>31</v>
      </c>
      <c r="AE36" s="699" t="n">
        <v>12</v>
      </c>
      <c r="AF36" s="699" t="n">
        <v>4</v>
      </c>
      <c r="AG36" s="699" t="n">
        <v>4</v>
      </c>
      <c r="AH36" s="699" t="n">
        <v>1</v>
      </c>
      <c r="AI36" s="699" t="n">
        <v>1</v>
      </c>
      <c r="AJ36" s="699" t="n">
        <v>1</v>
      </c>
      <c r="AK36" s="699" t="n">
        <v>1</v>
      </c>
      <c r="AL36" s="699" t="n">
        <v>1</v>
      </c>
      <c r="AM36" s="699" t="n">
        <v>0</v>
      </c>
      <c r="AN36" s="699" t="n">
        <v>0</v>
      </c>
      <c r="AO36" s="699" t="n">
        <v>0</v>
      </c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A36" s="50" t="n"/>
      <c r="CJ36" s="5" t="n"/>
      <c r="DE36" s="5" t="n"/>
      <c r="DV36" s="327" t="n"/>
      <c r="DX36" s="573" t="n"/>
      <c r="DZ36" s="5" t="n"/>
      <c r="EC36" s="5" t="n"/>
      <c r="EI36" s="327" t="n"/>
      <c r="EL36" s="327" t="n"/>
      <c r="EN36" s="327" t="n"/>
      <c r="ES36" s="327" t="n"/>
      <c r="EV36" s="327" t="n"/>
      <c r="FB36" s="573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>
        <v>0</v>
      </c>
      <c r="AJ37" s="699" t="n">
        <v>0</v>
      </c>
      <c r="AK37" s="699" t="n"/>
      <c r="AL37" s="699" t="n"/>
      <c r="AM37" s="699" t="n"/>
      <c r="AN37" s="699" t="n"/>
      <c r="AO37" s="699" t="n">
        <v>0</v>
      </c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A37" s="50" t="n"/>
      <c r="CJ37" s="5" t="n"/>
      <c r="DE37" s="5" t="n"/>
      <c r="DV37" s="327" t="n"/>
      <c r="DX37" s="573" t="n"/>
      <c r="DZ37" s="5" t="n"/>
      <c r="EC37" s="5" t="n"/>
      <c r="EI37" s="327" t="n"/>
      <c r="EL37" s="327" t="n"/>
      <c r="EN37" s="327" t="n"/>
      <c r="ES37" s="327" t="n"/>
      <c r="EV37" s="327" t="n"/>
      <c r="FB37" s="573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141-50</f>
        <v/>
      </c>
      <c r="AA38" s="699" t="n">
        <v>114</v>
      </c>
      <c r="AB38" s="699" t="n">
        <v>51</v>
      </c>
      <c r="AC38" s="699" t="n">
        <v>51</v>
      </c>
      <c r="AD38" s="699" t="n">
        <v>3</v>
      </c>
      <c r="AE38" s="699" t="n">
        <v>0</v>
      </c>
      <c r="AF38" s="699" t="n">
        <v>0</v>
      </c>
      <c r="AG38" s="699" t="n">
        <v>0</v>
      </c>
      <c r="AH38" s="699" t="n"/>
      <c r="AI38" s="699">
        <f>0+46</f>
        <v/>
      </c>
      <c r="AJ38" s="699" t="n">
        <v>46</v>
      </c>
      <c r="AK38" s="699" t="n">
        <v>43</v>
      </c>
      <c r="AL38" s="699" t="n">
        <v>43</v>
      </c>
      <c r="AM38" s="699" t="n">
        <v>10</v>
      </c>
      <c r="AN38" s="699" t="n">
        <v>0</v>
      </c>
      <c r="AO38" s="699" t="n">
        <v>-4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A38" s="50" t="n"/>
      <c r="CJ38" s="5" t="n"/>
      <c r="DE38" s="5" t="n"/>
      <c r="DV38" s="327" t="n"/>
      <c r="DX38" s="573" t="n"/>
      <c r="DZ38" s="5" t="n"/>
      <c r="EC38" s="5" t="n"/>
      <c r="EI38" s="327" t="n"/>
      <c r="EL38" s="327" t="n"/>
      <c r="EN38" s="327" t="n"/>
      <c r="ES38" s="327" t="n"/>
      <c r="EV38" s="327" t="n"/>
      <c r="FB38" s="573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5</v>
      </c>
      <c r="AA39" s="699" t="n">
        <v>3</v>
      </c>
      <c r="AB39" s="699" t="n">
        <v>3</v>
      </c>
      <c r="AC39" s="699" t="n">
        <v>3</v>
      </c>
      <c r="AD39" s="699" t="n">
        <v>3</v>
      </c>
      <c r="AE39" s="699" t="n">
        <v>1</v>
      </c>
      <c r="AF39" s="699" t="n">
        <v>1</v>
      </c>
      <c r="AG39" s="699" t="n">
        <v>1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>
        <v>0</v>
      </c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A39" s="50" t="n"/>
      <c r="CJ39" s="51" t="n"/>
      <c r="DE39" s="5" t="n"/>
      <c r="DV39" s="327" t="n"/>
      <c r="DX39" s="573" t="n"/>
      <c r="DZ39" s="5" t="n"/>
      <c r="EC39" s="5" t="n"/>
      <c r="EI39" s="327" t="n"/>
      <c r="EL39" s="327" t="n"/>
      <c r="EN39" s="327" t="n"/>
      <c r="ES39" s="327" t="n"/>
      <c r="EV39" s="327" t="n"/>
      <c r="FB39" s="573" t="n"/>
    </row>
    <row r="40" hidden="1" ht="18.75" customHeight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5</v>
      </c>
      <c r="AA40" s="699" t="n">
        <v>3</v>
      </c>
      <c r="AB40" s="699" t="n">
        <v>3</v>
      </c>
      <c r="AC40" s="699" t="n">
        <v>3</v>
      </c>
      <c r="AD40" s="699">
        <f>3+3</f>
        <v/>
      </c>
      <c r="AE40" s="699" t="n">
        <v>1</v>
      </c>
      <c r="AF40" s="699" t="n">
        <v>21</v>
      </c>
      <c r="AG40" s="699" t="n">
        <v>5</v>
      </c>
      <c r="AH40" s="699" t="n">
        <v>1</v>
      </c>
      <c r="AI40" s="699" t="n">
        <v>1</v>
      </c>
      <c r="AJ40" s="699" t="n">
        <v>1</v>
      </c>
      <c r="AK40" s="699" t="n">
        <v>1</v>
      </c>
      <c r="AL40" s="699" t="n">
        <v>1</v>
      </c>
      <c r="AM40" s="699" t="n">
        <v>0</v>
      </c>
      <c r="AN40" s="699" t="n">
        <v>0</v>
      </c>
      <c r="AO40" s="699" t="n">
        <v>0</v>
      </c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A40" s="50" t="n"/>
      <c r="CJ40" s="51" t="n"/>
      <c r="DE40" s="5" t="n"/>
      <c r="DV40" s="327" t="n"/>
      <c r="DX40" s="573" t="n"/>
      <c r="DZ40" s="5" t="n"/>
      <c r="EC40" s="5" t="n"/>
      <c r="EH40" s="173" t="n"/>
      <c r="EI40" s="327" t="n"/>
      <c r="EL40" s="327" t="n"/>
      <c r="EN40" s="327" t="n"/>
      <c r="ES40" s="327" t="n"/>
      <c r="EV40" s="327" t="n"/>
      <c r="FB40" s="573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699" t="n"/>
      <c r="AO41" s="699" t="n">
        <v>8</v>
      </c>
      <c r="AP41" s="699" t="n">
        <v>8</v>
      </c>
      <c r="AQ41" s="699" t="n">
        <v>3</v>
      </c>
      <c r="AR41" s="699" t="n">
        <v>3</v>
      </c>
      <c r="AS41" s="699" t="n">
        <v>3</v>
      </c>
      <c r="AT41" s="699" t="n">
        <v>3</v>
      </c>
      <c r="AU41" s="699" t="n">
        <v>0</v>
      </c>
      <c r="AV41" s="699" t="n">
        <v>0</v>
      </c>
      <c r="AW41" s="699" t="n">
        <v>0</v>
      </c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A41" s="50" t="n"/>
      <c r="CJ41" s="573" t="n"/>
      <c r="DE41" s="5" t="n"/>
      <c r="DV41" s="327" t="n"/>
      <c r="DX41" s="573" t="n"/>
      <c r="DZ41" s="5" t="n"/>
      <c r="EC41" s="5" t="n"/>
      <c r="EH41" s="173" t="n"/>
      <c r="EI41" s="327" t="n"/>
      <c r="EL41" s="327" t="n"/>
      <c r="EN41" s="327" t="n"/>
      <c r="ES41" s="327" t="n"/>
      <c r="EV41" s="327" t="n"/>
      <c r="FB41" s="573" t="n"/>
      <c r="FL41" s="573" t="n"/>
      <c r="FM41" s="573" t="n"/>
      <c r="FN41" s="573" t="n"/>
      <c r="FO41" s="573" t="n"/>
      <c r="FP41" s="573" t="n"/>
      <c r="FQ41" s="573" t="n"/>
      <c r="FR41" s="573" t="n"/>
      <c r="FS41" s="573" t="n"/>
      <c r="FT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699" t="n"/>
      <c r="AO42" s="699" t="n">
        <v>72</v>
      </c>
      <c r="AP42" s="699" t="n">
        <v>67</v>
      </c>
      <c r="AQ42" s="699" t="n">
        <v>48</v>
      </c>
      <c r="AR42" s="699" t="n">
        <v>43</v>
      </c>
      <c r="AS42" s="699" t="n">
        <v>43</v>
      </c>
      <c r="AT42" s="699" t="n">
        <v>39</v>
      </c>
      <c r="AU42" s="699" t="n">
        <v>10</v>
      </c>
      <c r="AV42" s="699" t="n">
        <v>0</v>
      </c>
      <c r="AW42" s="699" t="n">
        <v>0</v>
      </c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A42" s="50" t="n"/>
      <c r="CJ42" s="573" t="n"/>
      <c r="DE42" s="5" t="n"/>
      <c r="DV42" s="327" t="n"/>
      <c r="DX42" s="573" t="n"/>
      <c r="DZ42" s="5" t="n"/>
      <c r="EC42" s="5" t="n"/>
      <c r="EH42" s="173" t="n"/>
      <c r="EI42" s="327" t="n"/>
      <c r="EL42" s="327" t="n"/>
      <c r="EN42" s="327" t="n"/>
      <c r="ES42" s="327" t="n"/>
      <c r="EV42" s="327" t="n"/>
      <c r="FB42" s="573" t="n"/>
      <c r="FL42" s="573" t="n"/>
      <c r="FM42" s="573" t="n"/>
      <c r="FN42" s="573" t="n"/>
      <c r="FO42" s="573" t="n"/>
      <c r="FP42" s="573" t="n"/>
      <c r="FQ42" s="573" t="n"/>
      <c r="FR42" s="573" t="n"/>
      <c r="FS42" s="573" t="n"/>
      <c r="FT42" s="573" t="n"/>
    </row>
    <row r="43" hidden="1" ht="18.75" customHeight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699" t="n"/>
      <c r="AO43" s="699" t="n">
        <v>20</v>
      </c>
      <c r="AP43" s="699" t="n">
        <v>20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A43" s="50" t="n"/>
      <c r="CJ43" s="573" t="n"/>
      <c r="DE43" s="5" t="n"/>
      <c r="DV43" s="327" t="n"/>
      <c r="DX43" s="573" t="n"/>
      <c r="DZ43" s="5" t="n"/>
      <c r="EC43" s="5" t="n"/>
      <c r="EH43" s="173" t="n"/>
      <c r="EI43" s="327" t="n"/>
      <c r="EL43" s="327" t="n"/>
      <c r="EN43" s="327" t="n"/>
      <c r="ES43" s="327" t="n"/>
      <c r="EV43" s="327" t="n"/>
      <c r="FB43" s="573" t="n"/>
      <c r="FL43" s="573" t="n"/>
      <c r="FM43" s="573" t="n"/>
      <c r="FN43" s="573" t="n"/>
      <c r="FO43" s="573" t="n"/>
      <c r="FP43" s="573" t="n"/>
      <c r="FQ43" s="573" t="n"/>
      <c r="FR43" s="573" t="n"/>
      <c r="FS43" s="573" t="n"/>
      <c r="FT43" s="573" t="n"/>
    </row>
    <row r="44" hidden="1" ht="18.75" customHeight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699" t="n"/>
      <c r="AO44" s="699" t="n">
        <v>-3</v>
      </c>
      <c r="AP44" s="699" t="n">
        <v>-3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>
        <v>0</v>
      </c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J44" s="573" t="n"/>
      <c r="DE44" s="5" t="n"/>
      <c r="DV44" s="327" t="n"/>
      <c r="DX44" s="573" t="n"/>
      <c r="DZ44" s="5" t="n"/>
      <c r="EC44" s="5" t="n"/>
      <c r="EH44" s="173" t="n"/>
      <c r="EI44" s="327" t="n"/>
      <c r="EL44" s="327" t="n"/>
      <c r="EN44" s="327" t="n"/>
      <c r="ES44" s="327" t="n"/>
      <c r="EV44" s="327" t="n"/>
      <c r="FB44" s="573" t="n"/>
      <c r="FL44" s="573" t="n"/>
      <c r="FM44" s="573" t="n"/>
      <c r="FN44" s="573" t="n"/>
      <c r="FO44" s="573" t="n"/>
      <c r="FP44" s="573" t="n"/>
      <c r="FQ44" s="573" t="n"/>
      <c r="FR44" s="573" t="n"/>
      <c r="FS44" s="573" t="n"/>
      <c r="FT44" s="573" t="n"/>
    </row>
    <row r="45" hidden="1" ht="18.75" customHeight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699" t="n"/>
      <c r="AO45" s="699" t="n">
        <v>-8</v>
      </c>
      <c r="AP45" s="699" t="n">
        <v>-8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>
        <v>0</v>
      </c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DE45" s="51" t="n"/>
      <c r="DV45" s="327" t="n"/>
      <c r="DX45" s="573" t="n"/>
      <c r="DZ45" s="5" t="n"/>
      <c r="EC45" s="5" t="n"/>
      <c r="EH45" s="173" t="n"/>
      <c r="EI45" s="327" t="n"/>
      <c r="EL45" s="327" t="n"/>
      <c r="EN45" s="327" t="n"/>
      <c r="ES45" s="327" t="n"/>
      <c r="EV45" s="327" t="n"/>
      <c r="FB45" s="573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699" t="n"/>
      <c r="AO46" s="699" t="n">
        <v>64</v>
      </c>
      <c r="AP46" s="699" t="n">
        <v>56</v>
      </c>
      <c r="AQ46" s="699" t="n">
        <v>50</v>
      </c>
      <c r="AR46" s="699" t="n">
        <v>49</v>
      </c>
      <c r="AS46" s="699" t="n">
        <v>46</v>
      </c>
      <c r="AT46" s="699" t="n">
        <v>42</v>
      </c>
      <c r="AU46" s="699" t="n">
        <v>40</v>
      </c>
      <c r="AV46" s="699" t="n">
        <v>39</v>
      </c>
      <c r="AW46" s="699" t="n">
        <v>38</v>
      </c>
      <c r="AX46" s="699" t="n">
        <v>38</v>
      </c>
      <c r="AY46" s="699" t="n">
        <v>28</v>
      </c>
      <c r="AZ46" s="699" t="n">
        <v>23</v>
      </c>
      <c r="BA46" s="699" t="n">
        <v>21</v>
      </c>
      <c r="BB46" s="699" t="n">
        <v>20</v>
      </c>
      <c r="BC46" s="699" t="n">
        <v>4</v>
      </c>
      <c r="BD46" s="699" t="n">
        <v>0</v>
      </c>
      <c r="BE46" s="699" t="n">
        <v>0</v>
      </c>
      <c r="BF46" s="699" t="n">
        <v>0</v>
      </c>
      <c r="BG46" s="699" t="n">
        <v>0</v>
      </c>
      <c r="BH46" s="699" t="n">
        <v>0</v>
      </c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0" t="n"/>
      <c r="DE46" s="51" t="n"/>
      <c r="DV46" s="327" t="n"/>
      <c r="DX46" s="573" t="n"/>
      <c r="DZ46" s="5" t="n"/>
      <c r="EC46" s="5" t="n"/>
      <c r="EH46" s="173" t="n"/>
      <c r="EI46" s="327" t="n"/>
      <c r="EL46" s="327" t="n"/>
      <c r="EN46" s="327" t="n"/>
      <c r="ES46" s="327" t="n"/>
      <c r="EV46" s="327" t="n"/>
      <c r="FB46" s="573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699" t="n">
        <v>69</v>
      </c>
      <c r="BE47" s="699" t="n">
        <v>16</v>
      </c>
      <c r="BF47" s="699" t="n">
        <v>7</v>
      </c>
      <c r="BG47" s="699" t="n">
        <v>5</v>
      </c>
      <c r="BH47" s="699" t="n">
        <v>0</v>
      </c>
      <c r="BI47" s="699" t="n">
        <v>0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/>
      <c r="BQ47" s="699" t="n"/>
      <c r="BR47" s="699" t="n"/>
      <c r="BS47" s="699" t="n"/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0" t="n"/>
      <c r="CJ47" s="5" t="n"/>
      <c r="DE47" s="573" t="n"/>
      <c r="DK47" s="173" t="n"/>
      <c r="DL47" s="173" t="n"/>
      <c r="DN47" s="173" t="n"/>
      <c r="DV47" s="327" t="n"/>
      <c r="DX47" s="573" t="n"/>
      <c r="DZ47" s="51" t="n"/>
      <c r="EC47" s="5" t="n"/>
      <c r="EH47" s="174" t="n"/>
      <c r="EI47" s="327" t="n"/>
      <c r="EL47" s="327" t="n"/>
      <c r="EM47" s="173" t="n"/>
      <c r="EN47" s="327" t="n"/>
      <c r="ES47" s="327" t="n"/>
      <c r="EV47" s="327" t="n"/>
      <c r="FB47" s="573" t="n"/>
    </row>
    <row r="48" hidden="1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420</v>
      </c>
      <c r="BE48" s="699" t="n">
        <v>249</v>
      </c>
      <c r="BF48" s="699" t="n">
        <v>92</v>
      </c>
      <c r="BG48" s="699" t="n">
        <v>75</v>
      </c>
      <c r="BH48" s="699" t="n">
        <v>40</v>
      </c>
      <c r="BI48" s="699" t="n">
        <v>24</v>
      </c>
      <c r="BJ48" s="699" t="n">
        <v>10</v>
      </c>
      <c r="BK48" s="699" t="n">
        <v>4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A48" s="50" t="n"/>
      <c r="DE48" s="573" t="n"/>
      <c r="DK48" s="173" t="n"/>
      <c r="DL48" s="173" t="n"/>
      <c r="DN48" s="173" t="n"/>
      <c r="DV48" s="327" t="n"/>
      <c r="DX48" s="573" t="n"/>
      <c r="DZ48" s="51" t="n"/>
      <c r="EC48" s="5" t="n"/>
      <c r="EH48" s="174" t="n"/>
      <c r="EI48" s="327" t="n"/>
      <c r="EL48" s="327" t="n"/>
      <c r="EM48" s="173" t="n"/>
      <c r="EN48" s="327" t="n"/>
      <c r="ES48" s="327" t="n"/>
      <c r="EV48" s="327" t="n"/>
      <c r="FB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212</v>
      </c>
      <c r="BE49" s="699" t="n">
        <v>-19</v>
      </c>
      <c r="BF49" s="699" t="n">
        <v>-34</v>
      </c>
      <c r="BG49" s="699" t="n">
        <v>-35</v>
      </c>
      <c r="BH49" s="699" t="n">
        <v>1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A49" s="50" t="n"/>
      <c r="DE49" s="573" t="n"/>
      <c r="DK49" s="173" t="n"/>
      <c r="DL49" s="173" t="n"/>
      <c r="DN49" s="173" t="n"/>
      <c r="DV49" s="327" t="n"/>
      <c r="DX49" s="573" t="n"/>
      <c r="DZ49" s="51" t="n"/>
      <c r="EC49" s="5" t="n"/>
      <c r="EH49" s="174" t="n"/>
      <c r="EI49" s="327" t="n"/>
      <c r="EL49" s="327" t="n"/>
      <c r="EM49" s="173" t="n"/>
      <c r="EN49" s="327" t="n"/>
      <c r="ES49" s="327" t="n"/>
      <c r="EV49" s="327" t="n"/>
      <c r="FB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150</v>
      </c>
      <c r="BE50" s="699" t="n">
        <v>47</v>
      </c>
      <c r="BF50" s="699" t="n">
        <v>36</v>
      </c>
      <c r="BG50" s="699" t="n">
        <v>35</v>
      </c>
      <c r="BH50" s="699" t="n">
        <v>-1</v>
      </c>
      <c r="BI50" s="699" t="n">
        <v>-1</v>
      </c>
      <c r="BJ50" s="699" t="n">
        <v>-1</v>
      </c>
      <c r="BK50" s="699" t="n">
        <v>-1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A50" s="50" t="n"/>
      <c r="DE50" s="573" t="n"/>
      <c r="DK50" s="173" t="n"/>
      <c r="DL50" s="173" t="n"/>
      <c r="DN50" s="173" t="n"/>
      <c r="DV50" s="327" t="n"/>
      <c r="DX50" s="573" t="n"/>
      <c r="DZ50" s="51" t="n"/>
      <c r="EC50" s="5" t="n"/>
      <c r="EH50" s="174" t="n"/>
      <c r="EI50" s="327" t="n"/>
      <c r="EL50" s="327" t="n"/>
      <c r="EM50" s="173" t="n"/>
      <c r="EN50" s="327" t="n"/>
      <c r="ES50" s="327" t="n"/>
      <c r="EV50" s="327" t="n"/>
      <c r="FB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3</v>
      </c>
      <c r="BG51" s="699" t="n">
        <v>3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/>
      <c r="BQ51" s="699" t="n"/>
      <c r="BR51" s="699" t="n"/>
      <c r="BS51" s="699" t="n"/>
      <c r="BT51" s="699" t="n"/>
      <c r="BU51" s="699" t="n"/>
      <c r="BV51" s="699" t="n"/>
      <c r="BW51" s="699" t="n"/>
      <c r="BX51" s="699" t="n"/>
      <c r="BY51" s="699" t="n"/>
      <c r="BZ51" s="192">
        <f>BX51+IF(NOT(ISBLANK(OFFSET(BZ51,0,6))),N(OFFSET(BZ51,0,6)),N(OFFSET(BZ51,0,7)))-BY51</f>
        <v/>
      </c>
      <c r="CA51" s="50" t="n"/>
      <c r="DE51" s="573" t="n"/>
      <c r="DK51" s="173" t="n"/>
      <c r="DL51" s="173" t="n"/>
      <c r="DN51" s="173" t="n"/>
      <c r="DV51" s="327" t="n"/>
      <c r="DX51" s="573" t="n"/>
      <c r="DZ51" s="51" t="n"/>
      <c r="EC51" s="5" t="n"/>
      <c r="EH51" s="174" t="n"/>
      <c r="EI51" s="327" t="n"/>
      <c r="EL51" s="327" t="n"/>
      <c r="EM51" s="173" t="n"/>
      <c r="EN51" s="327" t="n"/>
      <c r="ES51" s="327" t="n"/>
      <c r="EV51" s="327" t="n"/>
      <c r="FB51" s="573" t="n"/>
    </row>
    <row r="52">
      <c r="CA52" s="50" t="n"/>
      <c r="DE52" s="573" t="n"/>
      <c r="DK52" s="173" t="n"/>
      <c r="DL52" s="173" t="n"/>
      <c r="DN52" s="173" t="n"/>
      <c r="DV52" s="327" t="n"/>
      <c r="DX52" s="573" t="n"/>
      <c r="DZ52" s="51" t="n"/>
      <c r="EC52" s="5" t="n"/>
      <c r="EH52" s="174" t="n"/>
      <c r="EI52" s="327" t="n"/>
      <c r="EL52" s="327" t="n"/>
      <c r="EM52" s="173" t="n"/>
      <c r="EN52" s="327" t="n"/>
      <c r="ES52" s="327" t="n"/>
      <c r="EV52" s="327" t="n"/>
      <c r="FB52" s="573" t="n"/>
    </row>
    <row r="53" ht="21" customHeight="1">
      <c r="A53" s="380" t="inlineStr">
        <is>
          <t>SOBRAS DATAS COMEMORATIVAS</t>
        </is>
      </c>
      <c r="B53" s="380" t="n"/>
      <c r="C53" s="380" t="n"/>
      <c r="CA53" s="50" t="n"/>
      <c r="DE53" s="573" t="n"/>
      <c r="DK53" s="174" t="n"/>
      <c r="DL53" s="174" t="n"/>
      <c r="DN53" s="174" t="n"/>
      <c r="DV53" s="327" t="n"/>
      <c r="DX53" s="573" t="n"/>
      <c r="DZ53" s="51" t="n"/>
      <c r="EC53" s="51" t="n"/>
      <c r="EH53" s="174" t="n"/>
      <c r="EI53" s="327" t="n"/>
      <c r="EL53" s="327" t="n"/>
      <c r="EM53" s="174" t="n"/>
      <c r="EN53" s="327" t="n"/>
      <c r="ES53" s="327" t="n"/>
      <c r="EV53" s="327" t="n"/>
    </row>
    <row r="54">
      <c r="A54" s="165" t="inlineStr">
        <is>
          <t>ITENS</t>
        </is>
      </c>
      <c r="B54" s="165" t="n"/>
      <c r="C54" s="165" t="inlineStr">
        <is>
          <t>ESTOQUE</t>
        </is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0" t="n"/>
      <c r="CB54" s="51" t="n"/>
      <c r="CC54" s="51" t="n"/>
      <c r="CG54" s="59" t="n"/>
      <c r="CH54" s="59" t="n"/>
      <c r="CI54" s="59" t="n"/>
      <c r="CK54" s="59" t="n"/>
      <c r="CL54" s="59" t="n"/>
      <c r="CM54" s="59" t="n"/>
      <c r="CN54" s="59" t="n"/>
      <c r="CO54" s="59" t="n"/>
      <c r="CP54" s="59" t="n"/>
      <c r="CQ54" s="59" t="n"/>
      <c r="CR54" s="59" t="n"/>
      <c r="CS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9" t="n"/>
      <c r="DC54" s="59" t="n"/>
      <c r="DD54" s="59" t="n"/>
      <c r="DE54" s="573" t="n"/>
      <c r="DF54" s="59" t="n"/>
      <c r="DG54" s="59" t="n"/>
      <c r="DH54" s="59" t="n"/>
      <c r="DI54" s="59" t="n"/>
      <c r="DJ54" s="59" t="n"/>
      <c r="DK54" s="174" t="n"/>
      <c r="DL54" s="174" t="n"/>
      <c r="DM54" s="59" t="n"/>
      <c r="DN54" s="174" t="n"/>
      <c r="DO54" s="59" t="n"/>
      <c r="DP54" s="59" t="n"/>
      <c r="DQ54" s="59" t="n"/>
      <c r="DR54" s="59" t="n"/>
      <c r="DS54" s="59" t="n"/>
      <c r="DT54" s="59" t="n"/>
      <c r="DU54" s="59" t="n"/>
      <c r="DV54" s="327" t="n"/>
      <c r="DW54" s="59" t="n"/>
      <c r="DX54" s="5" t="n"/>
      <c r="DY54" s="59" t="n"/>
      <c r="DZ54" s="573" t="n"/>
      <c r="EA54" s="59" t="n"/>
      <c r="EB54" s="59" t="n"/>
      <c r="EC54" s="51" t="n"/>
      <c r="ED54" s="59" t="n"/>
      <c r="EE54" s="59" t="n"/>
      <c r="EF54" s="59" t="n"/>
      <c r="EG54" s="59" t="n"/>
      <c r="EI54" s="327" t="n"/>
      <c r="EJ54" s="59" t="n"/>
      <c r="EK54" s="59" t="n"/>
      <c r="EL54" s="327" t="n"/>
      <c r="EM54" s="174" t="n"/>
      <c r="EN54" s="327" t="n"/>
      <c r="EO54" s="59" t="n"/>
      <c r="EP54" s="59" t="n"/>
      <c r="EQ54" s="59" t="n"/>
      <c r="ES54" s="327" t="n"/>
      <c r="ET54" s="59" t="n"/>
      <c r="EU54" s="59" t="n"/>
      <c r="EV54" s="327" t="n"/>
      <c r="EX54" s="59" t="n"/>
      <c r="EY54" s="59" t="n"/>
      <c r="FC54" s="59" t="n"/>
      <c r="FD54" s="59" t="n"/>
      <c r="FE54" s="59" t="n"/>
      <c r="FG54" s="59" t="n"/>
      <c r="FH54" s="59" t="n"/>
      <c r="FI54" s="59" t="n"/>
      <c r="FJ54" s="59" t="n"/>
    </row>
    <row r="55">
      <c r="A55" s="247" t="inlineStr">
        <is>
          <t>TAG PAIS/24</t>
        </is>
      </c>
      <c r="B55" s="171" t="n"/>
      <c r="C55" s="172" t="n">
        <v>400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K55" s="573" t="n"/>
      <c r="CL55" s="573" t="n"/>
      <c r="CM55" s="573" t="n"/>
      <c r="CN55" s="573" t="n"/>
      <c r="CO55" s="573" t="n"/>
      <c r="CP55" s="573" t="n"/>
      <c r="CQ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I55" s="573" t="n"/>
      <c r="DJ55" s="573" t="n"/>
      <c r="DM55" s="573" t="n"/>
      <c r="DO55" s="573" t="n"/>
      <c r="DP55" s="573" t="n"/>
      <c r="DQ55" s="573" t="n"/>
      <c r="DR55" s="573" t="n"/>
      <c r="DS55" s="573" t="n"/>
      <c r="DT55" s="573" t="n"/>
      <c r="DU55" s="573" t="n"/>
      <c r="DV55" s="327" t="n"/>
      <c r="DW55" s="573" t="n"/>
      <c r="DX55" s="5" t="n"/>
      <c r="DY55" s="573" t="n"/>
      <c r="DZ55" s="573" t="n"/>
      <c r="EA55" s="573" t="n"/>
      <c r="EB55" s="573" t="n"/>
      <c r="EC55" s="573" t="n"/>
      <c r="ED55" s="573" t="n"/>
      <c r="EE55" s="573" t="n"/>
      <c r="EF55" s="573" t="n"/>
      <c r="EG55" s="573" t="n"/>
      <c r="EI55" s="327" t="n"/>
      <c r="EJ55" s="573" t="n"/>
      <c r="EK55" s="573" t="n"/>
      <c r="EL55" s="327" t="n"/>
      <c r="EN55" s="327" t="n"/>
      <c r="EO55" s="573" t="n"/>
      <c r="EP55" s="573" t="n"/>
      <c r="EQ55" s="573" t="n"/>
      <c r="ER55" s="59" t="n"/>
      <c r="ES55" s="327" t="n"/>
      <c r="ET55" s="573" t="n"/>
      <c r="EU55" s="573" t="n"/>
      <c r="EV55" s="327" t="n"/>
      <c r="EW55" s="59" t="n"/>
      <c r="EX55" s="573" t="n"/>
      <c r="EY55" s="573" t="n"/>
      <c r="EZ55" s="59" t="n"/>
      <c r="FA55" s="59" t="n"/>
      <c r="FC55" s="573" t="n"/>
      <c r="FD55" s="573" t="n"/>
      <c r="FE55" s="573" t="n"/>
      <c r="FG55" s="573" t="n"/>
      <c r="FH55" s="573" t="n"/>
      <c r="FI55" s="573" t="n"/>
      <c r="FJ55" s="573" t="n"/>
      <c r="FK55" s="573" t="n"/>
      <c r="FU55" s="29" t="n"/>
      <c r="FV55" s="29" t="n"/>
      <c r="FW55" s="29" t="n"/>
      <c r="FX55" s="29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50" t="n"/>
      <c r="HA55" s="50" t="n"/>
      <c r="HB55" s="50" t="n"/>
      <c r="HC55" s="50" t="n"/>
      <c r="HD55" s="50" t="n"/>
      <c r="HE55" s="50" t="n"/>
      <c r="HF55" s="50" t="n"/>
      <c r="HG55" s="50" t="n"/>
      <c r="HH55" s="50" t="n"/>
      <c r="HI55" s="50" t="n"/>
      <c r="HJ55" s="50" t="n"/>
      <c r="HK55" s="29" t="n"/>
      <c r="HL55" s="29" t="n"/>
      <c r="HM55" s="50" t="n"/>
      <c r="HN55" s="50" t="n"/>
      <c r="HO55" s="50" t="n"/>
      <c r="HP55" s="50" t="n"/>
      <c r="HQ55" s="50" t="n"/>
      <c r="HR55" s="50" t="n"/>
      <c r="HS55" s="50" t="n"/>
      <c r="HT55" s="50" t="n"/>
      <c r="HU55" s="50" t="n"/>
      <c r="HV55" s="50" t="n"/>
      <c r="HW55" s="50" t="n"/>
      <c r="HX55" s="50" t="n"/>
      <c r="HY55" s="50" t="n"/>
      <c r="HZ55" s="50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173" t="n"/>
      <c r="IL55" s="173" t="n"/>
      <c r="IM55" s="173" t="n"/>
      <c r="IN55" s="29" t="n"/>
      <c r="IO55" s="29" t="n"/>
      <c r="IP55" s="29" t="n"/>
      <c r="IQ55" s="173" t="n"/>
      <c r="IR55" s="29" t="n"/>
      <c r="IS55" s="51" t="n"/>
      <c r="IT55" s="138" t="n"/>
      <c r="IU55" s="29" t="n"/>
      <c r="IV55" s="138" t="n"/>
      <c r="IW55" s="173" t="n"/>
      <c r="IX55" s="68" t="n"/>
      <c r="IY55" s="29" t="n"/>
      <c r="IZ55" s="29" t="n"/>
      <c r="JA55" s="29" t="n"/>
      <c r="JB55" s="29" t="n"/>
      <c r="JC55" s="173" t="n"/>
      <c r="JD55" s="29" t="n"/>
      <c r="JE55" s="29" t="n"/>
      <c r="JF55" s="138" t="n"/>
      <c r="JG55" s="51" t="n"/>
      <c r="JH55" s="29" t="n"/>
      <c r="JI55" s="29" t="n"/>
      <c r="JJ55" s="29" t="n"/>
      <c r="JK55" s="29" t="n"/>
      <c r="JL55" s="173" t="n"/>
      <c r="JM55" s="29" t="n"/>
      <c r="JN55" s="29" t="n"/>
      <c r="JO55" s="29" t="n"/>
      <c r="JP55" s="29" t="n"/>
      <c r="JQ55" s="29" t="n"/>
      <c r="JR55" s="29" t="n"/>
      <c r="JS55" s="138" t="n"/>
      <c r="JT55" s="29" t="n"/>
      <c r="JU55" s="29" t="n"/>
      <c r="JV55" s="29" t="n"/>
      <c r="JW55" s="29" t="n"/>
      <c r="JX55" s="29" t="n"/>
      <c r="JY55" s="138" t="n"/>
      <c r="JZ55" s="29" t="n"/>
      <c r="KA55" s="29" t="n"/>
      <c r="KB55" s="29" t="n"/>
      <c r="KD55" s="29" t="n"/>
      <c r="KE55" s="29" t="n"/>
      <c r="KF55" s="29" t="n"/>
      <c r="KH55" s="29" t="n"/>
      <c r="KI55" s="29" t="n"/>
      <c r="KN55" s="29" t="n"/>
      <c r="KO55" s="29" t="n"/>
      <c r="KP55" s="29" t="n"/>
      <c r="KR55" s="29" t="n"/>
      <c r="KS55" s="29" t="n"/>
      <c r="KT55" s="29" t="n"/>
      <c r="KV55" s="29" t="n"/>
      <c r="KW55" s="29" t="n"/>
      <c r="KX55" s="29" t="n"/>
      <c r="KY55" s="29" t="n"/>
      <c r="KZ55" s="29" t="n"/>
      <c r="LA55" s="29" t="n"/>
      <c r="LC55" s="29" t="n"/>
      <c r="LD55" s="29" t="n"/>
      <c r="LE55" s="29" t="n"/>
      <c r="LF55" s="29" t="n"/>
      <c r="LG55" s="29" t="n"/>
      <c r="LH55" s="29" t="n"/>
      <c r="LJ55" s="29" t="n"/>
      <c r="LL55" s="29" t="n"/>
      <c r="LM55" s="29" t="n"/>
      <c r="LN55" s="29" t="n"/>
      <c r="LO55" s="29" t="n"/>
      <c r="LP55" s="29" t="n"/>
      <c r="LQ55" s="29" t="n"/>
      <c r="LS55" s="29" t="n"/>
      <c r="LV55" s="29" t="n"/>
      <c r="LZ55" s="29" t="n"/>
      <c r="MA55" s="29" t="n"/>
      <c r="MB55" s="29" t="n"/>
    </row>
    <row r="56" customFormat="1" s="29">
      <c r="A56" s="220" t="n"/>
      <c r="C56" s="221" t="n"/>
      <c r="D56" s="221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9" t="n"/>
      <c r="CK56" s="573" t="n"/>
      <c r="CL56" s="573" t="n"/>
      <c r="CM56" s="573" t="n"/>
      <c r="CN56" s="573" t="n"/>
      <c r="CO56" s="573" t="n"/>
      <c r="CP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G56" s="573" t="n"/>
      <c r="DH56" s="573" t="n"/>
      <c r="DI56" s="573" t="n"/>
      <c r="DJ56" s="573" t="n"/>
      <c r="DM56" s="573" t="n"/>
      <c r="DO56" s="573" t="n"/>
      <c r="DP56" s="573" t="n"/>
      <c r="DQ56" s="573" t="n"/>
      <c r="DR56" s="573" t="n"/>
      <c r="DS56" s="573" t="n"/>
      <c r="DT56" s="573" t="n"/>
      <c r="DU56" s="573" t="n"/>
      <c r="DV56" s="327" t="n"/>
      <c r="DW56" s="573" t="n"/>
      <c r="DX56" s="41" t="n"/>
      <c r="DY56" s="573" t="n"/>
      <c r="DZ56" s="573" t="n"/>
      <c r="EA56" s="573" t="n"/>
      <c r="EB56" s="573" t="n"/>
      <c r="EC56" s="573" t="n"/>
      <c r="ED56" s="573" t="n"/>
      <c r="EE56" s="573" t="n"/>
      <c r="EF56" s="573" t="n"/>
      <c r="EG56" s="573" t="n"/>
      <c r="EI56" s="327" t="n"/>
      <c r="EJ56" s="573" t="n"/>
      <c r="EK56" s="573" t="n"/>
      <c r="EL56" s="327" t="n"/>
      <c r="EN56" s="327" t="n"/>
      <c r="EO56" s="573" t="n"/>
      <c r="EP56" s="573" t="n"/>
      <c r="EQ56" s="573" t="n"/>
      <c r="ER56" s="573" t="n"/>
      <c r="ES56" s="327" t="n"/>
      <c r="ET56" s="573" t="n"/>
      <c r="EU56" s="573" t="n"/>
      <c r="EV56" s="327" t="n"/>
      <c r="EW56" s="573" t="n"/>
      <c r="EX56" s="573" t="n"/>
      <c r="EY56" s="573" t="n"/>
      <c r="EZ56" s="573" t="n"/>
      <c r="FA56" s="573" t="n"/>
      <c r="FC56" s="573" t="n"/>
      <c r="FD56" s="573" t="n"/>
      <c r="FE56" s="573" t="n"/>
      <c r="FF56" s="573" t="n"/>
      <c r="FG56" s="573" t="n"/>
      <c r="FH56" s="573" t="n"/>
      <c r="FI56" s="573" t="n"/>
      <c r="FJ56" s="573" t="n"/>
      <c r="FK56" s="573" t="n"/>
      <c r="FL56" s="5" t="n"/>
      <c r="FM56" s="5" t="n"/>
      <c r="FN56" s="5" t="n"/>
      <c r="FO56" s="5" t="n"/>
      <c r="FP56" s="5" t="n"/>
      <c r="FQ56" s="5" t="n"/>
      <c r="FR56" s="5" t="n"/>
      <c r="FS56" s="5" t="n"/>
      <c r="FT56" s="5" t="n"/>
      <c r="IK56" s="174" t="n"/>
      <c r="IL56" s="174" t="n"/>
      <c r="IM56" s="174" t="n"/>
      <c r="IQ56" s="174" t="n"/>
      <c r="IT56" s="71" t="n"/>
      <c r="IV56" s="71" t="n"/>
      <c r="IW56" s="174" t="n"/>
      <c r="IX56" s="68" t="n"/>
      <c r="JC56" s="174" t="n"/>
      <c r="JF56" s="71" t="n"/>
      <c r="JL56" s="174" t="n"/>
      <c r="JS56" s="71" t="n"/>
      <c r="JY56" s="71" t="n"/>
    </row>
    <row r="57">
      <c r="A57" s="774" t="inlineStr">
        <is>
          <t>FLACONETES</t>
        </is>
      </c>
      <c r="B57" s="731" t="n"/>
      <c r="C57" s="731" t="n"/>
      <c r="D57" s="775" t="n"/>
      <c r="F57" s="776" t="n">
        <v>45656</v>
      </c>
      <c r="G57" s="776" t="n">
        <v>45663</v>
      </c>
      <c r="H57" s="776" t="n">
        <v>45670</v>
      </c>
      <c r="I57" s="776" t="n">
        <v>45677</v>
      </c>
      <c r="J57" s="776" t="n">
        <v>45684</v>
      </c>
      <c r="K57" s="776" t="n">
        <v>45691</v>
      </c>
      <c r="L57" s="776" t="n">
        <v>45698</v>
      </c>
      <c r="M57" s="776" t="n">
        <v>45705</v>
      </c>
      <c r="N57" s="776" t="n">
        <v>45712</v>
      </c>
      <c r="O57" s="776" t="n">
        <v>45719</v>
      </c>
      <c r="P57" s="776" t="n">
        <v>45726</v>
      </c>
      <c r="Q57" s="776" t="n">
        <v>45733</v>
      </c>
      <c r="R57" s="777" t="n">
        <v>45740</v>
      </c>
      <c r="S57" s="776" t="n">
        <v>45747</v>
      </c>
      <c r="T57" s="776" t="n">
        <v>45754</v>
      </c>
      <c r="U57" s="776" t="n">
        <v>45761</v>
      </c>
      <c r="V57" s="776" t="n">
        <v>45768</v>
      </c>
      <c r="W57" s="776" t="n">
        <v>45775</v>
      </c>
      <c r="X57" s="776" t="n">
        <v>45782</v>
      </c>
      <c r="Y57" s="776" t="n">
        <v>45789</v>
      </c>
      <c r="Z57" s="776" t="n">
        <v>45796</v>
      </c>
      <c r="AA57" s="776" t="n">
        <v>45803</v>
      </c>
      <c r="AB57" s="776" t="n">
        <v>45810</v>
      </c>
      <c r="AC57" s="776" t="n">
        <v>45817</v>
      </c>
      <c r="AD57" s="776" t="n">
        <v>45824</v>
      </c>
      <c r="AE57" s="776" t="n">
        <v>45831</v>
      </c>
      <c r="AF57" s="776" t="n">
        <v>45838</v>
      </c>
      <c r="AG57" s="776" t="n">
        <v>45845</v>
      </c>
      <c r="AH57" s="776" t="n">
        <v>45852</v>
      </c>
      <c r="AI57" s="776" t="n">
        <v>45859</v>
      </c>
      <c r="AJ57" s="776" t="n">
        <v>45866</v>
      </c>
      <c r="AK57" s="776" t="n">
        <v>45873</v>
      </c>
      <c r="AL57" s="776" t="n">
        <v>45880</v>
      </c>
      <c r="AM57" s="776" t="n">
        <v>45887</v>
      </c>
      <c r="AN57" s="776" t="n">
        <v>45894</v>
      </c>
      <c r="AO57" s="776" t="n">
        <v>45901</v>
      </c>
      <c r="AP57" s="776" t="n">
        <v>45908</v>
      </c>
      <c r="AQ57" s="778" t="n">
        <v>45915</v>
      </c>
      <c r="AR57" s="776" t="n">
        <v>45922</v>
      </c>
      <c r="AS57" s="776" t="n">
        <v>45929</v>
      </c>
      <c r="AT57" s="776" t="n">
        <v>45936</v>
      </c>
      <c r="AU57" s="776" t="n">
        <v>45943</v>
      </c>
      <c r="AV57" s="776" t="n">
        <v>45950</v>
      </c>
      <c r="AW57" s="776" t="n">
        <v>45957</v>
      </c>
      <c r="AX57" s="776" t="n">
        <v>45964</v>
      </c>
      <c r="AY57" s="776" t="n">
        <v>45971</v>
      </c>
      <c r="AZ57" s="776" t="n">
        <v>45978</v>
      </c>
      <c r="BA57" s="776" t="n">
        <v>45985</v>
      </c>
      <c r="BB57" s="776" t="n">
        <v>45992</v>
      </c>
      <c r="BC57" s="776" t="n">
        <v>45999</v>
      </c>
      <c r="BD57" s="776" t="n">
        <v>46006</v>
      </c>
      <c r="BE57" s="776" t="n">
        <v>46013</v>
      </c>
      <c r="BF57" s="776" t="n">
        <v>46020</v>
      </c>
      <c r="BG57" s="776" t="n">
        <v>46027</v>
      </c>
      <c r="BH57" s="776" t="n">
        <v>46034</v>
      </c>
      <c r="BI57" s="776" t="n">
        <v>46041</v>
      </c>
      <c r="BJ57" s="776" t="n">
        <v>46048</v>
      </c>
      <c r="BK57" s="776" t="n">
        <v>46055</v>
      </c>
      <c r="BL57" s="776" t="n">
        <v>46062</v>
      </c>
      <c r="BM57" s="776" t="n">
        <v>46069</v>
      </c>
      <c r="BN57" s="776" t="n">
        <v>46076</v>
      </c>
      <c r="BO57" s="776" t="n">
        <v>46083</v>
      </c>
      <c r="BP57" s="776" t="n">
        <v>46090</v>
      </c>
      <c r="BQ57" s="776" t="n">
        <v>46097</v>
      </c>
      <c r="BR57" s="776" t="n">
        <v>46104</v>
      </c>
      <c r="BS57" s="776" t="n">
        <v>46111</v>
      </c>
      <c r="BT57" s="776" t="n">
        <v>46118</v>
      </c>
      <c r="BU57" s="776" t="n">
        <v>46125</v>
      </c>
      <c r="BV57" s="776" t="n">
        <v>46132</v>
      </c>
      <c r="BW57" s="776" t="n">
        <v>46139</v>
      </c>
      <c r="BX57" s="776" t="n">
        <v>46146</v>
      </c>
      <c r="BY57" s="776" t="n">
        <v>46154</v>
      </c>
      <c r="BZ57" s="780" t="n"/>
      <c r="CA57" s="50" t="n"/>
      <c r="CB57" s="573" t="n"/>
      <c r="CC57" s="573" t="n"/>
      <c r="DE57" s="5" t="n"/>
      <c r="DV57" s="327" t="n"/>
      <c r="DX57" s="41" t="n"/>
      <c r="DZ57" s="573" t="n"/>
      <c r="EC57" s="573" t="n"/>
      <c r="EI57" s="327" t="n"/>
      <c r="EL57" s="327" t="n"/>
      <c r="EN57" s="327" t="n"/>
      <c r="ER57" s="573" t="n"/>
      <c r="ES57" s="327" t="n"/>
      <c r="EV57" s="327" t="n"/>
      <c r="EW57" s="573" t="n"/>
      <c r="EZ57" s="573" t="n"/>
      <c r="FA57" s="573" t="n"/>
      <c r="FF57" s="573" t="n"/>
    </row>
    <row r="58" hidden="1" ht="18.75" customHeight="1">
      <c r="A58" s="781" t="inlineStr">
        <is>
          <t>HER CODE</t>
        </is>
      </c>
      <c r="B58" s="731" t="n"/>
      <c r="C58" s="731" t="n"/>
      <c r="D58" s="775" t="n"/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4" t="n"/>
      <c r="S58" s="697" t="n"/>
      <c r="T58" s="697" t="n"/>
      <c r="U58" s="697" t="n"/>
      <c r="V58" s="697" t="n"/>
      <c r="W58" s="697" t="n"/>
      <c r="X58" s="697" t="n"/>
      <c r="Y58" s="697" t="n"/>
      <c r="Z58" s="697" t="n"/>
      <c r="AA58" s="697" t="n"/>
      <c r="AB58" s="697" t="n"/>
      <c r="AC58" s="697" t="n"/>
      <c r="AD58" s="697" t="n"/>
      <c r="AE58" s="697" t="n"/>
      <c r="AF58" s="697" t="n"/>
      <c r="AG58" s="697" t="n"/>
      <c r="AH58" s="697" t="n"/>
      <c r="AI58" s="697" t="n"/>
      <c r="AJ58" s="697" t="n"/>
      <c r="AK58" s="697" t="n"/>
      <c r="AL58" s="697" t="n"/>
      <c r="AM58" s="697" t="n"/>
      <c r="AN58" s="697" t="n"/>
      <c r="AO58" s="697" t="n"/>
      <c r="AP58" s="697" t="n"/>
      <c r="AQ58" s="267" t="n"/>
      <c r="AR58" s="697" t="n"/>
      <c r="AS58" s="697" t="n"/>
      <c r="AT58" s="697" t="n"/>
      <c r="AU58" s="697" t="n"/>
      <c r="AV58" s="697" t="n"/>
      <c r="AW58" s="697" t="n"/>
      <c r="AX58" s="697" t="n"/>
      <c r="AY58" s="697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/>
      <c r="BL58" s="697" t="n"/>
      <c r="BM58" s="697" t="n"/>
      <c r="BN58" s="697" t="n"/>
      <c r="BO58" s="697" t="n"/>
      <c r="BP58" s="697" t="n"/>
      <c r="BQ58" s="697" t="n"/>
      <c r="BR58" s="697" t="n"/>
      <c r="BS58" s="697" t="n"/>
      <c r="BT58" s="697" t="n"/>
      <c r="BU58" s="697" t="n"/>
      <c r="BV58" s="697" t="n"/>
      <c r="BW58" s="697" t="n"/>
      <c r="BX58" s="697" t="n"/>
      <c r="BY58" s="697" t="n"/>
      <c r="CA58" s="50" t="n"/>
      <c r="CB58" s="573" t="n"/>
      <c r="CC58" s="573" t="n"/>
      <c r="DE58" s="41" t="n"/>
      <c r="DV58" s="327" t="n"/>
      <c r="DZ58" s="573" t="n"/>
      <c r="EC58" s="573" t="n"/>
      <c r="EH58" s="5" t="n"/>
      <c r="EI58" s="327" t="n"/>
      <c r="EL58" s="327" t="n"/>
      <c r="EN58" s="327" t="n"/>
      <c r="ER58" s="573" t="n"/>
      <c r="ES58" s="327" t="n"/>
      <c r="EV58" s="327" t="n"/>
      <c r="EW58" s="573" t="n"/>
      <c r="EZ58" s="573" t="n"/>
      <c r="FA58" s="573" t="n"/>
      <c r="FF58" s="573" t="n"/>
    </row>
    <row r="59" hidden="1" ht="18.75" customHeight="1">
      <c r="A59" s="781" t="inlineStr">
        <is>
          <t>BOTI</t>
        </is>
      </c>
      <c r="B59" s="731" t="n"/>
      <c r="C59" s="731" t="n"/>
      <c r="D59" s="775" t="n"/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4" t="n"/>
      <c r="S59" s="697" t="n"/>
      <c r="T59" s="697" t="n"/>
      <c r="U59" s="697" t="n"/>
      <c r="V59" s="697" t="n"/>
      <c r="W59" s="697" t="n"/>
      <c r="X59" s="697" t="n"/>
      <c r="Y59" s="697" t="n"/>
      <c r="Z59" s="697" t="n"/>
      <c r="AA59" s="697" t="n"/>
      <c r="AB59" s="697" t="n"/>
      <c r="AC59" s="697" t="n"/>
      <c r="AD59" s="697" t="n"/>
      <c r="AE59" s="697" t="n"/>
      <c r="AF59" s="697" t="n"/>
      <c r="AG59" s="697" t="n"/>
      <c r="AH59" s="697" t="n"/>
      <c r="AI59" s="697" t="n"/>
      <c r="AJ59" s="697" t="n"/>
      <c r="AK59" s="697" t="n"/>
      <c r="AL59" s="697" t="n"/>
      <c r="AM59" s="697" t="n"/>
      <c r="AN59" s="697" t="n"/>
      <c r="AO59" s="697" t="n"/>
      <c r="AP59" s="697" t="n"/>
      <c r="AQ59" s="267" t="n"/>
      <c r="AR59" s="697" t="n"/>
      <c r="AS59" s="697" t="n"/>
      <c r="AT59" s="697" t="n"/>
      <c r="AU59" s="697" t="n"/>
      <c r="AV59" s="697" t="n"/>
      <c r="AW59" s="697" t="n"/>
      <c r="AX59" s="697" t="n"/>
      <c r="AY59" s="697" t="n"/>
      <c r="AZ59" s="697" t="n"/>
      <c r="BA59" s="697" t="n"/>
      <c r="BB59" s="697" t="n"/>
      <c r="BC59" s="697" t="n"/>
      <c r="BD59" s="697" t="n"/>
      <c r="BE59" s="697" t="n"/>
      <c r="BF59" s="697" t="n"/>
      <c r="BG59" s="697" t="n"/>
      <c r="BH59" s="697" t="n"/>
      <c r="BI59" s="697" t="n"/>
      <c r="BJ59" s="697" t="n"/>
      <c r="BK59" s="697" t="n"/>
      <c r="BL59" s="697" t="n"/>
      <c r="BM59" s="697" t="n"/>
      <c r="BN59" s="697" t="n"/>
      <c r="BO59" s="697" t="n"/>
      <c r="BP59" s="697" t="n"/>
      <c r="BQ59" s="697" t="n"/>
      <c r="BR59" s="697" t="n"/>
      <c r="BS59" s="697" t="n"/>
      <c r="BT59" s="697" t="n"/>
      <c r="BU59" s="697" t="n"/>
      <c r="BV59" s="697" t="n"/>
      <c r="BW59" s="697" t="n"/>
      <c r="BX59" s="697" t="n"/>
      <c r="BY59" s="697" t="n"/>
      <c r="CA59" s="50" t="n"/>
      <c r="CB59" s="573" t="n"/>
      <c r="CC59" s="573" t="n"/>
      <c r="DE59" s="41" t="n"/>
      <c r="DK59" s="5" t="n"/>
      <c r="DL59" s="5" t="n"/>
      <c r="DN59" s="5" t="n"/>
      <c r="DV59" s="327" t="n"/>
      <c r="DZ59" s="573" t="n"/>
      <c r="EC59" s="573" t="n"/>
      <c r="EH59" s="5" t="n"/>
      <c r="EI59" s="327" t="n"/>
      <c r="EL59" s="327" t="n"/>
      <c r="EM59" s="5" t="n"/>
      <c r="EN59" s="327" t="n"/>
      <c r="ES59" s="327" t="n"/>
      <c r="EV59" s="327" t="n"/>
      <c r="FF59" s="573" t="n"/>
    </row>
    <row r="60" hidden="1" ht="18.75" customFormat="1" customHeight="1" s="29">
      <c r="A60" s="781" t="inlineStr">
        <is>
          <t>BOTIK</t>
        </is>
      </c>
      <c r="B60" s="731" t="n"/>
      <c r="C60" s="731" t="n"/>
      <c r="D60" s="775" t="n"/>
      <c r="E60" s="5" t="n"/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4" t="n"/>
      <c r="S60" s="697" t="n"/>
      <c r="T60" s="697" t="n"/>
      <c r="U60" s="697" t="n"/>
      <c r="V60" s="697" t="n"/>
      <c r="W60" s="697" t="n"/>
      <c r="X60" s="697" t="n"/>
      <c r="Y60" s="697" t="n"/>
      <c r="Z60" s="697" t="n"/>
      <c r="AA60" s="697" t="n"/>
      <c r="AB60" s="697" t="n"/>
      <c r="AC60" s="697" t="n"/>
      <c r="AD60" s="697" t="n"/>
      <c r="AE60" s="697" t="n"/>
      <c r="AF60" s="697" t="n"/>
      <c r="AG60" s="697" t="n"/>
      <c r="AH60" s="697" t="n"/>
      <c r="AI60" s="697" t="n"/>
      <c r="AJ60" s="697" t="n"/>
      <c r="AK60" s="697" t="n"/>
      <c r="AL60" s="697" t="n"/>
      <c r="AM60" s="697" t="n"/>
      <c r="AN60" s="697" t="n"/>
      <c r="AO60" s="697" t="n"/>
      <c r="AP60" s="697" t="n"/>
      <c r="AQ60" s="267" t="n"/>
      <c r="AR60" s="697" t="n"/>
      <c r="AS60" s="697" t="n"/>
      <c r="AT60" s="697" t="n"/>
      <c r="AU60" s="697" t="n"/>
      <c r="AV60" s="697" t="n"/>
      <c r="AW60" s="697" t="n"/>
      <c r="AX60" s="697" t="n"/>
      <c r="AY60" s="697" t="n"/>
      <c r="AZ60" s="697" t="n"/>
      <c r="BA60" s="697" t="n"/>
      <c r="BB60" s="697" t="n"/>
      <c r="BC60" s="697" t="n"/>
      <c r="BD60" s="697" t="n"/>
      <c r="BE60" s="697" t="n"/>
      <c r="BF60" s="697" t="n"/>
      <c r="BG60" s="697" t="n"/>
      <c r="BH60" s="697" t="n"/>
      <c r="BI60" s="697" t="n"/>
      <c r="BJ60" s="697" t="n"/>
      <c r="BK60" s="697" t="n"/>
      <c r="BL60" s="697" t="n"/>
      <c r="BM60" s="697" t="n"/>
      <c r="BN60" s="697" t="n"/>
      <c r="BO60" s="697" t="n"/>
      <c r="BP60" s="697" t="n"/>
      <c r="BQ60" s="697" t="n"/>
      <c r="BR60" s="697" t="n"/>
      <c r="BS60" s="697" t="n"/>
      <c r="BT60" s="697" t="n"/>
      <c r="BU60" s="697" t="n"/>
      <c r="BV60" s="697" t="n"/>
      <c r="BW60" s="697" t="n"/>
      <c r="BX60" s="697" t="n"/>
      <c r="BY60" s="697" t="n"/>
      <c r="BZ60" s="573" t="n"/>
      <c r="CB60" s="51" t="n"/>
      <c r="CC60" s="51" t="n"/>
      <c r="CJ60" s="59" t="n"/>
      <c r="DK60" s="5" t="n"/>
      <c r="DL60" s="5" t="n"/>
      <c r="DN60" s="5" t="n"/>
      <c r="DV60" s="327" t="n"/>
      <c r="DZ60" s="573" t="n"/>
      <c r="EC60" s="573" t="n"/>
      <c r="EH60" s="5" t="n"/>
      <c r="EI60" s="327" t="n"/>
      <c r="EL60" s="327" t="n"/>
      <c r="EM60" s="5" t="n"/>
      <c r="EN60" s="327" t="n"/>
      <c r="ES60" s="327" t="n"/>
      <c r="EV60" s="327" t="n"/>
      <c r="FF60" s="573" t="n"/>
      <c r="FL60" s="5" t="n"/>
      <c r="FM60" s="5" t="n"/>
      <c r="FN60" s="5" t="n"/>
      <c r="FO60" s="5" t="n"/>
      <c r="FP60" s="5" t="n"/>
      <c r="FQ60" s="5" t="n"/>
      <c r="FR60" s="5" t="n"/>
      <c r="FS60" s="5" t="n"/>
      <c r="FT60" s="5" t="n"/>
    </row>
    <row r="61" hidden="1" ht="18.75" customFormat="1" customHeight="1" s="29">
      <c r="A61" s="781" t="inlineStr">
        <is>
          <t>BASE SALICYC</t>
        </is>
      </c>
      <c r="B61" s="731" t="n"/>
      <c r="C61" s="731" t="n"/>
      <c r="D61" s="775" t="n"/>
      <c r="E61" s="5" t="n"/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4" t="n"/>
      <c r="S61" s="697" t="n"/>
      <c r="T61" s="697" t="n"/>
      <c r="U61" s="697" t="n"/>
      <c r="V61" s="697" t="n"/>
      <c r="W61" s="697" t="n"/>
      <c r="X61" s="697" t="n"/>
      <c r="Y61" s="697" t="n"/>
      <c r="Z61" s="697" t="n"/>
      <c r="AA61" s="697" t="n"/>
      <c r="AB61" s="697" t="n"/>
      <c r="AC61" s="697" t="n"/>
      <c r="AD61" s="697" t="n"/>
      <c r="AE61" s="697" t="n"/>
      <c r="AF61" s="697" t="n"/>
      <c r="AG61" s="697" t="n"/>
      <c r="AH61" s="697" t="n"/>
      <c r="AI61" s="697" t="n"/>
      <c r="AJ61" s="697" t="n"/>
      <c r="AK61" s="697" t="n"/>
      <c r="AL61" s="697" t="n"/>
      <c r="AM61" s="697" t="n"/>
      <c r="AN61" s="697" t="n"/>
      <c r="AO61" s="697" t="n"/>
      <c r="AP61" s="697" t="n"/>
      <c r="AQ61" s="267" t="n"/>
      <c r="AR61" s="697" t="n"/>
      <c r="AS61" s="697" t="n"/>
      <c r="AT61" s="697" t="n"/>
      <c r="AU61" s="697" t="n"/>
      <c r="AV61" s="697" t="n"/>
      <c r="AW61" s="697" t="n"/>
      <c r="AX61" s="697" t="n"/>
      <c r="AY61" s="697" t="n"/>
      <c r="AZ61" s="697" t="n"/>
      <c r="BA61" s="697" t="n"/>
      <c r="BB61" s="697" t="n"/>
      <c r="BC61" s="697" t="n"/>
      <c r="BD61" s="697" t="n"/>
      <c r="BE61" s="697" t="n"/>
      <c r="BF61" s="697" t="n"/>
      <c r="BG61" s="697" t="n"/>
      <c r="BH61" s="697" t="n"/>
      <c r="BI61" s="697" t="n"/>
      <c r="BJ61" s="697" t="n"/>
      <c r="BK61" s="697" t="n"/>
      <c r="BL61" s="697" t="n"/>
      <c r="BM61" s="697" t="n"/>
      <c r="BN61" s="697" t="n"/>
      <c r="BO61" s="697" t="n"/>
      <c r="BP61" s="697" t="n"/>
      <c r="BQ61" s="697" t="n"/>
      <c r="BR61" s="697" t="n"/>
      <c r="BS61" s="697" t="n"/>
      <c r="BT61" s="697" t="n"/>
      <c r="BU61" s="697" t="n"/>
      <c r="BV61" s="697" t="n"/>
      <c r="BW61" s="697" t="n"/>
      <c r="BX61" s="697" t="n"/>
      <c r="BY61" s="697" t="n"/>
      <c r="BZ61" s="5" t="n"/>
      <c r="CJ61" s="59" t="n"/>
      <c r="DK61" s="5" t="n"/>
      <c r="DL61" s="5" t="n"/>
      <c r="DN61" s="5" t="n"/>
      <c r="DV61" s="327" t="n"/>
      <c r="DZ61" s="573" t="n"/>
      <c r="EC61" s="573" t="n"/>
      <c r="EH61" s="5" t="n"/>
      <c r="EI61" s="327" t="n"/>
      <c r="EL61" s="327" t="n"/>
      <c r="EM61" s="5" t="n"/>
      <c r="EN61" s="327" t="n"/>
      <c r="ES61" s="327" t="n"/>
      <c r="EV61" s="327" t="n"/>
      <c r="FF61" s="573" t="n"/>
      <c r="FL61" s="5" t="n"/>
      <c r="FM61" s="5" t="n"/>
      <c r="FN61" s="5" t="n"/>
      <c r="FO61" s="5" t="n"/>
      <c r="FP61" s="5" t="n"/>
      <c r="FQ61" s="5" t="n"/>
      <c r="FR61" s="5" t="n"/>
      <c r="FS61" s="5" t="n"/>
      <c r="FT61" s="5" t="n"/>
    </row>
    <row r="62" hidden="1" ht="18.75" customFormat="1" customHeight="1" s="29">
      <c r="A62" s="482" t="inlineStr">
        <is>
          <t xml:space="preserve">BOTI SUN </t>
        </is>
      </c>
      <c r="B62" s="483" t="n"/>
      <c r="C62" s="484" t="n"/>
      <c r="D62" s="484" t="n"/>
      <c r="E62" s="5" t="n"/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4" t="n"/>
      <c r="S62" s="697" t="n"/>
      <c r="T62" s="697" t="n"/>
      <c r="U62" s="697" t="n"/>
      <c r="V62" s="697" t="n"/>
      <c r="W62" s="697" t="n"/>
      <c r="X62" s="697" t="n"/>
      <c r="Y62" s="697" t="n"/>
      <c r="Z62" s="697" t="n"/>
      <c r="AA62" s="697" t="n"/>
      <c r="AB62" s="697" t="n"/>
      <c r="AC62" s="697" t="n"/>
      <c r="AD62" s="697" t="n"/>
      <c r="AE62" s="697" t="n"/>
      <c r="AF62" s="697" t="n"/>
      <c r="AG62" s="697" t="n"/>
      <c r="AH62" s="697" t="n"/>
      <c r="AI62" s="697" t="n"/>
      <c r="AJ62" s="697" t="n"/>
      <c r="AK62" s="697" t="n"/>
      <c r="AL62" s="697" t="n"/>
      <c r="AM62" s="697" t="n"/>
      <c r="AN62" s="697" t="n"/>
      <c r="AO62" s="697" t="n"/>
      <c r="AP62" s="697" t="n"/>
      <c r="AQ62" s="267" t="n"/>
      <c r="AR62" s="697" t="n"/>
      <c r="AS62" s="697" t="n"/>
      <c r="AT62" s="697" t="n"/>
      <c r="AU62" s="697" t="n"/>
      <c r="AV62" s="697" t="n"/>
      <c r="AW62" s="697" t="n"/>
      <c r="AX62" s="697" t="n"/>
      <c r="AY62" s="697" t="n"/>
      <c r="AZ62" s="697" t="n"/>
      <c r="BA62" s="697" t="n"/>
      <c r="BB62" s="697" t="n"/>
      <c r="BC62" s="697" t="n"/>
      <c r="BD62" s="697" t="n"/>
      <c r="BE62" s="697" t="n"/>
      <c r="BF62" s="697" t="n"/>
      <c r="BG62" s="697" t="n"/>
      <c r="BH62" s="697" t="n"/>
      <c r="BI62" s="697" t="n"/>
      <c r="BJ62" s="697" t="n"/>
      <c r="BK62" s="697" t="n"/>
      <c r="BL62" s="697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  <c r="BZ62" s="5" t="n"/>
      <c r="CJ62" s="59" t="n"/>
      <c r="DK62" s="5" t="n"/>
      <c r="DL62" s="5" t="n"/>
      <c r="DN62" s="5" t="n"/>
      <c r="DV62" s="327" t="n"/>
      <c r="DZ62" s="5" t="n"/>
      <c r="EC62" s="573" t="n"/>
      <c r="EH62" s="5" t="n"/>
      <c r="EI62" s="327" t="n"/>
      <c r="EL62" s="327" t="n"/>
      <c r="EM62" s="5" t="n"/>
      <c r="EN62" s="327" t="n"/>
      <c r="ES62" s="327" t="n"/>
      <c r="EV62" s="327" t="n"/>
      <c r="FF62" s="573" t="n"/>
      <c r="FL62" s="5" t="n"/>
      <c r="FM62" s="5" t="n"/>
      <c r="FN62" s="5" t="n"/>
      <c r="FO62" s="5" t="n"/>
      <c r="FP62" s="5" t="n"/>
      <c r="FQ62" s="5" t="n"/>
      <c r="FR62" s="5" t="n"/>
      <c r="FS62" s="5" t="n"/>
      <c r="FT62" s="5" t="n"/>
    </row>
    <row r="63" hidden="1" ht="18.75" customFormat="1" customHeight="1" s="29">
      <c r="A63" s="482" t="inlineStr">
        <is>
          <t>Batin intense 120</t>
        </is>
      </c>
      <c r="B63" s="483" t="n"/>
      <c r="C63" s="484" t="n"/>
      <c r="D63" s="484" t="n"/>
      <c r="E63" s="5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4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26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5" t="n"/>
      <c r="CB63" s="5" t="n"/>
      <c r="CC63" s="5" t="n"/>
      <c r="CJ63" s="59" t="n"/>
      <c r="DK63" s="5" t="n"/>
      <c r="DL63" s="5" t="n"/>
      <c r="DN63" s="5" t="n"/>
      <c r="DV63" s="327" t="n"/>
      <c r="DZ63" s="5" t="n"/>
      <c r="EC63" s="5" t="n"/>
      <c r="EH63" s="5" t="n"/>
      <c r="EI63" s="327" t="n"/>
      <c r="EL63" s="327" t="n"/>
      <c r="EM63" s="5" t="n"/>
      <c r="EN63" s="327" t="n"/>
      <c r="ES63" s="327" t="n"/>
      <c r="EV63" s="327" t="n"/>
      <c r="FF63" s="5" t="n"/>
      <c r="FL63" s="5" t="n"/>
      <c r="FM63" s="5" t="n"/>
      <c r="FN63" s="5" t="n"/>
      <c r="FO63" s="5" t="n"/>
      <c r="FP63" s="5" t="n"/>
      <c r="FQ63" s="5" t="n"/>
      <c r="FR63" s="5" t="n"/>
      <c r="FS63" s="5" t="n"/>
      <c r="FT63" s="5" t="n"/>
    </row>
    <row r="64" hidden="1" ht="18.75" customFormat="1" customHeight="1" s="29">
      <c r="A64" s="482" t="inlineStr">
        <is>
          <t xml:space="preserve">Floratta Romance Verao </t>
        </is>
      </c>
      <c r="B64" s="483" t="n"/>
      <c r="C64" s="484" t="n"/>
      <c r="D64" s="484" t="n"/>
      <c r="E64" s="5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4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26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5" t="n"/>
      <c r="CB64" s="5" t="n"/>
      <c r="CC64" s="5" t="n"/>
      <c r="CJ64" s="59" t="n"/>
      <c r="DE64" s="5" t="n"/>
      <c r="DK64" s="5" t="n"/>
      <c r="DL64" s="5" t="n"/>
      <c r="DN64" s="5" t="n"/>
      <c r="DV64" s="327" t="n"/>
      <c r="DX64" s="5" t="n"/>
      <c r="DZ64" s="41" t="n"/>
      <c r="EC64" s="5" t="n"/>
      <c r="EH64" s="5" t="n"/>
      <c r="EI64" s="327" t="n"/>
      <c r="EL64" s="327" t="n"/>
      <c r="EM64" s="5" t="n"/>
      <c r="EN64" s="327" t="n"/>
      <c r="ES64" s="327" t="n"/>
      <c r="EV64" s="327" t="n"/>
      <c r="FF64" s="5" t="n"/>
      <c r="FL64" s="5" t="n"/>
      <c r="FM64" s="5" t="n"/>
      <c r="FN64" s="5" t="n"/>
      <c r="FO64" s="5" t="n"/>
      <c r="FP64" s="5" t="n"/>
      <c r="FQ64" s="5" t="n"/>
      <c r="FR64" s="5" t="n"/>
      <c r="FS64" s="5" t="n"/>
      <c r="FT64" s="5" t="n"/>
    </row>
    <row r="65" hidden="1" ht="18.75" customHeight="1">
      <c r="A65" s="781" t="inlineStr">
        <is>
          <t>quasar blue</t>
        </is>
      </c>
      <c r="B65" s="731" t="n"/>
      <c r="C65" s="731" t="n"/>
      <c r="D65" s="775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4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26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B65" s="5" t="n"/>
      <c r="CC65" s="5" t="n"/>
      <c r="DE65" s="5" t="n"/>
      <c r="DK65" s="5" t="n"/>
      <c r="DL65" s="5" t="n"/>
      <c r="DN65" s="5" t="n"/>
      <c r="DV65" s="327" t="n"/>
      <c r="DX65" s="5" t="n"/>
      <c r="DZ65" s="41" t="n"/>
      <c r="EC65" s="41" t="n"/>
      <c r="EH65" s="5" t="n"/>
      <c r="EI65" s="328" t="n"/>
      <c r="EL65" s="327" t="n"/>
      <c r="EM65" s="5" t="n"/>
      <c r="EN65" s="327" t="n"/>
      <c r="ES65" s="327" t="n"/>
      <c r="EV65" s="327" t="n"/>
      <c r="FF65" s="41" t="n"/>
    </row>
    <row r="66" hidden="1" ht="18.75" customHeight="1">
      <c r="A66" s="781" t="inlineStr">
        <is>
          <t>arbo</t>
        </is>
      </c>
      <c r="B66" s="731" t="n"/>
      <c r="C66" s="731" t="n"/>
      <c r="D66" s="775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4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26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DE66" s="5" t="n"/>
      <c r="DK66" s="5" t="n"/>
      <c r="DL66" s="5" t="n"/>
      <c r="DN66" s="5" t="n"/>
      <c r="DV66" s="328" t="n"/>
      <c r="DX66" s="5" t="n"/>
      <c r="DZ66" s="41" t="n"/>
      <c r="EC66" s="41" t="n"/>
      <c r="EH66" s="5" t="n"/>
      <c r="EI66" s="328" t="n"/>
      <c r="EL66" s="328" t="n"/>
      <c r="EM66" s="5" t="n"/>
      <c r="EN66" s="328" t="n"/>
      <c r="ES66" s="328" t="n"/>
      <c r="EV66" s="328" t="n"/>
      <c r="FF66" s="41" t="n"/>
    </row>
    <row r="67" hidden="1" ht="18.75" customHeight="1">
      <c r="A67" s="781" t="inlineStr">
        <is>
          <t>feirinha</t>
        </is>
      </c>
      <c r="B67" s="731" t="n"/>
      <c r="C67" s="731" t="n"/>
      <c r="D67" s="775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4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26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DK67" s="5" t="n"/>
      <c r="DL67" s="5" t="n"/>
      <c r="DN67" s="5" t="n"/>
      <c r="DV67" s="328" t="n"/>
      <c r="DX67" s="5" t="n"/>
      <c r="EC67" s="41" t="n"/>
      <c r="EI67" s="329" t="n"/>
      <c r="EL67" s="328" t="n"/>
      <c r="EM67" s="5" t="n"/>
      <c r="EN67" s="328" t="n"/>
      <c r="ES67" s="328" t="n"/>
      <c r="EV67" s="328" t="n"/>
    </row>
    <row r="68" hidden="1" ht="18.75" customHeight="1">
      <c r="A68" s="482" t="inlineStr">
        <is>
          <t>rosa e algodão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4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26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DK68" s="5" t="n"/>
      <c r="DL68" s="5" t="n"/>
      <c r="DN68" s="5" t="n"/>
      <c r="DV68" s="329" t="n"/>
      <c r="DX68" s="5" t="n"/>
      <c r="EH68" s="5" t="n"/>
      <c r="EI68" s="329" t="n"/>
      <c r="EL68" s="329" t="n"/>
      <c r="EN68" s="329" t="n"/>
      <c r="ES68" s="329" t="n"/>
      <c r="EV68" s="329" t="n"/>
    </row>
    <row r="69" hidden="1" ht="18.75" customHeight="1">
      <c r="A69" s="482" t="inlineStr">
        <is>
          <t>vuvem hiratante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4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26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DK69" s="5" t="n"/>
      <c r="DL69" s="5" t="n"/>
      <c r="DN69" s="5" t="n"/>
      <c r="DV69" s="329" t="n"/>
      <c r="DX69" s="5" t="n"/>
      <c r="EI69" s="329" t="n"/>
      <c r="EL69" s="329" t="n"/>
      <c r="EM69" s="5" t="n"/>
      <c r="EN69" s="329" t="n"/>
      <c r="ES69" s="329" t="n"/>
      <c r="EV69" s="329" t="n"/>
    </row>
    <row r="70" hidden="1" ht="18.75" customHeight="1">
      <c r="A70" s="781" t="inlineStr">
        <is>
          <t>04/09 - sem amostras</t>
        </is>
      </c>
      <c r="B70" s="731" t="n"/>
      <c r="C70" s="731" t="n"/>
      <c r="D70" s="775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4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26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DV70" s="329" t="n"/>
      <c r="DX70" s="5" t="n"/>
      <c r="EI70" s="329" t="n"/>
      <c r="EL70" s="329" t="n"/>
      <c r="EN70" s="329" t="n"/>
      <c r="ES70" s="329" t="n"/>
      <c r="EV70" s="329" t="n"/>
    </row>
    <row r="71" hidden="1" ht="18.75" customHeight="1">
      <c r="A71" s="781" t="inlineStr">
        <is>
          <t>LILLY GARDENIA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>
        <v>0</v>
      </c>
      <c r="L71" s="697" t="n">
        <v>0</v>
      </c>
      <c r="M71" s="697" t="n">
        <v>0</v>
      </c>
      <c r="N71" s="697" t="n">
        <v>0</v>
      </c>
      <c r="O71" s="697" t="n">
        <v>0</v>
      </c>
      <c r="P71" s="697" t="n">
        <v>0</v>
      </c>
      <c r="Q71" s="697" t="n">
        <v>0</v>
      </c>
      <c r="R71" s="697" t="n">
        <v>0</v>
      </c>
      <c r="S71" s="697" t="n">
        <v>0</v>
      </c>
      <c r="T71" s="697" t="n">
        <v>0</v>
      </c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26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DK71" s="5" t="n"/>
      <c r="DL71" s="5" t="n"/>
      <c r="DN71" s="5" t="n"/>
      <c r="DV71" s="329" t="n"/>
      <c r="DX71" s="5" t="n"/>
      <c r="EH71" s="173" t="n"/>
      <c r="EI71" s="329" t="n"/>
      <c r="EL71" s="329" t="n"/>
      <c r="EN71" s="329" t="n"/>
      <c r="ES71" s="329" t="n"/>
      <c r="EV71" s="329" t="n"/>
    </row>
    <row r="72" hidden="1" ht="18.75" customHeight="1">
      <c r="A72" s="781" t="inlineStr">
        <is>
          <t>EGEO CHOC HIGH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26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DV72" s="329" t="n"/>
      <c r="EH72" s="173" t="n"/>
      <c r="EI72" s="329" t="n"/>
      <c r="EL72" s="329" t="n"/>
      <c r="EM72" s="173" t="n"/>
      <c r="EN72" s="329" t="n"/>
      <c r="ES72" s="329" t="n"/>
      <c r="EV72" s="329" t="n"/>
    </row>
    <row r="73" hidden="1" ht="18.75" customHeight="1">
      <c r="A73" s="781" t="inlineStr">
        <is>
          <t>MALBEC ICON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>
        <v>0</v>
      </c>
      <c r="L73" s="697" t="n">
        <v>0</v>
      </c>
      <c r="M73" s="697" t="n">
        <v>0</v>
      </c>
      <c r="N73" s="697" t="n">
        <v>0</v>
      </c>
      <c r="O73" s="697" t="n">
        <v>0</v>
      </c>
      <c r="P73" s="697" t="n">
        <v>0</v>
      </c>
      <c r="Q73" s="697" t="n">
        <v>0</v>
      </c>
      <c r="R73" s="697" t="n">
        <v>0</v>
      </c>
      <c r="S73" s="697" t="n">
        <v>0</v>
      </c>
      <c r="T73" s="697" t="n">
        <v>0</v>
      </c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26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V73" s="329" t="n"/>
      <c r="DZ73" s="5" t="n"/>
      <c r="EH73" s="173" t="n"/>
      <c r="EI73" s="327" t="n"/>
      <c r="EL73" s="329" t="n"/>
      <c r="EM73" s="173" t="n"/>
      <c r="EN73" s="329" t="n"/>
      <c r="ES73" s="329" t="n"/>
      <c r="EV73" s="329" t="n"/>
      <c r="FF73" s="5" t="n"/>
    </row>
    <row r="74">
      <c r="A74" s="781" t="inlineStr">
        <is>
          <t>CBEM HIDR. DOCURA NA PESSEGURA</t>
        </is>
      </c>
      <c r="B74" s="731" t="n"/>
      <c r="C74" s="731" t="n"/>
      <c r="D74" s="775" t="n"/>
      <c r="J74" s="697" t="n">
        <v>0</v>
      </c>
      <c r="K74" s="697" t="n">
        <v>100</v>
      </c>
      <c r="L74" s="697" t="n">
        <v>80</v>
      </c>
      <c r="M74" s="697" t="n">
        <v>65</v>
      </c>
      <c r="N74" s="697" t="n">
        <v>0</v>
      </c>
      <c r="O74" s="697" t="n">
        <v>0</v>
      </c>
      <c r="P74" s="697" t="n">
        <v>0</v>
      </c>
      <c r="Q74" s="697" t="n">
        <v>0</v>
      </c>
      <c r="R74" s="697" t="n">
        <v>0</v>
      </c>
      <c r="S74" s="697" t="n">
        <v>0</v>
      </c>
      <c r="T74" s="697" t="n">
        <v>0</v>
      </c>
      <c r="U74" s="697" t="n">
        <v>0</v>
      </c>
      <c r="V74" s="697" t="n">
        <v>10</v>
      </c>
      <c r="W74" s="697" t="n">
        <v>148</v>
      </c>
      <c r="X74" s="697" t="n">
        <v>140</v>
      </c>
      <c r="Y74" s="697" t="n">
        <v>90</v>
      </c>
      <c r="Z74" s="697" t="n">
        <v>14</v>
      </c>
      <c r="AA74" s="697" t="n">
        <v>0</v>
      </c>
      <c r="AB74" s="697" t="n">
        <v>0</v>
      </c>
      <c r="AC74" s="697" t="n">
        <v>0</v>
      </c>
      <c r="AD74" s="697" t="n">
        <v>0</v>
      </c>
      <c r="AE74" s="697" t="n">
        <v>0</v>
      </c>
      <c r="AF74" s="697" t="n">
        <v>0</v>
      </c>
      <c r="AG74" s="697" t="n">
        <v>0</v>
      </c>
      <c r="AH74" s="697" t="n">
        <v>0</v>
      </c>
      <c r="AI74" s="697" t="n">
        <v>0</v>
      </c>
      <c r="AJ74" s="697" t="n">
        <v>0</v>
      </c>
      <c r="AK74" s="697" t="n">
        <v>0</v>
      </c>
      <c r="AL74" s="697" t="n">
        <v>0</v>
      </c>
      <c r="AM74" s="697" t="n">
        <v>0</v>
      </c>
      <c r="AN74" s="697" t="n">
        <v>0</v>
      </c>
      <c r="AO74" s="697" t="n">
        <v>0</v>
      </c>
      <c r="AP74" s="697" t="n">
        <v>0</v>
      </c>
      <c r="AQ74" s="267" t="n">
        <v>0</v>
      </c>
      <c r="AR74" s="697" t="n">
        <v>0</v>
      </c>
      <c r="AS74" s="697" t="n">
        <v>0</v>
      </c>
      <c r="AT74" s="697" t="n">
        <v>0</v>
      </c>
      <c r="AU74" s="697" t="n">
        <v>0</v>
      </c>
      <c r="AV74" s="697" t="n">
        <v>0</v>
      </c>
      <c r="AW74" s="697" t="n">
        <v>0</v>
      </c>
      <c r="AX74" s="697" t="n">
        <v>0</v>
      </c>
      <c r="AY74" s="697" t="n">
        <v>0</v>
      </c>
      <c r="AZ74" s="697" t="n">
        <v>0</v>
      </c>
      <c r="BA74" s="697" t="n">
        <v>0</v>
      </c>
      <c r="BB74" s="697" t="n">
        <v>0</v>
      </c>
      <c r="BC74" s="697" t="n">
        <v>0</v>
      </c>
      <c r="BD74" s="697" t="n">
        <v>0</v>
      </c>
      <c r="BE74" s="697" t="n">
        <v>0</v>
      </c>
      <c r="BF74" s="697" t="n">
        <v>0</v>
      </c>
      <c r="BG74" s="697" t="n">
        <v>0</v>
      </c>
      <c r="BH74" s="697" t="n">
        <v>0</v>
      </c>
      <c r="BI74" s="697" t="n">
        <v>0</v>
      </c>
      <c r="BJ74" s="697" t="n">
        <v>0</v>
      </c>
      <c r="BK74" s="697" t="n">
        <v>0</v>
      </c>
      <c r="BL74" s="697" t="n">
        <v>0</v>
      </c>
      <c r="BM74" s="697" t="n">
        <v>0</v>
      </c>
      <c r="BN74" s="697" t="n">
        <v>0</v>
      </c>
      <c r="BO74" s="697" t="n">
        <v>0</v>
      </c>
      <c r="BP74" s="697" t="n">
        <v>0</v>
      </c>
      <c r="BQ74" s="697" t="n">
        <v>0</v>
      </c>
      <c r="BR74" s="697" t="n">
        <v>0</v>
      </c>
      <c r="BS74" s="697" t="n">
        <v>0</v>
      </c>
      <c r="BT74" s="697" t="n">
        <v>0</v>
      </c>
      <c r="BU74" s="697" t="n">
        <v>0</v>
      </c>
      <c r="BV74" s="697" t="n">
        <v>0</v>
      </c>
      <c r="BW74" s="697" t="n">
        <v>0</v>
      </c>
      <c r="BX74" s="697" t="n">
        <v>0</v>
      </c>
      <c r="BY74" s="697" t="n">
        <v>0</v>
      </c>
      <c r="DK74" s="173" t="n"/>
      <c r="DL74" s="173" t="n"/>
      <c r="DN74" s="173" t="n"/>
      <c r="DV74" s="327" t="n"/>
      <c r="DZ74" s="5" t="n"/>
      <c r="EC74" s="5" t="n"/>
      <c r="EI74" s="327" t="n"/>
      <c r="EL74" s="327" t="n"/>
      <c r="EM74" s="173" t="n"/>
      <c r="EN74" s="327" t="n"/>
      <c r="ES74" s="327" t="n"/>
      <c r="EV74" s="327" t="n"/>
      <c r="FF74" s="5" t="n"/>
    </row>
    <row r="75" hidden="1" ht="18.75" customHeight="1">
      <c r="A75" s="781" t="inlineStr">
        <is>
          <t>LILY BLANCHE</t>
        </is>
      </c>
      <c r="B75" s="731" t="n"/>
      <c r="C75" s="731" t="n"/>
      <c r="D75" s="775" t="n"/>
      <c r="L75" s="697" t="n">
        <v>0</v>
      </c>
      <c r="M75" s="697" t="n">
        <v>60</v>
      </c>
      <c r="N75" s="697" t="n">
        <v>68</v>
      </c>
      <c r="O75" s="697" t="n">
        <v>60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26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K75" s="173" t="n"/>
      <c r="DL75" s="173" t="n"/>
      <c r="DN75" s="173" t="n"/>
      <c r="DV75" s="327" t="n"/>
      <c r="DZ75" s="5" t="n"/>
      <c r="EC75" s="5" t="n"/>
      <c r="EI75" s="327" t="n"/>
      <c r="EL75" s="327" t="n"/>
      <c r="EN75" s="327" t="n"/>
      <c r="ES75" s="327" t="n"/>
      <c r="EV75" s="327" t="n"/>
      <c r="FF75" s="5" t="n"/>
    </row>
    <row r="76">
      <c r="A76" s="781" t="inlineStr">
        <is>
          <t>MEN NBA</t>
        </is>
      </c>
      <c r="B76" s="731" t="n"/>
      <c r="C76" s="731" t="n"/>
      <c r="D76" s="775" t="n"/>
      <c r="O76" s="697" t="n">
        <v>0</v>
      </c>
      <c r="P76" s="697" t="n">
        <v>12</v>
      </c>
      <c r="Q76" s="697" t="n">
        <v>12</v>
      </c>
      <c r="R76" s="697" t="n">
        <v>12</v>
      </c>
      <c r="S76" s="697" t="n">
        <v>12</v>
      </c>
      <c r="T76" s="697" t="n">
        <v>60</v>
      </c>
      <c r="U76" s="697" t="n">
        <v>40</v>
      </c>
      <c r="V76" s="697" t="n">
        <v>213</v>
      </c>
      <c r="W76" s="697" t="n">
        <v>209</v>
      </c>
      <c r="X76" s="697" t="n">
        <v>189</v>
      </c>
      <c r="Y76" s="697" t="n">
        <v>160</v>
      </c>
      <c r="Z76" s="697" t="n">
        <v>120</v>
      </c>
      <c r="AA76" s="697" t="n">
        <v>0</v>
      </c>
      <c r="AB76" s="697" t="n">
        <v>0</v>
      </c>
      <c r="AC76" s="697" t="n">
        <v>0</v>
      </c>
      <c r="AD76" s="697" t="n">
        <v>0</v>
      </c>
      <c r="AE76" s="697" t="n">
        <v>0</v>
      </c>
      <c r="AF76" s="697" t="n">
        <v>0</v>
      </c>
      <c r="AG76" s="697" t="n">
        <v>0</v>
      </c>
      <c r="AH76" s="697" t="n">
        <v>0</v>
      </c>
      <c r="AI76" s="697" t="n">
        <v>0</v>
      </c>
      <c r="AJ76" s="697" t="n">
        <v>0</v>
      </c>
      <c r="AK76" s="697" t="n">
        <v>0</v>
      </c>
      <c r="AL76" s="697" t="n">
        <v>0</v>
      </c>
      <c r="AM76" s="697" t="n">
        <v>0</v>
      </c>
      <c r="AN76" s="697" t="n">
        <v>0</v>
      </c>
      <c r="AO76" s="697" t="n">
        <v>0</v>
      </c>
      <c r="AP76" s="697" t="n">
        <v>0</v>
      </c>
      <c r="AQ76" s="267" t="n">
        <v>0</v>
      </c>
      <c r="AR76" s="697" t="n">
        <v>0</v>
      </c>
      <c r="AS76" s="697" t="n">
        <v>0</v>
      </c>
      <c r="AT76" s="697" t="n">
        <v>0</v>
      </c>
      <c r="AU76" s="697" t="n">
        <v>0</v>
      </c>
      <c r="AV76" s="697" t="n">
        <v>0</v>
      </c>
      <c r="AW76" s="697" t="n">
        <v>0</v>
      </c>
      <c r="AX76" s="697" t="n">
        <v>0</v>
      </c>
      <c r="AY76" s="697" t="n">
        <v>0</v>
      </c>
      <c r="AZ76" s="697" t="n">
        <v>0</v>
      </c>
      <c r="BA76" s="697" t="n">
        <v>0</v>
      </c>
      <c r="BB76" s="697" t="n">
        <v>0</v>
      </c>
      <c r="BC76" s="697" t="n">
        <v>0</v>
      </c>
      <c r="BD76" s="697" t="n">
        <v>0</v>
      </c>
      <c r="BE76" s="697" t="n">
        <v>0</v>
      </c>
      <c r="BF76" s="697" t="n">
        <v>0</v>
      </c>
      <c r="BG76" s="697" t="n">
        <v>0</v>
      </c>
      <c r="BH76" s="697" t="n">
        <v>0</v>
      </c>
      <c r="BI76" s="697" t="n">
        <v>0</v>
      </c>
      <c r="BJ76" s="697" t="n">
        <v>0</v>
      </c>
      <c r="BK76" s="697" t="n">
        <v>0</v>
      </c>
      <c r="BL76" s="697" t="n">
        <v>0</v>
      </c>
      <c r="BM76" s="697" t="n">
        <v>0</v>
      </c>
      <c r="BN76" s="697" t="n">
        <v>0</v>
      </c>
      <c r="BO76" s="697" t="n">
        <v>0</v>
      </c>
      <c r="BP76" s="697" t="n">
        <v>0</v>
      </c>
      <c r="BQ76" s="697" t="n">
        <v>0</v>
      </c>
      <c r="BR76" s="697" t="n">
        <v>0</v>
      </c>
      <c r="BS76" s="697" t="n">
        <v>0</v>
      </c>
      <c r="BT76" s="697" t="n">
        <v>0</v>
      </c>
      <c r="BU76" s="697" t="n">
        <v>0</v>
      </c>
      <c r="BV76" s="697" t="n">
        <v>0</v>
      </c>
      <c r="BW76" s="697" t="n">
        <v>0</v>
      </c>
      <c r="BX76" s="697" t="n">
        <v>0</v>
      </c>
      <c r="BY76" s="697" t="n">
        <v>0</v>
      </c>
      <c r="DK76" s="173" t="n"/>
      <c r="DL76" s="173" t="n"/>
      <c r="DN76" s="173" t="n"/>
      <c r="DV76" s="327" t="n"/>
      <c r="EC76" s="5" t="n"/>
      <c r="EL76" s="327" t="n"/>
      <c r="EN76" s="327" t="n"/>
      <c r="ES76" s="327" t="n"/>
      <c r="EV76" s="327" t="n"/>
    </row>
    <row r="77">
      <c r="A77" s="781" t="inlineStr">
        <is>
          <t>QUASAR DEEP BLUE</t>
        </is>
      </c>
      <c r="B77" s="731" t="n"/>
      <c r="C77" s="731" t="n"/>
      <c r="D77" s="775" t="n"/>
      <c r="S77" s="697" t="n">
        <v>0</v>
      </c>
      <c r="T77" s="697" t="n">
        <v>60</v>
      </c>
      <c r="U77" s="697" t="n">
        <v>45</v>
      </c>
      <c r="V77" s="697" t="n">
        <v>183</v>
      </c>
      <c r="W77" s="697" t="n">
        <v>167</v>
      </c>
      <c r="X77" s="697" t="n">
        <v>160</v>
      </c>
      <c r="Y77" s="697" t="n">
        <v>100</v>
      </c>
      <c r="Z77" s="697" t="n">
        <v>132</v>
      </c>
      <c r="AA77" s="697" t="n">
        <v>0</v>
      </c>
      <c r="AB77" s="697" t="n">
        <v>0</v>
      </c>
      <c r="AC77" s="697" t="n">
        <v>0</v>
      </c>
      <c r="AD77" s="697" t="n">
        <v>0</v>
      </c>
      <c r="AE77" s="697" t="n">
        <v>0</v>
      </c>
      <c r="AF77" s="697" t="n">
        <v>0</v>
      </c>
      <c r="AG77" s="697" t="n">
        <v>0</v>
      </c>
      <c r="AH77" s="697" t="n">
        <v>0</v>
      </c>
      <c r="AI77" s="697" t="n">
        <v>0</v>
      </c>
      <c r="AJ77" s="697" t="n">
        <v>0</v>
      </c>
      <c r="AK77" s="697" t="n">
        <v>0</v>
      </c>
      <c r="AL77" s="697" t="n">
        <v>0</v>
      </c>
      <c r="AM77" s="697" t="n">
        <v>0</v>
      </c>
      <c r="AN77" s="697" t="n">
        <v>0</v>
      </c>
      <c r="AO77" s="697" t="n">
        <v>0</v>
      </c>
      <c r="AP77" s="697" t="n">
        <v>0</v>
      </c>
      <c r="AQ77" s="267" t="n">
        <v>0</v>
      </c>
      <c r="AR77" s="697" t="n">
        <v>0</v>
      </c>
      <c r="AS77" s="697" t="n">
        <v>0</v>
      </c>
      <c r="AT77" s="697" t="n">
        <v>0</v>
      </c>
      <c r="AU77" s="697" t="n">
        <v>0</v>
      </c>
      <c r="AV77" s="697" t="n">
        <v>0</v>
      </c>
      <c r="AW77" s="697" t="n">
        <v>0</v>
      </c>
      <c r="AX77" s="697" t="n">
        <v>0</v>
      </c>
      <c r="AY77" s="697" t="n">
        <v>0</v>
      </c>
      <c r="AZ77" s="697" t="n">
        <v>0</v>
      </c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>
        <v>0</v>
      </c>
      <c r="BL77" s="697" t="n">
        <v>0</v>
      </c>
      <c r="BM77" s="697" t="n">
        <v>0</v>
      </c>
      <c r="BN77" s="697" t="n">
        <v>0</v>
      </c>
      <c r="BO77" s="697" t="n">
        <v>0</v>
      </c>
      <c r="BP77" s="697" t="n">
        <v>0</v>
      </c>
      <c r="BQ77" s="697" t="n">
        <v>0</v>
      </c>
      <c r="BR77" s="697" t="n">
        <v>0</v>
      </c>
      <c r="BS77" s="697" t="n">
        <v>0</v>
      </c>
      <c r="BT77" s="697" t="n">
        <v>0</v>
      </c>
      <c r="BU77" s="697" t="n">
        <v>0</v>
      </c>
      <c r="BV77" s="697" t="n">
        <v>0</v>
      </c>
      <c r="BW77" s="697" t="n">
        <v>0</v>
      </c>
      <c r="BX77" s="697" t="n">
        <v>0</v>
      </c>
      <c r="BY77" s="697" t="n">
        <v>0</v>
      </c>
    </row>
    <row r="78">
      <c r="A78" s="781" t="inlineStr">
        <is>
          <t>ARBO ATLATICA</t>
        </is>
      </c>
      <c r="B78" s="731" t="n"/>
      <c r="C78" s="731" t="n"/>
      <c r="D78" s="775" t="n"/>
      <c r="S78" s="697" t="n"/>
      <c r="T78" s="697" t="n"/>
      <c r="U78" s="697" t="n">
        <v>0</v>
      </c>
      <c r="V78" s="697" t="n">
        <v>162</v>
      </c>
      <c r="W78" s="697" t="n">
        <v>152</v>
      </c>
      <c r="X78" s="697" t="n">
        <v>145</v>
      </c>
      <c r="Y78" s="697" t="n">
        <v>100</v>
      </c>
      <c r="Z78" s="697" t="n">
        <v>118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26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</row>
    <row r="79">
      <c r="A79" s="781" t="inlineStr">
        <is>
          <t>PROTETOR FACIAL COM COR</t>
        </is>
      </c>
      <c r="B79" s="731" t="n"/>
      <c r="C79" s="731" t="n"/>
      <c r="D79" s="775" t="n"/>
      <c r="Z79" s="32" t="n">
        <v>0</v>
      </c>
      <c r="AA79" s="697" t="n">
        <v>0</v>
      </c>
      <c r="AB79" s="697" t="n">
        <v>20</v>
      </c>
      <c r="AC79" s="697" t="n">
        <v>8</v>
      </c>
      <c r="AD79" s="697" t="n">
        <v>0</v>
      </c>
      <c r="AE79" s="697" t="n">
        <v>2</v>
      </c>
      <c r="AF79" s="697" t="n">
        <v>0</v>
      </c>
      <c r="AG79" s="697" t="n">
        <v>0</v>
      </c>
      <c r="AH79" s="697" t="n">
        <v>0</v>
      </c>
      <c r="AI79" s="697" t="n">
        <v>0</v>
      </c>
      <c r="AJ79" s="697" t="n">
        <v>0</v>
      </c>
      <c r="AK79" s="697" t="n">
        <v>0</v>
      </c>
      <c r="AL79" s="697" t="n">
        <v>0</v>
      </c>
      <c r="AM79" s="697" t="n">
        <v>0</v>
      </c>
      <c r="AN79" s="697" t="n">
        <v>0</v>
      </c>
      <c r="AO79" s="697" t="n">
        <v>0</v>
      </c>
      <c r="AP79" s="697" t="n">
        <v>0</v>
      </c>
      <c r="AQ79" s="267" t="n">
        <v>0</v>
      </c>
      <c r="AR79" s="697" t="n">
        <v>0</v>
      </c>
      <c r="AS79" s="697" t="n">
        <v>0</v>
      </c>
      <c r="AT79" s="697" t="n">
        <v>0</v>
      </c>
      <c r="AU79" s="697" t="n">
        <v>0</v>
      </c>
      <c r="AV79" s="697" t="n">
        <v>0</v>
      </c>
      <c r="AW79" s="697" t="n">
        <v>0</v>
      </c>
      <c r="AX79" s="697" t="n">
        <v>0</v>
      </c>
      <c r="AY79" s="697" t="n">
        <v>0</v>
      </c>
      <c r="AZ79" s="697" t="n">
        <v>0</v>
      </c>
      <c r="BA79" s="697" t="n">
        <v>0</v>
      </c>
      <c r="BB79" s="697" t="n">
        <v>0</v>
      </c>
      <c r="BC79" s="697" t="n">
        <v>0</v>
      </c>
      <c r="BD79" s="697" t="n">
        <v>0</v>
      </c>
      <c r="BE79" s="697" t="n">
        <v>0</v>
      </c>
      <c r="BF79" s="697" t="n">
        <v>0</v>
      </c>
      <c r="BG79" s="697" t="n">
        <v>0</v>
      </c>
      <c r="BH79" s="697" t="n">
        <v>0</v>
      </c>
      <c r="BI79" s="697" t="n">
        <v>0</v>
      </c>
      <c r="BJ79" s="697" t="n">
        <v>0</v>
      </c>
      <c r="BK79" s="697" t="n">
        <v>0</v>
      </c>
      <c r="BL79" s="697" t="n">
        <v>0</v>
      </c>
      <c r="BM79" s="697" t="n">
        <v>0</v>
      </c>
      <c r="BN79" s="697" t="n">
        <v>0</v>
      </c>
      <c r="BO79" s="697" t="n">
        <v>0</v>
      </c>
      <c r="BP79" s="697" t="n">
        <v>0</v>
      </c>
      <c r="BQ79" s="697" t="n">
        <v>0</v>
      </c>
      <c r="BR79" s="697" t="n">
        <v>0</v>
      </c>
      <c r="BS79" s="697" t="n">
        <v>0</v>
      </c>
      <c r="BT79" s="697" t="n">
        <v>0</v>
      </c>
      <c r="BU79" s="697" t="n">
        <v>0</v>
      </c>
      <c r="BV79" s="697" t="n">
        <v>0</v>
      </c>
      <c r="BW79" s="697" t="n">
        <v>0</v>
      </c>
      <c r="BX79" s="697" t="n">
        <v>0</v>
      </c>
      <c r="BY79" s="697" t="n">
        <v>0</v>
      </c>
    </row>
    <row r="80">
      <c r="A80" s="781" t="inlineStr">
        <is>
          <t>SHAMPOO CACHOS DE UVA</t>
        </is>
      </c>
      <c r="B80" s="731" t="n"/>
      <c r="C80" s="731" t="n"/>
      <c r="D80" s="775" t="n"/>
      <c r="Z80" s="32" t="n">
        <v>0</v>
      </c>
      <c r="AA80" s="32" t="n">
        <v>0</v>
      </c>
      <c r="AB80" s="32" t="n">
        <v>0</v>
      </c>
      <c r="AC80" s="32" t="n">
        <v>0</v>
      </c>
      <c r="AD80" s="32" t="n">
        <v>0</v>
      </c>
      <c r="AE80" s="697" t="n">
        <v>0</v>
      </c>
      <c r="AF80" s="697" t="n">
        <v>1</v>
      </c>
      <c r="AG80" s="697" t="n">
        <v>0</v>
      </c>
      <c r="AH80" s="697" t="n">
        <v>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26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</row>
    <row r="81">
      <c r="A81" s="781" t="inlineStr">
        <is>
          <t>EGEO COGU</t>
        </is>
      </c>
      <c r="B81" s="731" t="n"/>
      <c r="C81" s="731" t="n"/>
      <c r="D81" s="775" t="n"/>
      <c r="AG81" s="697" t="n">
        <v>0</v>
      </c>
      <c r="AH81" s="697" t="n">
        <v>29</v>
      </c>
      <c r="AI81" s="697" t="n">
        <v>10</v>
      </c>
      <c r="AJ81" s="697" t="n">
        <v>6</v>
      </c>
      <c r="AK81" s="697" t="n">
        <v>2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26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</row>
    <row r="82">
      <c r="A82" s="781" t="inlineStr">
        <is>
          <t>HER CODE CLIMAX</t>
        </is>
      </c>
      <c r="B82" s="731" t="n"/>
      <c r="C82" s="731" t="n"/>
      <c r="D82" s="775" t="n"/>
      <c r="AL82" s="697" t="n">
        <v>0</v>
      </c>
      <c r="AM82" s="697" t="n">
        <v>8</v>
      </c>
      <c r="AN82" s="697" t="n">
        <v>3</v>
      </c>
      <c r="AO82" s="697" t="n">
        <v>0</v>
      </c>
      <c r="AP82" s="697" t="n">
        <v>0</v>
      </c>
      <c r="AQ82" s="26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</row>
    <row r="83">
      <c r="A83" s="781" t="inlineStr">
        <is>
          <t>FLORATTA BOUQUET</t>
        </is>
      </c>
      <c r="B83" s="731" t="n"/>
      <c r="C83" s="731" t="n"/>
      <c r="D83" s="775" t="n"/>
      <c r="AP83" s="697" t="n">
        <v>0</v>
      </c>
      <c r="AQ83" s="267" t="n">
        <v>30</v>
      </c>
      <c r="AR83" s="697" t="n">
        <v>22</v>
      </c>
      <c r="AS83" s="697" t="n">
        <v>16</v>
      </c>
      <c r="AT83" s="697" t="n">
        <v>0</v>
      </c>
      <c r="AU83" s="697" t="n">
        <v>12</v>
      </c>
      <c r="AV83" s="697" t="n">
        <v>8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n"/>
      <c r="B84" s="731" t="n"/>
      <c r="C84" s="731" t="n"/>
      <c r="D84" s="775" t="n"/>
      <c r="AP84" s="697" t="n"/>
      <c r="AQ84" s="267" t="n"/>
      <c r="AR84" s="697" t="n"/>
      <c r="AS84" s="697" t="n"/>
      <c r="AT84" s="697" t="n"/>
      <c r="AU84" s="697" t="n"/>
      <c r="AV84" s="697" t="n"/>
      <c r="AW84" s="697" t="n"/>
      <c r="AX84" s="697" t="n"/>
      <c r="AY84" s="697" t="n"/>
      <c r="AZ84" s="697" t="n"/>
      <c r="BA84" s="697" t="n"/>
      <c r="BB84" s="697" t="n"/>
      <c r="BC84" s="697" t="n"/>
      <c r="BD84" s="697" t="n"/>
      <c r="BE84" s="697" t="n"/>
      <c r="BF84" s="697" t="n"/>
      <c r="BG84" s="697" t="n"/>
      <c r="BH84" s="697" t="n"/>
      <c r="BI84" s="697" t="n"/>
      <c r="BJ84" s="697" t="n"/>
      <c r="BK84" s="697" t="n"/>
      <c r="BL84" s="697" t="n"/>
      <c r="BM84" s="697" t="n"/>
      <c r="BN84" s="697" t="n"/>
      <c r="BO84" s="697" t="n"/>
      <c r="BP84" s="697" t="n"/>
      <c r="BQ84" s="697" t="n"/>
      <c r="BR84" s="697" t="n"/>
      <c r="BS84" s="697" t="n"/>
      <c r="BT84" s="697" t="n"/>
      <c r="BU84" s="697" t="n"/>
      <c r="BV84" s="697" t="n"/>
      <c r="BW84" s="697" t="n"/>
      <c r="BX84" s="697" t="n"/>
      <c r="BY84" s="697" t="n"/>
    </row>
  </sheetData>
  <mergeCells count="32">
    <mergeCell ref="F5:BZ5"/>
    <mergeCell ref="A72:D72"/>
    <mergeCell ref="A81:D81"/>
    <mergeCell ref="A1:BZ1"/>
    <mergeCell ref="A67:D67"/>
    <mergeCell ref="A58:D58"/>
    <mergeCell ref="A77:D77"/>
    <mergeCell ref="A83:D83"/>
    <mergeCell ref="A82:D82"/>
    <mergeCell ref="A59:D59"/>
    <mergeCell ref="A73:D73"/>
    <mergeCell ref="A60:D60"/>
    <mergeCell ref="A5:A6"/>
    <mergeCell ref="A70:D70"/>
    <mergeCell ref="A79:D79"/>
    <mergeCell ref="A61:D61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57:D57"/>
    <mergeCell ref="A71:D71"/>
    <mergeCell ref="FL7:FT7"/>
    <mergeCell ref="A76:D76"/>
    <mergeCell ref="B2:D2"/>
    <mergeCell ref="C5:C6"/>
  </mergeCells>
  <conditionalFormatting sqref="CB8:CC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5" fitToHeight="0"/>
</worksheet>
</file>

<file path=xl/worksheets/sheet7.xml><?xml version="1.0" encoding="utf-8"?>
<worksheet xmlns="http://schemas.openxmlformats.org/spreadsheetml/2006/main">
  <sheetPr codeName="Planilha7">
    <tabColor theme="9"/>
    <outlinePr summaryBelow="1" summaryRight="1"/>
    <pageSetUpPr/>
  </sheetPr>
  <dimension ref="A1:LH92"/>
  <sheetViews>
    <sheetView showGridLines="0" zoomScale="80" zoomScaleNormal="80" workbookViewId="0">
      <selection activeCell="CG1" sqref="CG1:CG1048576"/>
    </sheetView>
  </sheetViews>
  <sheetFormatPr baseColWidth="8" defaultColWidth="9.140625" defaultRowHeight="18.75"/>
  <cols>
    <col width="29" customWidth="1" min="1" max="1"/>
    <col width="9.28515625" customWidth="1" min="2" max="2"/>
    <col width="14.42578125" customWidth="1" min="3" max="3"/>
    <col width="1.570312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width="13" customWidth="1" min="79" max="79"/>
    <col width="13" customWidth="1" min="80" max="80"/>
    <col width="1.85546875" customWidth="1" min="82" max="82"/>
    <col width="15.42578125" customWidth="1" min="83" max="83"/>
    <col width="1.7109375" customWidth="1" min="84" max="84"/>
    <col width="15.85546875" customWidth="1" min="85" max="85"/>
    <col width="2.140625" customWidth="1" min="86" max="86"/>
    <col width="9.28515625" customWidth="1" min="87" max="87"/>
    <col width="13" customWidth="1" min="88" max="88"/>
    <col hidden="1" width="13" customWidth="1" min="89" max="89"/>
    <col hidden="1" width="13" customWidth="1" min="90" max="90"/>
    <col hidden="1" width="13" customWidth="1" min="91" max="91"/>
    <col hidden="1" width="8.7109375" customWidth="1" min="92" max="92"/>
    <col hidden="1" width="9.28515625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8.7109375" customWidth="1" min="111" max="111"/>
    <col hidden="1" width="9.28515625" customWidth="1" min="112" max="112"/>
    <col hidden="1" width="13" customWidth="1" min="113" max="113"/>
    <col hidden="1" width="9.140625" customWidth="1" min="114" max="114"/>
    <col hidden="1" width="11.5703125" customWidth="1" min="115" max="115"/>
    <col hidden="1" width="9.28515625" customWidth="1" min="116" max="116"/>
    <col hidden="1" width="14.42578125" customWidth="1" min="117" max="117"/>
    <col hidden="1" width="85.42578125" customWidth="1" min="118" max="118"/>
    <col hidden="1" width="9.28515625" customWidth="1" min="119" max="119"/>
    <col hidden="1" width="9.7109375" customWidth="1" min="120" max="120"/>
    <col hidden="1" width="9.28515625" customWidth="1" min="121" max="121"/>
    <col hidden="1" width="13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3" customWidth="1" min="127" max="127"/>
    <col hidden="1" width="9.28515625" customWidth="1" min="128" max="128"/>
    <col hidden="1" width="11.5703125" customWidth="1" min="129" max="129"/>
    <col hidden="1" width="9.28515625" customWidth="1" min="130" max="130"/>
    <col hidden="1" width="25.5703125" customWidth="1" min="131" max="131"/>
    <col hidden="1" width="9.28515625" customWidth="1" min="132" max="132"/>
    <col hidden="1" width="8.7109375" customWidth="1" min="133" max="133"/>
    <col hidden="1" width="9.28515625" customWidth="1" min="134" max="134"/>
    <col hidden="1" width="13" customWidth="1" min="135" max="135"/>
    <col hidden="1" width="13" customWidth="1" min="136" max="136"/>
    <col hidden="1" width="13" customWidth="1" min="137" max="137"/>
    <col hidden="1" width="13" customWidth="1" min="138" max="138"/>
    <col hidden="1" width="13" customWidth="1" min="139" max="139"/>
    <col hidden="1" width="12.85546875" customWidth="1" min="140" max="140"/>
    <col hidden="1" width="14.7109375" customWidth="1" min="141" max="141"/>
    <col hidden="1" width="13" customWidth="1" min="142" max="142"/>
    <col hidden="1" width="13.140625" customWidth="1" min="143" max="143"/>
    <col hidden="1" width="9.7109375" customWidth="1" min="144" max="144"/>
    <col hidden="1" width="9.28515625" customWidth="1" min="145" max="145"/>
    <col hidden="1" width="13" customWidth="1" min="146" max="146"/>
    <col hidden="1" width="13" customWidth="1" min="147" max="147"/>
    <col hidden="1" width="13" customWidth="1" min="148" max="148"/>
    <col hidden="1" width="14.5703125" customWidth="1" min="149" max="149"/>
    <col hidden="1" width="12.5703125" customWidth="1" min="150" max="150"/>
    <col hidden="1" width="9.28515625" customWidth="1" min="151" max="151"/>
    <col hidden="1" width="12" customWidth="1" min="152" max="152"/>
    <col hidden="1" width="9.28515625" customWidth="1" min="153" max="153"/>
    <col hidden="1" width="14.140625" customWidth="1" min="154" max="154"/>
    <col hidden="1" width="9.28515625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hidden="1" width="14.28515625" customWidth="1" min="160" max="160"/>
    <col hidden="1" width="9.28515625" customWidth="1" min="161" max="161"/>
    <col hidden="1" width="13" customWidth="1" min="162" max="162"/>
    <col hidden="1" width="21" customWidth="1" min="163" max="163"/>
    <col hidden="1" width="9.28515625" customWidth="1" min="164" max="164"/>
    <col hidden="1" width="14.28515625" customWidth="1" min="165" max="165"/>
    <col hidden="1" width="9.28515625" customWidth="1" min="166" max="166"/>
    <col hidden="1" width="26.140625" customWidth="1" min="167" max="167"/>
    <col hidden="1" width="9.28515625" customWidth="1" min="168" max="168"/>
    <col width="3.28515625" customWidth="1" min="169" max="169"/>
    <col width="21.85546875" customWidth="1" min="170" max="170"/>
    <col width="9.140625" customWidth="1" min="171" max="171"/>
    <col hidden="1" width="13" customWidth="1" min="172" max="172"/>
    <col hidden="1" width="13" customWidth="1" min="173" max="173"/>
    <col hidden="1" width="13" customWidth="1" min="174" max="174"/>
    <col hidden="1" width="13" customWidth="1" min="175" max="175"/>
    <col hidden="1" width="13" customWidth="1" min="176" max="176"/>
    <col hidden="1" width="9.140625" customWidth="1" min="177" max="177"/>
    <col hidden="1" width="13" customWidth="1" min="178" max="178"/>
    <col width="13" customWidth="1" min="179" max="179"/>
    <col width="13" customWidth="1" min="180" max="180"/>
  </cols>
  <sheetData>
    <row r="1" ht="23.25" customHeight="1">
      <c r="A1" s="488" t="inlineStr">
        <is>
          <t>Controle de Contagem Semanal - Antilhas</t>
        </is>
      </c>
      <c r="CC1" s="488" t="n"/>
      <c r="CD1" s="132" t="n"/>
      <c r="CE1" s="132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49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49" t="n"/>
      <c r="DH1" s="132" t="n"/>
      <c r="DI1" s="132" t="n"/>
      <c r="DJ1" s="132" t="n"/>
      <c r="DK1" s="132" t="n"/>
      <c r="DL1" s="132" t="n"/>
      <c r="DM1" s="149" t="n"/>
      <c r="DN1" s="149" t="n"/>
      <c r="DO1" s="132" t="n"/>
      <c r="DP1" s="149" t="n"/>
      <c r="DQ1" s="132" t="n"/>
      <c r="DR1" s="132" t="n"/>
      <c r="DS1" s="132" t="n"/>
      <c r="DT1" s="132" t="n"/>
      <c r="DU1" s="132" t="n"/>
      <c r="DV1" s="132" t="n"/>
      <c r="DW1" s="132" t="n"/>
      <c r="DX1" s="132" t="n"/>
      <c r="DY1" s="132" t="n"/>
      <c r="DZ1" s="132" t="n"/>
      <c r="EA1" s="149" t="n"/>
      <c r="EB1" s="132" t="n"/>
      <c r="EC1" s="149" t="n"/>
      <c r="ED1" s="132" t="n"/>
      <c r="EE1" s="132" t="n"/>
      <c r="EF1" s="132" t="n"/>
      <c r="EG1" s="132" t="n"/>
      <c r="EH1" s="132" t="n"/>
      <c r="EI1" s="132" t="n"/>
      <c r="EJ1" s="132" t="n"/>
      <c r="EK1" s="488" t="n"/>
      <c r="EL1" s="488" t="n"/>
      <c r="EM1" s="132" t="n"/>
      <c r="EN1" s="149" t="n"/>
      <c r="EO1" s="132" t="n"/>
      <c r="EP1" s="132" t="n"/>
      <c r="EQ1" s="132" t="n"/>
      <c r="ER1" s="132" t="n"/>
      <c r="ES1" s="132" t="n"/>
      <c r="ET1" s="488" t="n"/>
      <c r="EU1" s="132" t="n"/>
      <c r="EV1" s="488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32" t="n"/>
      <c r="FG1" s="132" t="n"/>
      <c r="FH1" s="132" t="n"/>
      <c r="FI1" s="132" t="n"/>
      <c r="FJ1" s="132" t="n"/>
      <c r="FK1" s="149" t="n"/>
      <c r="FL1" s="132" t="n"/>
    </row>
    <row r="2">
      <c r="A2" s="43" t="inlineStr">
        <is>
          <t>LOJA:</t>
        </is>
      </c>
      <c r="B2" s="722" t="inlineStr">
        <is>
          <t>BOULEVARD</t>
        </is>
      </c>
      <c r="C2" s="723" t="n"/>
      <c r="D2" s="724" t="n"/>
      <c r="CD2" s="5" t="n"/>
      <c r="CE2" s="5" t="n"/>
      <c r="CF2" s="5" t="n"/>
      <c r="CG2" s="5" t="n"/>
      <c r="DM2" s="5" t="n"/>
      <c r="DN2" s="5" t="n"/>
      <c r="DP2" s="5" t="n"/>
      <c r="EN2" s="5" t="n"/>
    </row>
    <row r="3">
      <c r="A3" s="43" t="inlineStr">
        <is>
          <t>Responsável:</t>
        </is>
      </c>
      <c r="B3" s="725" t="inlineStr">
        <is>
          <t>ÉRIKA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6" t="n"/>
      <c r="CD3" s="726" t="n"/>
      <c r="CE3" s="5" t="n"/>
      <c r="CF3" s="726" t="n"/>
      <c r="DM3" s="726" t="n"/>
      <c r="DN3" s="726" t="n"/>
      <c r="DP3" s="726" t="n"/>
      <c r="EN3" s="726" t="n"/>
    </row>
    <row r="4" ht="6.75" customHeight="1">
      <c r="CD4" s="133" t="n"/>
      <c r="CF4" s="5" t="n"/>
      <c r="CG4" s="5" t="n"/>
      <c r="CN4" s="249" t="n"/>
      <c r="DG4" s="249" t="n"/>
      <c r="DM4" s="5" t="n"/>
      <c r="DN4" s="5" t="n"/>
      <c r="DP4" s="5" t="n"/>
      <c r="EA4" s="249" t="n"/>
      <c r="EC4" s="249" t="n"/>
      <c r="EK4" s="324" t="n"/>
      <c r="EL4" s="324" t="n"/>
      <c r="EN4" s="5" t="n"/>
      <c r="ET4" s="324" t="n"/>
      <c r="EV4" s="324" t="n"/>
      <c r="FK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A5" s="783" t="n"/>
      <c r="CB5" s="783" t="n"/>
      <c r="CC5" s="506" t="n"/>
      <c r="CD5" s="60" t="n"/>
      <c r="CE5" s="44" t="inlineStr">
        <is>
          <t>Pendências</t>
        </is>
      </c>
      <c r="CF5" s="5" t="n"/>
      <c r="CG5" s="12" t="inlineStr">
        <is>
          <t>Novo Pedido</t>
        </is>
      </c>
      <c r="CH5" s="733" t="n">
        <v>46161.48088448645</v>
      </c>
      <c r="CI5" s="734" t="n">
        <v>46156</v>
      </c>
      <c r="CJ5" s="734" t="n">
        <v>46149</v>
      </c>
      <c r="CK5" s="734" t="n">
        <v>46142</v>
      </c>
      <c r="CL5" s="734" t="n">
        <v>46114</v>
      </c>
      <c r="CM5" s="734" t="n">
        <v>46107</v>
      </c>
      <c r="CN5" s="735" t="n">
        <v>46065</v>
      </c>
      <c r="CO5" s="734" t="n">
        <v>46099</v>
      </c>
      <c r="CP5" s="734" t="n">
        <v>46092</v>
      </c>
      <c r="CQ5" s="734" t="n">
        <v>46084</v>
      </c>
      <c r="CR5" s="734" t="n">
        <v>46071</v>
      </c>
      <c r="CS5" s="734" t="n">
        <v>46056</v>
      </c>
      <c r="CT5" s="734" t="n">
        <v>46048</v>
      </c>
      <c r="CU5" s="734" t="n">
        <v>46043</v>
      </c>
      <c r="CV5" s="734" t="n">
        <v>46035</v>
      </c>
      <c r="CW5" s="734" t="n">
        <v>46029</v>
      </c>
      <c r="CX5" s="734" t="n">
        <v>46024</v>
      </c>
      <c r="CY5" s="734" t="n">
        <v>46017</v>
      </c>
      <c r="CZ5" s="734" t="n">
        <v>46007</v>
      </c>
      <c r="DA5" s="734" t="n">
        <v>46001</v>
      </c>
      <c r="DB5" s="734" t="n">
        <v>45994</v>
      </c>
      <c r="DC5" s="734" t="n">
        <v>45980</v>
      </c>
      <c r="DD5" s="734" t="n">
        <v>45965</v>
      </c>
      <c r="DE5" s="734" t="n">
        <v>45960</v>
      </c>
      <c r="DF5" s="734" t="n">
        <v>45951</v>
      </c>
      <c r="DG5" s="737" t="n">
        <v>45903</v>
      </c>
      <c r="DH5" s="734" t="n">
        <v>45945</v>
      </c>
      <c r="DI5" s="734" t="n">
        <v>45937</v>
      </c>
      <c r="DJ5" s="734" t="n">
        <v>45931</v>
      </c>
      <c r="DK5" s="736" t="inlineStr">
        <is>
          <t>TRANSF.</t>
        </is>
      </c>
      <c r="DL5" s="734" t="n">
        <v>45923</v>
      </c>
      <c r="DM5" s="738" t="inlineStr">
        <is>
          <t>TRANSF.</t>
        </is>
      </c>
      <c r="DN5" s="738" t="inlineStr">
        <is>
          <t>TRANSFERÊNCIA - HOMEM ARANHA</t>
        </is>
      </c>
      <c r="DO5" s="734" t="n">
        <v>45915</v>
      </c>
      <c r="DP5" s="738" t="n">
        <v>45863</v>
      </c>
      <c r="DQ5" s="734" t="n">
        <v>45909</v>
      </c>
      <c r="DR5" s="734" t="n">
        <v>45903</v>
      </c>
      <c r="DS5" s="734" t="n">
        <v>45895</v>
      </c>
      <c r="DT5" s="734" t="n">
        <v>45888</v>
      </c>
      <c r="DU5" s="734" t="n">
        <v>45881</v>
      </c>
      <c r="DV5" s="734" t="n">
        <v>45874</v>
      </c>
      <c r="DW5" s="739" t="inlineStr">
        <is>
          <t>TRANSF.</t>
        </is>
      </c>
      <c r="DX5" s="734" t="n">
        <v>45867</v>
      </c>
      <c r="DY5" s="739" t="inlineStr">
        <is>
          <t xml:space="preserve">TRANSF. </t>
        </is>
      </c>
      <c r="DZ5" s="734" t="n">
        <v>45860</v>
      </c>
      <c r="EA5" s="741" t="inlineStr">
        <is>
          <t>COLLAB DORAMA</t>
        </is>
      </c>
      <c r="EB5" s="734" t="n">
        <v>45848</v>
      </c>
      <c r="EC5" s="739" t="n">
        <v>45791</v>
      </c>
      <c r="ED5" s="734" t="n">
        <v>45839</v>
      </c>
      <c r="EE5" s="734" t="n">
        <v>45832</v>
      </c>
      <c r="EF5" s="734" t="n">
        <v>45825</v>
      </c>
      <c r="EG5" s="734" t="n">
        <v>45819</v>
      </c>
      <c r="EH5" s="734" t="n">
        <v>45813</v>
      </c>
      <c r="EI5" s="734" t="n">
        <v>45798</v>
      </c>
      <c r="EJ5" s="736" t="inlineStr">
        <is>
          <t>TRANSF.</t>
        </is>
      </c>
      <c r="EK5" s="740" t="inlineStr">
        <is>
          <t>TRANSF.</t>
        </is>
      </c>
      <c r="EL5" s="740" t="inlineStr">
        <is>
          <t>TRANSF.</t>
        </is>
      </c>
      <c r="EM5" s="736" t="inlineStr">
        <is>
          <t>TRANSF.</t>
        </is>
      </c>
      <c r="EN5" s="742" t="n">
        <v>45735</v>
      </c>
      <c r="EO5" s="734" t="n">
        <v>45790</v>
      </c>
      <c r="EP5" s="734" t="n">
        <v>45783</v>
      </c>
      <c r="EQ5" s="734" t="n">
        <v>45770</v>
      </c>
      <c r="ER5" s="734" t="n">
        <v>45756</v>
      </c>
      <c r="ES5" s="736" t="inlineStr">
        <is>
          <t>TRANSF.</t>
        </is>
      </c>
      <c r="ET5" s="740" t="inlineStr">
        <is>
          <t>TRANSF.</t>
        </is>
      </c>
      <c r="EU5" s="734" t="n">
        <v>45743</v>
      </c>
      <c r="EV5" s="740" t="n">
        <v>45700</v>
      </c>
      <c r="EW5" s="734" t="n">
        <v>45734</v>
      </c>
      <c r="EX5" s="736" t="inlineStr">
        <is>
          <t>TRANSF.</t>
        </is>
      </c>
      <c r="EY5" s="734" t="n">
        <v>45728</v>
      </c>
      <c r="EZ5" s="734" t="n">
        <v>45722</v>
      </c>
      <c r="FA5" s="734" t="n">
        <v>45706</v>
      </c>
      <c r="FB5" s="734" t="n">
        <v>45699</v>
      </c>
      <c r="FC5" s="734" t="n">
        <v>45693</v>
      </c>
      <c r="FD5" s="736" t="inlineStr">
        <is>
          <t>TRANSF.</t>
        </is>
      </c>
      <c r="FE5" s="734" t="n">
        <v>45685</v>
      </c>
      <c r="FF5" s="734" t="n">
        <v>45674</v>
      </c>
      <c r="FG5" s="222" t="inlineStr">
        <is>
          <t>TRANSF. PAIS/24</t>
        </is>
      </c>
      <c r="FH5" s="734" t="n">
        <v>45664</v>
      </c>
      <c r="FI5" s="736" t="inlineStr">
        <is>
          <t>TRANSF.</t>
        </is>
      </c>
      <c r="FJ5" s="734" t="n">
        <v>45660</v>
      </c>
      <c r="FK5" s="744" t="inlineStr">
        <is>
          <t>TRANSF. NATAL/24</t>
        </is>
      </c>
      <c r="FL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46161.48022637732</v>
      </c>
      <c r="CB6" s="747" t="n">
        <v>46161.48088573483</v>
      </c>
      <c r="CC6" s="748" t="inlineStr">
        <is>
          <t>USOU</t>
        </is>
      </c>
      <c r="CD6" s="749" t="n"/>
      <c r="CE6" s="750" t="n">
        <v>46156</v>
      </c>
      <c r="CF6" s="751" t="n"/>
      <c r="CG6" s="752" t="n"/>
      <c r="CH6" s="734" t="n"/>
      <c r="CI6" s="734" t="n"/>
      <c r="CJ6" s="734" t="n">
        <v>46155</v>
      </c>
      <c r="CK6" s="734" t="n">
        <v>46148</v>
      </c>
      <c r="CL6" s="734" t="n">
        <v>46122</v>
      </c>
      <c r="CM6" s="734" t="n">
        <v>46112</v>
      </c>
      <c r="CN6" s="735" t="n">
        <v>46111</v>
      </c>
      <c r="CO6" s="734" t="n">
        <v>46107</v>
      </c>
      <c r="CP6" s="734" t="n">
        <v>46100</v>
      </c>
      <c r="CQ6" s="734" t="n">
        <v>46089</v>
      </c>
      <c r="CR6" s="734" t="n">
        <v>46076</v>
      </c>
      <c r="CS6" s="734" t="n">
        <v>46059</v>
      </c>
      <c r="CT6" s="734" t="n">
        <v>46056</v>
      </c>
      <c r="CU6" s="734" t="n">
        <v>46051</v>
      </c>
      <c r="CV6" s="734" t="n">
        <v>46041</v>
      </c>
      <c r="CW6" s="734" t="n">
        <v>46036</v>
      </c>
      <c r="CX6" s="734" t="n">
        <v>46035</v>
      </c>
      <c r="CY6" s="734" t="n">
        <v>46025</v>
      </c>
      <c r="CZ6" s="734" t="n">
        <v>46013</v>
      </c>
      <c r="DA6" s="734" t="n">
        <v>46009</v>
      </c>
      <c r="DB6" s="734" t="n">
        <v>46002</v>
      </c>
      <c r="DC6" s="734" t="n">
        <v>45993</v>
      </c>
      <c r="DD6" s="734" t="n">
        <v>45972</v>
      </c>
      <c r="DE6" s="734" t="n">
        <v>45967</v>
      </c>
      <c r="DF6" s="734" t="n">
        <v>45958</v>
      </c>
      <c r="DG6" s="753" t="n">
        <v>45958</v>
      </c>
      <c r="DH6" s="734" t="n">
        <v>45957</v>
      </c>
      <c r="DI6" s="734" t="n">
        <v>45944</v>
      </c>
      <c r="DJ6" s="734" t="n">
        <v>45938</v>
      </c>
      <c r="DK6" s="736" t="n">
        <v>45937</v>
      </c>
      <c r="DL6" s="734" t="n">
        <v>45936</v>
      </c>
      <c r="DM6" s="754" t="n">
        <v>45924</v>
      </c>
      <c r="DN6" s="754" t="n">
        <v>45923</v>
      </c>
      <c r="DO6" s="734" t="n">
        <v>45923</v>
      </c>
      <c r="DP6" s="754" t="n">
        <v>45917</v>
      </c>
      <c r="DQ6" s="734" t="n">
        <v>45912</v>
      </c>
      <c r="DR6" s="734" t="n">
        <v>45909</v>
      </c>
      <c r="DS6" s="734" t="n">
        <v>45902</v>
      </c>
      <c r="DT6" s="734" t="n">
        <v>45891</v>
      </c>
      <c r="DU6" s="734" t="n">
        <v>45888</v>
      </c>
      <c r="DV6" s="734" t="n">
        <v>45881</v>
      </c>
      <c r="DW6" s="739" t="n">
        <v>45880</v>
      </c>
      <c r="DX6" s="734" t="n">
        <v>45874</v>
      </c>
      <c r="DY6" s="739" t="n">
        <v>45863</v>
      </c>
      <c r="DZ6" s="734" t="n">
        <v>45862</v>
      </c>
      <c r="EA6" s="741" t="n">
        <v>45856</v>
      </c>
      <c r="EB6" s="734" t="n">
        <v>45853</v>
      </c>
      <c r="EC6" s="739" t="n">
        <v>45852</v>
      </c>
      <c r="ED6" s="734" t="n">
        <v>45845</v>
      </c>
      <c r="EE6" s="734" t="n">
        <v>45838</v>
      </c>
      <c r="EF6" s="734" t="n">
        <v>45832</v>
      </c>
      <c r="EG6" s="734" t="n">
        <v>45826</v>
      </c>
      <c r="EH6" s="734" t="n">
        <v>45819</v>
      </c>
      <c r="EI6" s="734" t="n">
        <v>45813</v>
      </c>
      <c r="EJ6" s="736" t="n">
        <v>45813</v>
      </c>
      <c r="EK6" s="740" t="n">
        <v>45810</v>
      </c>
      <c r="EL6" s="740" t="n">
        <v>45806</v>
      </c>
      <c r="EM6" s="736" t="n">
        <v>45806</v>
      </c>
      <c r="EN6" s="755" t="n">
        <v>45798</v>
      </c>
      <c r="EO6" s="734" t="n">
        <v>45796</v>
      </c>
      <c r="EP6" s="734" t="n">
        <v>45785</v>
      </c>
      <c r="EQ6" s="734" t="n">
        <v>45777</v>
      </c>
      <c r="ER6" s="734" t="n">
        <v>45772</v>
      </c>
      <c r="ES6" s="736" t="n">
        <v>45770</v>
      </c>
      <c r="ET6" s="740" t="n">
        <v>45750</v>
      </c>
      <c r="EU6" s="734" t="n">
        <v>45749</v>
      </c>
      <c r="EV6" s="740" t="n">
        <v>45744</v>
      </c>
      <c r="EW6" s="734" t="n">
        <v>45743</v>
      </c>
      <c r="EX6" s="736" t="n">
        <v>45731</v>
      </c>
      <c r="EY6" s="734" t="n">
        <v>45733</v>
      </c>
      <c r="EZ6" s="734" t="n">
        <v>45727</v>
      </c>
      <c r="FA6" s="734" t="n">
        <v>45715</v>
      </c>
      <c r="FB6" s="734" t="n">
        <v>45706</v>
      </c>
      <c r="FC6" s="734" t="n">
        <v>45700</v>
      </c>
      <c r="FD6" s="736" t="n">
        <v>45693</v>
      </c>
      <c r="FE6" s="734" t="n">
        <v>45691</v>
      </c>
      <c r="FF6" s="734" t="n">
        <v>45678</v>
      </c>
      <c r="FG6" s="784" t="n">
        <v>45674</v>
      </c>
      <c r="FH6" s="734" t="n">
        <v>45670</v>
      </c>
      <c r="FI6" s="736" t="n">
        <v>45670</v>
      </c>
      <c r="FJ6" s="734" t="n">
        <v>45665</v>
      </c>
      <c r="FK6" s="744" t="n">
        <v>45663</v>
      </c>
      <c r="FL6" s="734" t="n">
        <v>45659</v>
      </c>
      <c r="FN6" s="5" t="n"/>
      <c r="FO6" s="5" t="n"/>
      <c r="FP6" s="5" t="n"/>
      <c r="FQ6" s="5" t="n"/>
      <c r="FR6" s="5" t="n"/>
      <c r="FS6" s="5" t="n"/>
      <c r="FT6" s="5" t="n"/>
      <c r="FU6" s="5" t="n"/>
      <c r="FV6" s="5" t="n"/>
      <c r="FW6" s="5" t="n"/>
      <c r="FX6" s="5" t="n"/>
      <c r="FY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9" t="n"/>
      <c r="CE7" s="33" t="n"/>
      <c r="CG7" s="13" t="n"/>
      <c r="CH7" s="13" t="n"/>
      <c r="CI7" s="13" t="n"/>
      <c r="CJ7" s="13" t="n"/>
      <c r="CK7" s="13" t="n"/>
      <c r="CL7" s="13" t="n"/>
      <c r="CM7" s="13" t="n"/>
      <c r="CN7" s="13" t="inlineStr">
        <is>
          <t>MÃES</t>
        </is>
      </c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inlineStr">
        <is>
          <t>HA</t>
        </is>
      </c>
      <c r="DQ7" s="13" t="n"/>
      <c r="DR7" s="13" t="n"/>
      <c r="DS7" s="13" t="n"/>
      <c r="DT7" s="13" t="n"/>
      <c r="DU7" s="13" t="n"/>
      <c r="DV7" s="13" t="n"/>
      <c r="DW7" s="13" t="inlineStr">
        <is>
          <t>PAIS/25</t>
        </is>
      </c>
      <c r="DX7" s="13" t="n"/>
      <c r="DY7" s="13" t="inlineStr">
        <is>
          <t>PAIS/25</t>
        </is>
      </c>
      <c r="DZ7" s="13" t="n"/>
      <c r="EA7" s="13" t="inlineStr">
        <is>
          <t>ENVIO AUTOMÁTICO</t>
        </is>
      </c>
      <c r="EB7" s="13" t="n"/>
      <c r="EC7" s="13" t="n"/>
      <c r="ED7" s="13" t="n"/>
      <c r="EE7" s="13" t="n"/>
      <c r="EF7" s="13" t="n"/>
      <c r="EG7" s="13" t="n"/>
      <c r="EH7" s="13" t="n"/>
      <c r="EI7" s="320" t="n"/>
      <c r="EJ7" s="13" t="n"/>
      <c r="EK7" s="13" t="inlineStr">
        <is>
          <t>MÃES/25</t>
        </is>
      </c>
      <c r="EL7" s="13" t="inlineStr">
        <is>
          <t>MÃES/25</t>
        </is>
      </c>
      <c r="EM7" s="320" t="n"/>
      <c r="EN7" s="320" t="n"/>
      <c r="EO7" s="320" t="n"/>
      <c r="EP7" s="320" t="n"/>
      <c r="EQ7" s="320" t="n"/>
      <c r="ER7" s="320" t="n"/>
      <c r="ES7" s="320" t="n"/>
      <c r="ET7" s="13" t="inlineStr">
        <is>
          <t>MÃES/25</t>
        </is>
      </c>
      <c r="EU7" s="320" t="n"/>
      <c r="EV7" s="13" t="inlineStr">
        <is>
          <t>MÃES/25</t>
        </is>
      </c>
      <c r="EW7" s="320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K7" s="13" t="n"/>
      <c r="FL7" s="13" t="n"/>
      <c r="FM7" s="782" t="n"/>
      <c r="FN7" s="782" t="n"/>
      <c r="FO7" s="782" t="n"/>
      <c r="FP7" s="782" t="n"/>
      <c r="FQ7" s="782" t="n"/>
      <c r="FR7" s="782" t="n"/>
      <c r="FS7" s="782" t="n"/>
      <c r="FT7" s="782" t="n"/>
      <c r="FU7" s="782" t="n"/>
      <c r="FV7" s="731" t="n"/>
      <c r="FW7" s="732" t="n"/>
      <c r="FX7" s="732" t="n"/>
      <c r="FY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1030+FJ8</f>
        <v/>
      </c>
      <c r="G8" s="697" t="n">
        <v>1480</v>
      </c>
      <c r="H8" s="697">
        <f>1370+FF8</f>
        <v/>
      </c>
      <c r="I8" s="697" t="n">
        <v>1820</v>
      </c>
      <c r="J8" s="697" t="n">
        <v>1640</v>
      </c>
      <c r="K8" s="697" t="n">
        <v>1540</v>
      </c>
      <c r="L8" s="697" t="n">
        <v>1400</v>
      </c>
      <c r="M8" s="697" t="n">
        <v>1310</v>
      </c>
      <c r="N8" s="697" t="n">
        <v>1230</v>
      </c>
      <c r="O8" s="697" t="n">
        <v>1150</v>
      </c>
      <c r="P8" s="697" t="n">
        <v>980</v>
      </c>
      <c r="Q8" s="697" t="n">
        <v>790</v>
      </c>
      <c r="R8" s="697" t="n">
        <v>640</v>
      </c>
      <c r="S8" s="697">
        <f>540+ES8</f>
        <v/>
      </c>
      <c r="T8" s="697" t="n">
        <v>940</v>
      </c>
      <c r="U8" s="697" t="n">
        <v>750</v>
      </c>
      <c r="V8" s="697">
        <f>490+300</f>
        <v/>
      </c>
      <c r="W8" s="697" t="n">
        <v>1340</v>
      </c>
      <c r="X8" s="697" t="n">
        <v>1390</v>
      </c>
      <c r="Y8" s="697">
        <f>1300+EN8</f>
        <v/>
      </c>
      <c r="Z8" s="697" t="n">
        <v>1460</v>
      </c>
      <c r="AA8" s="697" t="n">
        <v>1300</v>
      </c>
      <c r="AB8" s="697" t="n">
        <v>1270</v>
      </c>
      <c r="AC8" s="697" t="n">
        <v>1040</v>
      </c>
      <c r="AD8" s="697" t="n">
        <v>920</v>
      </c>
      <c r="AE8" s="697" t="n">
        <v>800</v>
      </c>
      <c r="AF8" s="697" t="n">
        <v>660</v>
      </c>
      <c r="AG8" s="697" t="n">
        <v>620</v>
      </c>
      <c r="AH8" s="697" t="n">
        <v>550</v>
      </c>
      <c r="AI8" s="697" t="n">
        <v>200</v>
      </c>
      <c r="AJ8" s="697" t="n">
        <v>660</v>
      </c>
      <c r="AK8" s="697" t="n">
        <v>530</v>
      </c>
      <c r="AL8" s="697" t="n">
        <v>280</v>
      </c>
      <c r="AM8" s="697" t="n">
        <v>520</v>
      </c>
      <c r="AN8" s="697">
        <f>470+DR8</f>
        <v/>
      </c>
      <c r="AO8" s="697" t="n">
        <v>680</v>
      </c>
      <c r="AP8" s="697" t="n">
        <v>540</v>
      </c>
      <c r="AQ8" s="697" t="n">
        <v>390</v>
      </c>
      <c r="AR8" s="697">
        <f>360+DM8</f>
        <v/>
      </c>
      <c r="AS8" s="697" t="n">
        <v>460</v>
      </c>
      <c r="AT8" s="697">
        <f>360+DH8</f>
        <v/>
      </c>
      <c r="AU8" s="697" t="n">
        <v>480</v>
      </c>
      <c r="AV8" s="697" t="n">
        <v>370</v>
      </c>
      <c r="AW8" s="697">
        <f>230+DF8</f>
        <v/>
      </c>
      <c r="AX8" s="697" t="n">
        <v>390</v>
      </c>
      <c r="AY8" s="697">
        <f>580+DB8</f>
        <v/>
      </c>
      <c r="AZ8" s="697" t="n">
        <v>740</v>
      </c>
      <c r="BA8" s="697" t="n">
        <v>590</v>
      </c>
      <c r="BB8" s="697">
        <f>390+DA8</f>
        <v/>
      </c>
      <c r="BC8" s="697">
        <f>580+CZ8</f>
        <v/>
      </c>
      <c r="BD8" s="697" t="n">
        <v>730</v>
      </c>
      <c r="BE8" s="697">
        <f>1060+CX8</f>
        <v/>
      </c>
      <c r="BF8" s="697" t="n">
        <v>1150</v>
      </c>
      <c r="BG8" s="697" t="n">
        <v>1400</v>
      </c>
      <c r="BH8" s="697" t="n">
        <v>1270</v>
      </c>
      <c r="BI8" s="697" t="n">
        <v>1240</v>
      </c>
      <c r="BJ8" s="697" t="n">
        <v>1110</v>
      </c>
      <c r="BK8" s="697" t="n">
        <v>1010</v>
      </c>
      <c r="BL8" s="697" t="n">
        <v>880</v>
      </c>
      <c r="BM8" s="697" t="n">
        <v>800</v>
      </c>
      <c r="BN8" s="697" t="n">
        <v>700</v>
      </c>
      <c r="BO8" s="697" t="n">
        <v>550</v>
      </c>
      <c r="BP8" s="697" t="n">
        <v>720</v>
      </c>
      <c r="BQ8" s="697" t="n">
        <v>660</v>
      </c>
      <c r="BR8" s="697" t="n">
        <v>520</v>
      </c>
      <c r="BS8" s="697" t="n">
        <v>410</v>
      </c>
      <c r="BT8" s="697" t="n">
        <v>310</v>
      </c>
      <c r="BU8" s="697" t="n">
        <v>470</v>
      </c>
      <c r="BV8" s="697" t="n">
        <v>330</v>
      </c>
      <c r="BW8" s="697" t="n">
        <v>270</v>
      </c>
      <c r="BX8" s="697">
        <f>120+CI8</f>
        <v/>
      </c>
      <c r="BY8" s="697">
        <f>280+CH8</f>
        <v/>
      </c>
      <c r="BZ8" s="697" t="n"/>
      <c r="CA8" s="699" t="n"/>
      <c r="CB8" s="699" t="n"/>
      <c r="CC8" s="192">
        <f>CA8+IF(NOT(ISBLANK(OFFSET(CC8,0,6))),N(OFFSET(CC8,0,6)),N(OFFSET(CC8,0,7)))-CB8</f>
        <v/>
      </c>
      <c r="CD8" s="129" t="n"/>
      <c r="CE8" s="22" t="n">
        <v>300</v>
      </c>
      <c r="CG8" s="49" t="n"/>
      <c r="CH8" s="757" t="n">
        <v>0</v>
      </c>
      <c r="CI8" s="23" t="n">
        <v>0</v>
      </c>
      <c r="CJ8" s="23" t="n">
        <v>300</v>
      </c>
      <c r="CK8" s="23" t="n">
        <v>300</v>
      </c>
      <c r="CL8" s="23" t="n">
        <v>300</v>
      </c>
      <c r="CM8" s="23" t="n"/>
      <c r="CN8" s="23" t="n"/>
      <c r="CO8" s="23" t="n"/>
      <c r="CP8" s="23" t="n"/>
      <c r="CQ8" s="23" t="n">
        <v>300</v>
      </c>
      <c r="CR8" s="23" t="n"/>
      <c r="CS8" s="23" t="n"/>
      <c r="CT8" s="23" t="n"/>
      <c r="CU8" s="23" t="n"/>
      <c r="CV8" s="23" t="n"/>
      <c r="CW8" s="23" t="n"/>
      <c r="CX8" s="23" t="n"/>
      <c r="CY8" s="23" t="n">
        <v>300</v>
      </c>
      <c r="CZ8" s="23" t="n">
        <v>300</v>
      </c>
      <c r="DA8" s="23" t="n">
        <v>600</v>
      </c>
      <c r="DB8" s="23" t="n">
        <v>300</v>
      </c>
      <c r="DC8" s="23" t="n">
        <v>300</v>
      </c>
      <c r="DD8" s="23" t="n">
        <v>300</v>
      </c>
      <c r="DE8" s="23" t="n">
        <v>300</v>
      </c>
      <c r="DF8" s="23" t="n"/>
      <c r="DG8" s="219" t="n"/>
      <c r="DH8" s="23" t="n">
        <v>300</v>
      </c>
      <c r="DI8" s="23" t="n"/>
      <c r="DJ8" s="23" t="n">
        <v>300</v>
      </c>
      <c r="DK8" s="23" t="n"/>
      <c r="DL8" s="23" t="n"/>
      <c r="DM8" s="219" t="n"/>
      <c r="DN8" s="219" t="n"/>
      <c r="DO8" s="23" t="n">
        <v>300</v>
      </c>
      <c r="DP8" s="219" t="n"/>
      <c r="DQ8" s="23" t="n"/>
      <c r="DR8" s="23" t="n"/>
      <c r="DS8" s="23" t="n"/>
      <c r="DT8" s="23" t="n">
        <v>300</v>
      </c>
      <c r="DU8" s="23" t="n"/>
      <c r="DV8" s="23" t="n">
        <v>300</v>
      </c>
      <c r="DW8" s="23" t="n"/>
      <c r="DX8" s="23" t="n"/>
      <c r="DY8" s="23" t="n"/>
      <c r="DZ8" s="23" t="n">
        <v>600</v>
      </c>
      <c r="EA8" s="219" t="n"/>
      <c r="EB8" s="23" t="n"/>
      <c r="EC8" s="219" t="n"/>
      <c r="ED8" s="23" t="n"/>
      <c r="EE8" s="23" t="n"/>
      <c r="EF8" s="23" t="n"/>
      <c r="EG8" s="23" t="n"/>
      <c r="EH8" s="23" t="n"/>
      <c r="EI8" s="23" t="n"/>
      <c r="EJ8" s="23" t="n"/>
      <c r="EK8" s="219" t="n"/>
      <c r="EL8" s="219" t="n"/>
      <c r="EM8" s="23" t="n"/>
      <c r="EN8" s="219" t="n"/>
      <c r="EO8" s="23" t="n"/>
      <c r="EP8" s="23" t="n">
        <v>300</v>
      </c>
      <c r="EQ8" s="23" t="n">
        <v>300</v>
      </c>
      <c r="ER8" s="23" t="n">
        <v>600</v>
      </c>
      <c r="ES8" s="282" t="inlineStr">
        <is>
          <t>300 DE CDB</t>
        </is>
      </c>
      <c r="ET8" s="219" t="n"/>
      <c r="EU8" s="23" t="n">
        <v>600</v>
      </c>
      <c r="EV8" s="219" t="n"/>
      <c r="EW8" s="23" t="n"/>
      <c r="EX8" s="23" t="n"/>
      <c r="EY8" s="23" t="n"/>
      <c r="EZ8" s="23" t="n"/>
      <c r="FA8" s="23" t="n"/>
      <c r="FB8" s="23" t="n"/>
      <c r="FC8" s="23" t="n"/>
      <c r="FD8" s="23" t="n"/>
      <c r="FE8" s="23" t="n"/>
      <c r="FF8" s="23" t="n"/>
      <c r="FG8" s="23" t="n"/>
      <c r="FH8" s="23" t="n">
        <v>600</v>
      </c>
      <c r="FI8" s="23" t="n"/>
      <c r="FJ8" s="23" t="n"/>
      <c r="FK8" s="219" t="n"/>
      <c r="FL8" s="23" t="n">
        <v>600</v>
      </c>
      <c r="FN8" s="304" t="inlineStr">
        <is>
          <t xml:space="preserve">SACOLAS </t>
        </is>
      </c>
      <c r="FO8" s="235" t="inlineStr">
        <is>
          <t>PCT</t>
        </is>
      </c>
      <c r="FP8" s="746" t="n">
        <v>46118</v>
      </c>
      <c r="FQ8" s="746" t="n">
        <v>46125</v>
      </c>
      <c r="FR8" s="746" t="n">
        <v>46132</v>
      </c>
      <c r="FS8" s="746" t="n">
        <v>46139</v>
      </c>
      <c r="FT8" s="746" t="n">
        <v>46146</v>
      </c>
      <c r="FU8" s="746" t="n">
        <v>46154</v>
      </c>
      <c r="FV8" s="746" t="n">
        <v>46160</v>
      </c>
      <c r="FW8" s="747" t="n">
        <v>46161.48022546296</v>
      </c>
      <c r="FX8" s="747" t="n">
        <v>46161.48088502402</v>
      </c>
      <c r="FY8" s="758" t="inlineStr">
        <is>
          <t>USOU</t>
        </is>
      </c>
    </row>
    <row r="9" ht="19.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41" t="n"/>
      <c r="F9" s="697">
        <f>890+FJ9</f>
        <v/>
      </c>
      <c r="G9" s="697">
        <f>1770+FH9+400</f>
        <v/>
      </c>
      <c r="H9" s="697" t="n">
        <v>3980</v>
      </c>
      <c r="I9" s="697" t="n">
        <v>3690</v>
      </c>
      <c r="J9" s="697" t="n">
        <v>3340</v>
      </c>
      <c r="K9" s="697" t="n">
        <v>3070</v>
      </c>
      <c r="L9" s="697" t="n">
        <v>2710</v>
      </c>
      <c r="M9" s="697">
        <f>2430+EZ9</f>
        <v/>
      </c>
      <c r="N9" s="697" t="n">
        <v>2530</v>
      </c>
      <c r="O9" s="697" t="n">
        <v>2290</v>
      </c>
      <c r="P9" s="697" t="n">
        <v>1780</v>
      </c>
      <c r="Q9" s="697" t="n">
        <v>1450</v>
      </c>
      <c r="R9" s="697" t="n">
        <v>1180</v>
      </c>
      <c r="S9" s="697">
        <f>1330+ES9</f>
        <v/>
      </c>
      <c r="T9" s="697" t="n">
        <v>1100</v>
      </c>
      <c r="U9" s="697" t="n">
        <v>830</v>
      </c>
      <c r="V9" s="697" t="n">
        <v>770</v>
      </c>
      <c r="W9" s="697" t="n">
        <v>740</v>
      </c>
      <c r="X9" s="697" t="n">
        <v>660</v>
      </c>
      <c r="Y9" s="697" t="n">
        <v>540</v>
      </c>
      <c r="Z9" s="697" t="n">
        <v>390</v>
      </c>
      <c r="AA9" s="697">
        <f>150+800</f>
        <v/>
      </c>
      <c r="AB9" s="697" t="n">
        <v>650</v>
      </c>
      <c r="AC9" s="697">
        <f>640+EF9</f>
        <v/>
      </c>
      <c r="AD9" s="697" t="n">
        <v>520</v>
      </c>
      <c r="AE9" s="697">
        <f>550+ED9</f>
        <v/>
      </c>
      <c r="AF9" s="697">
        <f>710+EC9</f>
        <v/>
      </c>
      <c r="AG9" s="697" t="n">
        <v>690</v>
      </c>
      <c r="AH9" s="697">
        <f>570+DZ9</f>
        <v/>
      </c>
      <c r="AI9" s="697" t="n">
        <v>740</v>
      </c>
      <c r="AJ9" s="697" t="n">
        <v>1060</v>
      </c>
      <c r="AK9" s="697" t="n">
        <v>740</v>
      </c>
      <c r="AL9" s="697" t="n">
        <v>190</v>
      </c>
      <c r="AM9" s="697">
        <f>360+DS9</f>
        <v/>
      </c>
      <c r="AN9" s="697" t="n">
        <v>1740</v>
      </c>
      <c r="AO9" s="697" t="n">
        <v>1550</v>
      </c>
      <c r="AP9" s="697" t="n">
        <v>1220</v>
      </c>
      <c r="AQ9" s="697" t="n">
        <v>930</v>
      </c>
      <c r="AR9" s="697">
        <f>550+DM9</f>
        <v/>
      </c>
      <c r="AS9" s="697" t="n">
        <v>480</v>
      </c>
      <c r="AT9" s="697">
        <f>210+DJ9+DH9</f>
        <v/>
      </c>
      <c r="AU9" s="697">
        <f>380+DG9</f>
        <v/>
      </c>
      <c r="AV9" s="697" t="n">
        <v>420</v>
      </c>
      <c r="AW9" s="697">
        <f>180+DF9</f>
        <v/>
      </c>
      <c r="AX9" s="697" t="n">
        <v>1000</v>
      </c>
      <c r="AY9" s="697" t="n">
        <v>800</v>
      </c>
      <c r="AZ9" s="697" t="n">
        <v>720</v>
      </c>
      <c r="BA9" s="697" t="n">
        <v>510</v>
      </c>
      <c r="BB9" s="697" t="n">
        <v>350</v>
      </c>
      <c r="BC9" s="697" t="n">
        <v>330</v>
      </c>
      <c r="BD9" s="697" t="n">
        <v>330</v>
      </c>
      <c r="BE9" s="697">
        <f>20+CX9</f>
        <v/>
      </c>
      <c r="BF9" s="697" t="n">
        <v>180</v>
      </c>
      <c r="BG9" s="697" t="n">
        <v>950</v>
      </c>
      <c r="BH9" s="697">
        <f>510+CV9+CU9</f>
        <v/>
      </c>
      <c r="BI9" s="697" t="n">
        <v>2440</v>
      </c>
      <c r="BJ9" s="697" t="n">
        <v>2180</v>
      </c>
      <c r="BK9" s="697" t="n">
        <v>1820</v>
      </c>
      <c r="BL9" s="697" t="n">
        <v>1810</v>
      </c>
      <c r="BM9" s="697" t="n">
        <v>1510</v>
      </c>
      <c r="BN9" s="697">
        <f>1190+CP9</f>
        <v/>
      </c>
      <c r="BO9" s="697" t="n">
        <v>1450</v>
      </c>
      <c r="BP9" s="697" t="n">
        <v>890</v>
      </c>
      <c r="BQ9" s="697">
        <f>580+CN9</f>
        <v/>
      </c>
      <c r="BR9" s="697" t="n">
        <v>1320</v>
      </c>
      <c r="BS9" s="697" t="n">
        <v>980</v>
      </c>
      <c r="BT9" s="697" t="n">
        <v>650</v>
      </c>
      <c r="BU9" s="697" t="n">
        <v>800</v>
      </c>
      <c r="BV9" s="697" t="n">
        <v>920</v>
      </c>
      <c r="BW9" s="697" t="n">
        <v>920</v>
      </c>
      <c r="BX9" s="697" t="n">
        <v>920</v>
      </c>
      <c r="BY9" s="697" t="n">
        <v>920</v>
      </c>
      <c r="BZ9" s="697" t="n"/>
      <c r="CA9" s="699" t="n"/>
      <c r="CB9" s="699" t="n"/>
      <c r="CC9" s="192">
        <f>CA9+IF(NOT(ISBLANK(OFFSET(CC9,0,6))),N(OFFSET(CC9,0,6)),N(OFFSET(CC9,0,7)))-CB9</f>
        <v/>
      </c>
      <c r="CD9" s="129" t="n"/>
      <c r="CE9" s="22" t="n"/>
      <c r="CG9" s="49" t="n"/>
      <c r="CH9" s="757" t="n">
        <v>0</v>
      </c>
      <c r="CI9" s="23" t="n">
        <v>0</v>
      </c>
      <c r="CJ9" s="23" t="n">
        <v>0</v>
      </c>
      <c r="CK9" s="23" t="n">
        <v>0</v>
      </c>
      <c r="CL9" s="23" t="n">
        <v>400</v>
      </c>
      <c r="CM9" s="23" t="n"/>
      <c r="CN9" s="219" t="n">
        <v>2400</v>
      </c>
      <c r="CO9" s="23" t="n"/>
      <c r="CP9" s="23" t="n">
        <v>1000</v>
      </c>
      <c r="CQ9" s="23" t="n"/>
      <c r="CR9" s="23" t="n">
        <v>600</v>
      </c>
      <c r="CS9" s="23" t="n">
        <v>400</v>
      </c>
      <c r="CT9" s="23" t="n"/>
      <c r="CU9" s="23" t="n"/>
      <c r="CV9" s="23" t="n">
        <v>1400</v>
      </c>
      <c r="CW9" s="23" t="n">
        <v>400</v>
      </c>
      <c r="CX9" s="23" t="n">
        <v>400</v>
      </c>
      <c r="CY9" s="23" t="n">
        <v>1000</v>
      </c>
      <c r="CZ9" s="23" t="n">
        <v>1400</v>
      </c>
      <c r="DA9" s="23" t="n">
        <v>400</v>
      </c>
      <c r="DB9" s="23" t="n"/>
      <c r="DC9" s="23" t="n"/>
      <c r="DD9" s="23" t="n"/>
      <c r="DE9" s="23" t="n"/>
      <c r="DF9" s="23" t="n"/>
      <c r="DG9" s="219" t="n">
        <v>3200</v>
      </c>
      <c r="DH9" s="23" t="n">
        <v>1000</v>
      </c>
      <c r="DI9" s="23" t="n">
        <v>400</v>
      </c>
      <c r="DJ9" s="23" t="n">
        <v>200</v>
      </c>
      <c r="DK9" s="23" t="n"/>
      <c r="DL9" s="23" t="n">
        <v>400</v>
      </c>
      <c r="DM9" s="219" t="n"/>
      <c r="DN9" s="219" t="n"/>
      <c r="DO9" s="23" t="n">
        <v>200</v>
      </c>
      <c r="DP9" s="219" t="n"/>
      <c r="DQ9" s="23" t="n"/>
      <c r="DR9" s="23" t="n"/>
      <c r="DS9" s="23" t="n"/>
      <c r="DT9" s="23" t="n">
        <v>1000</v>
      </c>
      <c r="DU9" s="23" t="n">
        <v>600</v>
      </c>
      <c r="DV9" s="23" t="n">
        <v>400</v>
      </c>
      <c r="DW9" s="23" t="n"/>
      <c r="DX9" s="23" t="n"/>
      <c r="DY9" s="23" t="n"/>
      <c r="DZ9" s="23" t="n">
        <v>600</v>
      </c>
      <c r="EA9" s="219" t="n"/>
      <c r="EB9" s="23" t="n">
        <v>600</v>
      </c>
      <c r="EC9" s="219" t="n"/>
      <c r="ED9" s="23" t="n"/>
      <c r="EE9" s="23" t="n">
        <v>400</v>
      </c>
      <c r="EF9" s="23" t="n">
        <v>400</v>
      </c>
      <c r="EG9" s="23" t="n">
        <v>400</v>
      </c>
      <c r="EH9" s="23" t="n">
        <v>200</v>
      </c>
      <c r="EI9" s="23" t="n">
        <v>400</v>
      </c>
      <c r="EJ9" s="23" t="n"/>
      <c r="EK9" s="219" t="n"/>
      <c r="EL9" s="219" t="n"/>
      <c r="EM9" s="282" t="inlineStr">
        <is>
          <t>800 DE CD</t>
        </is>
      </c>
      <c r="EN9" s="219" t="n"/>
      <c r="EO9" s="23" t="n"/>
      <c r="EP9" s="23" t="n"/>
      <c r="EQ9" s="23" t="n"/>
      <c r="ER9" s="23" t="n"/>
      <c r="ES9" s="23" t="n"/>
      <c r="ET9" s="219" t="n"/>
      <c r="EU9" s="23" t="n">
        <v>200</v>
      </c>
      <c r="EV9" s="219" t="n">
        <v>2000</v>
      </c>
      <c r="EW9" s="23" t="n">
        <v>400</v>
      </c>
      <c r="EX9" s="23" t="n"/>
      <c r="EY9" s="23" t="n"/>
      <c r="EZ9" s="23" t="n"/>
      <c r="FA9" s="23" t="n"/>
      <c r="FB9" s="23" t="n">
        <v>400</v>
      </c>
      <c r="FC9" s="23" t="n"/>
      <c r="FD9" s="23" t="n"/>
      <c r="FE9" s="23" t="n"/>
      <c r="FF9" s="23" t="n"/>
      <c r="FG9" s="23" t="n"/>
      <c r="FH9" s="23" t="n"/>
      <c r="FI9" s="282" t="inlineStr">
        <is>
          <t>400 DE MD</t>
        </is>
      </c>
      <c r="FJ9" s="23" t="n">
        <v>2000</v>
      </c>
      <c r="FK9" s="219" t="n"/>
      <c r="FL9" s="23" t="n">
        <v>1000</v>
      </c>
      <c r="FN9" s="300" t="inlineStr">
        <is>
          <t xml:space="preserve">SACOLA P </t>
        </is>
      </c>
      <c r="FO9" s="162" t="n">
        <v>200</v>
      </c>
      <c r="FP9" s="697">
        <f>CL9</f>
        <v/>
      </c>
      <c r="FQ9" s="697" t="n">
        <v>2340</v>
      </c>
      <c r="FR9" s="697" t="n">
        <v>1870</v>
      </c>
      <c r="FS9" s="697" t="n">
        <v>1580</v>
      </c>
      <c r="FT9" s="697" t="n">
        <v>1180</v>
      </c>
      <c r="FU9" s="697" t="n">
        <v>380</v>
      </c>
      <c r="FV9" s="697" t="n"/>
      <c r="FW9" s="699" t="n"/>
      <c r="FX9" s="699" t="n"/>
      <c r="FY9" s="431">
        <f>FW9+IF(NOT(ISBLANK(OFFSET(FY9,0,6))),N(OFFSET(FY9,0,6)),N(OFFSET(FY9,0,7)))-FX9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1080+FJ10</f>
        <v/>
      </c>
      <c r="G10" s="697">
        <f>1550+FH10</f>
        <v/>
      </c>
      <c r="H10" s="697" t="n">
        <v>1970</v>
      </c>
      <c r="I10" s="697" t="n">
        <v>1790</v>
      </c>
      <c r="J10" s="697" t="n">
        <v>1650</v>
      </c>
      <c r="K10" s="697">
        <f>1530+FC10</f>
        <v/>
      </c>
      <c r="L10" s="697" t="n">
        <v>1520</v>
      </c>
      <c r="M10" s="697" t="n">
        <v>1330</v>
      </c>
      <c r="N10" s="697" t="n">
        <v>1190</v>
      </c>
      <c r="O10" s="697" t="n">
        <v>1270</v>
      </c>
      <c r="P10" s="697">
        <f>970+EX10</f>
        <v/>
      </c>
      <c r="Q10" s="697" t="n">
        <v>1270</v>
      </c>
      <c r="R10" s="697" t="n">
        <v>1090</v>
      </c>
      <c r="S10" s="697">
        <f>820+ES10</f>
        <v/>
      </c>
      <c r="T10" s="697" t="n">
        <v>830</v>
      </c>
      <c r="U10" s="697" t="n">
        <v>740</v>
      </c>
      <c r="V10" s="697" t="n">
        <v>710</v>
      </c>
      <c r="W10" s="697" t="n">
        <v>660</v>
      </c>
      <c r="X10" s="697" t="n">
        <v>630</v>
      </c>
      <c r="Y10" s="697" t="n">
        <v>500</v>
      </c>
      <c r="Z10" s="697" t="n">
        <v>250</v>
      </c>
      <c r="AA10" s="697" t="n">
        <v>30</v>
      </c>
      <c r="AB10" s="697" t="n">
        <v>0</v>
      </c>
      <c r="AC10" s="697" t="n">
        <v>410</v>
      </c>
      <c r="AD10" s="697" t="n">
        <v>410</v>
      </c>
      <c r="AE10" s="697" t="n">
        <v>250</v>
      </c>
      <c r="AF10" s="697">
        <f>60+EC10</f>
        <v/>
      </c>
      <c r="AG10" s="697">
        <f>520+EB10</f>
        <v/>
      </c>
      <c r="AH10" s="697" t="n">
        <v>450</v>
      </c>
      <c r="AI10" s="697" t="n">
        <v>320</v>
      </c>
      <c r="AJ10" s="697" t="n">
        <v>260</v>
      </c>
      <c r="AK10" s="697" t="n">
        <v>210</v>
      </c>
      <c r="AL10" s="697" t="n">
        <v>60</v>
      </c>
      <c r="AM10" s="697">
        <f>40+DS10</f>
        <v/>
      </c>
      <c r="AN10" s="697" t="n">
        <v>960</v>
      </c>
      <c r="AO10" s="697">
        <f>890+DQ10</f>
        <v/>
      </c>
      <c r="AP10" s="697">
        <f>670+DP10</f>
        <v/>
      </c>
      <c r="AQ10" s="697" t="n">
        <v>770</v>
      </c>
      <c r="AR10" s="697">
        <f>720+DM10</f>
        <v/>
      </c>
      <c r="AS10" s="697" t="n">
        <v>750</v>
      </c>
      <c r="AT10" s="697">
        <f>630+DH10</f>
        <v/>
      </c>
      <c r="AU10" s="697" t="n">
        <v>670</v>
      </c>
      <c r="AV10" s="697" t="n">
        <v>510</v>
      </c>
      <c r="AW10" s="697">
        <f>380+DD10</f>
        <v/>
      </c>
      <c r="AX10" s="697" t="n">
        <v>580</v>
      </c>
      <c r="AY10" s="697" t="n">
        <v>580</v>
      </c>
      <c r="AZ10" s="697" t="n">
        <v>560</v>
      </c>
      <c r="BA10" s="697" t="n">
        <v>560</v>
      </c>
      <c r="BB10" s="697" t="n">
        <v>520</v>
      </c>
      <c r="BC10" s="697" t="n">
        <v>520</v>
      </c>
      <c r="BD10" s="697" t="n">
        <v>520</v>
      </c>
      <c r="BE10" s="697">
        <f>150+CX10</f>
        <v/>
      </c>
      <c r="BF10" s="697" t="n">
        <v>0</v>
      </c>
      <c r="BG10" s="697" t="n">
        <v>270</v>
      </c>
      <c r="BH10" s="697">
        <f>100+CV10+CU10</f>
        <v/>
      </c>
      <c r="BI10" s="697" t="n">
        <v>1560</v>
      </c>
      <c r="BJ10" s="697" t="n">
        <v>1530</v>
      </c>
      <c r="BK10" s="697" t="n">
        <v>1300</v>
      </c>
      <c r="BL10" s="697" t="n">
        <v>1550</v>
      </c>
      <c r="BM10" s="697" t="n">
        <v>1460</v>
      </c>
      <c r="BN10" s="697" t="n">
        <v>1360</v>
      </c>
      <c r="BO10" s="697" t="n">
        <v>1230</v>
      </c>
      <c r="BP10" s="697" t="n">
        <v>980</v>
      </c>
      <c r="BQ10" s="697" t="n">
        <v>870</v>
      </c>
      <c r="BR10" s="697" t="n">
        <v>730</v>
      </c>
      <c r="BS10" s="697" t="n">
        <v>650</v>
      </c>
      <c r="BT10" s="697" t="n">
        <v>350</v>
      </c>
      <c r="BU10" s="697" t="n">
        <v>670</v>
      </c>
      <c r="BV10" s="697" t="n">
        <v>820</v>
      </c>
      <c r="BW10" s="697" t="n">
        <v>810</v>
      </c>
      <c r="BX10" s="697" t="n">
        <v>810</v>
      </c>
      <c r="BY10" s="697" t="n">
        <v>810</v>
      </c>
      <c r="BZ10" s="697" t="n"/>
      <c r="CA10" s="699" t="n"/>
      <c r="CB10" s="699" t="n"/>
      <c r="CC10" s="192">
        <f>CA10+IF(NOT(ISBLANK(OFFSET(CC10,0,6))),N(OFFSET(CC10,0,6)),N(OFFSET(CC10,0,7)))-CB10</f>
        <v/>
      </c>
      <c r="CD10" s="129" t="n"/>
      <c r="CE10" s="22" t="n"/>
      <c r="CF10" s="4" t="n"/>
      <c r="CG10" s="49" t="n"/>
      <c r="CH10" s="757" t="n">
        <v>0</v>
      </c>
      <c r="CI10" s="23" t="n">
        <v>0</v>
      </c>
      <c r="CJ10" s="23" t="n">
        <v>0</v>
      </c>
      <c r="CK10" s="23" t="n">
        <v>0</v>
      </c>
      <c r="CL10" s="23" t="n">
        <v>200</v>
      </c>
      <c r="CM10" s="23" t="n"/>
      <c r="CN10" s="219" t="n">
        <v>1800</v>
      </c>
      <c r="CO10" s="23" t="n"/>
      <c r="CP10" s="23" t="n"/>
      <c r="CQ10" s="23" t="n"/>
      <c r="CR10" s="23" t="n"/>
      <c r="CS10" s="23" t="n">
        <v>400</v>
      </c>
      <c r="CT10" s="23" t="n"/>
      <c r="CU10" s="23" t="n"/>
      <c r="CV10" s="23" t="n">
        <v>800</v>
      </c>
      <c r="CW10" s="23" t="n">
        <v>400</v>
      </c>
      <c r="CX10" s="23" t="n">
        <v>400</v>
      </c>
      <c r="CY10" s="23" t="n">
        <v>400</v>
      </c>
      <c r="CZ10" s="23" t="n">
        <v>400</v>
      </c>
      <c r="DA10" s="23" t="n"/>
      <c r="DB10" s="23" t="n"/>
      <c r="DC10" s="23" t="n"/>
      <c r="DD10" s="23" t="n"/>
      <c r="DE10" s="23" t="n"/>
      <c r="DF10" s="23" t="n">
        <v>200</v>
      </c>
      <c r="DG10" s="219" t="n">
        <v>2600</v>
      </c>
      <c r="DH10" s="23" t="n"/>
      <c r="DI10" s="23" t="n"/>
      <c r="DJ10" s="23" t="n">
        <v>200</v>
      </c>
      <c r="DK10" s="23" t="n"/>
      <c r="DL10" s="23" t="n"/>
      <c r="DM10" s="437" t="inlineStr">
        <is>
          <t>100 DE BSH</t>
        </is>
      </c>
      <c r="DN10" s="219" t="n"/>
      <c r="DO10" s="23" t="n">
        <v>200</v>
      </c>
      <c r="DP10" s="219" t="n"/>
      <c r="DQ10" s="23" t="n">
        <v>200</v>
      </c>
      <c r="DR10" s="23" t="n">
        <v>200</v>
      </c>
      <c r="DS10" s="23" t="n">
        <v>200</v>
      </c>
      <c r="DT10" s="23" t="n">
        <v>400</v>
      </c>
      <c r="DU10" s="23" t="n">
        <v>400</v>
      </c>
      <c r="DV10" s="23" t="n"/>
      <c r="DW10" s="23" t="n"/>
      <c r="DX10" s="23" t="n"/>
      <c r="DY10" s="23" t="n"/>
      <c r="DZ10" s="23" t="n"/>
      <c r="EA10" s="219" t="n"/>
      <c r="EB10" s="23" t="n"/>
      <c r="EC10" s="219" t="n">
        <v>1200</v>
      </c>
      <c r="ED10" s="23" t="n">
        <v>200</v>
      </c>
      <c r="EE10" s="23" t="n">
        <v>600</v>
      </c>
      <c r="EF10" s="23" t="n"/>
      <c r="EG10" s="23" t="n"/>
      <c r="EH10" s="23" t="n"/>
      <c r="EI10" s="23" t="n">
        <v>400</v>
      </c>
      <c r="EJ10" s="23" t="n"/>
      <c r="EK10" s="219" t="n"/>
      <c r="EL10" s="219" t="n"/>
      <c r="EM10" s="23" t="n"/>
      <c r="EN10" s="219" t="n">
        <v>1000</v>
      </c>
      <c r="EO10" s="23" t="n"/>
      <c r="EP10" s="23" t="n"/>
      <c r="EQ10" s="23" t="n"/>
      <c r="ER10" s="23" t="n"/>
      <c r="ES10" s="23" t="n"/>
      <c r="ET10" s="219" t="n"/>
      <c r="EU10" s="23" t="n">
        <v>200</v>
      </c>
      <c r="EV10" s="219" t="n">
        <v>1400</v>
      </c>
      <c r="EW10" s="23" t="n"/>
      <c r="EX10" s="23" t="n"/>
      <c r="EY10" s="23" t="n"/>
      <c r="EZ10" s="23" t="n">
        <v>400</v>
      </c>
      <c r="FA10" s="23" t="n">
        <v>200</v>
      </c>
      <c r="FB10" s="23" t="n"/>
      <c r="FC10" s="23" t="n"/>
      <c r="FD10" s="23" t="n"/>
      <c r="FE10" s="23" t="n">
        <v>200</v>
      </c>
      <c r="FF10" s="23" t="n"/>
      <c r="FG10" s="23" t="n"/>
      <c r="FH10" s="23" t="n"/>
      <c r="FI10" s="23" t="n"/>
      <c r="FJ10" s="23" t="n">
        <v>600</v>
      </c>
      <c r="FK10" s="219" t="n"/>
      <c r="FL10" s="23" t="n">
        <v>600</v>
      </c>
      <c r="FN10" s="65" t="inlineStr">
        <is>
          <t xml:space="preserve">SACOLA M </t>
        </is>
      </c>
      <c r="FO10" s="699" t="n">
        <v>200</v>
      </c>
      <c r="FP10" s="697">
        <f>CL10</f>
        <v/>
      </c>
      <c r="FQ10" s="697" t="n">
        <v>1680</v>
      </c>
      <c r="FR10" s="697" t="n">
        <v>1380</v>
      </c>
      <c r="FS10" s="697" t="n">
        <v>1330</v>
      </c>
      <c r="FT10" s="697" t="n">
        <v>1020</v>
      </c>
      <c r="FU10" s="697" t="n">
        <v>80</v>
      </c>
      <c r="FV10" s="697" t="n"/>
      <c r="FW10" s="699" t="n"/>
      <c r="FX10" s="699" t="n"/>
      <c r="FY10" s="431">
        <f>FW10+IF(NOT(ISBLANK(OFFSET(FY10,0,6))),N(OFFSET(FY10,0,6)),N(OFFSET(FY10,0,7)))-FX10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90</v>
      </c>
      <c r="G11" s="697">
        <f>90+FH11</f>
        <v/>
      </c>
      <c r="H11" s="697" t="n">
        <v>190</v>
      </c>
      <c r="I11" s="697" t="n">
        <v>190</v>
      </c>
      <c r="J11" s="697" t="n">
        <v>190</v>
      </c>
      <c r="K11" s="697" t="n">
        <v>190</v>
      </c>
      <c r="L11" s="697" t="n">
        <v>190</v>
      </c>
      <c r="M11" s="697" t="n">
        <v>190</v>
      </c>
      <c r="N11" s="697" t="n">
        <v>190</v>
      </c>
      <c r="O11" s="697" t="n">
        <v>190</v>
      </c>
      <c r="P11" s="697" t="n">
        <v>190</v>
      </c>
      <c r="Q11" s="697" t="n">
        <v>190</v>
      </c>
      <c r="R11" s="697" t="n">
        <v>190</v>
      </c>
      <c r="S11" s="697" t="n">
        <v>190</v>
      </c>
      <c r="T11" s="697" t="n">
        <v>190</v>
      </c>
      <c r="U11" s="697" t="n">
        <v>190</v>
      </c>
      <c r="V11" s="697" t="n">
        <v>190</v>
      </c>
      <c r="W11" s="697" t="n">
        <v>140</v>
      </c>
      <c r="X11" s="697" t="n">
        <v>140</v>
      </c>
      <c r="Y11" s="697" t="n">
        <v>120</v>
      </c>
      <c r="Z11" s="697">
        <f>150+EM11</f>
        <v/>
      </c>
      <c r="AA11" s="697" t="n">
        <v>250</v>
      </c>
      <c r="AB11" s="697" t="n">
        <v>220</v>
      </c>
      <c r="AC11" s="697" t="n">
        <v>220</v>
      </c>
      <c r="AD11" s="697" t="n">
        <v>210</v>
      </c>
      <c r="AE11" s="697" t="n">
        <v>210</v>
      </c>
      <c r="AF11" s="697" t="n">
        <v>200</v>
      </c>
      <c r="AG11" s="697" t="n">
        <v>190</v>
      </c>
      <c r="AH11" s="697" t="n">
        <v>220</v>
      </c>
      <c r="AI11" s="697" t="n">
        <v>220</v>
      </c>
      <c r="AJ11" s="697" t="n">
        <v>180</v>
      </c>
      <c r="AK11" s="697" t="n">
        <v>160</v>
      </c>
      <c r="AL11" s="697" t="n">
        <v>130</v>
      </c>
      <c r="AM11" s="697" t="n">
        <v>130</v>
      </c>
      <c r="AN11" s="697" t="n">
        <v>130</v>
      </c>
      <c r="AO11" s="697" t="n">
        <v>130</v>
      </c>
      <c r="AP11" s="697" t="n">
        <v>130</v>
      </c>
      <c r="AQ11" s="697" t="n">
        <v>130</v>
      </c>
      <c r="AR11" s="697" t="n">
        <v>120</v>
      </c>
      <c r="AS11" s="697" t="n">
        <v>110</v>
      </c>
      <c r="AT11" s="697" t="n">
        <v>110</v>
      </c>
      <c r="AU11" s="697" t="n">
        <v>110</v>
      </c>
      <c r="AV11" s="697" t="n">
        <v>110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70</v>
      </c>
      <c r="BG11" s="697" t="n">
        <v>70</v>
      </c>
      <c r="BH11" s="697">
        <f>60+CV11</f>
        <v/>
      </c>
      <c r="BI11" s="697" t="n">
        <v>160</v>
      </c>
      <c r="BJ11" s="697" t="n">
        <v>140</v>
      </c>
      <c r="BK11" s="697" t="n">
        <v>140</v>
      </c>
      <c r="BL11" s="697" t="n">
        <v>140</v>
      </c>
      <c r="BM11" s="697" t="n">
        <v>130</v>
      </c>
      <c r="BN11" s="697" t="n">
        <v>130</v>
      </c>
      <c r="BO11" s="697" t="n">
        <v>130</v>
      </c>
      <c r="BP11" s="697" t="n">
        <v>90</v>
      </c>
      <c r="BQ11" s="697" t="n">
        <v>60</v>
      </c>
      <c r="BR11" s="697" t="n">
        <v>60</v>
      </c>
      <c r="BS11" s="697" t="n">
        <v>60</v>
      </c>
      <c r="BT11" s="697" t="n">
        <v>60</v>
      </c>
      <c r="BU11" s="697" t="n">
        <v>60</v>
      </c>
      <c r="BV11" s="697" t="n">
        <v>50</v>
      </c>
      <c r="BW11" s="697" t="n">
        <v>50</v>
      </c>
      <c r="BX11" s="697" t="n">
        <v>50</v>
      </c>
      <c r="BY11" s="697" t="n">
        <v>40</v>
      </c>
      <c r="BZ11" s="697" t="n"/>
      <c r="CA11" s="699" t="n"/>
      <c r="CB11" s="699" t="n"/>
      <c r="CC11" s="192">
        <f>CA11+IF(NOT(ISBLANK(OFFSET(CC11,0,6))),N(OFFSET(CC11,0,6)),N(OFFSET(CC11,0,7)))-CB11</f>
        <v/>
      </c>
      <c r="CD11" s="129" t="n"/>
      <c r="CE11" s="22" t="inlineStr">
        <is>
          <t>100 DE BSH</t>
        </is>
      </c>
      <c r="CF11" s="4" t="n"/>
      <c r="CG11" s="49" t="n"/>
      <c r="CH11" s="757" t="n">
        <v>0</v>
      </c>
      <c r="CI11" s="23" t="n">
        <v>0</v>
      </c>
      <c r="CJ11" s="23" t="n">
        <v>0</v>
      </c>
      <c r="CK11" s="23" t="n">
        <v>0</v>
      </c>
      <c r="CL11" s="23" t="n">
        <v>0</v>
      </c>
      <c r="CM11" s="23" t="n"/>
      <c r="CN11" s="219" t="n">
        <v>200</v>
      </c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>
        <v>100</v>
      </c>
      <c r="CY11" s="23" t="n"/>
      <c r="CZ11" s="23" t="n"/>
      <c r="DA11" s="23" t="n"/>
      <c r="DB11" s="23" t="n"/>
      <c r="DC11" s="23" t="n"/>
      <c r="DD11" s="23" t="n"/>
      <c r="DE11" s="23" t="n"/>
      <c r="DF11" s="23" t="n"/>
      <c r="DG11" s="219" t="n">
        <v>400</v>
      </c>
      <c r="DH11" s="23" t="n"/>
      <c r="DI11" s="23" t="n"/>
      <c r="DJ11" s="23" t="n"/>
      <c r="DK11" s="23" t="n"/>
      <c r="DL11" s="23" t="n"/>
      <c r="DM11" s="219" t="n"/>
      <c r="DN11" s="219" t="n"/>
      <c r="DO11" s="23" t="n"/>
      <c r="DP11" s="219" t="n"/>
      <c r="DQ11" s="23" t="n"/>
      <c r="DR11" s="23" t="n"/>
      <c r="DS11" s="23" t="n"/>
      <c r="DT11" s="23" t="n"/>
      <c r="DU11" s="23" t="n"/>
      <c r="DV11" s="23" t="n"/>
      <c r="DW11" s="23" t="n"/>
      <c r="DX11" s="23" t="n"/>
      <c r="DY11" s="23" t="n"/>
      <c r="DZ11" s="23" t="n"/>
      <c r="EA11" s="219" t="n"/>
      <c r="EB11" s="23" t="n"/>
      <c r="EC11" s="219" t="n"/>
      <c r="ED11" s="23" t="n"/>
      <c r="EE11" s="23" t="n"/>
      <c r="EF11" s="23" t="n"/>
      <c r="EG11" s="23" t="n"/>
      <c r="EH11" s="23" t="n"/>
      <c r="EI11" s="23" t="n"/>
      <c r="EJ11" s="23" t="n"/>
      <c r="EK11" s="219" t="n"/>
      <c r="EL11" s="219" t="n"/>
      <c r="EM11" s="23" t="n"/>
      <c r="EN11" s="219" t="n"/>
      <c r="EO11" s="23" t="n">
        <v>100</v>
      </c>
      <c r="EP11" s="23" t="n"/>
      <c r="EQ11" s="23" t="n"/>
      <c r="ER11" s="23" t="n"/>
      <c r="ES11" s="23" t="n"/>
      <c r="ET11" s="219" t="n"/>
      <c r="EU11" s="23" t="n"/>
      <c r="EV11" s="219" t="n">
        <v>200</v>
      </c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>
        <v>100</v>
      </c>
      <c r="FK11" s="219" t="n"/>
      <c r="FL11" s="23" t="n"/>
      <c r="FN11" s="66" t="inlineStr">
        <is>
          <t xml:space="preserve">SACOLA G </t>
        </is>
      </c>
      <c r="FO11" s="699" t="n">
        <v>100</v>
      </c>
      <c r="FP11" s="697">
        <f>CL11</f>
        <v/>
      </c>
      <c r="FQ11" s="697" t="n">
        <v>180</v>
      </c>
      <c r="FR11" s="697" t="n">
        <v>150</v>
      </c>
      <c r="FS11" s="697" t="n">
        <v>150</v>
      </c>
      <c r="FT11" s="697" t="n">
        <v>100</v>
      </c>
      <c r="FU11" s="697" t="n">
        <v>0</v>
      </c>
      <c r="FV11" s="697" t="n"/>
      <c r="FW11" s="699" t="n"/>
      <c r="FX11" s="699" t="n"/>
      <c r="FY11" s="431">
        <f>FW11+IF(NOT(ISBLANK(OFFSET(FY11,0,6))),N(OFFSET(FY11,0,6)),N(OFFSET(FY11,0,7)))-FX11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E12" s="16" t="n"/>
      <c r="CF12" s="4" t="n"/>
      <c r="CG12" s="4" t="n"/>
      <c r="CH12" s="5" t="n"/>
      <c r="CN12" s="47" t="n"/>
      <c r="DG12" s="47" t="n"/>
      <c r="DM12" s="64" t="n"/>
      <c r="DN12" s="64" t="n"/>
      <c r="DP12" s="64" t="n"/>
      <c r="EA12" s="47" t="n"/>
      <c r="EC12" s="47" t="n"/>
      <c r="EK12" s="308" t="n"/>
      <c r="EL12" s="308" t="n"/>
      <c r="EN12" s="64" t="n"/>
      <c r="ET12" s="308" t="n"/>
      <c r="EV12" s="308" t="n"/>
      <c r="FK12" s="47" t="n"/>
      <c r="FN12" s="35" t="n"/>
      <c r="FO12" s="2" t="n"/>
      <c r="FP12" s="4" t="n"/>
      <c r="FQ12" s="4" t="n"/>
      <c r="FR12" s="4" t="n"/>
      <c r="FS12" s="4" t="n"/>
      <c r="FT12" s="4" t="n"/>
      <c r="FU12" s="4" t="n"/>
      <c r="FV12" s="4" t="n"/>
      <c r="FW12" s="2" t="n"/>
      <c r="FX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46161.48022637732</v>
      </c>
      <c r="CB13" s="747" t="n">
        <v>46161.48088573512</v>
      </c>
      <c r="CC13" s="748" t="inlineStr">
        <is>
          <t>USOU</t>
        </is>
      </c>
      <c r="CE13" s="44" t="inlineStr">
        <is>
          <t>Pendências</t>
        </is>
      </c>
      <c r="CF13" s="5" t="n"/>
      <c r="CG13" s="12" t="inlineStr">
        <is>
          <t>Novo Pedido</t>
        </is>
      </c>
      <c r="CH13" s="785" t="n">
        <v>46161.48088448686</v>
      </c>
      <c r="CI13" s="734" t="n">
        <v>46156</v>
      </c>
      <c r="CJ13" s="734" t="n">
        <v>46149</v>
      </c>
      <c r="CK13" s="734" t="n">
        <v>46142</v>
      </c>
      <c r="CL13" s="734" t="n">
        <v>46114</v>
      </c>
      <c r="CM13" s="734" t="n">
        <v>46107</v>
      </c>
      <c r="CN13" s="735" t="n">
        <v>46065</v>
      </c>
      <c r="CO13" s="734" t="n">
        <v>46099</v>
      </c>
      <c r="CP13" s="734" t="n">
        <v>46092</v>
      </c>
      <c r="CQ13" s="734" t="n">
        <v>46084</v>
      </c>
      <c r="CR13" s="734" t="n">
        <v>46071</v>
      </c>
      <c r="CS13" s="734" t="n">
        <v>46056</v>
      </c>
      <c r="CT13" s="734" t="n">
        <v>46048</v>
      </c>
      <c r="CU13" s="734" t="n">
        <v>46043</v>
      </c>
      <c r="CV13" s="734" t="n">
        <v>46035</v>
      </c>
      <c r="CW13" s="734" t="n">
        <v>46029</v>
      </c>
      <c r="CX13" s="734" t="n">
        <v>46024</v>
      </c>
      <c r="CY13" s="734" t="n">
        <v>46017</v>
      </c>
      <c r="CZ13" s="734" t="n">
        <v>46007</v>
      </c>
      <c r="DA13" s="734" t="n">
        <v>46001</v>
      </c>
      <c r="DB13" s="734" t="n">
        <v>45994</v>
      </c>
      <c r="DC13" s="734" t="n">
        <v>45980</v>
      </c>
      <c r="DD13" s="734" t="n">
        <v>45965</v>
      </c>
      <c r="DE13" s="734" t="n">
        <v>45960</v>
      </c>
      <c r="DF13" s="734" t="n">
        <v>45951</v>
      </c>
      <c r="DG13" s="737" t="n">
        <v>45903</v>
      </c>
      <c r="DH13" s="734" t="n">
        <v>45945</v>
      </c>
      <c r="DI13" s="734" t="n">
        <v>45937</v>
      </c>
      <c r="DJ13" s="734" t="n">
        <v>45931</v>
      </c>
      <c r="DK13" s="736" t="n">
        <v>45937</v>
      </c>
      <c r="DL13" s="734" t="n">
        <v>45923</v>
      </c>
      <c r="DM13" s="754" t="n">
        <v>45924</v>
      </c>
      <c r="DN13" s="754" t="n">
        <v>45923</v>
      </c>
      <c r="DO13" s="734" t="n">
        <v>45915</v>
      </c>
      <c r="DP13" s="738" t="n">
        <v>45863</v>
      </c>
      <c r="DQ13" s="734" t="n">
        <v>45909</v>
      </c>
      <c r="DR13" s="734" t="n">
        <v>45903</v>
      </c>
      <c r="DS13" s="734" t="n">
        <v>45895</v>
      </c>
      <c r="DT13" s="734" t="n">
        <v>45888</v>
      </c>
      <c r="DU13" s="734" t="n">
        <v>45881</v>
      </c>
      <c r="DV13" s="734" t="n">
        <v>45874</v>
      </c>
      <c r="DW13" s="739" t="n">
        <v>45880</v>
      </c>
      <c r="DX13" s="734" t="n">
        <v>45867</v>
      </c>
      <c r="DY13" s="739" t="n">
        <v>45863</v>
      </c>
      <c r="DZ13" s="734" t="n">
        <v>45860</v>
      </c>
      <c r="EA13" s="741" t="n">
        <v>45856</v>
      </c>
      <c r="EB13" s="734" t="n">
        <v>45848</v>
      </c>
      <c r="EC13" s="739" t="n">
        <v>45791</v>
      </c>
      <c r="ED13" s="734" t="n">
        <v>45839</v>
      </c>
      <c r="EE13" s="734" t="n">
        <v>45832</v>
      </c>
      <c r="EF13" s="734" t="n">
        <v>45825</v>
      </c>
      <c r="EG13" s="734" t="n">
        <v>45819</v>
      </c>
      <c r="EH13" s="734" t="n">
        <v>45813</v>
      </c>
      <c r="EI13" s="734" t="n">
        <v>45798</v>
      </c>
      <c r="EJ13" s="736" t="n">
        <v>45813</v>
      </c>
      <c r="EK13" s="740" t="n">
        <v>45810</v>
      </c>
      <c r="EL13" s="740" t="n">
        <v>45806</v>
      </c>
      <c r="EM13" s="736" t="n">
        <v>45806</v>
      </c>
      <c r="EN13" s="742" t="n">
        <v>45735</v>
      </c>
      <c r="EO13" s="734" t="n">
        <v>45790</v>
      </c>
      <c r="EP13" s="734" t="n">
        <v>45783</v>
      </c>
      <c r="EQ13" s="734" t="n">
        <v>45770</v>
      </c>
      <c r="ER13" s="734" t="n">
        <v>45756</v>
      </c>
      <c r="ES13" s="736" t="n">
        <v>45770</v>
      </c>
      <c r="ET13" s="740" t="n">
        <v>45750</v>
      </c>
      <c r="EU13" s="734" t="n">
        <v>45743</v>
      </c>
      <c r="EV13" s="740" t="n">
        <v>45700</v>
      </c>
      <c r="EW13" s="734" t="n">
        <v>45734</v>
      </c>
      <c r="EX13" s="736" t="n">
        <v>45731</v>
      </c>
      <c r="EY13" s="734" t="n">
        <v>45728</v>
      </c>
      <c r="EZ13" s="734" t="n">
        <v>45722</v>
      </c>
      <c r="FA13" s="734" t="n">
        <v>45706</v>
      </c>
      <c r="FB13" s="734" t="n">
        <v>45699</v>
      </c>
      <c r="FC13" s="734" t="n">
        <v>45693</v>
      </c>
      <c r="FD13" s="736" t="n">
        <v>45693</v>
      </c>
      <c r="FE13" s="734" t="n">
        <v>45685</v>
      </c>
      <c r="FF13" s="734" t="n">
        <v>45674</v>
      </c>
      <c r="FG13" s="784" t="n">
        <v>45674</v>
      </c>
      <c r="FH13" s="734" t="n">
        <v>45664</v>
      </c>
      <c r="FI13" s="736" t="n">
        <v>45670</v>
      </c>
      <c r="FJ13" s="734" t="n">
        <v>45660</v>
      </c>
      <c r="FK13" s="744" t="n">
        <v>45663</v>
      </c>
      <c r="FL13" s="734" t="n">
        <v>45652</v>
      </c>
      <c r="FN13" s="304" t="inlineStr">
        <is>
          <t>DIVERSOS</t>
        </is>
      </c>
      <c r="FO13" s="235" t="inlineStr">
        <is>
          <t>PCT</t>
        </is>
      </c>
      <c r="FP13" s="746" t="n">
        <v>46118</v>
      </c>
      <c r="FQ13" s="746" t="n">
        <v>46125</v>
      </c>
      <c r="FR13" s="746" t="n">
        <v>46132</v>
      </c>
      <c r="FS13" s="746" t="n">
        <v>46139</v>
      </c>
      <c r="FT13" s="746" t="n">
        <v>46146</v>
      </c>
      <c r="FU13" s="746" t="n">
        <v>46154</v>
      </c>
      <c r="FV13" s="746" t="n">
        <v>46160</v>
      </c>
      <c r="FW13" s="747" t="n">
        <v>46161.48022546296</v>
      </c>
      <c r="FX13" s="747" t="n">
        <v>46161.48088502423</v>
      </c>
      <c r="FY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726" t="n"/>
      <c r="F14" s="697" t="n">
        <v>3</v>
      </c>
      <c r="G14" s="697">
        <f>3+FH14</f>
        <v/>
      </c>
      <c r="H14" s="697" t="n">
        <v>7</v>
      </c>
      <c r="I14" s="697" t="n">
        <v>6</v>
      </c>
      <c r="J14" s="697" t="n">
        <v>5</v>
      </c>
      <c r="K14" s="697">
        <f>5+FC14</f>
        <v/>
      </c>
      <c r="L14" s="697" t="n">
        <v>5</v>
      </c>
      <c r="M14" s="697">
        <f>4+EZ14</f>
        <v/>
      </c>
      <c r="N14" s="697" t="n">
        <v>4</v>
      </c>
      <c r="O14" s="697" t="n">
        <v>3</v>
      </c>
      <c r="P14" s="697">
        <f>2+EX14</f>
        <v/>
      </c>
      <c r="Q14" s="697">
        <f>4+EW14</f>
        <v/>
      </c>
      <c r="R14" s="697" t="n">
        <v>6</v>
      </c>
      <c r="S14" s="697" t="n">
        <v>7</v>
      </c>
      <c r="T14" s="697" t="n">
        <v>6</v>
      </c>
      <c r="U14" s="697" t="n">
        <v>5</v>
      </c>
      <c r="V14" s="697" t="n">
        <v>5</v>
      </c>
      <c r="W14" s="697" t="n">
        <v>4</v>
      </c>
      <c r="X14" s="697" t="n">
        <v>3</v>
      </c>
      <c r="Y14" s="697" t="n">
        <v>1</v>
      </c>
      <c r="Z14" s="697">
        <f>1+EM14</f>
        <v/>
      </c>
      <c r="AA14" s="697" t="n">
        <v>4</v>
      </c>
      <c r="AB14" s="697" t="n">
        <v>4</v>
      </c>
      <c r="AC14" s="697">
        <f>4+EF14</f>
        <v/>
      </c>
      <c r="AD14" s="697" t="n">
        <v>4</v>
      </c>
      <c r="AE14" s="697">
        <f>3+ED14</f>
        <v/>
      </c>
      <c r="AF14" s="697">
        <f>4+EC14</f>
        <v/>
      </c>
      <c r="AG14" s="697" t="n">
        <v>5</v>
      </c>
      <c r="AH14" s="697">
        <f>4+DZ14</f>
        <v/>
      </c>
      <c r="AI14" s="697" t="n">
        <v>5</v>
      </c>
      <c r="AJ14" s="697" t="n">
        <v>5</v>
      </c>
      <c r="AK14" s="697" t="n">
        <v>5</v>
      </c>
      <c r="AL14" s="697" t="n">
        <v>3</v>
      </c>
      <c r="AM14" s="697">
        <f>3+DS14</f>
        <v/>
      </c>
      <c r="AN14" s="697" t="n">
        <v>5</v>
      </c>
      <c r="AO14" s="697">
        <f>5+DQ14</f>
        <v/>
      </c>
      <c r="AP14" s="697" t="n">
        <v>4</v>
      </c>
      <c r="AQ14" s="697" t="n">
        <v>4</v>
      </c>
      <c r="AR14" s="697">
        <f>4+DM14</f>
        <v/>
      </c>
      <c r="AS14" s="697">
        <f>1+2</f>
        <v/>
      </c>
      <c r="AT14" s="697">
        <f>3+DH14</f>
        <v/>
      </c>
      <c r="AU14" s="697" t="n">
        <v>8</v>
      </c>
      <c r="AV14" s="697" t="n">
        <v>8</v>
      </c>
      <c r="AW14" s="697" t="n">
        <v>8</v>
      </c>
      <c r="AX14" s="697" t="n">
        <v>7</v>
      </c>
      <c r="AY14" s="697" t="n">
        <v>6</v>
      </c>
      <c r="AZ14" s="697" t="n">
        <v>5</v>
      </c>
      <c r="BA14" s="697" t="n">
        <v>5</v>
      </c>
      <c r="BB14" s="697" t="n">
        <v>5</v>
      </c>
      <c r="BC14" s="697" t="n">
        <v>5</v>
      </c>
      <c r="BD14" s="697" t="n">
        <v>5</v>
      </c>
      <c r="BE14" s="697" t="n">
        <v>4</v>
      </c>
      <c r="BF14" s="697" t="n">
        <v>0</v>
      </c>
      <c r="BG14" s="697" t="n">
        <v>3</v>
      </c>
      <c r="BH14" s="697">
        <f>1+CV14+CU14</f>
        <v/>
      </c>
      <c r="BI14" s="697" t="n">
        <v>29</v>
      </c>
      <c r="BJ14" s="697" t="n">
        <v>28</v>
      </c>
      <c r="BK14" s="697" t="n">
        <v>26</v>
      </c>
      <c r="BL14" s="697" t="n">
        <v>24</v>
      </c>
      <c r="BM14" s="697" t="n">
        <v>23</v>
      </c>
      <c r="BN14" s="697" t="n">
        <v>21</v>
      </c>
      <c r="BO14" s="697" t="n">
        <v>20</v>
      </c>
      <c r="BP14" s="697" t="n">
        <v>18</v>
      </c>
      <c r="BQ14" s="697" t="n">
        <v>16</v>
      </c>
      <c r="BR14" s="697" t="n">
        <v>15</v>
      </c>
      <c r="BS14" s="697" t="n">
        <v>14</v>
      </c>
      <c r="BT14" s="697" t="n">
        <v>12</v>
      </c>
      <c r="BU14" s="697" t="n">
        <v>11</v>
      </c>
      <c r="BV14" s="697" t="n">
        <v>11</v>
      </c>
      <c r="BW14" s="697" t="n">
        <v>11</v>
      </c>
      <c r="BX14" s="697" t="n">
        <v>11</v>
      </c>
      <c r="BY14" s="697" t="n">
        <v>3</v>
      </c>
      <c r="BZ14" s="697" t="n"/>
      <c r="CA14" s="699" t="n"/>
      <c r="CB14" s="699" t="n"/>
      <c r="CC14" s="192">
        <f>CA14+IF(NOT(ISBLANK(OFFSET(CC14,0,6))),N(OFFSET(CC14,0,6)),N(OFFSET(CC14,0,7)))-CB14</f>
        <v/>
      </c>
      <c r="CE14" s="22" t="n">
        <v>5</v>
      </c>
      <c r="CF14" s="4" t="n"/>
      <c r="CG14" s="49" t="n"/>
      <c r="CH14" s="433" t="n">
        <v>0</v>
      </c>
      <c r="CI14" s="23" t="n">
        <v>0</v>
      </c>
      <c r="CJ14" s="23" t="n">
        <v>0</v>
      </c>
      <c r="CK14" s="23" t="n">
        <v>0</v>
      </c>
      <c r="CL14" s="23" t="n">
        <v>0</v>
      </c>
      <c r="CM14" s="23" t="n"/>
      <c r="CN14" s="219" t="n">
        <v>10</v>
      </c>
      <c r="CO14" s="23" t="n"/>
      <c r="CP14" s="23" t="n"/>
      <c r="CQ14" s="23" t="n"/>
      <c r="CR14" s="23" t="n"/>
      <c r="CS14" s="23" t="n"/>
      <c r="CT14" s="23" t="n"/>
      <c r="CU14" s="23" t="n"/>
      <c r="CV14" s="23" t="n">
        <v>15</v>
      </c>
      <c r="CW14" s="23" t="n">
        <v>10</v>
      </c>
      <c r="CX14" s="23" t="n">
        <v>5</v>
      </c>
      <c r="CY14" s="23" t="n">
        <v>5</v>
      </c>
      <c r="CZ14" s="23" t="n"/>
      <c r="DA14" s="23" t="n"/>
      <c r="DB14" s="23" t="n"/>
      <c r="DC14" s="23" t="n"/>
      <c r="DD14" s="23" t="n"/>
      <c r="DE14" s="23" t="n"/>
      <c r="DF14" s="23" t="n"/>
      <c r="DG14" s="219" t="n">
        <v>25</v>
      </c>
      <c r="DH14" s="23" t="n"/>
      <c r="DI14" s="23" t="n"/>
      <c r="DJ14" s="23" t="n">
        <v>5</v>
      </c>
      <c r="DK14" s="192" t="inlineStr">
        <is>
          <t>02 DE Q2</t>
        </is>
      </c>
      <c r="DL14" s="23" t="n"/>
      <c r="DM14" s="437" t="inlineStr">
        <is>
          <t>100 DE BSH</t>
        </is>
      </c>
      <c r="DN14" s="219" t="n"/>
      <c r="DO14" s="23" t="n">
        <v>1</v>
      </c>
      <c r="DP14" s="219" t="n"/>
      <c r="DQ14" s="23" t="n">
        <v>1</v>
      </c>
      <c r="DR14" s="23" t="n"/>
      <c r="DS14" s="23" t="n">
        <v>1</v>
      </c>
      <c r="DT14" s="23" t="n"/>
      <c r="DU14" s="23" t="n">
        <v>2</v>
      </c>
      <c r="DV14" s="23" t="n"/>
      <c r="DW14" s="23" t="n"/>
      <c r="DX14" s="23" t="n"/>
      <c r="DY14" s="23" t="n"/>
      <c r="DZ14" s="23" t="n"/>
      <c r="EA14" s="219" t="n">
        <v>200</v>
      </c>
      <c r="EB14" s="23" t="n">
        <v>1</v>
      </c>
      <c r="EC14" s="219" t="n">
        <v>8</v>
      </c>
      <c r="ED14" s="23" t="n"/>
      <c r="EE14" s="23" t="n">
        <v>2</v>
      </c>
      <c r="EF14" s="23" t="n">
        <v>2</v>
      </c>
      <c r="EG14" s="23" t="n"/>
      <c r="EH14" s="23" t="n">
        <v>1</v>
      </c>
      <c r="EI14" s="23" t="n"/>
      <c r="EJ14" s="23" t="n"/>
      <c r="EK14" s="219" t="n"/>
      <c r="EL14" s="219" t="n"/>
      <c r="EM14" s="23" t="n"/>
      <c r="EN14" s="219" t="n">
        <v>5</v>
      </c>
      <c r="EO14" s="23" t="n">
        <v>4</v>
      </c>
      <c r="EP14" s="23" t="n"/>
      <c r="EQ14" s="23" t="n"/>
      <c r="ER14" s="23" t="n"/>
      <c r="ES14" s="23" t="n"/>
      <c r="ET14" s="219" t="n"/>
      <c r="EU14" s="23" t="n"/>
      <c r="EV14" s="219" t="n">
        <v>10</v>
      </c>
      <c r="EW14" s="23" t="n">
        <v>2</v>
      </c>
      <c r="EX14" s="23" t="n"/>
      <c r="EY14" s="23" t="n">
        <v>3</v>
      </c>
      <c r="EZ14" s="23" t="n">
        <v>3</v>
      </c>
      <c r="FA14" s="23" t="n"/>
      <c r="FB14" s="23" t="n">
        <v>1</v>
      </c>
      <c r="FC14" s="23" t="n"/>
      <c r="FD14" s="23" t="n"/>
      <c r="FE14" s="23" t="n">
        <v>1</v>
      </c>
      <c r="FF14" s="23" t="n"/>
      <c r="FG14" s="23" t="n"/>
      <c r="FH14" s="23" t="n"/>
      <c r="FI14" s="23" t="n"/>
      <c r="FJ14" s="23" t="n">
        <v>5</v>
      </c>
      <c r="FK14" s="219" t="n"/>
      <c r="FL14" s="23" t="n"/>
      <c r="FN14" s="300" t="inlineStr">
        <is>
          <t>PAPEL DE SEDA</t>
        </is>
      </c>
      <c r="FO14" s="162" t="n">
        <v>200</v>
      </c>
      <c r="FP14" s="697">
        <f>CL14</f>
        <v/>
      </c>
      <c r="FQ14" s="697" t="n">
        <v>9</v>
      </c>
      <c r="FR14" s="697" t="n">
        <v>6</v>
      </c>
      <c r="FS14" s="697" t="n">
        <v>4</v>
      </c>
      <c r="FT14" s="697" t="n">
        <v>1</v>
      </c>
      <c r="FU14" s="697" t="n">
        <v>0</v>
      </c>
      <c r="FV14" s="697" t="n"/>
      <c r="FW14" s="699" t="n"/>
      <c r="FX14" s="699" t="n"/>
      <c r="FY14" s="431">
        <f>FW14+IF(NOT(ISBLANK(OFFSET(FY14,0,6))),N(OFFSET(FY14,0,6)),N(OFFSET(FY14,0,7)))-FX14</f>
        <v/>
      </c>
    </row>
    <row r="15" customFormat="1" s="3">
      <c r="A15" s="37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726" t="n"/>
      <c r="F15" s="697">
        <f>1+#REF!</f>
        <v/>
      </c>
      <c r="G15" s="697">
        <f>2+FH15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3</v>
      </c>
      <c r="M15" s="697">
        <f>3+EZ15</f>
        <v/>
      </c>
      <c r="N15" s="697" t="n">
        <v>4</v>
      </c>
      <c r="O15" s="697" t="n">
        <v>4</v>
      </c>
      <c r="P15" s="697" t="n">
        <v>4</v>
      </c>
      <c r="Q15" s="697" t="n">
        <v>5</v>
      </c>
      <c r="R15" s="697" t="n">
        <v>5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2</v>
      </c>
      <c r="X15" s="697" t="n">
        <v>2</v>
      </c>
      <c r="Y15" s="697" t="n">
        <v>2</v>
      </c>
      <c r="Z15" s="697">
        <f>2+EM15</f>
        <v/>
      </c>
      <c r="AA15" s="697" t="n">
        <v>3</v>
      </c>
      <c r="AB15" s="697" t="n">
        <v>3</v>
      </c>
      <c r="AC15" s="697" t="n">
        <v>3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2</v>
      </c>
      <c r="AO15" s="697" t="n">
        <v>2</v>
      </c>
      <c r="AP15" s="697" t="n">
        <v>2</v>
      </c>
      <c r="AQ15" s="697" t="n">
        <v>1</v>
      </c>
      <c r="AR15" s="697">
        <f>1+DM15</f>
        <v/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0</v>
      </c>
      <c r="BC15" s="697">
        <f>0+CZ15</f>
        <v/>
      </c>
      <c r="BD15" s="697" t="n">
        <v>5</v>
      </c>
      <c r="BE15" s="697" t="n">
        <v>8</v>
      </c>
      <c r="BF15" s="697" t="n">
        <v>8</v>
      </c>
      <c r="BG15" s="697" t="n">
        <v>11</v>
      </c>
      <c r="BH15" s="697" t="n">
        <v>10</v>
      </c>
      <c r="BI15" s="697" t="n">
        <v>9</v>
      </c>
      <c r="BJ15" s="697" t="n">
        <v>8</v>
      </c>
      <c r="BK15" s="697" t="n">
        <v>8</v>
      </c>
      <c r="BL15" s="697" t="n">
        <v>8</v>
      </c>
      <c r="BM15" s="697" t="n">
        <v>8</v>
      </c>
      <c r="BN15" s="697" t="n">
        <v>8</v>
      </c>
      <c r="BO15" s="697" t="n">
        <v>8</v>
      </c>
      <c r="BP15" s="697" t="n">
        <v>8</v>
      </c>
      <c r="BQ15" s="697" t="n">
        <v>7</v>
      </c>
      <c r="BR15" s="697" t="n">
        <v>7</v>
      </c>
      <c r="BS15" s="697" t="n">
        <v>7</v>
      </c>
      <c r="BT15" s="697" t="n">
        <v>6</v>
      </c>
      <c r="BU15" s="697" t="n">
        <v>6</v>
      </c>
      <c r="BV15" s="697" t="n">
        <v>6</v>
      </c>
      <c r="BW15" s="697" t="n">
        <v>5</v>
      </c>
      <c r="BX15" s="697" t="n">
        <v>5</v>
      </c>
      <c r="BY15" s="697" t="n">
        <v>2</v>
      </c>
      <c r="BZ15" s="697" t="n"/>
      <c r="CA15" s="699" t="n"/>
      <c r="CB15" s="699" t="n"/>
      <c r="CC15" s="192">
        <f>CA15+IF(NOT(ISBLANK(OFFSET(CC15,0,6))),N(OFFSET(CC15,0,6)),N(OFFSET(CC15,0,7)))-CB15</f>
        <v/>
      </c>
      <c r="CE15" s="22" t="n"/>
      <c r="CF15" s="4" t="n"/>
      <c r="CG15" s="49" t="n"/>
      <c r="CH15" s="433" t="n">
        <v>0</v>
      </c>
      <c r="CI15" s="23" t="n">
        <v>0</v>
      </c>
      <c r="CJ15" s="23" t="n">
        <v>0</v>
      </c>
      <c r="CK15" s="23" t="n">
        <v>0</v>
      </c>
      <c r="CL15" s="23" t="n">
        <v>0</v>
      </c>
      <c r="CM15" s="23" t="n"/>
      <c r="CN15" s="219" t="n">
        <v>4</v>
      </c>
      <c r="CO15" s="23" t="n"/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>
        <v>4</v>
      </c>
      <c r="CZ15" s="23" t="n"/>
      <c r="DA15" s="23" t="n">
        <v>3</v>
      </c>
      <c r="DB15" s="23" t="n">
        <v>5</v>
      </c>
      <c r="DC15" s="23" t="n"/>
      <c r="DD15" s="23" t="n"/>
      <c r="DE15" s="23" t="n"/>
      <c r="DF15" s="23" t="n"/>
      <c r="DG15" s="219" t="n">
        <v>9</v>
      </c>
      <c r="DH15" s="23" t="n"/>
      <c r="DI15" s="23" t="n"/>
      <c r="DJ15" s="23" t="n"/>
      <c r="DK15" s="23" t="n"/>
      <c r="DL15" s="23" t="n"/>
      <c r="DM15" s="437" t="inlineStr">
        <is>
          <t>100 DE BSH</t>
        </is>
      </c>
      <c r="DN15" s="219" t="n"/>
      <c r="DO15" s="23" t="n">
        <v>1</v>
      </c>
      <c r="DP15" s="219" t="n"/>
      <c r="DQ15" s="23" t="n"/>
      <c r="DR15" s="23" t="n"/>
      <c r="DS15" s="23" t="n"/>
      <c r="DT15" s="23" t="n"/>
      <c r="DU15" s="23" t="n"/>
      <c r="DV15" s="23" t="n"/>
      <c r="DW15" s="23" t="n"/>
      <c r="DX15" s="23" t="n"/>
      <c r="DY15" s="23" t="n"/>
      <c r="DZ15" s="23" t="n"/>
      <c r="EA15" s="219" t="n">
        <v>100</v>
      </c>
      <c r="EB15" s="23" t="n"/>
      <c r="EC15" s="219" t="n"/>
      <c r="ED15" s="23" t="n"/>
      <c r="EE15" s="23" t="n"/>
      <c r="EF15" s="23" t="n"/>
      <c r="EG15" s="23" t="n"/>
      <c r="EH15" s="23" t="n"/>
      <c r="EI15" s="23" t="n"/>
      <c r="EJ15" s="23" t="n"/>
      <c r="EK15" s="219" t="n"/>
      <c r="EL15" s="219" t="n"/>
      <c r="EM15" s="23" t="n"/>
      <c r="EN15" s="219" t="n">
        <v>2</v>
      </c>
      <c r="EO15" s="23" t="n">
        <v>1</v>
      </c>
      <c r="EP15" s="23" t="n">
        <v>1</v>
      </c>
      <c r="EQ15" s="23" t="n"/>
      <c r="ER15" s="23" t="n"/>
      <c r="ES15" s="23" t="n"/>
      <c r="ET15" s="219" t="n"/>
      <c r="EU15" s="23" t="n"/>
      <c r="EV15" s="219" t="n"/>
      <c r="EW15" s="23" t="n"/>
      <c r="EX15" s="23" t="n"/>
      <c r="EY15" s="23" t="n"/>
      <c r="EZ15" s="23" t="n"/>
      <c r="FA15" s="23" t="n"/>
      <c r="FB15" s="23" t="n">
        <v>1</v>
      </c>
      <c r="FC15" s="23" t="n"/>
      <c r="FD15" s="23" t="n"/>
      <c r="FE15" s="23" t="n"/>
      <c r="FF15" s="23" t="n"/>
      <c r="FG15" s="23" t="n"/>
      <c r="FH15" s="23" t="n"/>
      <c r="FI15" s="23" t="n"/>
      <c r="FJ15" s="23" t="n">
        <v>2</v>
      </c>
      <c r="FK15" s="219" t="n"/>
      <c r="FL15" s="23" t="n"/>
      <c r="FN15" s="65" t="inlineStr">
        <is>
          <t>ADESIVOS</t>
        </is>
      </c>
      <c r="FO15" s="699" t="n">
        <v>200</v>
      </c>
      <c r="FP15" s="697">
        <f>CL15</f>
        <v/>
      </c>
      <c r="FQ15" s="697" t="n">
        <v>3</v>
      </c>
      <c r="FR15" s="697" t="n">
        <v>3</v>
      </c>
      <c r="FS15" s="697" t="n">
        <v>2</v>
      </c>
      <c r="FT15" s="697" t="n">
        <v>2</v>
      </c>
      <c r="FU15" s="697" t="n">
        <v>0</v>
      </c>
      <c r="FV15" s="697" t="n"/>
      <c r="FW15" s="699" t="n"/>
      <c r="FX15" s="699" t="n"/>
      <c r="FY15" s="431">
        <f>FW15+IF(NOT(ISBLANK(OFFSET(FY15,0,6))),N(OFFSET(FY15,0,6)),N(OFFSET(FY15,0,7)))-FX15</f>
        <v/>
      </c>
    </row>
    <row r="16" customFormat="1" s="3">
      <c r="A16" s="37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2" t="n"/>
      <c r="F16" s="697">
        <f>0+FJ16</f>
        <v/>
      </c>
      <c r="G16" s="697">
        <f>4+FH16</f>
        <v/>
      </c>
      <c r="H16" s="697" t="n">
        <v>8</v>
      </c>
      <c r="I16" s="697" t="n">
        <v>7</v>
      </c>
      <c r="J16" s="697" t="n">
        <v>7</v>
      </c>
      <c r="K16" s="697" t="n">
        <v>6</v>
      </c>
      <c r="L16" s="697" t="n">
        <v>5</v>
      </c>
      <c r="M16" s="697">
        <f>5+EZ16</f>
        <v/>
      </c>
      <c r="N16" s="697" t="n">
        <v>5</v>
      </c>
      <c r="O16" s="697" t="n">
        <v>4</v>
      </c>
      <c r="P16" s="697">
        <f>2+EX16</f>
        <v/>
      </c>
      <c r="Q16" s="697">
        <f>3+EW16</f>
        <v/>
      </c>
      <c r="R16" s="697" t="n">
        <v>8</v>
      </c>
      <c r="S16" s="697" t="n">
        <v>8</v>
      </c>
      <c r="T16" s="697" t="n">
        <v>8</v>
      </c>
      <c r="U16" s="697" t="n">
        <v>7</v>
      </c>
      <c r="V16" s="697" t="n">
        <v>6</v>
      </c>
      <c r="W16" s="697" t="n">
        <v>5</v>
      </c>
      <c r="X16" s="697" t="n">
        <v>4</v>
      </c>
      <c r="Y16" s="697" t="n">
        <v>5</v>
      </c>
      <c r="Z16" s="697" t="n">
        <v>3</v>
      </c>
      <c r="AA16" s="697" t="n">
        <v>3</v>
      </c>
      <c r="AB16" s="697" t="n">
        <v>2</v>
      </c>
      <c r="AC16" s="697">
        <f>1+EF16</f>
        <v/>
      </c>
      <c r="AD16" s="697" t="n">
        <v>5</v>
      </c>
      <c r="AE16" s="697" t="n">
        <v>5</v>
      </c>
      <c r="AF16" s="697" t="n">
        <v>4</v>
      </c>
      <c r="AG16" s="697">
        <f>3+EB16</f>
        <v/>
      </c>
      <c r="AH16" s="697">
        <f>3+DZ16</f>
        <v/>
      </c>
      <c r="AI16" s="697" t="n">
        <v>2</v>
      </c>
      <c r="AJ16" s="697" t="n">
        <v>7</v>
      </c>
      <c r="AK16" s="697" t="n">
        <v>5</v>
      </c>
      <c r="AL16" s="697" t="n">
        <v>4</v>
      </c>
      <c r="AM16" s="697">
        <f>3+DS16</f>
        <v/>
      </c>
      <c r="AN16" s="697" t="n">
        <v>5</v>
      </c>
      <c r="AO16" s="697" t="n">
        <v>3</v>
      </c>
      <c r="AP16" s="697">
        <f>2+DP16</f>
        <v/>
      </c>
      <c r="AQ16" s="697" t="n">
        <v>5</v>
      </c>
      <c r="AR16" s="697" t="n">
        <v>5</v>
      </c>
      <c r="AS16" s="697" t="n">
        <v>3</v>
      </c>
      <c r="AT16" s="697">
        <f>3+DH16</f>
        <v/>
      </c>
      <c r="AU16" s="697" t="n">
        <v>4</v>
      </c>
      <c r="AV16" s="697" t="n">
        <v>3</v>
      </c>
      <c r="AW16" s="697" t="n">
        <v>2</v>
      </c>
      <c r="AX16" s="697" t="n">
        <v>1</v>
      </c>
      <c r="AY16" s="697">
        <f>1+DB16</f>
        <v/>
      </c>
      <c r="AZ16" s="697" t="n">
        <v>2</v>
      </c>
      <c r="BA16" s="697" t="n">
        <v>1</v>
      </c>
      <c r="BB16" s="697">
        <f>0+DA16</f>
        <v/>
      </c>
      <c r="BC16" s="697" t="n">
        <v>4</v>
      </c>
      <c r="BD16" s="697" t="n">
        <v>4</v>
      </c>
      <c r="BE16" s="697" t="n">
        <v>2</v>
      </c>
      <c r="BF16" s="697" t="n">
        <v>0</v>
      </c>
      <c r="BG16" s="697" t="n">
        <v>3</v>
      </c>
      <c r="BH16" s="697">
        <f>2+CV16+CU16</f>
        <v/>
      </c>
      <c r="BI16" s="697" t="n">
        <v>8</v>
      </c>
      <c r="BJ16" s="697" t="n">
        <v>8</v>
      </c>
      <c r="BK16" s="697" t="n">
        <v>8</v>
      </c>
      <c r="BL16" s="697" t="n">
        <v>7</v>
      </c>
      <c r="BM16" s="697" t="n">
        <v>6</v>
      </c>
      <c r="BN16" s="697" t="n">
        <v>5</v>
      </c>
      <c r="BO16" s="697" t="n">
        <v>5</v>
      </c>
      <c r="BP16" s="697" t="n">
        <v>2</v>
      </c>
      <c r="BQ16" s="697">
        <f>2+CN16</f>
        <v/>
      </c>
      <c r="BR16" s="697" t="n">
        <v>4</v>
      </c>
      <c r="BS16" s="697" t="n">
        <v>3</v>
      </c>
      <c r="BT16" s="697" t="n">
        <v>2</v>
      </c>
      <c r="BU16" s="697" t="n">
        <v>3</v>
      </c>
      <c r="BV16" s="697" t="n">
        <v>2</v>
      </c>
      <c r="BW16" s="697" t="n">
        <v>2</v>
      </c>
      <c r="BX16" s="697">
        <f>1+CI16</f>
        <v/>
      </c>
      <c r="BY16" s="697">
        <f>3+CH16</f>
        <v/>
      </c>
      <c r="BZ16" s="697" t="n"/>
      <c r="CA16" s="699" t="n"/>
      <c r="CB16" s="699" t="n"/>
      <c r="CC16" s="192">
        <f>CA16+IF(NOT(ISBLANK(OFFSET(CC16,0,6))),N(OFFSET(CC16,0,6)),N(OFFSET(CC16,0,7)))-CB16</f>
        <v/>
      </c>
      <c r="CE16" s="22" t="n">
        <v>2</v>
      </c>
      <c r="CF16" s="4" t="n"/>
      <c r="CG16" s="49" t="n"/>
      <c r="CH16" s="757" t="n">
        <v>0</v>
      </c>
      <c r="CI16" s="23" t="n">
        <v>0</v>
      </c>
      <c r="CJ16" s="23" t="n">
        <v>2</v>
      </c>
      <c r="CK16" s="23" t="n">
        <v>3</v>
      </c>
      <c r="CL16" s="23" t="n">
        <v>2</v>
      </c>
      <c r="CM16" s="23" t="n"/>
      <c r="CN16" s="23" t="n"/>
      <c r="CO16" s="23" t="n"/>
      <c r="CP16" s="23" t="n">
        <v>3</v>
      </c>
      <c r="CQ16" s="23" t="n"/>
      <c r="CR16" s="23" t="n"/>
      <c r="CS16" s="23" t="n"/>
      <c r="CT16" s="23" t="n"/>
      <c r="CU16" s="23" t="n"/>
      <c r="CV16" s="23" t="n">
        <v>3</v>
      </c>
      <c r="CW16" s="23" t="n">
        <v>2</v>
      </c>
      <c r="CX16" s="23" t="n">
        <v>2</v>
      </c>
      <c r="CY16" s="23" t="n">
        <v>4</v>
      </c>
      <c r="CZ16" s="23" t="n"/>
      <c r="DA16" s="23" t="n">
        <v>2</v>
      </c>
      <c r="DB16" s="23" t="n"/>
      <c r="DC16" s="23" t="n">
        <v>5</v>
      </c>
      <c r="DD16" s="23" t="n">
        <v>3</v>
      </c>
      <c r="DE16" s="23" t="n">
        <v>2</v>
      </c>
      <c r="DF16" s="23" t="n"/>
      <c r="DG16" s="219" t="n"/>
      <c r="DH16" s="23" t="n"/>
      <c r="DI16" s="23" t="n"/>
      <c r="DJ16" s="23" t="n">
        <v>2</v>
      </c>
      <c r="DK16" s="23" t="n"/>
      <c r="DL16" s="23" t="n"/>
      <c r="DM16" s="219" t="n"/>
      <c r="DN16" s="219" t="n"/>
      <c r="DO16" s="23" t="n"/>
      <c r="DP16" s="219" t="n"/>
      <c r="DQ16" s="23" t="n">
        <v>2</v>
      </c>
      <c r="DR16" s="23" t="n">
        <v>2</v>
      </c>
      <c r="DS16" s="23" t="n"/>
      <c r="DT16" s="23" t="n">
        <v>1</v>
      </c>
      <c r="DU16" s="23" t="n">
        <v>1</v>
      </c>
      <c r="DV16" s="23" t="n"/>
      <c r="DW16" s="23" t="n"/>
      <c r="DX16" s="23" t="n"/>
      <c r="DY16" s="23" t="n"/>
      <c r="DZ16" s="23" t="n">
        <v>5</v>
      </c>
      <c r="EA16" s="219" t="n"/>
      <c r="EB16" s="23" t="n">
        <v>1</v>
      </c>
      <c r="EC16" s="219" t="n"/>
      <c r="ED16" s="23" t="n">
        <v>1</v>
      </c>
      <c r="EE16" s="23" t="n"/>
      <c r="EF16" s="23" t="n"/>
      <c r="EG16" s="23" t="n">
        <v>1</v>
      </c>
      <c r="EH16" s="23" t="n">
        <v>4</v>
      </c>
      <c r="EI16" s="23" t="n"/>
      <c r="EJ16" s="23" t="n"/>
      <c r="EK16" s="219" t="n"/>
      <c r="EL16" s="219" t="n"/>
      <c r="EM16" s="23" t="n"/>
      <c r="EN16" s="219" t="n"/>
      <c r="EO16" s="23" t="n"/>
      <c r="EP16" s="23" t="n">
        <v>3</v>
      </c>
      <c r="EQ16" s="23" t="n"/>
      <c r="ER16" s="23" t="n"/>
      <c r="ES16" s="23" t="n"/>
      <c r="ET16" s="219" t="n"/>
      <c r="EU16" s="23" t="n"/>
      <c r="EV16" s="219" t="n">
        <v>3</v>
      </c>
      <c r="EW16" s="23" t="n">
        <v>3</v>
      </c>
      <c r="EX16" s="316" t="n"/>
      <c r="EY16" s="23" t="n">
        <v>5</v>
      </c>
      <c r="EZ16" s="23" t="n">
        <v>2</v>
      </c>
      <c r="FA16" s="23" t="n"/>
      <c r="FB16" s="23" t="n">
        <v>1</v>
      </c>
      <c r="FC16" s="23" t="n"/>
      <c r="FD16" s="23" t="n"/>
      <c r="FE16" s="23" t="n"/>
      <c r="FF16" s="23" t="n"/>
      <c r="FG16" s="23" t="n"/>
      <c r="FH16" s="23" t="n"/>
      <c r="FI16" s="23" t="n"/>
      <c r="FJ16" s="23" t="n">
        <v>5</v>
      </c>
      <c r="FK16" s="219" t="n"/>
      <c r="FL16" s="23" t="n">
        <v>4</v>
      </c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2" t="n"/>
      <c r="F17" s="697">
        <f>3+#REF!+FJ17</f>
        <v/>
      </c>
      <c r="G17" s="697">
        <f>4+FH17</f>
        <v/>
      </c>
      <c r="H17" s="697" t="n">
        <v>6</v>
      </c>
      <c r="I17" s="697" t="n">
        <v>5</v>
      </c>
      <c r="J17" s="697" t="n">
        <v>4</v>
      </c>
      <c r="K17" s="697">
        <f>3+FC17</f>
        <v/>
      </c>
      <c r="L17" s="697" t="n">
        <v>4</v>
      </c>
      <c r="M17" s="697" t="n">
        <v>3</v>
      </c>
      <c r="N17" s="697" t="n">
        <v>2</v>
      </c>
      <c r="O17" s="697" t="n">
        <v>3</v>
      </c>
      <c r="P17" s="697">
        <f>2+EX17</f>
        <v/>
      </c>
      <c r="Q17" s="697">
        <f>4+EW17</f>
        <v/>
      </c>
      <c r="R17" s="697" t="n">
        <v>3</v>
      </c>
      <c r="S17" s="697" t="n">
        <v>5</v>
      </c>
      <c r="T17" s="697" t="n">
        <v>5</v>
      </c>
      <c r="U17" s="697" t="n">
        <v>4</v>
      </c>
      <c r="V17" s="697" t="n">
        <v>3</v>
      </c>
      <c r="W17" s="697" t="n">
        <v>2</v>
      </c>
      <c r="X17" s="697" t="n">
        <v>4</v>
      </c>
      <c r="Y17" s="697" t="n">
        <v>2</v>
      </c>
      <c r="Z17" s="697">
        <f>1+EM17</f>
        <v/>
      </c>
      <c r="AA17" s="697">
        <f>1+3</f>
        <v/>
      </c>
      <c r="AB17" s="697" t="n">
        <v>3</v>
      </c>
      <c r="AC17" s="697">
        <f>2+EF17</f>
        <v/>
      </c>
      <c r="AD17" s="697" t="n">
        <v>2</v>
      </c>
      <c r="AE17" s="697">
        <f>2+ED17</f>
        <v/>
      </c>
      <c r="AF17" s="697">
        <f>3+EC17</f>
        <v/>
      </c>
      <c r="AG17" s="697">
        <f>4+EB17</f>
        <v/>
      </c>
      <c r="AH17" s="697" t="n">
        <v>4</v>
      </c>
      <c r="AI17" s="697" t="n">
        <v>4</v>
      </c>
      <c r="AJ17" s="697" t="n">
        <v>4</v>
      </c>
      <c r="AK17" s="697" t="n">
        <v>2</v>
      </c>
      <c r="AL17" s="697" t="n">
        <v>1</v>
      </c>
      <c r="AM17" s="697" t="n">
        <v>3</v>
      </c>
      <c r="AN17" s="697" t="n">
        <v>4</v>
      </c>
      <c r="AO17" s="697" t="n">
        <v>3</v>
      </c>
      <c r="AP17" s="697">
        <f>2+DP17</f>
        <v/>
      </c>
      <c r="AQ17" s="697" t="n">
        <v>3</v>
      </c>
      <c r="AR17" s="697">
        <f>3+DM17</f>
        <v/>
      </c>
      <c r="AS17" s="697" t="n">
        <v>3</v>
      </c>
      <c r="AT17" s="697">
        <f>2+DH17</f>
        <v/>
      </c>
      <c r="AU17" s="697">
        <f>3+DG17</f>
        <v/>
      </c>
      <c r="AV17" s="697" t="n">
        <v>3</v>
      </c>
      <c r="AW17" s="697">
        <f>3+DD17</f>
        <v/>
      </c>
      <c r="AX17" s="697" t="n">
        <v>2</v>
      </c>
      <c r="AY17" s="697">
        <f>2+DB17</f>
        <v/>
      </c>
      <c r="AZ17" s="697" t="n">
        <v>5</v>
      </c>
      <c r="BA17" s="697" t="n">
        <v>4</v>
      </c>
      <c r="BB17" s="697">
        <f>3+DA17</f>
        <v/>
      </c>
      <c r="BC17" s="697">
        <f>2+CZ17</f>
        <v/>
      </c>
      <c r="BD17" s="697" t="n">
        <v>3</v>
      </c>
      <c r="BE17" s="697" t="n">
        <v>6</v>
      </c>
      <c r="BF17" s="697" t="n">
        <v>5</v>
      </c>
      <c r="BG17" s="697" t="n">
        <v>7</v>
      </c>
      <c r="BH17" s="697">
        <f>6+CV17</f>
        <v/>
      </c>
      <c r="BI17" s="697" t="n">
        <v>8</v>
      </c>
      <c r="BJ17" s="697" t="n">
        <v>7</v>
      </c>
      <c r="BK17" s="697" t="n">
        <v>7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4</v>
      </c>
      <c r="BR17" s="697" t="n">
        <v>4</v>
      </c>
      <c r="BS17" s="697" t="n">
        <v>3</v>
      </c>
      <c r="BT17" s="697" t="n">
        <v>3</v>
      </c>
      <c r="BU17" s="697" t="n">
        <v>5</v>
      </c>
      <c r="BV17" s="697" t="n">
        <v>5</v>
      </c>
      <c r="BW17" s="697" t="n">
        <v>4</v>
      </c>
      <c r="BX17" s="697" t="n">
        <v>3</v>
      </c>
      <c r="BY17" s="697">
        <f>1+CH17</f>
        <v/>
      </c>
      <c r="BZ17" s="697" t="n"/>
      <c r="CA17" s="699" t="n"/>
      <c r="CB17" s="699" t="n"/>
      <c r="CC17" s="192">
        <f>CA17+IF(NOT(ISBLANK(OFFSET(CC17,0,6))),N(OFFSET(CC17,0,6)),N(OFFSET(CC17,0,7)))-CB17</f>
        <v/>
      </c>
      <c r="CE17" s="22" t="n">
        <v>1</v>
      </c>
      <c r="CF17" s="4" t="n"/>
      <c r="CG17" s="49" t="n"/>
      <c r="CH17" s="757" t="n">
        <v>0</v>
      </c>
      <c r="CI17" s="23" t="n">
        <v>0</v>
      </c>
      <c r="CJ17" s="23" t="n">
        <v>1</v>
      </c>
      <c r="CK17" s="23" t="n">
        <v>0</v>
      </c>
      <c r="CL17" s="23" t="n">
        <v>3</v>
      </c>
      <c r="CM17" s="23" t="n"/>
      <c r="CN17" s="23" t="n"/>
      <c r="CO17" s="23" t="n"/>
      <c r="CP17" s="23" t="n"/>
      <c r="CQ17" s="23" t="n">
        <v>1</v>
      </c>
      <c r="CR17" s="23" t="n"/>
      <c r="CS17" s="23" t="n"/>
      <c r="CT17" s="23" t="n"/>
      <c r="CU17" s="23" t="n"/>
      <c r="CV17" s="23" t="n"/>
      <c r="CW17" s="23" t="n"/>
      <c r="CX17" s="23" t="n">
        <v>2</v>
      </c>
      <c r="CY17" s="23" t="n">
        <v>3</v>
      </c>
      <c r="CZ17" s="23" t="n"/>
      <c r="DA17" s="23" t="n">
        <v>6</v>
      </c>
      <c r="DB17" s="23" t="n">
        <v>2</v>
      </c>
      <c r="DC17" s="23" t="n">
        <v>1</v>
      </c>
      <c r="DD17" s="23" t="n">
        <v>4</v>
      </c>
      <c r="DE17" s="23" t="n"/>
      <c r="DF17" s="23" t="n">
        <v>1</v>
      </c>
      <c r="DG17" s="219" t="n"/>
      <c r="DH17" s="23" t="n"/>
      <c r="DI17" s="23" t="n">
        <v>1</v>
      </c>
      <c r="DJ17" s="23" t="n">
        <v>1</v>
      </c>
      <c r="DK17" s="23" t="n"/>
      <c r="DL17" s="23" t="n"/>
      <c r="DM17" s="219" t="n"/>
      <c r="DN17" s="219" t="n"/>
      <c r="DO17" s="23" t="n">
        <v>1</v>
      </c>
      <c r="DP17" s="219" t="n"/>
      <c r="DQ17" s="23" t="n">
        <v>1</v>
      </c>
      <c r="DR17" s="23" t="n">
        <v>1</v>
      </c>
      <c r="DS17" s="23" t="n"/>
      <c r="DT17" s="23" t="n">
        <v>1</v>
      </c>
      <c r="DU17" s="23" t="n"/>
      <c r="DV17" s="23" t="n">
        <v>3</v>
      </c>
      <c r="DW17" s="23" t="n"/>
      <c r="DX17" s="23" t="n"/>
      <c r="DY17" s="23" t="n"/>
      <c r="DZ17" s="23" t="n"/>
      <c r="EA17" s="219" t="n"/>
      <c r="EB17" s="23" t="n"/>
      <c r="EC17" s="219" t="n"/>
      <c r="ED17" s="23" t="n">
        <v>1</v>
      </c>
      <c r="EE17" s="23" t="n">
        <v>1</v>
      </c>
      <c r="EF17" s="23" t="n">
        <v>2</v>
      </c>
      <c r="EG17" s="23" t="n">
        <v>1</v>
      </c>
      <c r="EH17" s="23" t="n">
        <v>1</v>
      </c>
      <c r="EI17" s="23" t="n"/>
      <c r="EJ17" s="282" t="inlineStr">
        <is>
          <t>03 DE BSH</t>
        </is>
      </c>
      <c r="EK17" s="219" t="n"/>
      <c r="EL17" s="219" t="n"/>
      <c r="EM17" s="23" t="n"/>
      <c r="EN17" s="219" t="n"/>
      <c r="EO17" s="23" t="n">
        <v>1</v>
      </c>
      <c r="EP17" s="23" t="n"/>
      <c r="EQ17" s="23" t="n">
        <v>2</v>
      </c>
      <c r="ER17" s="23" t="n"/>
      <c r="ES17" s="23" t="n"/>
      <c r="ET17" s="219" t="n"/>
      <c r="EU17" s="23" t="n"/>
      <c r="EV17" s="219" t="n"/>
      <c r="EW17" s="23" t="n">
        <v>2</v>
      </c>
      <c r="EX17" s="23" t="n"/>
      <c r="EY17" s="23" t="n">
        <v>1</v>
      </c>
      <c r="EZ17" s="23" t="n">
        <v>3</v>
      </c>
      <c r="FA17" s="23" t="n">
        <v>2</v>
      </c>
      <c r="FB17" s="23" t="n"/>
      <c r="FC17" s="23" t="n"/>
      <c r="FD17" s="23" t="n"/>
      <c r="FE17" s="23" t="n">
        <v>1</v>
      </c>
      <c r="FF17" s="23" t="n"/>
      <c r="FG17" s="23" t="n"/>
      <c r="FH17" s="23" t="n"/>
      <c r="FI17" s="23" t="n"/>
      <c r="FJ17" s="23" t="n">
        <v>2</v>
      </c>
      <c r="FK17" s="219" t="n"/>
      <c r="FL17" s="23" t="n">
        <v>1</v>
      </c>
    </row>
    <row r="18" ht="14.25" customFormat="1" customHeight="1" s="3">
      <c r="A18" s="35" t="n"/>
      <c r="C18" s="763" t="n"/>
      <c r="D18" s="450" t="n"/>
      <c r="CE18" s="48" t="n"/>
      <c r="CG18" s="61" t="n"/>
      <c r="CN18" s="250" t="n"/>
      <c r="DM18" s="372" t="n"/>
      <c r="DN18" s="372" t="n"/>
      <c r="DP18" s="372" t="n"/>
      <c r="EA18" s="250" t="n"/>
      <c r="EC18" s="250" t="n"/>
      <c r="EK18" s="19" t="n"/>
      <c r="EL18" s="19" t="n"/>
      <c r="EN18" s="372" t="n"/>
      <c r="ET18" s="19" t="n"/>
      <c r="EV18" s="19" t="n"/>
      <c r="FK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46161.48022637732</v>
      </c>
      <c r="CB19" s="747" t="n">
        <v>46161.48088573524</v>
      </c>
      <c r="CC19" s="748" t="inlineStr">
        <is>
          <t>USOU</t>
        </is>
      </c>
      <c r="CE19" s="44" t="inlineStr">
        <is>
          <t>Pendências</t>
        </is>
      </c>
      <c r="CF19" s="5" t="n"/>
      <c r="CG19" s="12" t="inlineStr">
        <is>
          <t>Novo Pedido</t>
        </is>
      </c>
      <c r="CH19" s="733" t="n">
        <v>46161.48088448711</v>
      </c>
      <c r="CI19" s="734" t="n">
        <v>46156</v>
      </c>
      <c r="CJ19" s="734" t="n">
        <v>46149</v>
      </c>
      <c r="CK19" s="734" t="n">
        <v>46142</v>
      </c>
      <c r="CL19" s="734" t="n">
        <v>46114</v>
      </c>
      <c r="CM19" s="734" t="n">
        <v>46107</v>
      </c>
      <c r="CN19" s="735" t="n">
        <v>46065</v>
      </c>
      <c r="CO19" s="734" t="n">
        <v>46099</v>
      </c>
      <c r="CP19" s="734" t="n">
        <v>46092</v>
      </c>
      <c r="CQ19" s="734" t="n">
        <v>46084</v>
      </c>
      <c r="CR19" s="734" t="n">
        <v>46071</v>
      </c>
      <c r="CS19" s="734" t="n">
        <v>46056</v>
      </c>
      <c r="CT19" s="734" t="n">
        <v>46048</v>
      </c>
      <c r="CU19" s="734" t="n">
        <v>46043</v>
      </c>
      <c r="CV19" s="734" t="n">
        <v>46035</v>
      </c>
      <c r="CW19" s="734" t="n">
        <v>46029</v>
      </c>
      <c r="CX19" s="734" t="n">
        <v>46024</v>
      </c>
      <c r="CY19" s="734" t="n">
        <v>46017</v>
      </c>
      <c r="CZ19" s="734" t="n">
        <v>46007</v>
      </c>
      <c r="DA19" s="734" t="n">
        <v>46001</v>
      </c>
      <c r="DB19" s="734" t="n">
        <v>45994</v>
      </c>
      <c r="DC19" s="734" t="n">
        <v>45980</v>
      </c>
      <c r="DD19" s="734" t="n">
        <v>45965</v>
      </c>
      <c r="DE19" s="734" t="n">
        <v>45960</v>
      </c>
      <c r="DF19" s="734" t="n">
        <v>45951</v>
      </c>
      <c r="DG19" s="737" t="n">
        <v>45903</v>
      </c>
      <c r="DH19" s="734" t="n">
        <v>45945</v>
      </c>
      <c r="DI19" s="734" t="n">
        <v>45937</v>
      </c>
      <c r="DJ19" s="734" t="n">
        <v>45931</v>
      </c>
      <c r="DK19" s="736" t="n">
        <v>45937</v>
      </c>
      <c r="DL19" s="734" t="n">
        <v>45923</v>
      </c>
      <c r="DM19" s="754" t="n">
        <v>45924</v>
      </c>
      <c r="DN19" s="754" t="n">
        <v>45923</v>
      </c>
      <c r="DO19" s="734" t="n">
        <v>45915</v>
      </c>
      <c r="DP19" s="738" t="n">
        <v>45863</v>
      </c>
      <c r="DQ19" s="734" t="n">
        <v>45909</v>
      </c>
      <c r="DR19" s="734" t="n">
        <v>45903</v>
      </c>
      <c r="DS19" s="734" t="n">
        <v>45895</v>
      </c>
      <c r="DT19" s="734" t="n">
        <v>45888</v>
      </c>
      <c r="DU19" s="734" t="n">
        <v>45881</v>
      </c>
      <c r="DV19" s="734" t="n">
        <v>45874</v>
      </c>
      <c r="DW19" s="739" t="n">
        <v>45880</v>
      </c>
      <c r="DX19" s="734" t="n">
        <v>45867</v>
      </c>
      <c r="DY19" s="739" t="n">
        <v>45863</v>
      </c>
      <c r="DZ19" s="734" t="n">
        <v>45860</v>
      </c>
      <c r="EA19" s="741" t="n">
        <v>45856</v>
      </c>
      <c r="EB19" s="734" t="n">
        <v>45848</v>
      </c>
      <c r="EC19" s="739" t="n">
        <v>45791</v>
      </c>
      <c r="ED19" s="734" t="n">
        <v>45839</v>
      </c>
      <c r="EE19" s="734" t="n">
        <v>45832</v>
      </c>
      <c r="EF19" s="734" t="n">
        <v>45825</v>
      </c>
      <c r="EG19" s="734" t="n">
        <v>45819</v>
      </c>
      <c r="EH19" s="734" t="n">
        <v>45813</v>
      </c>
      <c r="EI19" s="734" t="n">
        <v>45798</v>
      </c>
      <c r="EJ19" s="736" t="n">
        <v>45813</v>
      </c>
      <c r="EK19" s="740" t="n">
        <v>45810</v>
      </c>
      <c r="EL19" s="740" t="n">
        <v>45806</v>
      </c>
      <c r="EM19" s="736" t="n">
        <v>45806</v>
      </c>
      <c r="EN19" s="742" t="n">
        <v>45735</v>
      </c>
      <c r="EO19" s="734" t="n">
        <v>45790</v>
      </c>
      <c r="EP19" s="734" t="n">
        <v>45783</v>
      </c>
      <c r="EQ19" s="734" t="n">
        <v>45770</v>
      </c>
      <c r="ER19" s="734" t="n">
        <v>45756</v>
      </c>
      <c r="ES19" s="736" t="n">
        <v>45770</v>
      </c>
      <c r="ET19" s="740" t="n">
        <v>45750</v>
      </c>
      <c r="EU19" s="734" t="n">
        <v>45743</v>
      </c>
      <c r="EV19" s="740" t="n">
        <v>45700</v>
      </c>
      <c r="EW19" s="734" t="n">
        <v>45734</v>
      </c>
      <c r="EX19" s="736" t="n">
        <v>45731</v>
      </c>
      <c r="EY19" s="734" t="n">
        <v>45728</v>
      </c>
      <c r="EZ19" s="734" t="n">
        <v>45722</v>
      </c>
      <c r="FA19" s="734" t="n">
        <v>45706</v>
      </c>
      <c r="FB19" s="734" t="n">
        <v>45699</v>
      </c>
      <c r="FC19" s="734" t="n">
        <v>45693</v>
      </c>
      <c r="FD19" s="736" t="n">
        <v>45693</v>
      </c>
      <c r="FE19" s="734" t="n">
        <v>45685</v>
      </c>
      <c r="FF19" s="734" t="n">
        <v>45674</v>
      </c>
      <c r="FG19" s="784" t="n">
        <v>45674</v>
      </c>
      <c r="FH19" s="734" t="n">
        <v>45664</v>
      </c>
      <c r="FI19" s="736" t="n">
        <v>45670</v>
      </c>
      <c r="FJ19" s="734" t="n">
        <v>45660</v>
      </c>
      <c r="FK19" s="744" t="n">
        <v>45663</v>
      </c>
      <c r="FL19" s="734" t="n">
        <v>45652</v>
      </c>
      <c r="FN19" s="304" t="inlineStr">
        <is>
          <t>CAIXAS</t>
        </is>
      </c>
      <c r="FO19" s="235" t="inlineStr">
        <is>
          <t>PCT</t>
        </is>
      </c>
      <c r="FP19" s="746" t="n">
        <v>46118</v>
      </c>
      <c r="FQ19" s="746" t="n">
        <v>46125</v>
      </c>
      <c r="FR19" s="746" t="n">
        <v>46132</v>
      </c>
      <c r="FS19" s="746" t="n">
        <v>46139</v>
      </c>
      <c r="FT19" s="746" t="n">
        <v>46146</v>
      </c>
      <c r="FU19" s="746" t="n">
        <v>46154</v>
      </c>
      <c r="FV19" s="746" t="n">
        <v>46160</v>
      </c>
      <c r="FW19" s="747" t="n">
        <v>46161.48022546296</v>
      </c>
      <c r="FX19" s="747" t="n">
        <v>46161.48088502435</v>
      </c>
      <c r="FY19" s="758" t="inlineStr">
        <is>
          <t>USOU</t>
        </is>
      </c>
    </row>
    <row r="20" customForma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162</v>
      </c>
      <c r="G20" s="697" t="n">
        <v>162</v>
      </c>
      <c r="H20" s="697" t="n">
        <v>159</v>
      </c>
      <c r="I20" s="697" t="n">
        <v>141</v>
      </c>
      <c r="J20" s="697" t="n">
        <v>122</v>
      </c>
      <c r="K20" s="697" t="n">
        <v>96</v>
      </c>
      <c r="L20" s="697">
        <f>78+FA20</f>
        <v/>
      </c>
      <c r="M20" s="697">
        <f>211+EZ20</f>
        <v/>
      </c>
      <c r="N20" s="697" t="n">
        <v>320</v>
      </c>
      <c r="O20" s="697" t="n">
        <v>284</v>
      </c>
      <c r="P20" s="697" t="n">
        <v>224</v>
      </c>
      <c r="Q20" s="697" t="n">
        <v>182</v>
      </c>
      <c r="R20" s="697" t="n">
        <v>140</v>
      </c>
      <c r="S20" s="697" t="n">
        <v>249</v>
      </c>
      <c r="T20" s="697" t="n">
        <v>228</v>
      </c>
      <c r="U20" s="697" t="n">
        <v>196</v>
      </c>
      <c r="V20" s="697" t="n">
        <v>181</v>
      </c>
      <c r="W20" s="697" t="n">
        <v>172</v>
      </c>
      <c r="X20" s="697" t="n">
        <v>162</v>
      </c>
      <c r="Y20" s="697" t="n">
        <v>156</v>
      </c>
      <c r="Z20" s="697" t="n">
        <v>146</v>
      </c>
      <c r="AA20" s="697" t="n">
        <v>112</v>
      </c>
      <c r="AB20" s="697" t="n">
        <v>70</v>
      </c>
      <c r="AC20" s="697">
        <f>62+EF20</f>
        <v/>
      </c>
      <c r="AD20" s="697" t="n">
        <v>201</v>
      </c>
      <c r="AE20" s="697" t="n">
        <v>220</v>
      </c>
      <c r="AF20" s="697" t="n">
        <v>209</v>
      </c>
      <c r="AG20" s="697" t="n">
        <v>205</v>
      </c>
      <c r="AH20" s="697" t="n">
        <v>189</v>
      </c>
      <c r="AI20" s="697" t="n">
        <v>166</v>
      </c>
      <c r="AJ20" s="697" t="n">
        <v>297</v>
      </c>
      <c r="AK20" s="697" t="n">
        <v>276</v>
      </c>
      <c r="AL20" s="697" t="n">
        <v>186</v>
      </c>
      <c r="AM20" s="697">
        <f>163+DS20</f>
        <v/>
      </c>
      <c r="AN20" s="697" t="n">
        <v>298</v>
      </c>
      <c r="AO20" s="697" t="n">
        <v>273</v>
      </c>
      <c r="AP20" s="697" t="n">
        <v>227</v>
      </c>
      <c r="AQ20" s="697" t="n">
        <v>145</v>
      </c>
      <c r="AR20" s="697">
        <f>109+DM20</f>
        <v/>
      </c>
      <c r="AS20" s="697" t="n">
        <v>231</v>
      </c>
      <c r="AT20" s="697" t="n">
        <v>199</v>
      </c>
      <c r="AU20" s="697">
        <f>162+DG20</f>
        <v/>
      </c>
      <c r="AV20" s="697" t="n">
        <v>434</v>
      </c>
      <c r="AW20" s="697" t="n">
        <v>419</v>
      </c>
      <c r="AX20" s="697" t="n">
        <v>385</v>
      </c>
      <c r="AY20" s="697" t="n">
        <v>362</v>
      </c>
      <c r="AZ20" s="697" t="n">
        <v>333</v>
      </c>
      <c r="BA20" s="697" t="n">
        <v>326</v>
      </c>
      <c r="BB20" s="697" t="n">
        <v>233</v>
      </c>
      <c r="BC20" s="697" t="n">
        <v>164</v>
      </c>
      <c r="BD20" s="697">
        <f>164+CY20</f>
        <v/>
      </c>
      <c r="BE20" s="697" t="n">
        <v>313</v>
      </c>
      <c r="BF20" s="697" t="n">
        <v>82</v>
      </c>
      <c r="BG20" s="697" t="n">
        <v>58</v>
      </c>
      <c r="BH20" s="697">
        <f>23+CV20</f>
        <v/>
      </c>
      <c r="BI20" s="697" t="n">
        <v>310</v>
      </c>
      <c r="BJ20" s="697" t="n">
        <v>305</v>
      </c>
      <c r="BK20" s="697" t="n">
        <v>288</v>
      </c>
      <c r="BL20" s="697" t="n">
        <v>251</v>
      </c>
      <c r="BM20" s="697" t="n">
        <v>242</v>
      </c>
      <c r="BN20" s="697" t="n">
        <v>240</v>
      </c>
      <c r="BO20" s="697" t="n">
        <v>224</v>
      </c>
      <c r="BP20" s="697" t="n">
        <v>182</v>
      </c>
      <c r="BQ20" s="697" t="n">
        <v>170</v>
      </c>
      <c r="BR20" s="697">
        <f>152+CM20</f>
        <v/>
      </c>
      <c r="BS20" s="697" t="n">
        <v>293</v>
      </c>
      <c r="BT20" s="697" t="n"/>
      <c r="BU20" s="697" t="n"/>
      <c r="BV20" s="697" t="n"/>
      <c r="BW20" s="697" t="n">
        <v>262</v>
      </c>
      <c r="BX20" s="697" t="n">
        <v>260</v>
      </c>
      <c r="BY20" s="697" t="n">
        <v>257</v>
      </c>
      <c r="BZ20" s="697" t="n">
        <v>254</v>
      </c>
      <c r="CA20" s="699" t="n">
        <v>254</v>
      </c>
      <c r="CB20" s="699" t="n">
        <v>254</v>
      </c>
      <c r="CC20" s="192">
        <f>CA20+IF(NOT(ISBLANK(OFFSET(CC20,0,6))),N(OFFSET(CC20,0,6)),N(OFFSET(CC20,0,7)))-CB20</f>
        <v/>
      </c>
      <c r="CD20" s="50" t="n"/>
      <c r="CE20" s="22" t="n"/>
      <c r="CF20" s="4" t="n"/>
      <c r="CG20" s="49" t="n"/>
      <c r="CH20" s="757" t="n">
        <v>0</v>
      </c>
      <c r="CI20" s="23" t="n">
        <v>0</v>
      </c>
      <c r="CJ20" s="23" t="n">
        <v>0</v>
      </c>
      <c r="CK20" s="23" t="n">
        <v>0</v>
      </c>
      <c r="CL20" s="23" t="n">
        <v>0</v>
      </c>
      <c r="CM20" s="23" t="n"/>
      <c r="CN20" s="219" t="n">
        <v>300</v>
      </c>
      <c r="CO20" s="23" t="n">
        <v>150</v>
      </c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>
        <v>300</v>
      </c>
      <c r="CY20" s="23" t="n"/>
      <c r="CZ20" s="23" t="n"/>
      <c r="DA20" s="23" t="n">
        <v>150</v>
      </c>
      <c r="DB20" s="23" t="n"/>
      <c r="DC20" s="23" t="n"/>
      <c r="DD20" s="23" t="n"/>
      <c r="DE20" s="23" t="n"/>
      <c r="DF20" s="23" t="n"/>
      <c r="DG20" s="219" t="n">
        <v>150</v>
      </c>
      <c r="DH20" s="23" t="n"/>
      <c r="DI20" s="23" t="n">
        <v>150</v>
      </c>
      <c r="DJ20" s="23" t="n"/>
      <c r="DK20" s="23" t="n"/>
      <c r="DL20" s="23" t="n"/>
      <c r="DM20" s="219" t="n"/>
      <c r="DN20" s="219" t="n"/>
      <c r="DO20" s="23" t="n">
        <v>150</v>
      </c>
      <c r="DP20" s="219" t="n"/>
      <c r="DQ20" s="23" t="n"/>
      <c r="DR20" s="23" t="n"/>
      <c r="DS20" s="23" t="n"/>
      <c r="DT20" s="23" t="n"/>
      <c r="DU20" s="23" t="n">
        <v>150</v>
      </c>
      <c r="DV20" s="23" t="n"/>
      <c r="DW20" s="23" t="n"/>
      <c r="DX20" s="23" t="n"/>
      <c r="DY20" s="23" t="n"/>
      <c r="DZ20" s="23" t="n">
        <v>150</v>
      </c>
      <c r="EA20" s="219" t="n"/>
      <c r="EB20" s="23" t="n"/>
      <c r="EC20" s="219" t="n"/>
      <c r="ED20" s="23" t="n"/>
      <c r="EE20" s="23" t="n"/>
      <c r="EF20" s="23" t="n"/>
      <c r="EG20" s="23" t="n"/>
      <c r="EH20" s="23" t="n">
        <v>150</v>
      </c>
      <c r="EI20" s="23" t="n"/>
      <c r="EJ20" s="23" t="n"/>
      <c r="EK20" s="292" t="inlineStr">
        <is>
          <t>49 DE Q2</t>
        </is>
      </c>
      <c r="EL20" s="292" t="inlineStr">
        <is>
          <t>45 DE MD</t>
        </is>
      </c>
      <c r="EM20" s="23" t="n"/>
      <c r="EN20" s="219" t="n"/>
      <c r="EO20" s="23" t="n"/>
      <c r="EP20" s="23" t="n"/>
      <c r="EQ20" s="23" t="n"/>
      <c r="ER20" s="23" t="n"/>
      <c r="ES20" s="23" t="n"/>
      <c r="ET20" s="292" t="inlineStr">
        <is>
          <t>100 P/ Q7</t>
        </is>
      </c>
      <c r="EU20" s="23" t="n"/>
      <c r="EV20" s="219" t="n">
        <v>300</v>
      </c>
      <c r="EW20" s="23" t="n">
        <v>150</v>
      </c>
      <c r="EX20" s="23" t="n"/>
      <c r="EY20" s="23" t="n"/>
      <c r="EZ20" s="23" t="n"/>
      <c r="FA20" s="23" t="n"/>
      <c r="FB20" s="23" t="n">
        <v>150</v>
      </c>
      <c r="FC20" s="23" t="n">
        <v>150</v>
      </c>
      <c r="FD20" s="23" t="n"/>
      <c r="FE20" s="23" t="n"/>
      <c r="FF20" s="23" t="n"/>
      <c r="FG20" s="23" t="n"/>
      <c r="FH20" s="23" t="n"/>
      <c r="FI20" s="23" t="n"/>
      <c r="FJ20" s="23" t="n"/>
      <c r="FK20" s="219" t="n"/>
      <c r="FL20" s="23" t="n"/>
      <c r="FN20" s="300" t="inlineStr">
        <is>
          <t>CAIXA P</t>
        </is>
      </c>
      <c r="FO20" s="162" t="n">
        <v>150</v>
      </c>
      <c r="FP20" s="697">
        <f>CL20</f>
        <v/>
      </c>
      <c r="FQ20" s="697" t="n"/>
      <c r="FR20" s="697" t="n"/>
      <c r="FS20" s="697" t="n">
        <v>186</v>
      </c>
      <c r="FT20" s="697" t="n">
        <v>169</v>
      </c>
      <c r="FU20" s="697" t="n">
        <v>69</v>
      </c>
      <c r="FV20" s="697" t="n">
        <v>49</v>
      </c>
      <c r="FW20" s="699" t="n"/>
      <c r="FX20" s="699" t="n"/>
      <c r="FY20" s="431">
        <f>FW20+IF(NOT(ISBLANK(OFFSET(FY20,0,6))),N(OFFSET(FY20,0,6)),N(OFFSET(FY20,0,7)))-FX20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2" t="n"/>
      <c r="F21" s="31" t="n">
        <v>59</v>
      </c>
      <c r="G21" s="31">
        <f>18+FH21</f>
        <v/>
      </c>
      <c r="H21" s="31" t="n">
        <v>92</v>
      </c>
      <c r="I21" s="31">
        <f>53+FD21</f>
        <v/>
      </c>
      <c r="J21" s="31" t="n">
        <v>118</v>
      </c>
      <c r="K21" s="31">
        <f>67+70</f>
        <v/>
      </c>
      <c r="L21" s="31">
        <f>57+FA21</f>
        <v/>
      </c>
      <c r="M21" s="31">
        <f>91+EZ21</f>
        <v/>
      </c>
      <c r="N21" s="31" t="n">
        <v>142</v>
      </c>
      <c r="O21" s="31" t="n">
        <v>264</v>
      </c>
      <c r="P21" s="31" t="n">
        <v>124</v>
      </c>
      <c r="Q21" s="31">
        <f>89+EW21</f>
        <v/>
      </c>
      <c r="R21" s="31" t="n">
        <v>295</v>
      </c>
      <c r="S21" s="31" t="n">
        <v>316</v>
      </c>
      <c r="T21" s="31" t="n">
        <v>242</v>
      </c>
      <c r="U21" s="31" t="n">
        <v>153</v>
      </c>
      <c r="V21" s="31" t="n">
        <v>131</v>
      </c>
      <c r="W21" s="31" t="n">
        <v>219</v>
      </c>
      <c r="X21" s="31" t="n">
        <v>202</v>
      </c>
      <c r="Y21" s="31" t="n">
        <v>180</v>
      </c>
      <c r="Z21" s="31" t="n">
        <v>161</v>
      </c>
      <c r="AA21" s="31">
        <f>131+71</f>
        <v/>
      </c>
      <c r="AB21" s="31" t="n">
        <v>172</v>
      </c>
      <c r="AC21" s="31" t="n">
        <v>147</v>
      </c>
      <c r="AD21" s="31" t="n">
        <v>109</v>
      </c>
      <c r="AE21" s="31">
        <f>63+ED21</f>
        <v/>
      </c>
      <c r="AF21" s="31" t="n">
        <v>224</v>
      </c>
      <c r="AG21" s="31" t="n">
        <v>154</v>
      </c>
      <c r="AH21" s="31">
        <f>89+DZ21</f>
        <v/>
      </c>
      <c r="AI21" s="31" t="n">
        <v>126</v>
      </c>
      <c r="AJ21" s="31" t="n">
        <v>80</v>
      </c>
      <c r="AK21" s="31">
        <f>46+DV21</f>
        <v/>
      </c>
      <c r="AL21" s="31" t="n">
        <v>51</v>
      </c>
      <c r="AM21" s="31">
        <f>28+DS21</f>
        <v/>
      </c>
      <c r="AN21" s="31" t="n">
        <v>169</v>
      </c>
      <c r="AO21" s="31">
        <f>123+DQ21</f>
        <v/>
      </c>
      <c r="AP21" s="31" t="n">
        <v>275</v>
      </c>
      <c r="AQ21" s="31" t="n">
        <v>229</v>
      </c>
      <c r="AR21" s="31">
        <f>161+DM21</f>
        <v/>
      </c>
      <c r="AS21" s="31" t="n">
        <v>204</v>
      </c>
      <c r="AT21" s="31">
        <f>146+DH21</f>
        <v/>
      </c>
      <c r="AU21" s="31">
        <f>150+DG21</f>
        <v/>
      </c>
      <c r="AV21" s="31" t="n">
        <v>301</v>
      </c>
      <c r="AW21" s="31" t="n">
        <v>236</v>
      </c>
      <c r="AX21" s="31" t="n">
        <v>173</v>
      </c>
      <c r="AY21" s="31" t="n">
        <v>134</v>
      </c>
      <c r="AZ21" s="31" t="n">
        <v>105</v>
      </c>
      <c r="BA21" s="31" t="n">
        <v>104</v>
      </c>
      <c r="BB21" s="31" t="n">
        <v>6</v>
      </c>
      <c r="BC21" s="31" t="n">
        <v>3</v>
      </c>
      <c r="BD21" s="31">
        <f>3+CY21</f>
        <v/>
      </c>
      <c r="BE21" s="31" t="n">
        <v>103</v>
      </c>
      <c r="BF21" s="31" t="n">
        <v>106</v>
      </c>
      <c r="BG21" s="31" t="n">
        <v>68</v>
      </c>
      <c r="BH21" s="31">
        <f>61+CV21</f>
        <v/>
      </c>
      <c r="BI21" s="31" t="n">
        <v>241</v>
      </c>
      <c r="BJ21" s="31" t="n">
        <v>210</v>
      </c>
      <c r="BK21" s="31" t="n">
        <v>283</v>
      </c>
      <c r="BL21" s="31" t="n">
        <v>242</v>
      </c>
      <c r="BM21" s="31" t="n">
        <v>227</v>
      </c>
      <c r="BN21" s="31" t="n">
        <v>218</v>
      </c>
      <c r="BO21" s="31" t="n">
        <v>228</v>
      </c>
      <c r="BP21" s="31" t="n">
        <v>183</v>
      </c>
      <c r="BQ21" s="31">
        <f>167+CN21</f>
        <v/>
      </c>
      <c r="BR21" s="31" t="n">
        <v>244</v>
      </c>
      <c r="BS21" s="31" t="n">
        <v>203</v>
      </c>
      <c r="BT21" s="31" t="n"/>
      <c r="BU21" s="31" t="n"/>
      <c r="BV21" s="31" t="n"/>
      <c r="BW21" s="31" t="n">
        <v>156</v>
      </c>
      <c r="BX21" s="31" t="n">
        <v>153</v>
      </c>
      <c r="BY21" s="31" t="n">
        <v>151</v>
      </c>
      <c r="BZ21" s="31" t="n">
        <v>145</v>
      </c>
      <c r="CA21" s="766" t="n">
        <v>145</v>
      </c>
      <c r="CB21" s="766" t="n">
        <v>145</v>
      </c>
      <c r="CC21" s="192">
        <f>CA21+IF(NOT(ISBLANK(OFFSET(CC21,0,6))),N(OFFSET(CC21,0,6)),N(OFFSET(CC21,0,7)))-CB21</f>
        <v/>
      </c>
      <c r="CD21" s="50" t="n"/>
      <c r="CE21" s="210" t="n"/>
      <c r="CF21" s="4" t="n"/>
      <c r="CG21" s="49" t="n"/>
      <c r="CH21" s="757" t="n">
        <v>0</v>
      </c>
      <c r="CI21" s="23" t="n">
        <v>0</v>
      </c>
      <c r="CJ21" s="23" t="n">
        <v>0</v>
      </c>
      <c r="CK21" s="23" t="n">
        <v>0</v>
      </c>
      <c r="CL21" s="23" t="n">
        <v>0</v>
      </c>
      <c r="CM21" s="23" t="n"/>
      <c r="CN21" s="219" t="n">
        <v>400</v>
      </c>
      <c r="CO21" s="23" t="n"/>
      <c r="CP21" s="23" t="n">
        <v>100</v>
      </c>
      <c r="CQ21" s="23" t="n"/>
      <c r="CR21" s="23" t="n"/>
      <c r="CS21" s="23" t="n"/>
      <c r="CT21" s="23" t="n"/>
      <c r="CU21" s="23" t="n">
        <v>100</v>
      </c>
      <c r="CV21" s="23" t="n"/>
      <c r="CW21" s="23" t="n"/>
      <c r="CX21" s="23" t="n">
        <v>200</v>
      </c>
      <c r="CY21" s="23" t="n"/>
      <c r="CZ21" s="23" t="n"/>
      <c r="DA21" s="23" t="n">
        <v>100</v>
      </c>
      <c r="DB21" s="23" t="n"/>
      <c r="DC21" s="23" t="n"/>
      <c r="DD21" s="23" t="n"/>
      <c r="DE21" s="23" t="n"/>
      <c r="DF21" s="23" t="n"/>
      <c r="DG21" s="219" t="n">
        <v>600</v>
      </c>
      <c r="DH21" s="23" t="n"/>
      <c r="DI21" s="23" t="n">
        <v>100</v>
      </c>
      <c r="DJ21" s="23" t="n">
        <v>100</v>
      </c>
      <c r="DK21" s="23" t="n"/>
      <c r="DL21" s="23" t="n"/>
      <c r="DM21" s="219" t="n"/>
      <c r="DN21" s="437" t="inlineStr">
        <is>
          <t>05 P/ MD + 20 P/ BSH + 10 P/ GV + 15 P/ Q7 + 10 P/ Q2 + 10 P/ TTR + 10 P/ TDQ</t>
        </is>
      </c>
      <c r="DO21" s="23" t="n">
        <v>100</v>
      </c>
      <c r="DP21" s="219" t="n">
        <v>100</v>
      </c>
      <c r="DQ21" s="23" t="n"/>
      <c r="DR21" s="23" t="n"/>
      <c r="DS21" s="23" t="n">
        <v>200</v>
      </c>
      <c r="DT21" s="23" t="n"/>
      <c r="DU21" s="23" t="n">
        <v>200</v>
      </c>
      <c r="DV21" s="23" t="n"/>
      <c r="DW21" s="419" t="inlineStr">
        <is>
          <t>14 DE Q7</t>
        </is>
      </c>
      <c r="DX21" s="23" t="n">
        <v>100</v>
      </c>
      <c r="DY21" s="23" t="n"/>
      <c r="DZ21" s="23" t="n"/>
      <c r="EA21" s="219" t="n">
        <v>100</v>
      </c>
      <c r="EB21" s="23" t="n">
        <v>100</v>
      </c>
      <c r="EC21" s="219" t="n">
        <v>100</v>
      </c>
      <c r="ED21" s="23" t="n"/>
      <c r="EE21" s="23" t="n">
        <v>100</v>
      </c>
      <c r="EF21" s="23" t="n">
        <v>100</v>
      </c>
      <c r="EG21" s="23" t="n"/>
      <c r="EH21" s="23" t="n"/>
      <c r="EI21" s="23" t="n"/>
      <c r="EJ21" s="23" t="n"/>
      <c r="EK21" s="292" t="inlineStr">
        <is>
          <t>35 DE Q2</t>
        </is>
      </c>
      <c r="EL21" s="219" t="n"/>
      <c r="EM21" s="23" t="n"/>
      <c r="EN21" s="219" t="n">
        <v>200</v>
      </c>
      <c r="EO21" s="23" t="n"/>
      <c r="EP21" s="23" t="n"/>
      <c r="EQ21" s="23" t="n"/>
      <c r="ER21" s="23" t="n">
        <v>100</v>
      </c>
      <c r="ES21" s="23" t="n"/>
      <c r="ET21" s="219" t="n"/>
      <c r="EU21" s="23" t="n"/>
      <c r="EV21" s="219" t="n">
        <v>400</v>
      </c>
      <c r="EW21" s="23" t="n">
        <v>100</v>
      </c>
      <c r="EX21" s="736" t="inlineStr">
        <is>
          <t>50 DE GET</t>
        </is>
      </c>
      <c r="EY21" s="23" t="n">
        <v>300</v>
      </c>
      <c r="EZ21" s="23" t="n"/>
      <c r="FA21" s="23" t="n">
        <v>200</v>
      </c>
      <c r="FB21" s="23" t="n">
        <v>100</v>
      </c>
      <c r="FC21" s="23" t="n">
        <v>100</v>
      </c>
      <c r="FD21" s="282" t="inlineStr">
        <is>
          <t>70 DE MD</t>
        </is>
      </c>
      <c r="FE21" s="23" t="n"/>
      <c r="FF21" s="23" t="n">
        <v>100</v>
      </c>
      <c r="FG21" s="292" t="inlineStr">
        <is>
          <t>21 DE Q2</t>
        </is>
      </c>
      <c r="FH21" s="23" t="n"/>
      <c r="FI21" s="23" t="n"/>
      <c r="FJ21" s="23" t="n">
        <v>100</v>
      </c>
      <c r="FK21" s="260" t="inlineStr">
        <is>
          <t>20 DE Q7 + 54 DE MD</t>
        </is>
      </c>
      <c r="FL21" s="23" t="n"/>
      <c r="FN21" s="65" t="inlineStr">
        <is>
          <t>CAIXA M</t>
        </is>
      </c>
      <c r="FO21" s="699" t="n">
        <v>100</v>
      </c>
      <c r="FP21" s="697">
        <f>CL21</f>
        <v/>
      </c>
      <c r="FQ21" s="697" t="n"/>
      <c r="FR21" s="697" t="n"/>
      <c r="FS21" s="697" t="n">
        <v>356</v>
      </c>
      <c r="FT21" s="697" t="n">
        <v>331</v>
      </c>
      <c r="FU21" s="697" t="n">
        <v>197</v>
      </c>
      <c r="FV21" s="697" t="n">
        <v>177</v>
      </c>
      <c r="FW21" s="699" t="n"/>
      <c r="FX21" s="699" t="n"/>
      <c r="FY21" s="431">
        <f>FW21+IF(NOT(ISBLANK(OFFSET(FY21,0,6))),N(OFFSET(FY21,0,6)),N(OFFSET(FY21,0,7)))-FX21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726" t="n"/>
      <c r="F22" s="697" t="n">
        <v>42</v>
      </c>
      <c r="G22" s="697" t="n">
        <v>36</v>
      </c>
      <c r="H22" s="697" t="n">
        <v>30</v>
      </c>
      <c r="I22" s="697" t="n">
        <v>21</v>
      </c>
      <c r="J22" s="697" t="n">
        <v>71</v>
      </c>
      <c r="K22" s="697" t="n">
        <v>63</v>
      </c>
      <c r="L22" s="697" t="n">
        <v>71</v>
      </c>
      <c r="M22" s="697" t="n">
        <v>71</v>
      </c>
      <c r="N22" s="697" t="n">
        <v>65</v>
      </c>
      <c r="O22" s="697" t="n">
        <v>65</v>
      </c>
      <c r="P22" s="697" t="n">
        <v>63</v>
      </c>
      <c r="Q22" s="697" t="n">
        <v>63</v>
      </c>
      <c r="R22" s="697" t="n">
        <v>63</v>
      </c>
      <c r="S22" s="697" t="n">
        <v>63</v>
      </c>
      <c r="T22" s="697" t="n">
        <v>60</v>
      </c>
      <c r="U22" s="697" t="n">
        <v>60</v>
      </c>
      <c r="V22" s="697" t="n">
        <v>58</v>
      </c>
      <c r="W22" s="697" t="n">
        <v>58</v>
      </c>
      <c r="X22" s="697" t="n">
        <v>58</v>
      </c>
      <c r="Y22" s="697" t="n">
        <v>58</v>
      </c>
      <c r="Z22" s="697" t="n">
        <v>54</v>
      </c>
      <c r="AA22" s="697" t="n">
        <v>56</v>
      </c>
      <c r="AB22" s="697" t="n">
        <v>56</v>
      </c>
      <c r="AC22" s="697" t="n">
        <v>56</v>
      </c>
      <c r="AD22" s="697" t="n">
        <v>56</v>
      </c>
      <c r="AE22" s="697" t="n">
        <v>54</v>
      </c>
      <c r="AF22" s="697" t="n">
        <v>54</v>
      </c>
      <c r="AG22" s="697" t="n">
        <v>50</v>
      </c>
      <c r="AH22" s="697" t="n">
        <v>50</v>
      </c>
      <c r="AI22" s="697" t="n">
        <v>50</v>
      </c>
      <c r="AJ22" s="697" t="n">
        <v>50</v>
      </c>
      <c r="AK22" s="697" t="n">
        <v>50</v>
      </c>
      <c r="AL22" s="697" t="n">
        <v>49</v>
      </c>
      <c r="AM22" s="697" t="n">
        <v>48</v>
      </c>
      <c r="AN22" s="697" t="n">
        <v>48</v>
      </c>
      <c r="AO22" s="697" t="n">
        <v>48</v>
      </c>
      <c r="AP22" s="697" t="n">
        <v>48</v>
      </c>
      <c r="AQ22" s="697" t="n">
        <v>48</v>
      </c>
      <c r="AR22" s="697" t="n">
        <v>43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43</v>
      </c>
      <c r="AX22" s="697" t="n">
        <v>43</v>
      </c>
      <c r="AY22" s="697" t="n">
        <v>43</v>
      </c>
      <c r="AZ22" s="697" t="n">
        <v>43</v>
      </c>
      <c r="BA22" s="697" t="n">
        <v>43</v>
      </c>
      <c r="BB22" s="697" t="n">
        <v>43</v>
      </c>
      <c r="BC22" s="697" t="n">
        <v>35</v>
      </c>
      <c r="BD22" s="697" t="n">
        <v>35</v>
      </c>
      <c r="BE22" s="697" t="n">
        <v>35</v>
      </c>
      <c r="BF22" s="697" t="n">
        <v>26</v>
      </c>
      <c r="BG22" s="697" t="n">
        <v>26</v>
      </c>
      <c r="BH22" s="697" t="n">
        <v>26</v>
      </c>
      <c r="BI22" s="697" t="n">
        <v>26</v>
      </c>
      <c r="BJ22" s="697" t="n">
        <v>26</v>
      </c>
      <c r="BK22" s="697" t="n">
        <v>26</v>
      </c>
      <c r="BL22" s="697" t="n">
        <v>26</v>
      </c>
      <c r="BM22" s="697" t="n">
        <v>25</v>
      </c>
      <c r="BN22" s="697" t="n">
        <v>25</v>
      </c>
      <c r="BO22" s="697" t="n">
        <v>25</v>
      </c>
      <c r="BP22" s="697" t="n">
        <v>25</v>
      </c>
      <c r="BQ22" s="697" t="n">
        <v>25</v>
      </c>
      <c r="BR22" s="697" t="n">
        <v>25</v>
      </c>
      <c r="BS22" s="697" t="n">
        <v>25</v>
      </c>
      <c r="BT22" s="697" t="n">
        <v>25</v>
      </c>
      <c r="BU22" s="697" t="n">
        <v>25</v>
      </c>
      <c r="BV22" s="697" t="n">
        <v>25</v>
      </c>
      <c r="BW22" s="697" t="n">
        <v>25</v>
      </c>
      <c r="BX22" s="697" t="n">
        <v>25</v>
      </c>
      <c r="BY22" s="697" t="n">
        <v>20</v>
      </c>
      <c r="BZ22" s="697" t="n">
        <v>20</v>
      </c>
      <c r="CA22" s="699" t="n">
        <v>20</v>
      </c>
      <c r="CB22" s="699" t="n">
        <v>20</v>
      </c>
      <c r="CC22" s="192">
        <f>CA22+IF(NOT(ISBLANK(OFFSET(CC22,0,6))),N(OFFSET(CC22,0,6)),N(OFFSET(CC22,0,7)))-CB22</f>
        <v/>
      </c>
      <c r="CD22" s="50" t="n"/>
      <c r="CE22" s="210" t="n"/>
      <c r="CF22" s="4" t="n"/>
      <c r="CG22" s="49" t="n"/>
      <c r="CH22" s="433" t="n">
        <v>0</v>
      </c>
      <c r="CI22" s="23" t="n">
        <v>0</v>
      </c>
      <c r="CJ22" s="23" t="n">
        <v>0</v>
      </c>
      <c r="CK22" s="23" t="n">
        <v>0</v>
      </c>
      <c r="CL22" s="23" t="n">
        <v>0</v>
      </c>
      <c r="CM22" s="23" t="n"/>
      <c r="CN22" s="219" t="n">
        <v>400</v>
      </c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443" t="n">
        <v>600</v>
      </c>
      <c r="DH22" s="23" t="n"/>
      <c r="DI22" s="23" t="n"/>
      <c r="DJ22" s="23" t="n"/>
      <c r="DK22" s="23" t="n"/>
      <c r="DL22" s="23" t="n"/>
      <c r="DM22" s="219" t="n"/>
      <c r="DN22" s="219" t="n"/>
      <c r="DO22" s="23" t="n"/>
      <c r="DP22" s="219" t="n"/>
      <c r="DQ22" s="23" t="n"/>
      <c r="DR22" s="23" t="n"/>
      <c r="DS22" s="23" t="n"/>
      <c r="DT22" s="23" t="n"/>
      <c r="DU22" s="23" t="n"/>
      <c r="DV22" s="23" t="n"/>
      <c r="DW22" s="23" t="n"/>
      <c r="DX22" s="23" t="n"/>
      <c r="DY22" s="23" t="n"/>
      <c r="DZ22" s="23" t="n"/>
      <c r="EA22" s="219" t="n"/>
      <c r="EB22" s="23" t="n"/>
      <c r="EC22" s="219" t="n">
        <v>150</v>
      </c>
      <c r="ED22" s="23" t="n"/>
      <c r="EE22" s="23" t="n"/>
      <c r="EF22" s="23" t="n"/>
      <c r="EG22" s="23" t="n"/>
      <c r="EH22" s="23" t="n"/>
      <c r="EI22" s="23" t="n"/>
      <c r="EJ22" s="23" t="n"/>
      <c r="EK22" s="219" t="n"/>
      <c r="EL22" s="219" t="n"/>
      <c r="EM22" s="23" t="n"/>
      <c r="EN22" s="219" t="n">
        <v>100</v>
      </c>
      <c r="EO22" s="23" t="n"/>
      <c r="EP22" s="23" t="n"/>
      <c r="EQ22" s="23" t="n"/>
      <c r="ER22" s="23" t="n"/>
      <c r="ES22" s="23" t="n"/>
      <c r="ET22" s="219" t="n"/>
      <c r="EU22" s="23" t="n"/>
      <c r="EV22" s="219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3" t="n"/>
      <c r="FK22" s="219" t="n"/>
      <c r="FL22" s="23" t="n"/>
      <c r="FN22" s="66" t="inlineStr">
        <is>
          <t>CARTUCHO P</t>
        </is>
      </c>
      <c r="FO22" s="699" t="n">
        <v>200</v>
      </c>
      <c r="FP22" s="697">
        <f>CL22</f>
        <v/>
      </c>
      <c r="FQ22" s="697" t="n"/>
      <c r="FR22" s="697" t="n"/>
      <c r="FS22" s="697" t="n">
        <v>263</v>
      </c>
      <c r="FT22" s="697" t="n">
        <v>216</v>
      </c>
      <c r="FU22" s="697" t="n">
        <v>44</v>
      </c>
      <c r="FV22" s="697" t="n">
        <v>22</v>
      </c>
      <c r="FW22" s="699" t="n"/>
      <c r="FX22" s="699" t="n"/>
      <c r="FY22" s="431">
        <f>FW22+IF(NOT(ISBLANK(OFFSET(FY22,0,6))),N(OFFSET(FY22,0,6)),N(OFFSET(FY22,0,7)))-FX22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0+CR23</f>
        <v/>
      </c>
      <c r="BL23" s="697" t="n">
        <v>147</v>
      </c>
      <c r="BM23" s="697" t="n">
        <v>133</v>
      </c>
      <c r="BN23" s="697" t="n">
        <v>117</v>
      </c>
      <c r="BO23" s="697" t="n">
        <v>104</v>
      </c>
      <c r="BP23" s="697" t="n">
        <v>68</v>
      </c>
      <c r="BQ23" s="697">
        <f>41+CN23</f>
        <v/>
      </c>
      <c r="BR23" s="697" t="n">
        <v>170</v>
      </c>
      <c r="BS23" s="697">
        <f>153+CK23</f>
        <v/>
      </c>
      <c r="BT23" s="697" t="n"/>
      <c r="BU23" s="697" t="n"/>
      <c r="BV23" s="697" t="n"/>
      <c r="BW23" s="697" t="n">
        <v>274</v>
      </c>
      <c r="BX23" s="697" t="n">
        <v>272</v>
      </c>
      <c r="BY23" s="697" t="n">
        <v>272</v>
      </c>
      <c r="BZ23" s="697" t="n">
        <v>272</v>
      </c>
      <c r="CA23" s="699" t="n">
        <v>272</v>
      </c>
      <c r="CB23" s="699" t="n">
        <v>272</v>
      </c>
      <c r="CC23" s="192">
        <f>CA23+IF(NOT(ISBLANK(OFFSET(CC23,0,6))),N(OFFSET(CC23,0,6)),N(OFFSET(CC23,0,7)))-CB23</f>
        <v/>
      </c>
      <c r="CE23" s="210" t="n"/>
      <c r="CG23" s="49" t="n"/>
      <c r="CH23" s="757" t="n">
        <v>0</v>
      </c>
      <c r="CI23" s="23" t="n">
        <v>0</v>
      </c>
      <c r="CJ23" s="23" t="n">
        <v>0</v>
      </c>
      <c r="CK23" s="23" t="n">
        <v>0</v>
      </c>
      <c r="CL23" s="23" t="n">
        <v>0</v>
      </c>
      <c r="CM23" s="23" t="n">
        <v>150</v>
      </c>
      <c r="CN23" s="219" t="n">
        <v>300</v>
      </c>
      <c r="CO23" s="23" t="n"/>
      <c r="CP23" s="23" t="n">
        <v>150</v>
      </c>
      <c r="CQ23" s="23" t="n"/>
      <c r="CR23" s="23" t="n"/>
      <c r="CS23" s="23" t="n"/>
      <c r="CT23" s="23" t="n">
        <v>150</v>
      </c>
      <c r="CU23" s="23" t="n"/>
      <c r="CV23" s="23" t="n"/>
      <c r="CW23" s="23" t="n"/>
      <c r="CX23" s="23" t="n"/>
      <c r="CY23" s="23" t="n"/>
      <c r="CZ23" s="23" t="n"/>
      <c r="DA23" s="29" t="n"/>
      <c r="DB23" s="29" t="n"/>
      <c r="DC23" s="29" t="n"/>
      <c r="DD23" s="29" t="n"/>
      <c r="DE23" s="29" t="n"/>
      <c r="DF23" s="29" t="n"/>
      <c r="DG23" s="326" t="n">
        <v>450</v>
      </c>
      <c r="DH23" s="29" t="n"/>
      <c r="DI23" s="29" t="n"/>
      <c r="DJ23" s="29" t="n"/>
      <c r="DK23" s="29" t="n"/>
      <c r="DL23" s="29" t="n"/>
      <c r="DM23" s="5" t="n"/>
      <c r="DN23" s="5" t="n"/>
      <c r="DO23" s="29" t="n"/>
      <c r="DP23" s="5" t="n"/>
      <c r="DQ23" s="29" t="n"/>
      <c r="DR23" s="29" t="n"/>
      <c r="DS23" s="29" t="n"/>
      <c r="DT23" s="29" t="n"/>
      <c r="DU23" s="29" t="n"/>
      <c r="DV23" s="29" t="n"/>
      <c r="DW23" s="29" t="n"/>
      <c r="DX23" s="29" t="n"/>
      <c r="DY23" s="417" t="inlineStr">
        <is>
          <t>15 DE Q2</t>
        </is>
      </c>
      <c r="DZ23" s="29" t="n"/>
      <c r="EB23" s="29" t="n"/>
      <c r="EC23" s="5" t="n"/>
      <c r="ED23" s="29" t="n"/>
      <c r="EE23" s="29" t="n"/>
      <c r="EF23" s="29" t="n"/>
      <c r="EG23" s="29" t="n"/>
      <c r="EH23" s="29" t="n"/>
      <c r="EJ23" s="29" t="n"/>
      <c r="EN23" s="5" t="n"/>
      <c r="ES23" s="29" t="n"/>
      <c r="EV23" s="326" t="n">
        <v>400</v>
      </c>
      <c r="EX23" s="29" t="n"/>
      <c r="FG23" s="29" t="n"/>
      <c r="FN23" s="66" t="inlineStr">
        <is>
          <t>CARTUCHO M</t>
        </is>
      </c>
      <c r="FO23" s="699" t="n">
        <v>150</v>
      </c>
      <c r="FP23" s="697">
        <f>CL23</f>
        <v/>
      </c>
      <c r="FQ23" s="697" t="n"/>
      <c r="FR23" s="697" t="n"/>
      <c r="FS23" s="697" t="n">
        <v>270</v>
      </c>
      <c r="FT23" s="697" t="n">
        <v>235</v>
      </c>
      <c r="FU23" s="697" t="n">
        <v>32</v>
      </c>
      <c r="FV23" s="697" t="n">
        <v>20</v>
      </c>
      <c r="FW23" s="699" t="n"/>
      <c r="FX23" s="699" t="n"/>
      <c r="FY23" s="431">
        <f>FW23+IF(NOT(ISBLANK(OFFSET(FY23,0,6))),N(OFFSET(FY23,0,6)),N(OFFSET(FY23,0,7)))-FX23</f>
        <v/>
      </c>
    </row>
    <row r="24">
      <c r="CH24" s="5" t="n"/>
      <c r="CI24" s="29" t="n"/>
      <c r="CJ24" s="29" t="n"/>
      <c r="CK24" s="29" t="n"/>
      <c r="CL24" s="29" t="n"/>
      <c r="CM24" s="29" t="n"/>
      <c r="CN24" s="5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29" t="n"/>
      <c r="DC24" s="29" t="n"/>
      <c r="DD24" s="29" t="n"/>
      <c r="DE24" s="29" t="n"/>
      <c r="DF24" s="29" t="n"/>
      <c r="DG24" s="327" t="n"/>
      <c r="DH24" s="29" t="n"/>
      <c r="DI24" s="29" t="n"/>
      <c r="DJ24" s="29" t="n"/>
      <c r="DK24" s="29" t="n"/>
      <c r="DL24" s="29" t="n"/>
      <c r="DM24" s="5" t="n"/>
      <c r="DN24" s="5" t="n"/>
      <c r="DO24" s="29" t="n"/>
      <c r="DP24" s="5" t="n"/>
      <c r="DQ24" s="29" t="n"/>
      <c r="DR24" s="29" t="n"/>
      <c r="DS24" s="29" t="n"/>
      <c r="DT24" s="29" t="n"/>
      <c r="DU24" s="29" t="n"/>
      <c r="DV24" s="29" t="n"/>
      <c r="DW24" s="29" t="n"/>
      <c r="DX24" s="29" t="n"/>
      <c r="DY24" s="417" t="n"/>
      <c r="DZ24" s="29" t="n"/>
      <c r="EB24" s="29" t="n"/>
      <c r="EC24" s="5" t="n"/>
      <c r="ED24" s="29" t="n"/>
      <c r="EE24" s="29" t="n"/>
      <c r="EF24" s="29" t="n"/>
      <c r="EG24" s="29" t="n"/>
      <c r="EH24" s="29" t="n"/>
      <c r="EJ24" s="29" t="n"/>
      <c r="EN24" s="5" t="n"/>
      <c r="ES24" s="29" t="n"/>
      <c r="EV24" s="326" t="n"/>
      <c r="EX24" s="29" t="n"/>
      <c r="FG24" s="29" t="n"/>
      <c r="FN24" s="5" t="n"/>
      <c r="FO24" s="5" t="n"/>
      <c r="FP24" s="5" t="n"/>
      <c r="FQ24" s="5" t="n"/>
      <c r="FR24" s="5" t="n"/>
      <c r="FS24" s="5" t="n"/>
      <c r="FT24" s="5" t="n"/>
      <c r="FU24" s="5" t="n"/>
      <c r="FV24" s="5" t="n"/>
      <c r="FW24" s="5" t="n"/>
      <c r="FX24" s="5" t="n"/>
      <c r="FY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46161.48022637732</v>
      </c>
      <c r="CB25" s="747" t="n">
        <v>46161.48088573549</v>
      </c>
      <c r="CC25" s="758" t="inlineStr">
        <is>
          <t>USOU</t>
        </is>
      </c>
      <c r="CH25" s="5" t="n"/>
      <c r="CI25" s="29" t="n"/>
      <c r="CJ25" s="29" t="n"/>
      <c r="CK25" s="29" t="n"/>
      <c r="CL25" s="29" t="n"/>
      <c r="CM25" s="29" t="n"/>
      <c r="CN25" s="5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29" t="n"/>
      <c r="DC25" s="29" t="n"/>
      <c r="DD25" s="29" t="n"/>
      <c r="DE25" s="29" t="n"/>
      <c r="DF25" s="29" t="n"/>
      <c r="DG25" s="5" t="n"/>
      <c r="DH25" s="29" t="n"/>
      <c r="DI25" s="29" t="n"/>
      <c r="DJ25" s="29" t="n"/>
      <c r="DK25" s="29" t="n"/>
      <c r="DL25" s="29" t="n"/>
      <c r="DM25" s="5" t="n"/>
      <c r="DN25" s="5" t="n"/>
      <c r="DO25" s="29" t="n"/>
      <c r="DP25" s="5" t="n"/>
      <c r="DQ25" s="29" t="n"/>
      <c r="DR25" s="29" t="n"/>
      <c r="DS25" s="29" t="n"/>
      <c r="DT25" s="29" t="n"/>
      <c r="DU25" s="29" t="n"/>
      <c r="DV25" s="29" t="n"/>
      <c r="DW25" s="29" t="n"/>
      <c r="DX25" s="29" t="n"/>
      <c r="DY25" s="417" t="inlineStr">
        <is>
          <t>15 DE Q2</t>
        </is>
      </c>
      <c r="DZ25" s="29" t="n"/>
      <c r="EB25" s="29" t="n"/>
      <c r="EC25" s="5" t="n"/>
      <c r="ED25" s="29" t="n"/>
      <c r="EE25" s="29" t="n"/>
      <c r="EF25" s="29" t="n"/>
      <c r="EG25" s="29" t="n"/>
      <c r="EH25" s="29" t="n"/>
      <c r="EJ25" s="29" t="n"/>
      <c r="EN25" s="5" t="n"/>
      <c r="ES25" s="29" t="n"/>
      <c r="EV25" s="326" t="n">
        <v>300</v>
      </c>
      <c r="EX25" s="29" t="n"/>
      <c r="FG25" s="29" t="n"/>
      <c r="FN25" s="5" t="n"/>
      <c r="FO25" s="5" t="n"/>
      <c r="FP25" s="5" t="n"/>
      <c r="FQ25" s="5" t="n"/>
      <c r="FR25" s="5" t="n"/>
      <c r="FS25" s="5" t="n"/>
      <c r="FT25" s="5" t="n"/>
      <c r="FU25" s="5" t="n"/>
      <c r="FV25" s="5" t="n"/>
      <c r="FW25" s="5" t="n"/>
      <c r="FX25" s="5" t="n"/>
      <c r="FY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>
        <f>10+21</f>
        <v/>
      </c>
      <c r="I26" s="697" t="n">
        <v>31</v>
      </c>
      <c r="J26" s="697" t="n">
        <v>6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192">
        <f>CA26+IF(NOT(ISBLANK(OFFSET(CC26,0,6))),N(OFFSET(CC26,0,6)),N(OFFSET(CC26,0,7)))-CB26</f>
        <v/>
      </c>
      <c r="CH26" s="5" t="n"/>
      <c r="CI26" s="29" t="n"/>
      <c r="CJ26" s="29" t="n"/>
      <c r="CK26" s="29" t="n"/>
      <c r="CL26" s="29" t="n"/>
      <c r="CM26" s="29" t="n"/>
      <c r="CN26" s="5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29" t="n"/>
      <c r="DC26" s="29" t="n"/>
      <c r="DD26" s="29" t="n"/>
      <c r="DE26" s="29" t="n"/>
      <c r="DF26" s="29" t="n"/>
      <c r="DG26" s="5" t="n"/>
      <c r="DH26" s="29" t="n"/>
      <c r="DI26" s="29" t="n"/>
      <c r="DJ26" s="29" t="n"/>
      <c r="DK26" s="29" t="n"/>
      <c r="DL26" s="29" t="n"/>
      <c r="DM26" s="5" t="n"/>
      <c r="DN26" s="5" t="n"/>
      <c r="DO26" s="29" t="n"/>
      <c r="DP26" s="5" t="n"/>
      <c r="DQ26" s="29" t="n"/>
      <c r="DR26" s="29" t="n"/>
      <c r="DS26" s="29" t="n"/>
      <c r="DT26" s="29" t="n"/>
      <c r="DU26" s="29" t="n"/>
      <c r="DV26" s="29" t="n"/>
      <c r="DW26" s="29" t="n"/>
      <c r="DX26" s="29" t="n"/>
      <c r="DY26" s="417" t="inlineStr">
        <is>
          <t>15 DE Q2</t>
        </is>
      </c>
      <c r="DZ26" s="29" t="n"/>
      <c r="EB26" s="29" t="n"/>
      <c r="EC26" s="5" t="n"/>
      <c r="ED26" s="29" t="n"/>
      <c r="EE26" s="29" t="n"/>
      <c r="EF26" s="29" t="n"/>
      <c r="EG26" s="29" t="n"/>
      <c r="EH26" s="29" t="n"/>
      <c r="EJ26" s="29" t="n"/>
      <c r="EK26" s="327" t="n"/>
      <c r="EL26" s="327" t="n"/>
      <c r="EN26" s="5" t="n"/>
      <c r="ES26" s="29" t="n"/>
      <c r="ET26" s="327" t="n"/>
      <c r="EV26" s="327" t="n"/>
      <c r="EX26" s="29" t="n"/>
      <c r="FG26" s="29" t="n"/>
      <c r="FN26" s="5" t="n"/>
      <c r="FO26" s="5" t="n"/>
      <c r="FP26" s="5" t="n"/>
      <c r="FQ26" s="5" t="n"/>
      <c r="FR26" s="5" t="n"/>
      <c r="FS26" s="5" t="n"/>
      <c r="FT26" s="5" t="n"/>
      <c r="FU26" s="5" t="n"/>
      <c r="FV26" s="5" t="n"/>
      <c r="FW26" s="5" t="n"/>
      <c r="FX26" s="5" t="n"/>
      <c r="FY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503</v>
      </c>
      <c r="G27" s="697" t="n">
        <v>503</v>
      </c>
      <c r="H27" s="697" t="n">
        <v>503</v>
      </c>
      <c r="I27" s="697" t="n">
        <v>502</v>
      </c>
      <c r="J27" s="697" t="n">
        <v>428</v>
      </c>
      <c r="K27" s="697" t="n">
        <v>430</v>
      </c>
      <c r="L27" s="697" t="n">
        <v>428</v>
      </c>
      <c r="M27" s="697" t="n">
        <v>413</v>
      </c>
      <c r="N27" s="697" t="n">
        <v>412</v>
      </c>
      <c r="O27" s="697" t="n">
        <v>405</v>
      </c>
      <c r="P27" s="697" t="n">
        <v>403</v>
      </c>
      <c r="Q27" s="697" t="n">
        <v>399</v>
      </c>
      <c r="R27" s="697" t="n">
        <v>399</v>
      </c>
      <c r="S27" s="697" t="n">
        <v>399</v>
      </c>
      <c r="T27" s="697" t="n">
        <v>384</v>
      </c>
      <c r="U27" s="697" t="n">
        <v>384</v>
      </c>
      <c r="V27" s="697" t="n">
        <v>377</v>
      </c>
      <c r="W27" s="697" t="n">
        <v>377</v>
      </c>
      <c r="X27" s="697" t="n">
        <v>377</v>
      </c>
      <c r="Y27" s="697" t="n">
        <v>377</v>
      </c>
      <c r="Z27" s="697" t="n">
        <v>364</v>
      </c>
      <c r="AA27" s="697" t="n">
        <v>361</v>
      </c>
      <c r="AB27" s="697" t="n">
        <v>361</v>
      </c>
      <c r="AC27" s="697" t="n">
        <v>359</v>
      </c>
      <c r="AD27" s="697" t="n">
        <v>359</v>
      </c>
      <c r="AE27" s="697" t="n">
        <v>356</v>
      </c>
      <c r="AF27" s="697" t="n">
        <v>352</v>
      </c>
      <c r="AG27" s="697" t="n">
        <v>352</v>
      </c>
      <c r="AH27" s="697" t="n">
        <v>344</v>
      </c>
      <c r="AI27" s="697" t="n">
        <v>342</v>
      </c>
      <c r="AJ27" s="697" t="n">
        <v>341</v>
      </c>
      <c r="AK27" s="697" t="n">
        <v>341</v>
      </c>
      <c r="AL27" s="697" t="n">
        <v>341</v>
      </c>
      <c r="AM27" s="697" t="n">
        <v>340</v>
      </c>
      <c r="AN27" s="697" t="n">
        <v>340</v>
      </c>
      <c r="AO27" s="697" t="n">
        <v>340</v>
      </c>
      <c r="AP27" s="697" t="n">
        <v>340</v>
      </c>
      <c r="AQ27" s="697" t="n">
        <v>340</v>
      </c>
      <c r="AR27" s="697" t="n">
        <v>333</v>
      </c>
      <c r="AS27" s="697" t="n">
        <v>330</v>
      </c>
      <c r="AT27" s="697" t="n">
        <v>328</v>
      </c>
      <c r="AU27" s="697" t="n">
        <v>328</v>
      </c>
      <c r="AV27" s="697" t="n">
        <v>328</v>
      </c>
      <c r="AW27" s="697" t="n">
        <v>328</v>
      </c>
      <c r="AX27" s="697" t="n">
        <v>328</v>
      </c>
      <c r="AY27" s="697" t="n">
        <v>328</v>
      </c>
      <c r="AZ27" s="697" t="n">
        <v>328</v>
      </c>
      <c r="BA27" s="697" t="n">
        <v>328</v>
      </c>
      <c r="BB27" s="697" t="n">
        <v>328</v>
      </c>
      <c r="BC27" s="697" t="n">
        <v>304</v>
      </c>
      <c r="BD27" s="697" t="n">
        <v>304</v>
      </c>
      <c r="BE27" s="697" t="n">
        <v>304</v>
      </c>
      <c r="BF27" s="697" t="n">
        <v>287</v>
      </c>
      <c r="BG27" s="697" t="n">
        <v>287</v>
      </c>
      <c r="BH27" s="697" t="n">
        <v>287</v>
      </c>
      <c r="BI27" s="697" t="n">
        <v>287</v>
      </c>
      <c r="BJ27" s="697" t="n">
        <v>287</v>
      </c>
      <c r="BK27" s="697" t="n">
        <v>287</v>
      </c>
      <c r="BL27" s="697" t="n">
        <v>287</v>
      </c>
      <c r="BM27" s="697" t="n">
        <v>279</v>
      </c>
      <c r="BN27" s="697" t="n">
        <v>279</v>
      </c>
      <c r="BO27" s="697" t="n">
        <v>279</v>
      </c>
      <c r="BP27" s="697" t="n">
        <v>279</v>
      </c>
      <c r="BQ27" s="697" t="n">
        <v>279</v>
      </c>
      <c r="BR27" s="697" t="n">
        <v>279</v>
      </c>
      <c r="BS27" s="697" t="n">
        <v>279</v>
      </c>
      <c r="BT27" s="697" t="n">
        <v>279</v>
      </c>
      <c r="BU27" s="697" t="n">
        <v>279</v>
      </c>
      <c r="BV27" s="697" t="n">
        <v>279</v>
      </c>
      <c r="BW27" s="697" t="n">
        <v>279</v>
      </c>
      <c r="BX27" s="697" t="n">
        <v>279</v>
      </c>
      <c r="BY27" s="697" t="n">
        <v>272</v>
      </c>
      <c r="BZ27" s="697" t="n">
        <v>272</v>
      </c>
      <c r="CA27" s="699" t="n">
        <v>272</v>
      </c>
      <c r="CB27" s="699" t="n">
        <v>272</v>
      </c>
      <c r="CC27" s="192">
        <f>CA27+IF(NOT(ISBLANK(OFFSET(CC27,0,6))),N(OFFSET(CC27,0,6)),N(OFFSET(CC27,0,7)))-CB27</f>
        <v/>
      </c>
      <c r="CH27" s="5" t="n"/>
      <c r="CI27" s="29" t="n"/>
      <c r="CJ27" s="29" t="n"/>
      <c r="CK27" s="29" t="n"/>
      <c r="CL27" s="29" t="n"/>
      <c r="CM27" s="29" t="n"/>
      <c r="CN27" s="5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29" t="n"/>
      <c r="DC27" s="29" t="n"/>
      <c r="DD27" s="29" t="n"/>
      <c r="DE27" s="29" t="n"/>
      <c r="DF27" s="29" t="n"/>
      <c r="DG27" s="5" t="n"/>
      <c r="DH27" s="29" t="n"/>
      <c r="DI27" s="29" t="n"/>
      <c r="DJ27" s="29" t="n"/>
      <c r="DK27" s="29" t="n"/>
      <c r="DL27" s="29" t="n"/>
      <c r="DM27" s="5" t="n"/>
      <c r="DN27" s="5" t="n"/>
      <c r="DO27" s="29" t="n"/>
      <c r="DP27" s="5" t="n"/>
      <c r="DQ27" s="29" t="n"/>
      <c r="DR27" s="29" t="n"/>
      <c r="DS27" s="29" t="n"/>
      <c r="DT27" s="29" t="n"/>
      <c r="DU27" s="29" t="n"/>
      <c r="DV27" s="29" t="n"/>
      <c r="DW27" s="29" t="n"/>
      <c r="DX27" s="29" t="n"/>
      <c r="DY27" s="29" t="n"/>
      <c r="DZ27" s="29" t="n"/>
      <c r="EB27" s="29" t="n"/>
      <c r="EC27" s="5" t="n"/>
      <c r="ED27" s="29" t="n"/>
      <c r="EE27" s="29" t="n"/>
      <c r="EF27" s="29" t="n"/>
      <c r="EG27" s="29" t="n"/>
      <c r="EH27" s="29" t="n"/>
      <c r="EJ27" s="29" t="n"/>
      <c r="EK27" s="327" t="n"/>
      <c r="EL27" s="327" t="n"/>
      <c r="EN27" s="5" t="n"/>
      <c r="ES27" s="29" t="n"/>
      <c r="ET27" s="327" t="n"/>
      <c r="EV27" s="327" t="n"/>
      <c r="EX27" s="29" t="n"/>
      <c r="FG27" s="29" t="n"/>
      <c r="FN27" s="5" t="n"/>
      <c r="FO27" s="5" t="n"/>
      <c r="FP27" s="5" t="n"/>
      <c r="FQ27" s="5" t="n"/>
      <c r="FR27" s="5" t="n"/>
      <c r="FS27" s="5" t="n"/>
      <c r="FT27" s="5" t="n"/>
      <c r="FU27" s="5" t="n"/>
      <c r="FV27" s="5" t="n"/>
      <c r="FW27" s="5" t="n"/>
      <c r="FX27" s="5" t="n"/>
      <c r="FY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77</v>
      </c>
      <c r="G28" s="699" t="n">
        <v>45</v>
      </c>
      <c r="H28" s="697" t="n">
        <v>12</v>
      </c>
      <c r="I28" s="697" t="n">
        <v>8</v>
      </c>
      <c r="J28" s="697" t="n">
        <v>8</v>
      </c>
      <c r="K28" s="697" t="n">
        <v>5</v>
      </c>
      <c r="L28" s="697" t="n">
        <v>4</v>
      </c>
      <c r="M28" s="697" t="n">
        <v>4</v>
      </c>
      <c r="N28" s="697" t="n">
        <v>4</v>
      </c>
      <c r="O28" s="697" t="n">
        <v>4</v>
      </c>
      <c r="P28" s="697" t="n">
        <v>4</v>
      </c>
      <c r="Q28" s="697" t="n">
        <v>2</v>
      </c>
      <c r="R28" s="697" t="n">
        <v>2</v>
      </c>
      <c r="S28" s="697" t="n">
        <v>0</v>
      </c>
      <c r="T28" s="697" t="n">
        <v>0</v>
      </c>
      <c r="U28" s="697" t="n">
        <v>0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0</v>
      </c>
      <c r="AA28" s="697" t="n">
        <v>0</v>
      </c>
      <c r="AB28" s="697" t="n">
        <v>0</v>
      </c>
      <c r="AC28" s="697" t="n">
        <v>0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192">
        <f>CA28+IF(NOT(ISBLANK(OFFSET(CC28,0,6))),N(OFFSET(CC28,0,6)),N(OFFSET(CC28,0,7)))-CB28</f>
        <v/>
      </c>
      <c r="CH28" s="5" t="n"/>
      <c r="CI28" s="29" t="n"/>
      <c r="CJ28" s="29" t="n"/>
      <c r="CK28" s="29" t="n"/>
      <c r="CL28" s="29" t="n"/>
      <c r="CM28" s="29" t="n"/>
      <c r="CN28" s="5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29" t="n"/>
      <c r="DC28" s="29" t="n"/>
      <c r="DD28" s="29" t="n"/>
      <c r="DE28" s="29" t="n"/>
      <c r="DF28" s="29" t="n"/>
      <c r="DG28" s="5" t="n"/>
      <c r="DH28" s="29" t="n"/>
      <c r="DI28" s="29" t="n"/>
      <c r="DJ28" s="29" t="n"/>
      <c r="DK28" s="29" t="n"/>
      <c r="DL28" s="29" t="n"/>
      <c r="DM28" s="5" t="n"/>
      <c r="DN28" s="5" t="n"/>
      <c r="DO28" s="29" t="n"/>
      <c r="DP28" s="5" t="n"/>
      <c r="DQ28" s="29" t="n"/>
      <c r="DR28" s="29" t="n"/>
      <c r="DS28" s="29" t="n"/>
      <c r="DT28" s="29" t="n"/>
      <c r="DU28" s="29" t="n"/>
      <c r="DV28" s="29" t="n"/>
      <c r="DW28" s="29" t="n"/>
      <c r="DX28" s="29" t="n"/>
      <c r="DY28" s="29" t="n"/>
      <c r="DZ28" s="29" t="n"/>
      <c r="EA28" s="573" t="n"/>
      <c r="EB28" s="29" t="n"/>
      <c r="EC28" s="5" t="n"/>
      <c r="ED28" s="29" t="n"/>
      <c r="EE28" s="29" t="n"/>
      <c r="EF28" s="29" t="n"/>
      <c r="EG28" s="29" t="n"/>
      <c r="EH28" s="29" t="n"/>
      <c r="EJ28" s="29" t="n"/>
      <c r="EK28" s="327" t="n"/>
      <c r="EL28" s="327" t="n"/>
      <c r="EN28" s="5" t="n"/>
      <c r="ES28" s="29" t="n"/>
      <c r="ET28" s="327" t="n"/>
      <c r="EV28" s="327" t="n"/>
      <c r="EX28" s="29" t="n"/>
      <c r="FG28" s="29" t="n"/>
      <c r="FN28" s="5" t="n"/>
      <c r="FO28" s="5" t="n"/>
      <c r="FP28" s="5" t="n"/>
      <c r="FQ28" s="5" t="n"/>
      <c r="FR28" s="5" t="n"/>
      <c r="FS28" s="5" t="n"/>
      <c r="FT28" s="5" t="n"/>
      <c r="FU28" s="5" t="n"/>
      <c r="FV28" s="5" t="n"/>
      <c r="FW28" s="5" t="n"/>
      <c r="FX28" s="5" t="n"/>
      <c r="FY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0</v>
      </c>
      <c r="G29" s="699" t="n">
        <v>54</v>
      </c>
      <c r="H29" s="697" t="n">
        <v>12</v>
      </c>
      <c r="I29" s="697" t="n">
        <v>9</v>
      </c>
      <c r="J29" s="697" t="n">
        <v>8</v>
      </c>
      <c r="K29" s="697" t="n">
        <v>6</v>
      </c>
      <c r="L29" s="697" t="n">
        <v>4</v>
      </c>
      <c r="M29" s="697" t="n">
        <v>2</v>
      </c>
      <c r="N29" s="697" t="n">
        <v>2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0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192">
        <f>CA29+IF(NOT(ISBLANK(OFFSET(CC29,0,6))),N(OFFSET(CC29,0,6)),N(OFFSET(CC29,0,7)))-CB29</f>
        <v/>
      </c>
      <c r="CH29" s="5" t="n"/>
      <c r="CI29" s="29" t="n"/>
      <c r="CJ29" s="29" t="n"/>
      <c r="CK29" s="29" t="n"/>
      <c r="CL29" s="29" t="n"/>
      <c r="CM29" s="29" t="n"/>
      <c r="CN29" s="5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29" t="n"/>
      <c r="DC29" s="29" t="n"/>
      <c r="DD29" s="29" t="n"/>
      <c r="DE29" s="29" t="n"/>
      <c r="DF29" s="29" t="n"/>
      <c r="DG29" s="5" t="n"/>
      <c r="DH29" s="29" t="n"/>
      <c r="DI29" s="29" t="n"/>
      <c r="DJ29" s="29" t="n"/>
      <c r="DK29" s="29" t="n"/>
      <c r="DL29" s="29" t="n"/>
      <c r="DM29" s="5" t="n"/>
      <c r="DN29" s="5" t="n"/>
      <c r="DO29" s="29" t="n"/>
      <c r="DP29" s="5" t="n"/>
      <c r="DQ29" s="29" t="n"/>
      <c r="DR29" s="29" t="n"/>
      <c r="DS29" s="29" t="n"/>
      <c r="DT29" s="29" t="n"/>
      <c r="DU29" s="29" t="n"/>
      <c r="DV29" s="29" t="n"/>
      <c r="DW29" s="29" t="n"/>
      <c r="DX29" s="29" t="n"/>
      <c r="DY29" s="29" t="n"/>
      <c r="DZ29" s="29" t="n"/>
      <c r="EA29" s="573" t="n"/>
      <c r="EB29" s="29" t="n"/>
      <c r="EC29" s="5" t="n"/>
      <c r="ED29" s="29" t="n"/>
      <c r="EE29" s="29" t="n"/>
      <c r="EF29" s="29" t="n"/>
      <c r="EG29" s="29" t="n"/>
      <c r="EH29" s="29" t="n"/>
      <c r="EJ29" s="29" t="n"/>
      <c r="EK29" s="327" t="n"/>
      <c r="EL29" s="327" t="n"/>
      <c r="EN29" s="5" t="n"/>
      <c r="ES29" s="29" t="n"/>
      <c r="ET29" s="327" t="n"/>
      <c r="EV29" s="327" t="n"/>
      <c r="EX29" s="29" t="n"/>
      <c r="FG29" s="29" t="n"/>
      <c r="FN29" s="5" t="n"/>
      <c r="FO29" s="5" t="n"/>
      <c r="FP29" s="5" t="n"/>
      <c r="FQ29" s="5" t="n"/>
      <c r="FR29" s="5" t="n"/>
      <c r="FS29" s="5" t="n"/>
      <c r="FT29" s="5" t="n"/>
      <c r="FU29" s="5" t="n"/>
      <c r="FV29" s="5" t="n"/>
      <c r="FW29" s="5" t="n"/>
      <c r="FX29" s="5" t="n"/>
      <c r="FY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192">
        <f>CA30+IF(NOT(ISBLANK(OFFSET(CC30,0,6))),N(OFFSET(CC30,0,6)),N(OFFSET(CC30,0,7)))-CB30</f>
        <v/>
      </c>
      <c r="CH30" s="5" t="n"/>
      <c r="CI30" s="29" t="n"/>
      <c r="CJ30" s="29" t="n"/>
      <c r="CK30" s="29" t="n"/>
      <c r="CL30" s="29" t="n"/>
      <c r="CM30" s="29" t="n"/>
      <c r="CN30" s="5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29" t="n"/>
      <c r="DC30" s="29" t="n"/>
      <c r="DD30" s="29" t="n"/>
      <c r="DE30" s="29" t="n"/>
      <c r="DF30" s="29" t="n"/>
      <c r="DG30" s="5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29" t="n"/>
      <c r="DV30" s="29" t="n"/>
      <c r="DW30" s="29" t="n"/>
      <c r="DX30" s="29" t="n"/>
      <c r="DY30" s="29" t="n"/>
      <c r="DZ30" s="29" t="n"/>
      <c r="EA30" s="573" t="n"/>
      <c r="EB30" s="29" t="n"/>
      <c r="EC30" s="5" t="n"/>
      <c r="ED30" s="29" t="n"/>
      <c r="EE30" s="29" t="n"/>
      <c r="EF30" s="29" t="n"/>
      <c r="EG30" s="29" t="n"/>
      <c r="EH30" s="29" t="n"/>
      <c r="EJ30" s="29" t="n"/>
      <c r="EK30" s="327" t="n"/>
      <c r="EL30" s="327" t="n"/>
      <c r="EN30" s="29" t="n"/>
      <c r="ES30" s="29" t="n"/>
      <c r="ET30" s="327" t="n"/>
      <c r="EV30" s="327" t="n"/>
      <c r="EX30" s="29" t="n"/>
      <c r="FG30" s="29" t="n"/>
      <c r="FN30" s="5" t="n"/>
      <c r="FO30" s="5" t="n"/>
      <c r="FP30" s="5" t="n"/>
      <c r="FQ30" s="5" t="n"/>
      <c r="FR30" s="5" t="n"/>
      <c r="FS30" s="5" t="n"/>
      <c r="FT30" s="5" t="n"/>
      <c r="FU30" s="5" t="n"/>
      <c r="FV30" s="5" t="n"/>
      <c r="FW30" s="5" t="n"/>
      <c r="FX30" s="5" t="n"/>
      <c r="FY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5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192">
        <f>CA31+IF(NOT(ISBLANK(OFFSET(CC31,0,6))),N(OFFSET(CC31,0,6)),N(OFFSET(CC31,0,7)))-CB31</f>
        <v/>
      </c>
      <c r="CH31" s="5" t="n"/>
      <c r="CI31" s="29" t="n"/>
      <c r="CJ31" s="29" t="n"/>
      <c r="CK31" s="29" t="n"/>
      <c r="CL31" s="29" t="n"/>
      <c r="CM31" s="29" t="n"/>
      <c r="CN31" s="5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29" t="n"/>
      <c r="DC31" s="29" t="n"/>
      <c r="DD31" s="29" t="n"/>
      <c r="DE31" s="29" t="n"/>
      <c r="DF31" s="29" t="n"/>
      <c r="DG31" s="5" t="n"/>
      <c r="DH31" s="29" t="n"/>
      <c r="DI31" s="29" t="n"/>
      <c r="DJ31" s="29" t="n"/>
      <c r="DK31" s="29" t="n"/>
      <c r="DL31" s="29" t="n"/>
      <c r="DO31" s="29" t="n"/>
      <c r="DQ31" s="29" t="n"/>
      <c r="DR31" s="29" t="n"/>
      <c r="DS31" s="29" t="n"/>
      <c r="DT31" s="29" t="n"/>
      <c r="DU31" s="29" t="n"/>
      <c r="DV31" s="29" t="n"/>
      <c r="DW31" s="29" t="n"/>
      <c r="DX31" s="29" t="n"/>
      <c r="DY31" s="29" t="n"/>
      <c r="DZ31" s="29" t="n"/>
      <c r="EA31" s="573" t="n"/>
      <c r="EB31" s="29" t="n"/>
      <c r="EC31" s="5" t="n"/>
      <c r="ED31" s="29" t="n"/>
      <c r="EE31" s="29" t="n"/>
      <c r="EF31" s="29" t="n"/>
      <c r="EG31" s="29" t="n"/>
      <c r="EH31" s="29" t="n"/>
      <c r="EJ31" s="29" t="n"/>
      <c r="EK31" s="327" t="n"/>
      <c r="EL31" s="327" t="n"/>
      <c r="ES31" s="29" t="n"/>
      <c r="ET31" s="327" t="n"/>
      <c r="EV31" s="327" t="n"/>
      <c r="EX31" s="29" t="n"/>
      <c r="FG31" s="29" t="n"/>
      <c r="FN31" s="5" t="n"/>
      <c r="FO31" s="5" t="n"/>
      <c r="FP31" s="5" t="n"/>
      <c r="FQ31" s="5" t="n"/>
      <c r="FR31" s="5" t="n"/>
      <c r="FS31" s="5" t="n"/>
      <c r="FT31" s="5" t="n"/>
      <c r="FU31" s="5" t="n"/>
      <c r="FV31" s="5" t="n"/>
      <c r="FW31" s="5" t="n"/>
      <c r="FX31" s="5" t="n"/>
      <c r="FY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6</v>
      </c>
      <c r="G32" s="699" t="n">
        <v>6</v>
      </c>
      <c r="H32" s="697" t="n">
        <v>6</v>
      </c>
      <c r="I32" s="697" t="n">
        <v>6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192">
        <f>CA32+IF(NOT(ISBLANK(OFFSET(CC32,0,6))),N(OFFSET(CC32,0,6)),N(OFFSET(CC32,0,7)))-CB32</f>
        <v/>
      </c>
      <c r="CH32" s="5" t="n"/>
      <c r="CI32" s="29" t="n"/>
      <c r="CJ32" s="29" t="n"/>
      <c r="CK32" s="29" t="n"/>
      <c r="CL32" s="29" t="n"/>
      <c r="CM32" s="29" t="n"/>
      <c r="CN32" s="5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29" t="n"/>
      <c r="DC32" s="29" t="n"/>
      <c r="DD32" s="29" t="n"/>
      <c r="DE32" s="29" t="n"/>
      <c r="DF32" s="29" t="n"/>
      <c r="DG32" s="5" t="n"/>
      <c r="DH32" s="29" t="n"/>
      <c r="DI32" s="29" t="n"/>
      <c r="DJ32" s="29" t="n"/>
      <c r="DK32" s="29" t="n"/>
      <c r="DL32" s="29" t="n"/>
      <c r="DO32" s="29" t="n"/>
      <c r="DQ32" s="29" t="n"/>
      <c r="DR32" s="29" t="n"/>
      <c r="DS32" s="29" t="n"/>
      <c r="DT32" s="29" t="n"/>
      <c r="DU32" s="29" t="n"/>
      <c r="DV32" s="29" t="n"/>
      <c r="DW32" s="29" t="n"/>
      <c r="DX32" s="29" t="n"/>
      <c r="DY32" s="29" t="n"/>
      <c r="DZ32" s="29" t="n"/>
      <c r="EA32" s="573" t="n"/>
      <c r="EB32" s="29" t="n"/>
      <c r="EC32" s="5" t="n"/>
      <c r="ED32" s="29" t="n"/>
      <c r="EE32" s="29" t="n"/>
      <c r="EF32" s="29" t="n"/>
      <c r="EG32" s="29" t="n"/>
      <c r="EH32" s="29" t="n"/>
      <c r="EJ32" s="29" t="n"/>
      <c r="EK32" s="327" t="n"/>
      <c r="EL32" s="327" t="n"/>
      <c r="ES32" s="59" t="n"/>
      <c r="ET32" s="327" t="n"/>
      <c r="EV32" s="327" t="n"/>
      <c r="EX32" s="59" t="n"/>
      <c r="FG32" s="29" t="n"/>
      <c r="FN32" s="5" t="n"/>
      <c r="FO32" s="5" t="n"/>
      <c r="FP32" s="5" t="n"/>
      <c r="FQ32" s="5" t="n"/>
      <c r="FR32" s="5" t="n"/>
      <c r="FS32" s="5" t="n"/>
      <c r="FT32" s="5" t="n"/>
      <c r="FU32" s="5" t="n"/>
      <c r="FV32" s="5" t="n"/>
      <c r="FW32" s="5" t="n"/>
      <c r="FX32" s="5" t="n"/>
      <c r="FY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175</v>
      </c>
      <c r="G33" s="699" t="n">
        <v>175</v>
      </c>
      <c r="H33" s="697" t="n">
        <v>175</v>
      </c>
      <c r="I33" s="697" t="n">
        <v>175</v>
      </c>
      <c r="J33" s="697" t="n">
        <v>175</v>
      </c>
      <c r="K33" s="697" t="n">
        <v>175</v>
      </c>
      <c r="L33" s="697" t="n">
        <v>175</v>
      </c>
      <c r="M33" s="697" t="n">
        <v>175</v>
      </c>
      <c r="N33" s="697" t="n">
        <v>175</v>
      </c>
      <c r="O33" s="697" t="n">
        <v>175</v>
      </c>
      <c r="P33" s="697" t="n">
        <v>175</v>
      </c>
      <c r="Q33" s="697" t="n">
        <v>175</v>
      </c>
      <c r="R33" s="697" t="n">
        <v>175</v>
      </c>
      <c r="S33" s="697" t="n">
        <v>175</v>
      </c>
      <c r="T33" s="697" t="n">
        <v>175</v>
      </c>
      <c r="U33" s="697" t="n">
        <v>175</v>
      </c>
      <c r="V33" s="697" t="n">
        <v>175</v>
      </c>
      <c r="W33" s="697" t="n">
        <v>175</v>
      </c>
      <c r="X33" s="697" t="n">
        <v>175</v>
      </c>
      <c r="Y33" s="697" t="n">
        <v>175</v>
      </c>
      <c r="Z33" s="697" t="n">
        <v>175</v>
      </c>
      <c r="AA33" s="697" t="n">
        <v>175</v>
      </c>
      <c r="AB33" s="697" t="n">
        <v>175</v>
      </c>
      <c r="AC33" s="697" t="n">
        <v>175</v>
      </c>
      <c r="AD33" s="697" t="n">
        <v>175</v>
      </c>
      <c r="AE33" s="697" t="n">
        <v>175</v>
      </c>
      <c r="AF33" s="697" t="n">
        <v>175</v>
      </c>
      <c r="AG33" s="697" t="n">
        <v>175</v>
      </c>
      <c r="AH33" s="697" t="n">
        <v>175</v>
      </c>
      <c r="AI33" s="697" t="n">
        <v>175</v>
      </c>
      <c r="AJ33" s="697" t="n">
        <v>175</v>
      </c>
      <c r="AK33" s="697" t="n">
        <v>175</v>
      </c>
      <c r="AL33" s="697" t="n">
        <v>175</v>
      </c>
      <c r="AM33" s="697" t="n">
        <v>175</v>
      </c>
      <c r="AN33" s="697" t="n">
        <v>175</v>
      </c>
      <c r="AO33" s="697" t="n">
        <v>175</v>
      </c>
      <c r="AP33" s="697" t="n">
        <v>175</v>
      </c>
      <c r="AQ33" s="697" t="n">
        <v>175</v>
      </c>
      <c r="AR33" s="697" t="n">
        <v>175</v>
      </c>
      <c r="AS33" s="697" t="n">
        <v>175</v>
      </c>
      <c r="AT33" s="697" t="n">
        <v>175</v>
      </c>
      <c r="AU33" s="697" t="n">
        <v>175</v>
      </c>
      <c r="AV33" s="697" t="n">
        <v>175</v>
      </c>
      <c r="AW33" s="697" t="n">
        <v>175</v>
      </c>
      <c r="AX33" s="697" t="n">
        <v>175</v>
      </c>
      <c r="AY33" s="697" t="n">
        <v>175</v>
      </c>
      <c r="AZ33" s="697" t="n">
        <v>175</v>
      </c>
      <c r="BA33" s="697" t="n">
        <v>175</v>
      </c>
      <c r="BB33" s="314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697" t="n"/>
      <c r="CA33" s="699" t="n"/>
      <c r="CB33" s="699" t="n"/>
      <c r="CC33" s="192">
        <f>CA33+IF(NOT(ISBLANK(OFFSET(CC33,0,6))),N(OFFSET(CC33,0,6)),N(OFFSET(CC33,0,7)))-CB33</f>
        <v/>
      </c>
      <c r="CH33" s="5" t="n"/>
      <c r="CI33" s="29" t="n"/>
      <c r="CJ33" s="29" t="n"/>
      <c r="CK33" s="29" t="n"/>
      <c r="CL33" s="29" t="n"/>
      <c r="CM33" s="29" t="n"/>
      <c r="CN33" s="5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29" t="n"/>
      <c r="DC33" s="29" t="n"/>
      <c r="DD33" s="29" t="n"/>
      <c r="DE33" s="29" t="n"/>
      <c r="DF33" s="29" t="n"/>
      <c r="DG33" s="5" t="n"/>
      <c r="DH33" s="29" t="n"/>
      <c r="DI33" s="29" t="n"/>
      <c r="DJ33" s="29" t="n"/>
      <c r="DK33" s="29" t="n"/>
      <c r="DL33" s="29" t="n"/>
      <c r="DO33" s="29" t="n"/>
      <c r="DQ33" s="29" t="n"/>
      <c r="DR33" s="29" t="n"/>
      <c r="DS33" s="29" t="n"/>
      <c r="DT33" s="29" t="n"/>
      <c r="DU33" s="29" t="n"/>
      <c r="DV33" s="29" t="n"/>
      <c r="DW33" s="29" t="n"/>
      <c r="DX33" s="29" t="n"/>
      <c r="DY33" s="29" t="n"/>
      <c r="DZ33" s="29" t="n"/>
      <c r="EA33" s="573" t="n"/>
      <c r="EB33" s="29" t="n"/>
      <c r="EC33" s="5" t="n"/>
      <c r="ED33" s="29" t="n"/>
      <c r="EE33" s="29" t="n"/>
      <c r="EF33" s="29" t="n"/>
      <c r="EG33" s="29" t="n"/>
      <c r="EH33" s="29" t="n"/>
      <c r="EJ33" s="29" t="n"/>
      <c r="EK33" s="327" t="n"/>
      <c r="EL33" s="327" t="n"/>
      <c r="ES33" s="573" t="n"/>
      <c r="ET33" s="327" t="n"/>
      <c r="EV33" s="327" t="n"/>
      <c r="EX33" s="573" t="n"/>
      <c r="FG33" s="29" t="n"/>
      <c r="FN33" s="5" t="n"/>
      <c r="FO33" s="5" t="n"/>
      <c r="FP33" s="5" t="n"/>
      <c r="FQ33" s="5" t="n"/>
      <c r="FR33" s="5" t="n"/>
      <c r="FS33" s="5" t="n"/>
      <c r="FT33" s="5" t="n"/>
      <c r="FU33" s="5" t="n"/>
      <c r="FV33" s="5" t="n"/>
      <c r="FW33" s="5" t="n"/>
      <c r="FX33" s="5" t="n"/>
      <c r="FY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149</v>
      </c>
      <c r="G34" s="699" t="n">
        <v>149</v>
      </c>
      <c r="H34" s="697" t="n">
        <v>149</v>
      </c>
      <c r="I34" s="697" t="n">
        <v>149</v>
      </c>
      <c r="J34" s="697" t="n">
        <v>149</v>
      </c>
      <c r="K34" s="697" t="n">
        <v>149</v>
      </c>
      <c r="L34" s="697" t="n">
        <v>149</v>
      </c>
      <c r="M34" s="697" t="n">
        <v>149</v>
      </c>
      <c r="N34" s="697" t="n">
        <v>149</v>
      </c>
      <c r="O34" s="697" t="n">
        <v>149</v>
      </c>
      <c r="P34" s="697" t="n">
        <v>149</v>
      </c>
      <c r="Q34" s="697" t="n">
        <v>149</v>
      </c>
      <c r="R34" s="697" t="n">
        <v>149</v>
      </c>
      <c r="S34" s="697" t="n">
        <v>149</v>
      </c>
      <c r="T34" s="697" t="n">
        <v>149</v>
      </c>
      <c r="U34" s="697" t="n">
        <v>149</v>
      </c>
      <c r="V34" s="697" t="n">
        <v>149</v>
      </c>
      <c r="W34" s="697" t="n">
        <v>149</v>
      </c>
      <c r="X34" s="697" t="n">
        <v>149</v>
      </c>
      <c r="Y34" s="697" t="n">
        <v>149</v>
      </c>
      <c r="Z34" s="697" t="n">
        <v>149</v>
      </c>
      <c r="AA34" s="697" t="n">
        <v>149</v>
      </c>
      <c r="AB34" s="697" t="n">
        <v>149</v>
      </c>
      <c r="AC34" s="697" t="n">
        <v>149</v>
      </c>
      <c r="AD34" s="697" t="n">
        <v>149</v>
      </c>
      <c r="AE34" s="697" t="n">
        <v>149</v>
      </c>
      <c r="AF34" s="697" t="n">
        <v>149</v>
      </c>
      <c r="AG34" s="697" t="n">
        <v>149</v>
      </c>
      <c r="AH34" s="697" t="n">
        <v>149</v>
      </c>
      <c r="AI34" s="697" t="n">
        <v>149</v>
      </c>
      <c r="AJ34" s="697" t="n">
        <v>149</v>
      </c>
      <c r="AK34" s="697" t="n">
        <v>149</v>
      </c>
      <c r="AL34" s="697" t="n">
        <v>149</v>
      </c>
      <c r="AM34" s="697" t="n">
        <v>149</v>
      </c>
      <c r="AN34" s="697" t="n">
        <v>149</v>
      </c>
      <c r="AO34" s="697" t="n">
        <v>149</v>
      </c>
      <c r="AP34" s="697" t="n">
        <v>149</v>
      </c>
      <c r="AQ34" s="697" t="n">
        <v>149</v>
      </c>
      <c r="AR34" s="697" t="n">
        <v>149</v>
      </c>
      <c r="AS34" s="697" t="n">
        <v>149</v>
      </c>
      <c r="AT34" s="697" t="n">
        <v>149</v>
      </c>
      <c r="AU34" s="697" t="n">
        <v>149</v>
      </c>
      <c r="AV34" s="697" t="n">
        <v>149</v>
      </c>
      <c r="AW34" s="697" t="n">
        <v>149</v>
      </c>
      <c r="AX34" s="697" t="n">
        <v>149</v>
      </c>
      <c r="AY34" s="697" t="n">
        <v>149</v>
      </c>
      <c r="AZ34" s="697" t="n">
        <v>149</v>
      </c>
      <c r="BA34" s="697" t="n">
        <v>149</v>
      </c>
      <c r="BB34" s="314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192">
        <f>CA34+IF(NOT(ISBLANK(OFFSET(CC34,0,6))),N(OFFSET(CC34,0,6)),N(OFFSET(CC34,0,7)))-CB34</f>
        <v/>
      </c>
      <c r="CH34" s="5" t="n"/>
      <c r="CI34" s="29" t="n"/>
      <c r="CJ34" s="29" t="n"/>
      <c r="CK34" s="29" t="n"/>
      <c r="CL34" s="29" t="n"/>
      <c r="CM34" s="29" t="n"/>
      <c r="CN34" s="5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29" t="n"/>
      <c r="DC34" s="29" t="n"/>
      <c r="DD34" s="29" t="n"/>
      <c r="DE34" s="29" t="n"/>
      <c r="DF34" s="29" t="n"/>
      <c r="DG34" s="5" t="n"/>
      <c r="DH34" s="29" t="n"/>
      <c r="DI34" s="29" t="n"/>
      <c r="DJ34" s="29" t="n"/>
      <c r="DK34" s="29" t="n"/>
      <c r="DL34" s="29" t="n"/>
      <c r="DO34" s="29" t="n"/>
      <c r="DQ34" s="29" t="n"/>
      <c r="DR34" s="29" t="n"/>
      <c r="DS34" s="29" t="n"/>
      <c r="DT34" s="29" t="n"/>
      <c r="DU34" s="29" t="n"/>
      <c r="DV34" s="29" t="n"/>
      <c r="DW34" s="29" t="n"/>
      <c r="DX34" s="29" t="n"/>
      <c r="DY34" s="29" t="n"/>
      <c r="DZ34" s="29" t="n"/>
      <c r="EA34" s="573" t="n"/>
      <c r="EB34" s="29" t="n"/>
      <c r="EC34" s="5" t="n"/>
      <c r="ED34" s="29" t="n"/>
      <c r="EE34" s="29" t="n"/>
      <c r="EF34" s="29" t="n"/>
      <c r="EG34" s="29" t="n"/>
      <c r="EH34" s="29" t="n"/>
      <c r="EJ34" s="29" t="n"/>
      <c r="EK34" s="327" t="n"/>
      <c r="EL34" s="327" t="n"/>
      <c r="ES34" s="573" t="n"/>
      <c r="ET34" s="327" t="n"/>
      <c r="EV34" s="327" t="n"/>
      <c r="EX34" s="573" t="n"/>
      <c r="FG34" s="29" t="n"/>
      <c r="FN34" s="5" t="n"/>
      <c r="FO34" s="5" t="n"/>
      <c r="FP34" s="5" t="n"/>
      <c r="FQ34" s="5" t="n"/>
      <c r="FR34" s="5" t="n"/>
      <c r="FS34" s="5" t="n"/>
      <c r="FT34" s="5" t="n"/>
      <c r="FU34" s="5" t="n"/>
      <c r="FV34" s="5" t="n"/>
      <c r="FW34" s="5" t="n"/>
      <c r="FX34" s="5" t="n"/>
      <c r="FY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5</v>
      </c>
      <c r="AA35" s="699">
        <f>1+45+49</f>
        <v/>
      </c>
      <c r="AB35" s="699" t="n">
        <v>93</v>
      </c>
      <c r="AC35" s="699" t="n">
        <v>83</v>
      </c>
      <c r="AD35" s="699" t="n">
        <v>67</v>
      </c>
      <c r="AE35" s="699" t="n">
        <v>43</v>
      </c>
      <c r="AF35" s="699" t="n">
        <v>29</v>
      </c>
      <c r="AG35" s="699" t="n">
        <v>22</v>
      </c>
      <c r="AH35" s="699" t="n">
        <v>7</v>
      </c>
      <c r="AI35" s="699" t="n">
        <v>3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192">
        <f>CA35+IF(NOT(ISBLANK(OFFSET(CC35,0,6))),N(OFFSET(CC35,0,6)),N(OFFSET(CC35,0,7)))-CB35</f>
        <v/>
      </c>
      <c r="CH35" s="5" t="n"/>
      <c r="CI35" s="29" t="n"/>
      <c r="CJ35" s="29" t="n"/>
      <c r="CK35" s="29" t="n"/>
      <c r="CL35" s="29" t="n"/>
      <c r="CM35" s="29" t="n"/>
      <c r="CN35" s="5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29" t="n"/>
      <c r="DC35" s="29" t="n"/>
      <c r="DD35" s="29" t="n"/>
      <c r="DE35" s="29" t="n"/>
      <c r="DF35" s="29" t="n"/>
      <c r="DG35" s="5" t="n"/>
      <c r="DH35" s="29" t="n"/>
      <c r="DI35" s="29" t="n"/>
      <c r="DJ35" s="29" t="n"/>
      <c r="DK35" s="29" t="n"/>
      <c r="DL35" s="29" t="n"/>
      <c r="DO35" s="29" t="n"/>
      <c r="DQ35" s="29" t="n"/>
      <c r="DR35" s="29" t="n"/>
      <c r="DS35" s="29" t="n"/>
      <c r="DT35" s="29" t="n"/>
      <c r="DU35" s="29" t="n"/>
      <c r="DV35" s="29" t="n"/>
      <c r="DW35" s="29" t="n"/>
      <c r="DX35" s="29" t="n"/>
      <c r="DY35" s="29" t="n"/>
      <c r="DZ35" s="29" t="n"/>
      <c r="EA35" s="573" t="n"/>
      <c r="EB35" s="29" t="n"/>
      <c r="EC35" s="5" t="n"/>
      <c r="ED35" s="29" t="n"/>
      <c r="EE35" s="29" t="n"/>
      <c r="EF35" s="29" t="n"/>
      <c r="EG35" s="29" t="n"/>
      <c r="EH35" s="29" t="n"/>
      <c r="EJ35" s="29" t="n"/>
      <c r="EK35" s="327" t="n"/>
      <c r="EL35" s="327" t="n"/>
      <c r="ES35" s="573" t="n"/>
      <c r="ET35" s="327" t="n"/>
      <c r="EV35" s="327" t="n"/>
      <c r="EX35" s="573" t="n"/>
      <c r="FG35" s="29" t="n"/>
      <c r="FN35" s="5" t="n"/>
      <c r="FO35" s="5" t="n"/>
      <c r="FP35" s="5" t="n"/>
      <c r="FQ35" s="5" t="n"/>
      <c r="FR35" s="5" t="n"/>
      <c r="FS35" s="5" t="n"/>
      <c r="FT35" s="5" t="n"/>
      <c r="FU35" s="5" t="n"/>
      <c r="FV35" s="5" t="n"/>
      <c r="FW35" s="5" t="n"/>
      <c r="FX35" s="5" t="n"/>
      <c r="FY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18</v>
      </c>
      <c r="AA36" s="699">
        <f>5+35</f>
        <v/>
      </c>
      <c r="AB36" s="699" t="n">
        <v>36</v>
      </c>
      <c r="AC36" s="699" t="n">
        <v>31</v>
      </c>
      <c r="AD36" s="699" t="n">
        <v>31</v>
      </c>
      <c r="AE36" s="699" t="n">
        <v>19</v>
      </c>
      <c r="AF36" s="699" t="n">
        <v>5</v>
      </c>
      <c r="AG36" s="699" t="n">
        <v>2</v>
      </c>
      <c r="AH36" s="699" t="n">
        <v>0</v>
      </c>
      <c r="AI36" s="699" t="n">
        <v>0</v>
      </c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192">
        <f>CA36+IF(NOT(ISBLANK(OFFSET(CC36,0,6))),N(OFFSET(CC36,0,6)),N(OFFSET(CC36,0,7)))-CB36</f>
        <v/>
      </c>
      <c r="CH36" s="5" t="n"/>
      <c r="CI36" s="29" t="n"/>
      <c r="CJ36" s="29" t="n"/>
      <c r="CK36" s="29" t="n"/>
      <c r="CL36" s="29" t="n"/>
      <c r="CM36" s="29" t="n"/>
      <c r="CN36" s="5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29" t="n"/>
      <c r="DC36" s="29" t="n"/>
      <c r="DD36" s="29" t="n"/>
      <c r="DE36" s="29" t="n"/>
      <c r="DF36" s="29" t="n"/>
      <c r="DG36" s="5" t="n"/>
      <c r="DH36" s="29" t="n"/>
      <c r="DI36" s="29" t="n"/>
      <c r="DJ36" s="29" t="n"/>
      <c r="DK36" s="29" t="n"/>
      <c r="DL36" s="29" t="n"/>
      <c r="DO36" s="29" t="n"/>
      <c r="DQ36" s="29" t="n"/>
      <c r="DR36" s="29" t="n"/>
      <c r="DS36" s="29" t="n"/>
      <c r="DT36" s="29" t="n"/>
      <c r="DU36" s="29" t="n"/>
      <c r="DV36" s="29" t="n"/>
      <c r="DW36" s="29" t="n"/>
      <c r="DX36" s="29" t="n"/>
      <c r="DY36" s="29" t="n"/>
      <c r="DZ36" s="29" t="n"/>
      <c r="EA36" s="573" t="n"/>
      <c r="EB36" s="29" t="n"/>
      <c r="EC36" s="5" t="n"/>
      <c r="ED36" s="29" t="n"/>
      <c r="EE36" s="29" t="n"/>
      <c r="EF36" s="29" t="n"/>
      <c r="EG36" s="29" t="n"/>
      <c r="EH36" s="29" t="n"/>
      <c r="EJ36" s="29" t="n"/>
      <c r="EK36" s="327" t="n"/>
      <c r="EL36" s="327" t="n"/>
      <c r="ES36" s="573" t="n"/>
      <c r="ET36" s="327" t="n"/>
      <c r="EV36" s="327" t="n"/>
      <c r="EX36" s="573" t="n"/>
      <c r="FG36" s="29" t="n"/>
      <c r="FN36" s="5" t="n"/>
      <c r="FO36" s="5" t="n"/>
      <c r="FP36" s="5" t="n"/>
      <c r="FQ36" s="5" t="n"/>
      <c r="FR36" s="5" t="n"/>
      <c r="FS36" s="5" t="n"/>
      <c r="FT36" s="5" t="n"/>
      <c r="FU36" s="5" t="n"/>
      <c r="FV36" s="5" t="n"/>
      <c r="FW36" s="5" t="n"/>
      <c r="FX36" s="5" t="n"/>
      <c r="FY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192">
        <f>CA37+IF(NOT(ISBLANK(OFFSET(CC37,0,6))),N(OFFSET(CC37,0,6)),N(OFFSET(CC37,0,7)))-CB37</f>
        <v/>
      </c>
      <c r="CH37" s="5" t="n"/>
      <c r="CI37" s="29" t="n"/>
      <c r="CJ37" s="29" t="n"/>
      <c r="CK37" s="29" t="n"/>
      <c r="CL37" s="29" t="n"/>
      <c r="CM37" s="29" t="n"/>
      <c r="CN37" s="5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29" t="n"/>
      <c r="DC37" s="29" t="n"/>
      <c r="DD37" s="29" t="n"/>
      <c r="DE37" s="29" t="n"/>
      <c r="DF37" s="29" t="n"/>
      <c r="DG37" s="5" t="n"/>
      <c r="DH37" s="29" t="n"/>
      <c r="DI37" s="29" t="n"/>
      <c r="DJ37" s="29" t="n"/>
      <c r="DK37" s="29" t="n"/>
      <c r="DL37" s="29" t="n"/>
      <c r="DO37" s="29" t="n"/>
      <c r="DQ37" s="29" t="n"/>
      <c r="DR37" s="29" t="n"/>
      <c r="DS37" s="29" t="n"/>
      <c r="DT37" s="29" t="n"/>
      <c r="DU37" s="29" t="n"/>
      <c r="DV37" s="29" t="n"/>
      <c r="DW37" s="29" t="n"/>
      <c r="DX37" s="29" t="n"/>
      <c r="DY37" s="29" t="n"/>
      <c r="DZ37" s="29" t="n"/>
      <c r="EA37" s="573" t="n"/>
      <c r="EB37" s="29" t="n"/>
      <c r="EC37" s="5" t="n"/>
      <c r="ED37" s="29" t="n"/>
      <c r="EE37" s="29" t="n"/>
      <c r="EF37" s="29" t="n"/>
      <c r="EG37" s="29" t="n"/>
      <c r="EH37" s="29" t="n"/>
      <c r="EJ37" s="29" t="n"/>
      <c r="EK37" s="327" t="n"/>
      <c r="EL37" s="327" t="n"/>
      <c r="ES37" s="573" t="n"/>
      <c r="ET37" s="327" t="n"/>
      <c r="EV37" s="327" t="n"/>
      <c r="EX37" s="573" t="n"/>
      <c r="FG37" s="29" t="n"/>
      <c r="FN37" s="5" t="n"/>
      <c r="FO37" s="5" t="n"/>
      <c r="FP37" s="5" t="n"/>
      <c r="FQ37" s="5" t="n"/>
      <c r="FR37" s="5" t="n"/>
      <c r="FS37" s="5" t="n"/>
      <c r="FT37" s="5" t="n"/>
      <c r="FU37" s="5" t="n"/>
      <c r="FV37" s="5" t="n"/>
      <c r="FW37" s="5" t="n"/>
      <c r="FX37" s="5" t="n"/>
      <c r="FY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83</v>
      </c>
      <c r="AA38" s="699" t="n">
        <v>61</v>
      </c>
      <c r="AB38" s="699" t="n">
        <v>52</v>
      </c>
      <c r="AC38" s="699" t="n">
        <v>48</v>
      </c>
      <c r="AD38" s="699" t="n">
        <v>39</v>
      </c>
      <c r="AE38" s="699" t="n">
        <v>33</v>
      </c>
      <c r="AF38" s="699" t="n">
        <v>32</v>
      </c>
      <c r="AG38" s="699" t="n">
        <v>32</v>
      </c>
      <c r="AH38" s="699" t="n">
        <v>28</v>
      </c>
      <c r="AI38" s="699" t="n">
        <v>27</v>
      </c>
      <c r="AJ38" s="699" t="n">
        <v>22</v>
      </c>
      <c r="AK38" s="699" t="n">
        <v>16</v>
      </c>
      <c r="AL38" s="699" t="n">
        <v>8</v>
      </c>
      <c r="AM38" s="699" t="n">
        <v>0</v>
      </c>
      <c r="AN38" s="699" t="n">
        <v>0</v>
      </c>
      <c r="AO38" s="699" t="n">
        <v>0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192">
        <f>CA38+IF(NOT(ISBLANK(OFFSET(CC38,0,6))),N(OFFSET(CC38,0,6)),N(OFFSET(CC38,0,7)))-CB38</f>
        <v/>
      </c>
      <c r="CH38" s="5" t="n"/>
      <c r="CI38" s="29" t="n"/>
      <c r="CJ38" s="29" t="n"/>
      <c r="CK38" s="29" t="n"/>
      <c r="CL38" s="29" t="n"/>
      <c r="CM38" s="29" t="n"/>
      <c r="CN38" s="5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29" t="n"/>
      <c r="DC38" s="29" t="n"/>
      <c r="DD38" s="29" t="n"/>
      <c r="DE38" s="29" t="n"/>
      <c r="DF38" s="29" t="n"/>
      <c r="DG38" s="5" t="n"/>
      <c r="DH38" s="29" t="n"/>
      <c r="DI38" s="29" t="n"/>
      <c r="DJ38" s="29" t="n"/>
      <c r="DK38" s="29" t="n"/>
      <c r="DL38" s="29" t="n"/>
      <c r="DO38" s="29" t="n"/>
      <c r="DQ38" s="29" t="n"/>
      <c r="DR38" s="29" t="n"/>
      <c r="DS38" s="29" t="n"/>
      <c r="DT38" s="29" t="n"/>
      <c r="DU38" s="29" t="n"/>
      <c r="DV38" s="29" t="n"/>
      <c r="DW38" s="29" t="n"/>
      <c r="DX38" s="29" t="n"/>
      <c r="DY38" s="29" t="n"/>
      <c r="DZ38" s="29" t="n"/>
      <c r="EA38" s="573" t="n"/>
      <c r="EB38" s="29" t="n"/>
      <c r="EC38" s="5" t="n"/>
      <c r="ED38" s="29" t="n"/>
      <c r="EE38" s="29" t="n"/>
      <c r="EF38" s="29" t="n"/>
      <c r="EG38" s="29" t="n"/>
      <c r="EH38" s="29" t="n"/>
      <c r="EJ38" s="29" t="n"/>
      <c r="EK38" s="327" t="n"/>
      <c r="EL38" s="327" t="n"/>
      <c r="ES38" s="573" t="n"/>
      <c r="ET38" s="327" t="n"/>
      <c r="EV38" s="327" t="n"/>
      <c r="EX38" s="573" t="n"/>
      <c r="FG38" s="29" t="n"/>
      <c r="FN38" s="5" t="n"/>
      <c r="FO38" s="5" t="n"/>
      <c r="FP38" s="5" t="n"/>
      <c r="FQ38" s="5" t="n"/>
      <c r="FR38" s="5" t="n"/>
      <c r="FS38" s="5" t="n"/>
      <c r="FT38" s="5" t="n"/>
      <c r="FU38" s="5" t="n"/>
      <c r="FV38" s="5" t="n"/>
      <c r="FW38" s="5" t="n"/>
      <c r="FX38" s="5" t="n"/>
      <c r="FY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82</v>
      </c>
      <c r="AA39" s="699" t="n">
        <v>64</v>
      </c>
      <c r="AB39" s="699" t="n">
        <v>62</v>
      </c>
      <c r="AC39" s="699" t="n">
        <v>56</v>
      </c>
      <c r="AD39" s="699" t="n">
        <v>50</v>
      </c>
      <c r="AE39" s="699" t="n">
        <v>49</v>
      </c>
      <c r="AF39" s="699" t="n">
        <v>48</v>
      </c>
      <c r="AG39" s="699" t="n">
        <v>48</v>
      </c>
      <c r="AH39" s="699" t="n">
        <v>40</v>
      </c>
      <c r="AI39" s="699" t="n">
        <v>26</v>
      </c>
      <c r="AJ39" s="699" t="n">
        <v>20</v>
      </c>
      <c r="AK39" s="699" t="n">
        <v>20</v>
      </c>
      <c r="AL39" s="699" t="n">
        <v>18</v>
      </c>
      <c r="AM39" s="699" t="n">
        <v>5</v>
      </c>
      <c r="AN39" s="699" t="n">
        <v>4</v>
      </c>
      <c r="AO39" s="699" t="n">
        <v>1</v>
      </c>
      <c r="AP39" s="699" t="n">
        <v>0</v>
      </c>
      <c r="AQ39" s="699" t="n">
        <v>0</v>
      </c>
      <c r="AR39" s="699" t="n">
        <v>0</v>
      </c>
      <c r="AS39" s="699" t="n">
        <v>0</v>
      </c>
      <c r="AT39" s="699" t="n">
        <v>0</v>
      </c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192">
        <f>CA39+IF(NOT(ISBLANK(OFFSET(CC39,0,6))),N(OFFSET(CC39,0,6)),N(OFFSET(CC39,0,7)))-CB39</f>
        <v/>
      </c>
      <c r="CH39" s="5" t="n"/>
      <c r="CI39" s="29" t="n"/>
      <c r="CJ39" s="29" t="n"/>
      <c r="CK39" s="29" t="n"/>
      <c r="CL39" s="29" t="n"/>
      <c r="CM39" s="29" t="n"/>
      <c r="CN39" s="51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29" t="n"/>
      <c r="DC39" s="29" t="n"/>
      <c r="DD39" s="29" t="n"/>
      <c r="DE39" s="29" t="n"/>
      <c r="DF39" s="29" t="n"/>
      <c r="DG39" s="5" t="n"/>
      <c r="DH39" s="29" t="n"/>
      <c r="DI39" s="29" t="n"/>
      <c r="DJ39" s="29" t="n"/>
      <c r="DK39" s="29" t="n"/>
      <c r="DL39" s="29" t="n"/>
      <c r="DO39" s="29" t="n"/>
      <c r="DQ39" s="29" t="n"/>
      <c r="DR39" s="29" t="n"/>
      <c r="DS39" s="29" t="n"/>
      <c r="DT39" s="29" t="n"/>
      <c r="DU39" s="29" t="n"/>
      <c r="DV39" s="29" t="n"/>
      <c r="DW39" s="29" t="n"/>
      <c r="DX39" s="29" t="n"/>
      <c r="DY39" s="29" t="n"/>
      <c r="DZ39" s="29" t="n"/>
      <c r="EA39" s="573" t="n"/>
      <c r="EB39" s="29" t="n"/>
      <c r="EC39" s="5" t="n"/>
      <c r="ED39" s="29" t="n"/>
      <c r="EE39" s="29" t="n"/>
      <c r="EF39" s="29" t="n"/>
      <c r="EG39" s="29" t="n"/>
      <c r="EH39" s="29" t="n"/>
      <c r="EJ39" s="29" t="n"/>
      <c r="EK39" s="327" t="n"/>
      <c r="EL39" s="327" t="n"/>
      <c r="ES39" s="573" t="n"/>
      <c r="ET39" s="327" t="n"/>
      <c r="EV39" s="327" t="n"/>
      <c r="EX39" s="573" t="n"/>
      <c r="FG39" s="29" t="n"/>
      <c r="FN39" s="5" t="n"/>
      <c r="FO39" s="5" t="n"/>
      <c r="FP39" s="5" t="n"/>
      <c r="FQ39" s="5" t="n"/>
      <c r="FR39" s="5" t="n"/>
      <c r="FS39" s="5" t="n"/>
      <c r="FT39" s="5" t="n"/>
      <c r="FU39" s="5" t="n"/>
      <c r="FV39" s="5" t="n"/>
      <c r="FW39" s="5" t="n"/>
      <c r="FX39" s="5" t="n"/>
      <c r="FY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82</v>
      </c>
      <c r="AA40" s="699" t="n">
        <v>64</v>
      </c>
      <c r="AB40" s="699" t="n">
        <v>62</v>
      </c>
      <c r="AC40" s="699" t="n">
        <v>56</v>
      </c>
      <c r="AD40" s="699" t="n">
        <v>50</v>
      </c>
      <c r="AE40" s="699" t="n">
        <v>49</v>
      </c>
      <c r="AF40" s="699" t="n">
        <v>4</v>
      </c>
      <c r="AG40" s="699" t="n">
        <v>0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192">
        <f>CA40+IF(NOT(ISBLANK(OFFSET(CC40,0,6))),N(OFFSET(CC40,0,6)),N(OFFSET(CC40,0,7)))-CB40</f>
        <v/>
      </c>
      <c r="CH40" s="5" t="n"/>
      <c r="CI40" s="29" t="n"/>
      <c r="CJ40" s="29" t="n"/>
      <c r="CK40" s="29" t="n"/>
      <c r="CL40" s="29" t="n"/>
      <c r="CM40" s="29" t="n"/>
      <c r="CN40" s="51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29" t="n"/>
      <c r="DC40" s="29" t="n"/>
      <c r="DD40" s="29" t="n"/>
      <c r="DE40" s="29" t="n"/>
      <c r="DF40" s="29" t="n"/>
      <c r="DG40" s="5" t="n"/>
      <c r="DH40" s="29" t="n"/>
      <c r="DI40" s="29" t="n"/>
      <c r="DJ40" s="29" t="n"/>
      <c r="DK40" s="29" t="n"/>
      <c r="DL40" s="29" t="n"/>
      <c r="DO40" s="29" t="n"/>
      <c r="DQ40" s="29" t="n"/>
      <c r="DR40" s="29" t="n"/>
      <c r="DS40" s="29" t="n"/>
      <c r="DT40" s="29" t="n"/>
      <c r="DU40" s="29" t="n"/>
      <c r="DV40" s="29" t="n"/>
      <c r="DW40" s="29" t="n"/>
      <c r="DX40" s="29" t="n"/>
      <c r="DY40" s="29" t="n"/>
      <c r="DZ40" s="29" t="n"/>
      <c r="EA40" s="573" t="n"/>
      <c r="EB40" s="29" t="n"/>
      <c r="EC40" s="5" t="n"/>
      <c r="ED40" s="29" t="n"/>
      <c r="EE40" s="29" t="n"/>
      <c r="EF40" s="29" t="n"/>
      <c r="EG40" s="29" t="n"/>
      <c r="EH40" s="29" t="n"/>
      <c r="EJ40" s="29" t="n"/>
      <c r="EK40" s="327" t="n"/>
      <c r="EL40" s="327" t="n"/>
      <c r="ES40" s="573" t="n"/>
      <c r="ET40" s="327" t="n"/>
      <c r="EV40" s="327" t="n"/>
      <c r="EX40" s="573" t="n"/>
      <c r="FG40" s="29" t="n"/>
      <c r="FN40" s="5" t="n"/>
      <c r="FO40" s="5" t="n"/>
      <c r="FP40" s="5" t="n"/>
      <c r="FQ40" s="5" t="n"/>
      <c r="FR40" s="5" t="n"/>
      <c r="FS40" s="5" t="n"/>
      <c r="FT40" s="5" t="n"/>
      <c r="FU40" s="5" t="n"/>
      <c r="FV40" s="5" t="n"/>
      <c r="FW40" s="5" t="n"/>
      <c r="FX40" s="5" t="n"/>
      <c r="FY40" s="5" t="n"/>
    </row>
    <row r="41" hidden="1">
      <c r="A41" s="400" t="inlineStr">
        <is>
          <t>CARTUCHO M NAMO/25</t>
        </is>
      </c>
      <c r="B41" s="357" t="n">
        <v>150</v>
      </c>
      <c r="C41" s="771" t="n">
        <v>298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>
        <v>82</v>
      </c>
      <c r="AA41" s="699" t="n">
        <v>64</v>
      </c>
      <c r="AB41" s="699" t="n">
        <v>62</v>
      </c>
      <c r="AC41" s="699" t="n">
        <v>56</v>
      </c>
      <c r="AD41" s="699" t="n">
        <v>50</v>
      </c>
      <c r="AE41" s="699" t="n">
        <v>49</v>
      </c>
      <c r="AF41" s="699" t="n">
        <v>1</v>
      </c>
      <c r="AG41" s="699" t="n">
        <v>1</v>
      </c>
      <c r="AH41" s="699" t="n">
        <v>0</v>
      </c>
      <c r="AI41" s="699" t="n">
        <v>0</v>
      </c>
      <c r="AJ41" s="699" t="n"/>
      <c r="AK41" s="699" t="n"/>
      <c r="AL41" s="699" t="n"/>
      <c r="AM41" s="699" t="n"/>
      <c r="AN41" s="699" t="n"/>
      <c r="AO41" s="699" t="n"/>
      <c r="AP41" s="699" t="n"/>
      <c r="AQ41" s="699" t="n"/>
      <c r="AR41" s="699" t="n"/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192">
        <f>CA41+IF(NOT(ISBLANK(OFFSET(CC41,0,6))),N(OFFSET(CC41,0,6)),N(OFFSET(CC41,0,7)))-CB41</f>
        <v/>
      </c>
      <c r="CH41" s="5" t="n"/>
      <c r="CI41" s="29" t="n"/>
      <c r="CJ41" s="29" t="n"/>
      <c r="CK41" s="29" t="n"/>
      <c r="CL41" s="29" t="n"/>
      <c r="CM41" s="29" t="n"/>
      <c r="CN41" s="573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29" t="n"/>
      <c r="DC41" s="29" t="n"/>
      <c r="DD41" s="29" t="n"/>
      <c r="DE41" s="29" t="n"/>
      <c r="DF41" s="29" t="n"/>
      <c r="DG41" s="5" t="n"/>
      <c r="DH41" s="29" t="n"/>
      <c r="DI41" s="29" t="n"/>
      <c r="DJ41" s="29" t="n"/>
      <c r="DK41" s="29" t="n"/>
      <c r="DL41" s="29" t="n"/>
      <c r="DO41" s="29" t="n"/>
      <c r="DQ41" s="29" t="n"/>
      <c r="DR41" s="29" t="n"/>
      <c r="DS41" s="29" t="n"/>
      <c r="DT41" s="29" t="n"/>
      <c r="DU41" s="29" t="n"/>
      <c r="DV41" s="29" t="n"/>
      <c r="DW41" s="29" t="n"/>
      <c r="DX41" s="29" t="n"/>
      <c r="DY41" s="29" t="n"/>
      <c r="DZ41" s="29" t="n"/>
      <c r="EA41" s="573" t="n"/>
      <c r="EB41" s="29" t="n"/>
      <c r="EC41" s="5" t="n"/>
      <c r="ED41" s="29" t="n"/>
      <c r="EE41" s="29" t="n"/>
      <c r="EF41" s="29" t="n"/>
      <c r="EG41" s="29" t="n"/>
      <c r="EH41" s="29" t="n"/>
      <c r="EJ41" s="29" t="n"/>
      <c r="EK41" s="327" t="n"/>
      <c r="EL41" s="327" t="n"/>
      <c r="ES41" s="573" t="n"/>
      <c r="ET41" s="327" t="n"/>
      <c r="EV41" s="327" t="n"/>
      <c r="EX41" s="573" t="n"/>
      <c r="FG41" s="29" t="n"/>
      <c r="FN41" s="573" t="n"/>
      <c r="FO41" s="573" t="n"/>
      <c r="FP41" s="573" t="n"/>
      <c r="FQ41" s="573" t="n"/>
      <c r="FR41" s="573" t="n"/>
      <c r="FS41" s="573" t="n"/>
      <c r="FT41" s="573" t="n"/>
      <c r="FU41" s="573" t="n"/>
      <c r="FV41" s="573" t="n"/>
      <c r="FW41" s="573" t="n"/>
      <c r="FX41" s="573" t="n"/>
      <c r="FY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13</v>
      </c>
      <c r="AP42" s="699" t="n">
        <v>13</v>
      </c>
      <c r="AQ42" s="699" t="n">
        <v>8</v>
      </c>
      <c r="AR42" s="699" t="n">
        <v>8</v>
      </c>
      <c r="AS42" s="699" t="n">
        <v>8</v>
      </c>
      <c r="AT42" s="699" t="n">
        <v>7</v>
      </c>
      <c r="AU42" s="699" t="n">
        <v>7</v>
      </c>
      <c r="AV42" s="699" t="n">
        <v>6</v>
      </c>
      <c r="AW42" s="699" t="n">
        <v>4</v>
      </c>
      <c r="AX42" s="699" t="n">
        <v>4</v>
      </c>
      <c r="AY42" s="699" t="n">
        <v>4</v>
      </c>
      <c r="AZ42" s="699" t="n">
        <v>2</v>
      </c>
      <c r="BA42" s="699" t="n">
        <v>1</v>
      </c>
      <c r="BB42" s="699" t="n">
        <v>1</v>
      </c>
      <c r="BC42" s="699" t="n">
        <v>0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192">
        <f>CA42+IF(NOT(ISBLANK(OFFSET(CC42,0,6))),N(OFFSET(CC42,0,6)),N(OFFSET(CC42,0,7)))-CB42</f>
        <v/>
      </c>
      <c r="CH42" s="5" t="n"/>
      <c r="CI42" s="29" t="n"/>
      <c r="CJ42" s="29" t="n"/>
      <c r="CK42" s="29" t="n"/>
      <c r="CL42" s="29" t="n"/>
      <c r="CM42" s="29" t="n"/>
      <c r="CN42" s="573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29" t="n"/>
      <c r="DC42" s="29" t="n"/>
      <c r="DD42" s="29" t="n"/>
      <c r="DE42" s="29" t="n"/>
      <c r="DF42" s="29" t="n"/>
      <c r="DG42" s="5" t="n"/>
      <c r="DH42" s="29" t="n"/>
      <c r="DI42" s="29" t="n"/>
      <c r="DJ42" s="29" t="n"/>
      <c r="DK42" s="29" t="n"/>
      <c r="DL42" s="29" t="n"/>
      <c r="DO42" s="29" t="n"/>
      <c r="DQ42" s="29" t="n"/>
      <c r="DR42" s="29" t="n"/>
      <c r="DS42" s="29" t="n"/>
      <c r="DT42" s="29" t="n"/>
      <c r="DU42" s="29" t="n"/>
      <c r="DV42" s="29" t="n"/>
      <c r="DW42" s="29" t="n"/>
      <c r="DX42" s="29" t="n"/>
      <c r="DY42" s="29" t="n"/>
      <c r="DZ42" s="29" t="n"/>
      <c r="EA42" s="573" t="n"/>
      <c r="EB42" s="29" t="n"/>
      <c r="EC42" s="5" t="n"/>
      <c r="ED42" s="29" t="n"/>
      <c r="EE42" s="29" t="n"/>
      <c r="EF42" s="29" t="n"/>
      <c r="EG42" s="29" t="n"/>
      <c r="EH42" s="29" t="n"/>
      <c r="EJ42" s="29" t="n"/>
      <c r="EK42" s="327" t="n"/>
      <c r="EL42" s="327" t="n"/>
      <c r="ES42" s="573" t="n"/>
      <c r="ET42" s="327" t="n"/>
      <c r="EV42" s="327" t="n"/>
      <c r="EX42" s="573" t="n"/>
      <c r="FG42" s="29" t="n"/>
      <c r="FN42" s="573" t="n"/>
      <c r="FO42" s="573" t="n"/>
      <c r="FP42" s="573" t="n"/>
      <c r="FQ42" s="573" t="n"/>
      <c r="FR42" s="573" t="n"/>
      <c r="FS42" s="573" t="n"/>
      <c r="FT42" s="573" t="n"/>
      <c r="FU42" s="573" t="n"/>
      <c r="FV42" s="573" t="n"/>
      <c r="FW42" s="573" t="n"/>
      <c r="FX42" s="573" t="n"/>
      <c r="FY42" s="573" t="n"/>
    </row>
    <row r="43" hidden="1">
      <c r="A43" s="423" t="inlineStr">
        <is>
          <t>ENVELOPE C/ VISOR M</t>
        </is>
      </c>
      <c r="B43" s="424" t="n">
        <v>150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13</v>
      </c>
      <c r="AP43" s="699" t="n">
        <v>4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192">
        <f>CA43+IF(NOT(ISBLANK(OFFSET(CC43,0,6))),N(OFFSET(CC43,0,6)),N(OFFSET(CC43,0,7)))-CB43</f>
        <v/>
      </c>
      <c r="CH43" s="5" t="n"/>
      <c r="CI43" s="29" t="n"/>
      <c r="CJ43" s="29" t="n"/>
      <c r="CK43" s="29" t="n"/>
      <c r="CL43" s="29" t="n"/>
      <c r="CM43" s="29" t="n"/>
      <c r="CN43" s="573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29" t="n"/>
      <c r="DC43" s="29" t="n"/>
      <c r="DD43" s="29" t="n"/>
      <c r="DE43" s="29" t="n"/>
      <c r="DF43" s="29" t="n"/>
      <c r="DG43" s="5" t="n"/>
      <c r="DH43" s="29" t="n"/>
      <c r="DI43" s="29" t="n"/>
      <c r="DJ43" s="29" t="n"/>
      <c r="DK43" s="29" t="n"/>
      <c r="DL43" s="29" t="n"/>
      <c r="DO43" s="29" t="n"/>
      <c r="DQ43" s="29" t="n"/>
      <c r="DR43" s="29" t="n"/>
      <c r="DS43" s="29" t="n"/>
      <c r="DT43" s="29" t="n"/>
      <c r="DU43" s="29" t="n"/>
      <c r="DV43" s="29" t="n"/>
      <c r="DW43" s="29" t="n"/>
      <c r="DX43" s="29" t="n"/>
      <c r="DY43" s="29" t="n"/>
      <c r="DZ43" s="29" t="n"/>
      <c r="EA43" s="573" t="n"/>
      <c r="EB43" s="29" t="n"/>
      <c r="EC43" s="5" t="n"/>
      <c r="ED43" s="29" t="n"/>
      <c r="EE43" s="29" t="n"/>
      <c r="EF43" s="29" t="n"/>
      <c r="EG43" s="29" t="n"/>
      <c r="EH43" s="29" t="n"/>
      <c r="EJ43" s="29" t="n"/>
      <c r="EK43" s="327" t="n"/>
      <c r="EL43" s="327" t="n"/>
      <c r="ES43" s="573" t="n"/>
      <c r="ET43" s="327" t="n"/>
      <c r="EV43" s="327" t="n"/>
      <c r="EX43" s="573" t="n"/>
      <c r="FG43" s="29" t="n"/>
      <c r="FN43" s="573" t="n"/>
      <c r="FO43" s="573" t="n"/>
      <c r="FP43" s="573" t="n"/>
      <c r="FQ43" s="573" t="n"/>
      <c r="FR43" s="573" t="n"/>
      <c r="FS43" s="573" t="n"/>
      <c r="FT43" s="573" t="n"/>
      <c r="FU43" s="573" t="n"/>
      <c r="FV43" s="573" t="n"/>
      <c r="FW43" s="573" t="n"/>
      <c r="FX43" s="573" t="n"/>
      <c r="FY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-1</v>
      </c>
      <c r="AP44" s="699" t="n">
        <v>-1</v>
      </c>
      <c r="AQ44" s="699" t="n">
        <v>-1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192">
        <f>CA44+IF(NOT(ISBLANK(OFFSET(CC44,0,6))),N(OFFSET(CC44,0,6)),N(OFFSET(CC44,0,7)))-CB44</f>
        <v/>
      </c>
      <c r="CH44" s="5" t="n"/>
      <c r="CI44" s="29" t="n"/>
      <c r="CJ44" s="29" t="n"/>
      <c r="CK44" s="29" t="n"/>
      <c r="CL44" s="29" t="n"/>
      <c r="CM44" s="29" t="n"/>
      <c r="CN44" s="573" t="n"/>
      <c r="CO44" s="29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29" t="n"/>
      <c r="CY44" s="29" t="n"/>
      <c r="CZ44" s="29" t="n"/>
      <c r="DA44" s="29" t="n"/>
      <c r="DB44" s="29" t="n"/>
      <c r="DC44" s="29" t="n"/>
      <c r="DD44" s="29" t="n"/>
      <c r="DE44" s="29" t="n"/>
      <c r="DF44" s="29" t="n"/>
      <c r="DG44" s="5" t="n"/>
      <c r="DH44" s="29" t="n"/>
      <c r="DI44" s="29" t="n"/>
      <c r="DJ44" s="29" t="n"/>
      <c r="DK44" s="29" t="n"/>
      <c r="DL44" s="29" t="n"/>
      <c r="DO44" s="29" t="n"/>
      <c r="DQ44" s="29" t="n"/>
      <c r="DR44" s="29" t="n"/>
      <c r="DS44" s="29" t="n"/>
      <c r="DT44" s="29" t="n"/>
      <c r="DU44" s="29" t="n"/>
      <c r="DV44" s="29" t="n"/>
      <c r="DW44" s="29" t="n"/>
      <c r="DX44" s="29" t="n"/>
      <c r="DY44" s="29" t="n"/>
      <c r="DZ44" s="29" t="n"/>
      <c r="EA44" s="573" t="n"/>
      <c r="EB44" s="29" t="n"/>
      <c r="EC44" s="5" t="n"/>
      <c r="ED44" s="29" t="n"/>
      <c r="EE44" s="29" t="n"/>
      <c r="EF44" s="29" t="n"/>
      <c r="EG44" s="29" t="n"/>
      <c r="EH44" s="29" t="n"/>
      <c r="EJ44" s="29" t="n"/>
      <c r="EK44" s="327" t="n"/>
      <c r="EL44" s="327" t="n"/>
      <c r="ES44" s="573" t="n"/>
      <c r="ET44" s="327" t="n"/>
      <c r="EV44" s="327" t="n"/>
      <c r="EX44" s="573" t="n"/>
      <c r="FG44" s="29" t="n"/>
      <c r="FN44" s="573" t="n"/>
      <c r="FO44" s="573" t="n"/>
      <c r="FP44" s="573" t="n"/>
      <c r="FQ44" s="573" t="n"/>
      <c r="FR44" s="573" t="n"/>
      <c r="FS44" s="573" t="n"/>
      <c r="FT44" s="573" t="n"/>
      <c r="FU44" s="573" t="n"/>
      <c r="FV44" s="573" t="n"/>
      <c r="FW44" s="573" t="n"/>
      <c r="FX44" s="573" t="n"/>
      <c r="FY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1</v>
      </c>
      <c r="AR45" s="699" t="n">
        <v>1</v>
      </c>
      <c r="AS45" s="699" t="n">
        <v>1</v>
      </c>
      <c r="AT45" s="699" t="n">
        <v>1</v>
      </c>
      <c r="AU45" s="699" t="n">
        <v>1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192">
        <f>CA45+IF(NOT(ISBLANK(OFFSET(CC45,0,6))),N(OFFSET(CC45,0,6)),N(OFFSET(CC45,0,7)))-CB45</f>
        <v/>
      </c>
      <c r="CH45" s="5" t="n"/>
      <c r="CI45" s="29" t="n"/>
      <c r="CJ45" s="29" t="n"/>
      <c r="CK45" s="29" t="n"/>
      <c r="CL45" s="29" t="n"/>
      <c r="CM45" s="29" t="n"/>
      <c r="CO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29" t="n"/>
      <c r="CY45" s="29" t="n"/>
      <c r="CZ45" s="29" t="n"/>
      <c r="DA45" s="29" t="n"/>
      <c r="DB45" s="29" t="n"/>
      <c r="DC45" s="29" t="n"/>
      <c r="DD45" s="29" t="n"/>
      <c r="DE45" s="29" t="n"/>
      <c r="DF45" s="29" t="n"/>
      <c r="DG45" s="51" t="n"/>
      <c r="DH45" s="29" t="n"/>
      <c r="DI45" s="29" t="n"/>
      <c r="DJ45" s="29" t="n"/>
      <c r="DK45" s="29" t="n"/>
      <c r="DL45" s="29" t="n"/>
      <c r="DO45" s="29" t="n"/>
      <c r="DQ45" s="29" t="n"/>
      <c r="DR45" s="29" t="n"/>
      <c r="DS45" s="29" t="n"/>
      <c r="DT45" s="29" t="n"/>
      <c r="DU45" s="29" t="n"/>
      <c r="DV45" s="29" t="n"/>
      <c r="DW45" s="29" t="n"/>
      <c r="DX45" s="29" t="n"/>
      <c r="DY45" s="29" t="n"/>
      <c r="DZ45" s="29" t="n"/>
      <c r="EA45" s="573" t="n"/>
      <c r="EB45" s="29" t="n"/>
      <c r="EC45" s="5" t="n"/>
      <c r="ED45" s="29" t="n"/>
      <c r="EE45" s="29" t="n"/>
      <c r="EF45" s="29" t="n"/>
      <c r="EG45" s="29" t="n"/>
      <c r="EH45" s="29" t="n"/>
      <c r="EJ45" s="29" t="n"/>
      <c r="EK45" s="327" t="n"/>
      <c r="EL45" s="327" t="n"/>
      <c r="ES45" s="573" t="n"/>
      <c r="ET45" s="327" t="n"/>
      <c r="EV45" s="327" t="n"/>
      <c r="EX45" s="573" t="n"/>
      <c r="FG45" s="29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E46" s="5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2" t="n"/>
      <c r="AO46" s="699" t="n">
        <v>37</v>
      </c>
      <c r="AP46" s="699" t="n">
        <v>27</v>
      </c>
      <c r="AQ46" s="699" t="n">
        <v>24</v>
      </c>
      <c r="AR46" s="699" t="n">
        <v>17</v>
      </c>
      <c r="AS46" s="699" t="n">
        <v>11</v>
      </c>
      <c r="AT46" s="699" t="n">
        <v>9</v>
      </c>
      <c r="AU46" s="699" t="n">
        <v>7</v>
      </c>
      <c r="AV46" s="699" t="n">
        <v>5</v>
      </c>
      <c r="AW46" s="699" t="n">
        <v>2</v>
      </c>
      <c r="AX46" s="699" t="n">
        <v>2</v>
      </c>
      <c r="AY46" s="699" t="n">
        <v>2</v>
      </c>
      <c r="AZ46" s="699" t="n">
        <v>1</v>
      </c>
      <c r="BA46" s="699" t="n">
        <v>1</v>
      </c>
      <c r="BB46" s="699" t="n">
        <v>1</v>
      </c>
      <c r="BC46" s="699" t="n">
        <v>1</v>
      </c>
      <c r="BD46" s="699" t="n">
        <v>1</v>
      </c>
      <c r="BE46" s="699" t="n">
        <v>1</v>
      </c>
      <c r="BF46" s="699" t="n">
        <v>1</v>
      </c>
      <c r="BG46" s="699" t="n">
        <v>1</v>
      </c>
      <c r="BH46" s="699" t="n">
        <v>1</v>
      </c>
      <c r="BI46" s="699" t="n">
        <v>1</v>
      </c>
      <c r="BJ46" s="699" t="n">
        <v>1</v>
      </c>
      <c r="BK46" s="699" t="n">
        <v>1</v>
      </c>
      <c r="BL46" s="699" t="n">
        <v>1</v>
      </c>
      <c r="BM46" s="699" t="n">
        <v>1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>
        <v>0</v>
      </c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192">
        <f>CA46+IF(NOT(ISBLANK(OFFSET(CC46,0,6))),N(OFFSET(CC46,0,6)),N(OFFSET(CC46,0,7)))-CB46</f>
        <v/>
      </c>
      <c r="CH46" s="5" t="n"/>
      <c r="CI46" s="29" t="n"/>
      <c r="CJ46" s="29" t="n"/>
      <c r="CK46" s="29" t="n"/>
      <c r="CL46" s="29" t="n"/>
      <c r="CM46" s="29" t="n"/>
      <c r="CO46" s="29" t="n"/>
      <c r="CP46" s="29" t="n"/>
      <c r="CQ46" s="29" t="n"/>
      <c r="CR46" s="29" t="n"/>
      <c r="CS46" s="29" t="n"/>
      <c r="CT46" s="29" t="n"/>
      <c r="CU46" s="29" t="n"/>
      <c r="CV46" s="29" t="n"/>
      <c r="CW46" s="29" t="n"/>
      <c r="CX46" s="29" t="n"/>
      <c r="CY46" s="29" t="n"/>
      <c r="CZ46" s="29" t="n"/>
      <c r="DA46" s="29" t="n"/>
      <c r="DB46" s="29" t="n"/>
      <c r="DC46" s="29" t="n"/>
      <c r="DD46" s="29" t="n"/>
      <c r="DE46" s="29" t="n"/>
      <c r="DF46" s="29" t="n"/>
      <c r="DG46" s="51" t="n"/>
      <c r="DH46" s="29" t="n"/>
      <c r="DI46" s="29" t="n"/>
      <c r="DJ46" s="29" t="n"/>
      <c r="DK46" s="29" t="n"/>
      <c r="DL46" s="29" t="n"/>
      <c r="DO46" s="29" t="n"/>
      <c r="DQ46" s="29" t="n"/>
      <c r="DR46" s="29" t="n"/>
      <c r="DS46" s="29" t="n"/>
      <c r="DT46" s="29" t="n"/>
      <c r="DU46" s="29" t="n"/>
      <c r="DV46" s="29" t="n"/>
      <c r="DW46" s="29" t="n"/>
      <c r="DX46" s="29" t="n"/>
      <c r="DY46" s="29" t="n"/>
      <c r="DZ46" s="29" t="n"/>
      <c r="EA46" s="573" t="n"/>
      <c r="EB46" s="29" t="n"/>
      <c r="EC46" s="5" t="n"/>
      <c r="ED46" s="29" t="n"/>
      <c r="EE46" s="29" t="n"/>
      <c r="EF46" s="29" t="n"/>
      <c r="EG46" s="29" t="n"/>
      <c r="EH46" s="29" t="n"/>
      <c r="EJ46" s="29" t="n"/>
      <c r="EK46" s="327" t="n"/>
      <c r="EL46" s="327" t="n"/>
      <c r="ES46" s="573" t="n"/>
      <c r="ET46" s="327" t="n"/>
      <c r="EV46" s="327" t="n"/>
      <c r="EX46" s="573" t="n"/>
      <c r="FG46" s="29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218" t="n">
        <v>140</v>
      </c>
      <c r="BE47" s="699" t="n">
        <v>29</v>
      </c>
      <c r="BF47" s="699" t="n">
        <v>4</v>
      </c>
      <c r="BG47" s="699" t="n">
        <v>4</v>
      </c>
      <c r="BH47" s="699" t="n">
        <v>43</v>
      </c>
      <c r="BI47" s="699" t="n">
        <v>26</v>
      </c>
      <c r="BJ47" s="699" t="n">
        <v>18</v>
      </c>
      <c r="BK47" s="699" t="n">
        <v>17</v>
      </c>
      <c r="BL47" s="699" t="n">
        <v>22</v>
      </c>
      <c r="BM47" s="699" t="n">
        <v>14</v>
      </c>
      <c r="BN47" s="699" t="n">
        <v>8</v>
      </c>
      <c r="BO47" s="699" t="n">
        <v>6</v>
      </c>
      <c r="BP47" s="699" t="n">
        <v>1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699" t="n"/>
      <c r="CA47" s="699" t="n"/>
      <c r="CB47" s="699" t="n"/>
      <c r="CC47" s="192">
        <f>CA47+IF(NOT(ISBLANK(OFFSET(CC47,0,6))),N(OFFSET(CC47,0,6)),N(OFFSET(CC47,0,7)))-CB47</f>
        <v/>
      </c>
      <c r="CD47" s="50" t="n"/>
      <c r="CF47" s="2" t="n"/>
      <c r="CG47" s="63" t="n"/>
      <c r="CN47" s="5" t="n"/>
      <c r="DG47" s="573" t="n"/>
      <c r="DM47" s="173" t="n"/>
      <c r="DN47" s="173" t="n"/>
      <c r="DP47" s="173" t="n"/>
      <c r="EA47" s="573" t="n"/>
      <c r="EC47" s="51" t="n"/>
      <c r="EK47" s="327" t="n"/>
      <c r="EL47" s="327" t="n"/>
      <c r="EN47" s="173" t="n"/>
      <c r="ES47" s="573" t="n"/>
      <c r="ET47" s="327" t="n"/>
      <c r="EV47" s="327" t="n"/>
      <c r="EX47" s="573" t="n"/>
    </row>
    <row r="48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381</v>
      </c>
      <c r="BE48" s="699" t="n">
        <v>184</v>
      </c>
      <c r="BF48" s="699" t="n">
        <v>29</v>
      </c>
      <c r="BG48" s="699" t="n">
        <v>14</v>
      </c>
      <c r="BH48" s="699" t="n">
        <v>1</v>
      </c>
      <c r="BI48" s="699" t="n">
        <v>-8</v>
      </c>
      <c r="BJ48" s="699" t="n">
        <v>-12</v>
      </c>
      <c r="BK48" s="699" t="n">
        <v>-12</v>
      </c>
      <c r="BL48" s="699" t="n">
        <v>17</v>
      </c>
      <c r="BM48" s="699" t="n">
        <v>11</v>
      </c>
      <c r="BN48" s="699" t="n">
        <v>2</v>
      </c>
      <c r="BO48" s="699" t="n">
        <v>11</v>
      </c>
      <c r="BP48" s="699" t="n">
        <v>6</v>
      </c>
      <c r="BQ48" s="699" t="n">
        <v>4</v>
      </c>
      <c r="BR48" s="699" t="n">
        <v>4</v>
      </c>
      <c r="BS48" s="699" t="n">
        <v>4</v>
      </c>
      <c r="BT48" s="699" t="n">
        <v>4</v>
      </c>
      <c r="BU48" s="699" t="n">
        <v>4</v>
      </c>
      <c r="BV48" s="699" t="n">
        <v>4</v>
      </c>
      <c r="BW48" s="699" t="n">
        <v>3</v>
      </c>
      <c r="BX48" s="699" t="n">
        <v>3</v>
      </c>
      <c r="BY48" s="699" t="n">
        <v>0</v>
      </c>
      <c r="BZ48" s="699" t="n">
        <v>3</v>
      </c>
      <c r="CA48" s="699" t="n">
        <v>3</v>
      </c>
      <c r="CB48" s="699" t="n">
        <v>3</v>
      </c>
      <c r="CC48" s="192">
        <f>CA48+IF(NOT(ISBLANK(OFFSET(CC48,0,6))),N(OFFSET(CC48,0,6)),N(OFFSET(CC48,0,7)))-CB48</f>
        <v/>
      </c>
      <c r="CD48" s="50" t="n"/>
      <c r="CF48" s="2" t="n"/>
      <c r="CG48" s="63" t="n"/>
      <c r="DG48" s="573" t="n"/>
      <c r="DM48" s="173" t="n"/>
      <c r="DN48" s="173" t="n"/>
      <c r="DP48" s="173" t="n"/>
      <c r="EA48" s="573" t="n"/>
      <c r="EC48" s="51" t="n"/>
      <c r="EK48" s="327" t="n"/>
      <c r="EL48" s="327" t="n"/>
      <c r="EN48" s="173" t="n"/>
      <c r="ES48" s="573" t="n"/>
      <c r="ET48" s="327" t="n"/>
      <c r="EV48" s="327" t="n"/>
      <c r="EX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304</v>
      </c>
      <c r="BE49" s="699" t="n">
        <v>1</v>
      </c>
      <c r="BF49" s="699" t="n">
        <v>-3</v>
      </c>
      <c r="BG49" s="699" t="n">
        <v>-5</v>
      </c>
      <c r="BH49" s="699" t="n">
        <v>0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>
        <v>0</v>
      </c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192">
        <f>CA49+IF(NOT(ISBLANK(OFFSET(CC49,0,6))),N(OFFSET(CC49,0,6)),N(OFFSET(CC49,0,7)))-CB49</f>
        <v/>
      </c>
      <c r="CD49" s="50" t="n"/>
      <c r="CF49" s="2" t="n"/>
      <c r="CG49" s="63" t="n"/>
      <c r="DG49" s="573" t="n"/>
      <c r="DM49" s="173" t="n"/>
      <c r="DN49" s="173" t="n"/>
      <c r="DP49" s="173" t="n"/>
      <c r="EA49" s="573" t="n"/>
      <c r="EC49" s="51" t="n"/>
      <c r="EK49" s="327" t="n"/>
      <c r="EL49" s="327" t="n"/>
      <c r="EN49" s="173" t="n"/>
      <c r="ES49" s="573" t="n"/>
      <c r="ET49" s="327" t="n"/>
      <c r="EV49" s="327" t="n"/>
      <c r="EX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227</v>
      </c>
      <c r="BE50" s="699" t="n">
        <v>31</v>
      </c>
      <c r="BF50" s="699" t="n">
        <v>3</v>
      </c>
      <c r="BG50" s="699" t="n">
        <v>1</v>
      </c>
      <c r="BH50" s="699" t="n">
        <v>1</v>
      </c>
      <c r="BI50" s="699" t="n">
        <v>1</v>
      </c>
      <c r="BJ50" s="699" t="n">
        <v>1</v>
      </c>
      <c r="BK50" s="699" t="n">
        <v>1</v>
      </c>
      <c r="BL50" s="699" t="n">
        <v>1</v>
      </c>
      <c r="BM50" s="699" t="n">
        <v>1</v>
      </c>
      <c r="BN50" s="699" t="n">
        <v>1</v>
      </c>
      <c r="BO50" s="699" t="n">
        <v>0</v>
      </c>
      <c r="BP50" s="699" t="n">
        <v>0</v>
      </c>
      <c r="BQ50" s="699" t="n">
        <v>0</v>
      </c>
      <c r="BR50" s="699" t="n">
        <v>0</v>
      </c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192">
        <f>CA50+IF(NOT(ISBLANK(OFFSET(CC50,0,6))),N(OFFSET(CC50,0,6)),N(OFFSET(CC50,0,7)))-CB50</f>
        <v/>
      </c>
      <c r="CD50" s="50" t="n"/>
      <c r="CF50" s="2" t="n"/>
      <c r="CG50" s="63" t="n"/>
      <c r="DG50" s="573" t="n"/>
      <c r="DM50" s="173" t="n"/>
      <c r="DN50" s="173" t="n"/>
      <c r="DP50" s="173" t="n"/>
      <c r="EA50" s="573" t="n"/>
      <c r="EC50" s="51" t="n"/>
      <c r="EK50" s="327" t="n"/>
      <c r="EL50" s="327" t="n"/>
      <c r="EN50" s="173" t="n"/>
      <c r="ES50" s="573" t="n"/>
      <c r="ET50" s="327" t="n"/>
      <c r="EV50" s="327" t="n"/>
      <c r="EX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0</v>
      </c>
      <c r="BG51" s="699" t="n">
        <v>0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>
        <v>0</v>
      </c>
      <c r="BQ51" s="699" t="n">
        <v>0</v>
      </c>
      <c r="BR51" s="699" t="n">
        <v>0</v>
      </c>
      <c r="BS51" s="699" t="n"/>
      <c r="BT51" s="699" t="n"/>
      <c r="BU51" s="699" t="n"/>
      <c r="BV51" s="699" t="n"/>
      <c r="BW51" s="699" t="n"/>
      <c r="BX51" s="699" t="n"/>
      <c r="BY51" s="699" t="n"/>
      <c r="BZ51" s="699" t="n"/>
      <c r="CA51" s="699" t="n"/>
      <c r="CB51" s="699" t="n"/>
      <c r="CC51" s="192">
        <f>CA51+IF(NOT(ISBLANK(OFFSET(CC51,0,6))),N(OFFSET(CC51,0,6)),N(OFFSET(CC51,0,7)))-CB51</f>
        <v/>
      </c>
      <c r="CD51" s="50" t="n"/>
      <c r="CF51" s="2" t="n"/>
      <c r="CG51" s="63" t="n"/>
      <c r="DG51" s="573" t="n"/>
      <c r="DM51" s="173" t="n"/>
      <c r="DN51" s="173" t="n"/>
      <c r="DP51" s="173" t="n"/>
      <c r="EA51" s="573" t="n"/>
      <c r="EC51" s="51" t="n"/>
      <c r="EK51" s="327" t="n"/>
      <c r="EL51" s="327" t="n"/>
      <c r="EN51" s="173" t="n"/>
      <c r="ES51" s="573" t="n"/>
      <c r="ET51" s="327" t="n"/>
      <c r="EV51" s="327" t="n"/>
      <c r="EX51" s="573" t="n"/>
    </row>
    <row r="52">
      <c r="C52" s="72" t="n"/>
      <c r="D52" s="72" t="n"/>
      <c r="CD52" s="50" t="n"/>
      <c r="CF52" s="2" t="n"/>
      <c r="CG52" s="63" t="n"/>
      <c r="DG52" s="573" t="n"/>
      <c r="DM52" s="173" t="n"/>
      <c r="DN52" s="173" t="n"/>
      <c r="DP52" s="173" t="n"/>
      <c r="EA52" s="573" t="n"/>
      <c r="EC52" s="51" t="n"/>
      <c r="EK52" s="327" t="n"/>
      <c r="EL52" s="327" t="n"/>
      <c r="EN52" s="173" t="n"/>
      <c r="ES52" s="573" t="n"/>
      <c r="ET52" s="327" t="n"/>
      <c r="EV52" s="327" t="n"/>
      <c r="EX52" s="573" t="n"/>
    </row>
    <row r="53" hidden="1">
      <c r="C53" s="72" t="n"/>
      <c r="D53" s="72" t="n"/>
      <c r="CD53" s="50" t="n"/>
      <c r="CF53" s="2" t="n"/>
      <c r="CG53" s="63" t="n"/>
      <c r="DG53" s="573" t="n"/>
      <c r="DM53" s="173" t="n"/>
      <c r="DN53" s="173" t="n"/>
      <c r="DP53" s="173" t="n"/>
      <c r="EA53" s="573" t="n"/>
      <c r="EC53" s="51" t="n"/>
      <c r="EK53" s="327" t="n"/>
      <c r="EL53" s="327" t="n"/>
      <c r="EN53" s="173" t="n"/>
      <c r="ES53" s="573" t="n"/>
      <c r="ET53" s="327" t="n"/>
      <c r="EV53" s="327" t="n"/>
      <c r="EX53" s="573" t="n"/>
    </row>
    <row r="54" hidden="1">
      <c r="C54" s="72" t="n"/>
      <c r="D54" s="72" t="n"/>
      <c r="CD54" s="50" t="n"/>
      <c r="CF54" s="2" t="n"/>
      <c r="CG54" s="63" t="n"/>
      <c r="CH54" s="573" t="n"/>
      <c r="CI54" s="59" t="n"/>
      <c r="CJ54" s="59" t="n"/>
      <c r="CK54" s="59" t="n"/>
      <c r="CL54" s="59" t="n"/>
      <c r="CM54" s="59" t="n"/>
      <c r="CO54" s="59" t="n"/>
      <c r="CP54" s="59" t="n"/>
      <c r="CQ54" s="59" t="n"/>
      <c r="CR54" s="59" t="n"/>
      <c r="CS54" s="59" t="n"/>
      <c r="CT54" s="59" t="n"/>
      <c r="CU54" s="59" t="n"/>
      <c r="CV54" s="59" t="n"/>
      <c r="DG54" s="573" t="n"/>
      <c r="DM54" s="173" t="n"/>
      <c r="DN54" s="173" t="n"/>
      <c r="DP54" s="173" t="n"/>
      <c r="EA54" s="573" t="n"/>
      <c r="EC54" s="51" t="n"/>
      <c r="EK54" s="327" t="n"/>
      <c r="EL54" s="327" t="n"/>
      <c r="EN54" s="173" t="n"/>
      <c r="ES54" s="573" t="n"/>
      <c r="ET54" s="327" t="n"/>
      <c r="EV54" s="327" t="n"/>
      <c r="EX54" s="573" t="n"/>
    </row>
    <row r="55" ht="21" customHeight="1">
      <c r="A55" s="380" t="inlineStr">
        <is>
          <t>SOBRAS DATAS COMEMORATIVAS</t>
        </is>
      </c>
      <c r="B55" s="380" t="n"/>
      <c r="C55" s="380" t="n"/>
      <c r="CD55" s="50" t="n"/>
      <c r="CF55" s="2" t="n"/>
      <c r="CH55" s="573" t="n"/>
      <c r="CI55" s="573" t="n"/>
      <c r="CJ55" s="573" t="n"/>
      <c r="CK55" s="573" t="n"/>
      <c r="CL55" s="573" t="n"/>
      <c r="CM55" s="573" t="n"/>
      <c r="CO55" s="573" t="n"/>
      <c r="CP55" s="573" t="n"/>
      <c r="CQ55" s="573" t="n"/>
      <c r="CR55" s="573" t="n"/>
      <c r="CS55" s="573" t="n"/>
      <c r="CT55" s="573" t="n"/>
      <c r="CU55" s="573" t="n"/>
      <c r="CV55" s="573" t="n"/>
      <c r="DG55" s="573" t="n"/>
      <c r="DM55" s="174" t="n"/>
      <c r="DN55" s="174" t="n"/>
      <c r="DP55" s="174" t="n"/>
      <c r="DQ55" s="59" t="n"/>
      <c r="DR55" s="59" t="n"/>
      <c r="DS55" s="59" t="n"/>
      <c r="DT55" s="59" t="n"/>
      <c r="DU55" s="59" t="n"/>
      <c r="DV55" s="59" t="n"/>
      <c r="DW55" s="59" t="n"/>
      <c r="DX55" s="59" t="n"/>
      <c r="DY55" s="59" t="n"/>
      <c r="DZ55" s="59" t="n"/>
      <c r="EA55" s="5" t="n"/>
      <c r="EC55" s="51" t="n"/>
      <c r="EK55" s="327" t="n"/>
      <c r="EL55" s="327" t="n"/>
      <c r="EN55" s="174" t="n"/>
      <c r="ET55" s="327" t="n"/>
      <c r="EV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D56" s="50" t="n"/>
      <c r="CF56" s="2" t="n"/>
      <c r="CH56" s="573" t="n"/>
      <c r="CI56" s="573" t="n"/>
      <c r="CJ56" s="573" t="n"/>
      <c r="CK56" s="573" t="n"/>
      <c r="CL56" s="573" t="n"/>
      <c r="CM56" s="573" t="n"/>
      <c r="CO56" s="573" t="n"/>
      <c r="CP56" s="573" t="n"/>
      <c r="CQ56" s="573" t="n"/>
      <c r="CR56" s="573" t="n"/>
      <c r="CS56" s="573" t="n"/>
      <c r="CT56" s="573" t="n"/>
      <c r="CU56" s="573" t="n"/>
      <c r="CV56" s="573" t="n"/>
      <c r="CZ56" s="59" t="n"/>
      <c r="DA56" s="59" t="n"/>
      <c r="DB56" s="59" t="n"/>
      <c r="DC56" s="59" t="n"/>
      <c r="DD56" s="59" t="n"/>
      <c r="DE56" s="59" t="n"/>
      <c r="DF56" s="59" t="n"/>
      <c r="DG56" s="573" t="n"/>
      <c r="DH56" s="59" t="n"/>
      <c r="DI56" s="59" t="n"/>
      <c r="DJ56" s="59" t="n"/>
      <c r="DK56" s="59" t="n"/>
      <c r="DL56" s="59" t="n"/>
      <c r="DM56" s="174" t="n"/>
      <c r="DN56" s="174" t="n"/>
      <c r="DO56" s="59" t="n"/>
      <c r="DP56" s="174" t="n"/>
      <c r="DQ56" s="573" t="n"/>
      <c r="DR56" s="573" t="n"/>
      <c r="DS56" s="573" t="n"/>
      <c r="DT56" s="573" t="n"/>
      <c r="DU56" s="573" t="n"/>
      <c r="DV56" s="573" t="n"/>
      <c r="DW56" s="573" t="n"/>
      <c r="DX56" s="573" t="n"/>
      <c r="DY56" s="573" t="n"/>
      <c r="DZ56" s="573" t="n"/>
      <c r="EA56" s="5" t="n"/>
      <c r="EC56" s="573" t="n"/>
      <c r="EE56" s="59" t="n"/>
      <c r="EF56" s="59" t="n"/>
      <c r="EG56" s="59" t="n"/>
      <c r="EH56" s="59" t="n"/>
      <c r="EJ56" s="59" t="n"/>
      <c r="EK56" s="327" t="n"/>
      <c r="EL56" s="327" t="n"/>
      <c r="EN56" s="174" t="n"/>
      <c r="ET56" s="327" t="n"/>
      <c r="EV56" s="327" t="n"/>
      <c r="FG56" s="59" t="n"/>
    </row>
    <row r="57">
      <c r="A57" s="387" t="n"/>
      <c r="B57" s="388" t="n"/>
      <c r="C57" s="388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G57" s="573" t="n"/>
      <c r="CH57" s="573" t="n"/>
      <c r="CZ57" s="573" t="n"/>
      <c r="DA57" s="573" t="n"/>
      <c r="DB57" s="573" t="n"/>
      <c r="DC57" s="573" t="n"/>
      <c r="DD57" s="573" t="n"/>
      <c r="DE57" s="573" t="n"/>
      <c r="DF57" s="573" t="n"/>
      <c r="DG57" s="573" t="n"/>
      <c r="DH57" s="573" t="n"/>
      <c r="DI57" s="573" t="n"/>
      <c r="DJ57" s="573" t="n"/>
      <c r="DK57" s="573" t="n"/>
      <c r="DL57" s="573" t="n"/>
      <c r="DO57" s="573" t="n"/>
      <c r="DQ57" s="573" t="n"/>
      <c r="DR57" s="573" t="n"/>
      <c r="DS57" s="573" t="n"/>
      <c r="DT57" s="573" t="n"/>
      <c r="DU57" s="573" t="n"/>
      <c r="DV57" s="573" t="n"/>
      <c r="DW57" s="573" t="n"/>
      <c r="DX57" s="573" t="n"/>
      <c r="DY57" s="573" t="n"/>
      <c r="DZ57" s="573" t="n"/>
      <c r="EA57" s="41" t="n"/>
      <c r="EB57" s="59" t="n"/>
      <c r="EC57" s="573" t="n"/>
      <c r="ED57" s="59" t="n"/>
      <c r="EE57" s="573" t="n"/>
      <c r="EF57" s="573" t="n"/>
      <c r="EG57" s="573" t="n"/>
      <c r="EH57" s="573" t="n"/>
      <c r="EI57" s="59" t="n"/>
      <c r="EJ57" s="573" t="n"/>
      <c r="EK57" s="327" t="n"/>
      <c r="EL57" s="327" t="n"/>
      <c r="EM57" s="59" t="n"/>
      <c r="EO57" s="59" t="n"/>
      <c r="EP57" s="59" t="n"/>
      <c r="EQ57" s="59" t="n"/>
      <c r="ER57" s="59" t="n"/>
      <c r="ET57" s="327" t="n"/>
      <c r="EU57" s="59" t="n"/>
      <c r="EV57" s="327" t="n"/>
      <c r="EW57" s="59" t="n"/>
      <c r="EY57" s="59" t="n"/>
      <c r="EZ57" s="59" t="n"/>
      <c r="FA57" s="59" t="n"/>
      <c r="FB57" s="59" t="n"/>
      <c r="FC57" s="59" t="n"/>
      <c r="FD57" s="59" t="n"/>
      <c r="FE57" s="59" t="n"/>
      <c r="FF57" s="59" t="n"/>
      <c r="FG57" s="573" t="n"/>
      <c r="FH57" s="59" t="n"/>
      <c r="FI57" s="59" t="n"/>
      <c r="FJ57" s="59" t="n"/>
      <c r="FL57" s="59" t="n"/>
      <c r="FM57" s="573" t="n"/>
      <c r="FZ57" s="50" t="n"/>
      <c r="GA57" s="50" t="n"/>
      <c r="GB57" s="50" t="n"/>
      <c r="GC57" s="50" t="n"/>
      <c r="GD57" s="50" t="n"/>
      <c r="GE57" s="50" t="n"/>
      <c r="GF57" s="50" t="n"/>
      <c r="GG57" s="50" t="n"/>
      <c r="GH57" s="50" t="n"/>
      <c r="GI57" s="50" t="n"/>
      <c r="GJ57" s="50" t="n"/>
      <c r="GK57" s="50" t="n"/>
      <c r="GL57" s="50" t="n"/>
      <c r="GM57" s="50" t="n"/>
      <c r="GN57" s="50" t="n"/>
      <c r="GO57" s="50" t="n"/>
      <c r="GP57" s="50" t="n"/>
      <c r="GQ57" s="29" t="n"/>
      <c r="GR57" s="29" t="n"/>
      <c r="GS57" s="29" t="n"/>
      <c r="GT57" s="29" t="n"/>
      <c r="GU57" s="29" t="n"/>
      <c r="GV57" s="29" t="n"/>
      <c r="GW57" s="29" t="n"/>
      <c r="GX57" s="50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50" t="n"/>
      <c r="HO57" s="50" t="n"/>
      <c r="HP57" s="50" t="n"/>
      <c r="HQ57" s="51" t="n"/>
      <c r="HR57" s="2" t="n"/>
      <c r="HS57" s="29" t="n"/>
      <c r="HT57" s="573" t="n"/>
      <c r="HU57" s="29" t="n"/>
      <c r="HV57" s="29" t="n"/>
      <c r="HW57" s="29" t="n"/>
      <c r="HX57" s="174" t="n"/>
      <c r="HY57" s="29" t="n"/>
      <c r="HZ57" s="174" t="n"/>
      <c r="IA57" s="29" t="n"/>
      <c r="IB57" s="29" t="n"/>
      <c r="IC57" s="174" t="n"/>
      <c r="ID57" s="29" t="n"/>
      <c r="IE57" s="29" t="n"/>
      <c r="IF57" s="29" t="n"/>
      <c r="IG57" s="29" t="n"/>
      <c r="IH57" s="29" t="n"/>
      <c r="II57" s="29" t="n"/>
      <c r="IJ57" s="29" t="n"/>
      <c r="IK57" s="174" t="n"/>
      <c r="IL57" s="29" t="n"/>
      <c r="IM57" s="29" t="n"/>
      <c r="IN57" s="29" t="n"/>
      <c r="IO57" s="71" t="n"/>
      <c r="IP57" s="29" t="n"/>
      <c r="IQ57" s="29" t="n"/>
      <c r="IR57" s="29" t="n"/>
      <c r="IS57" s="174" t="n"/>
      <c r="IT57" s="29" t="n"/>
      <c r="IU57" s="29" t="n"/>
      <c r="IV57" s="71" t="n"/>
      <c r="IW57" s="29" t="n"/>
      <c r="IX57" s="29" t="n"/>
      <c r="IY57" s="29" t="n"/>
      <c r="IZ57" s="29" t="n"/>
      <c r="JA57" s="29" t="n"/>
      <c r="JB57" s="29" t="n"/>
      <c r="JC57" s="29" t="n"/>
      <c r="JD57" s="29" t="n"/>
      <c r="JE57" s="29" t="n"/>
      <c r="JF57" s="29" t="n"/>
      <c r="JG57" s="29" t="n"/>
      <c r="JH57" s="71" t="n"/>
      <c r="JI57" s="29" t="n"/>
      <c r="JJ57" s="29" t="n"/>
      <c r="JK57" s="29" t="n"/>
      <c r="JL57" s="29" t="n"/>
      <c r="JM57" s="29" t="n"/>
      <c r="JN57" s="29" t="n"/>
      <c r="JO57" s="29" t="n"/>
      <c r="JP57" s="29" t="n"/>
      <c r="JQ57" s="29" t="n"/>
      <c r="JR57" s="29" t="n"/>
      <c r="JS57" s="29" t="n"/>
      <c r="JT57" s="29" t="n"/>
      <c r="JU57" s="29" t="n"/>
      <c r="JV57" s="29" t="n"/>
      <c r="JW57" s="29" t="n"/>
      <c r="JX57" s="29" t="n"/>
      <c r="JY57" s="29" t="n"/>
      <c r="JZ57" s="29" t="n"/>
      <c r="KA57" s="29" t="n"/>
      <c r="KB57" s="29" t="n"/>
      <c r="KC57" s="29" t="n"/>
      <c r="KD57" s="29" t="n"/>
      <c r="KE57" s="29" t="n"/>
      <c r="KF57" s="29" t="n"/>
      <c r="KG57" s="29" t="n"/>
      <c r="KH57" s="29" t="n"/>
      <c r="KI57" s="29" t="n"/>
      <c r="KJ57" s="29" t="n"/>
      <c r="KK57" s="29" t="n"/>
      <c r="KL57" s="29" t="n"/>
      <c r="KM57" s="29" t="n"/>
      <c r="KN57" s="29" t="n"/>
      <c r="KO57" s="29" t="n"/>
      <c r="KP57" s="29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  <c r="LH57" s="29" t="n"/>
    </row>
    <row r="58" ht="29.25" customHeight="1">
      <c r="A58" s="786" t="inlineStr">
        <is>
          <t>CARTUCHO P MÃES/24</t>
        </is>
      </c>
      <c r="B58" s="225" t="n"/>
      <c r="C58" s="172" t="n">
        <v>11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1" t="n"/>
      <c r="CF58" s="573" t="n"/>
      <c r="CG58" s="573" t="n"/>
      <c r="CH58" s="573" t="n"/>
      <c r="CZ58" s="573" t="n"/>
      <c r="DA58" s="573" t="n"/>
      <c r="DB58" s="573" t="n"/>
      <c r="DC58" s="573" t="n"/>
      <c r="DD58" s="573" t="n"/>
      <c r="DE58" s="573" t="n"/>
      <c r="DF58" s="573" t="n"/>
      <c r="DG58" s="573" t="n"/>
      <c r="DH58" s="573" t="n"/>
      <c r="DI58" s="573" t="n"/>
      <c r="DJ58" s="573" t="n"/>
      <c r="DK58" s="573" t="n"/>
      <c r="DL58" s="573" t="n"/>
      <c r="DO58" s="573" t="n"/>
      <c r="EA58" s="41" t="n"/>
      <c r="EB58" s="573" t="n"/>
      <c r="EC58" s="573" t="n"/>
      <c r="ED58" s="573" t="n"/>
      <c r="EE58" s="573" t="n"/>
      <c r="EF58" s="573" t="n"/>
      <c r="EG58" s="573" t="n"/>
      <c r="EH58" s="573" t="n"/>
      <c r="EI58" s="573" t="n"/>
      <c r="EJ58" s="573" t="n"/>
      <c r="EK58" s="327" t="n"/>
      <c r="EL58" s="327" t="n"/>
      <c r="EM58" s="573" t="n"/>
      <c r="EO58" s="573" t="n"/>
      <c r="EP58" s="573" t="n"/>
      <c r="EQ58" s="573" t="n"/>
      <c r="ER58" s="573" t="n"/>
      <c r="ET58" s="327" t="n"/>
      <c r="EU58" s="573" t="n"/>
      <c r="EV58" s="327" t="n"/>
      <c r="EW58" s="573" t="n"/>
      <c r="EY58" s="573" t="n"/>
      <c r="EZ58" s="573" t="n"/>
      <c r="FA58" s="573" t="n"/>
      <c r="FB58" s="573" t="n"/>
      <c r="FC58" s="573" t="n"/>
      <c r="FD58" s="573" t="n"/>
      <c r="FE58" s="573" t="n"/>
      <c r="FF58" s="573" t="n"/>
      <c r="FG58" s="573" t="n"/>
      <c r="FH58" s="573" t="n"/>
      <c r="FI58" s="573" t="n"/>
      <c r="FJ58" s="573" t="n"/>
      <c r="FK58" s="573" t="n"/>
      <c r="FL58" s="573" t="n"/>
      <c r="FM58" s="573" t="n"/>
      <c r="FZ58" s="50" t="n"/>
      <c r="GA58" s="50" t="n"/>
      <c r="GB58" s="50" t="n"/>
      <c r="GC58" s="50" t="n"/>
      <c r="GD58" s="50" t="n"/>
      <c r="GE58" s="50" t="n"/>
      <c r="GF58" s="50" t="n"/>
      <c r="GG58" s="50" t="n"/>
      <c r="GH58" s="50" t="n"/>
      <c r="GI58" s="50" t="n"/>
      <c r="GJ58" s="50" t="n"/>
      <c r="GK58" s="50" t="n"/>
      <c r="GL58" s="50" t="n"/>
      <c r="GM58" s="50" t="n"/>
      <c r="GN58" s="50" t="n"/>
      <c r="GO58" s="50" t="n"/>
      <c r="GP58" s="50" t="n"/>
      <c r="GQ58" s="29" t="n"/>
      <c r="GR58" s="29" t="n"/>
      <c r="GS58" s="29" t="n"/>
      <c r="GT58" s="29" t="n"/>
      <c r="GU58" s="29" t="n"/>
      <c r="GV58" s="29" t="n"/>
      <c r="GW58" s="29" t="n"/>
      <c r="GX58" s="50" t="n"/>
      <c r="GY58" s="29" t="n"/>
      <c r="GZ58" s="29" t="n"/>
      <c r="HA58" s="29" t="n"/>
      <c r="HB58" s="29" t="n"/>
      <c r="HC58" s="29" t="n"/>
      <c r="HD58" s="29" t="n"/>
      <c r="HE58" s="29" t="n"/>
      <c r="HF58" s="29" t="n"/>
      <c r="HG58" s="29" t="n"/>
      <c r="HH58" s="29" t="n"/>
      <c r="HI58" s="29" t="n"/>
      <c r="HJ58" s="29" t="n"/>
      <c r="HK58" s="29" t="n"/>
      <c r="HL58" s="29" t="n"/>
      <c r="HM58" s="29" t="n"/>
      <c r="HN58" s="50" t="n"/>
      <c r="HO58" s="50" t="n"/>
      <c r="HP58" s="50" t="n"/>
      <c r="HQ58" s="51" t="n"/>
      <c r="HR58" s="2" t="n"/>
      <c r="HS58" s="29" t="n"/>
      <c r="HT58" s="573" t="n"/>
      <c r="HU58" s="29" t="n"/>
      <c r="HV58" s="29" t="n"/>
      <c r="HW58" s="29" t="n"/>
      <c r="HX58" s="174" t="n"/>
      <c r="HY58" s="29" t="n"/>
      <c r="HZ58" s="174" t="n"/>
      <c r="IA58" s="29" t="n"/>
      <c r="IB58" s="29" t="n"/>
      <c r="IC58" s="174" t="n"/>
      <c r="ID58" s="29" t="n"/>
      <c r="IE58" s="29" t="n"/>
      <c r="IF58" s="29" t="n"/>
      <c r="IG58" s="29" t="n"/>
      <c r="IH58" s="29" t="n"/>
      <c r="II58" s="29" t="n"/>
      <c r="IJ58" s="29" t="n"/>
      <c r="IK58" s="174" t="n"/>
      <c r="IL58" s="29" t="n"/>
      <c r="IM58" s="29" t="n"/>
      <c r="IN58" s="29" t="n"/>
      <c r="IO58" s="71" t="n"/>
      <c r="IP58" s="29" t="n"/>
      <c r="IQ58" s="29" t="n"/>
      <c r="IR58" s="29" t="n"/>
      <c r="IS58" s="174" t="n"/>
      <c r="IT58" s="29" t="n"/>
      <c r="IU58" s="29" t="n"/>
      <c r="IV58" s="71" t="n"/>
      <c r="IW58" s="29" t="n"/>
      <c r="IX58" s="29" t="n"/>
      <c r="IY58" s="29" t="n"/>
      <c r="IZ58" s="29" t="n"/>
      <c r="JA58" s="29" t="n"/>
      <c r="JB58" s="29" t="n"/>
      <c r="JC58" s="29" t="n"/>
      <c r="JD58" s="29" t="n"/>
      <c r="JE58" s="29" t="n"/>
      <c r="JF58" s="29" t="n"/>
      <c r="JG58" s="29" t="n"/>
      <c r="JH58" s="71" t="n"/>
      <c r="JI58" s="29" t="n"/>
      <c r="JJ58" s="29" t="n"/>
      <c r="JK58" s="29" t="n"/>
      <c r="JL58" s="29" t="n"/>
      <c r="JM58" s="29" t="n"/>
      <c r="JN58" s="29" t="n"/>
      <c r="JO58" s="29" t="n"/>
      <c r="JP58" s="29" t="n"/>
      <c r="JQ58" s="29" t="n"/>
      <c r="JR58" s="29" t="n"/>
      <c r="JS58" s="29" t="n"/>
      <c r="JT58" s="29" t="n"/>
      <c r="JU58" s="29" t="n"/>
      <c r="JV58" s="29" t="n"/>
      <c r="JW58" s="29" t="n"/>
      <c r="JX58" s="29" t="n"/>
      <c r="JY58" s="29" t="n"/>
      <c r="JZ58" s="29" t="n"/>
      <c r="KA58" s="29" t="n"/>
      <c r="KB58" s="29" t="n"/>
      <c r="KC58" s="29" t="n"/>
      <c r="KD58" s="29" t="n"/>
      <c r="KE58" s="29" t="n"/>
      <c r="KF58" s="29" t="n"/>
      <c r="KG58" s="29" t="n"/>
      <c r="KH58" s="29" t="n"/>
      <c r="KI58" s="29" t="n"/>
      <c r="KJ58" s="29" t="n"/>
      <c r="KK58" s="29" t="n"/>
      <c r="KL58" s="29" t="n"/>
      <c r="KM58" s="29" t="n"/>
      <c r="KN58" s="29" t="n"/>
      <c r="KO58" s="29" t="n"/>
      <c r="KP58" s="29" t="n"/>
      <c r="KQ58" s="29" t="n"/>
      <c r="KR58" s="29" t="n"/>
      <c r="KS58" s="29" t="n"/>
      <c r="KT58" s="29" t="n"/>
      <c r="KU58" s="29" t="n"/>
      <c r="KV58" s="29" t="n"/>
      <c r="KW58" s="29" t="n"/>
      <c r="KX58" s="29" t="n"/>
      <c r="KY58" s="29" t="n"/>
      <c r="KZ58" s="29" t="n"/>
      <c r="LA58" s="29" t="n"/>
      <c r="LB58" s="29" t="n"/>
      <c r="LC58" s="29" t="n"/>
      <c r="LD58" s="29" t="n"/>
      <c r="LE58" s="29" t="n"/>
      <c r="LF58" s="29" t="n"/>
      <c r="LG58" s="29" t="n"/>
      <c r="LH58" s="29" t="n"/>
    </row>
    <row r="59" ht="29.25" customHeight="1">
      <c r="A59" s="356" t="inlineStr">
        <is>
          <t>TAG DIVERTIDAMENTE</t>
        </is>
      </c>
      <c r="B59" s="225" t="n"/>
      <c r="C59" s="172" t="n">
        <v>200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73" t="n"/>
      <c r="CD59" s="573" t="n"/>
      <c r="CF59" s="573" t="n"/>
      <c r="CG59" s="573" t="n"/>
      <c r="CH59" s="573" t="n"/>
      <c r="DG59" s="5" t="n"/>
      <c r="EB59" s="573" t="n"/>
      <c r="EC59" s="573" t="n"/>
      <c r="ED59" s="573" t="n"/>
      <c r="EI59" s="573" t="n"/>
      <c r="EK59" s="327" t="n"/>
      <c r="EL59" s="327" t="n"/>
      <c r="EM59" s="573" t="n"/>
      <c r="EO59" s="573" t="n"/>
      <c r="EP59" s="573" t="n"/>
      <c r="EQ59" s="573" t="n"/>
      <c r="ER59" s="573" t="n"/>
      <c r="ET59" s="327" t="n"/>
      <c r="EU59" s="573" t="n"/>
      <c r="EV59" s="327" t="n"/>
      <c r="EW59" s="573" t="n"/>
      <c r="EY59" s="573" t="n"/>
      <c r="EZ59" s="573" t="n"/>
      <c r="FA59" s="573" t="n"/>
      <c r="FB59" s="573" t="n"/>
      <c r="FC59" s="573" t="n"/>
      <c r="FD59" s="573" t="n"/>
      <c r="FE59" s="573" t="n"/>
      <c r="FF59" s="573" t="n"/>
      <c r="FG59" s="573" t="n"/>
      <c r="FH59" s="573" t="n"/>
      <c r="FI59" s="573" t="n"/>
      <c r="FJ59" s="573" t="n"/>
      <c r="FK59" s="573" t="n"/>
      <c r="FL59" s="573" t="n"/>
      <c r="FM59" s="573" t="n"/>
      <c r="FZ59" s="50" t="n"/>
      <c r="GA59" s="50" t="n"/>
      <c r="GB59" s="50" t="n"/>
      <c r="GC59" s="50" t="n"/>
      <c r="GD59" s="50" t="n"/>
      <c r="GE59" s="50" t="n"/>
      <c r="GF59" s="50" t="n"/>
      <c r="GG59" s="50" t="n"/>
      <c r="GH59" s="50" t="n"/>
      <c r="GI59" s="50" t="n"/>
      <c r="GJ59" s="50" t="n"/>
      <c r="GK59" s="50" t="n"/>
      <c r="GL59" s="50" t="n"/>
      <c r="GM59" s="50" t="n"/>
      <c r="GN59" s="50" t="n"/>
      <c r="GO59" s="50" t="n"/>
      <c r="GP59" s="50" t="n"/>
      <c r="GQ59" s="29" t="n"/>
      <c r="GR59" s="29" t="n"/>
      <c r="GS59" s="29" t="n"/>
      <c r="GT59" s="29" t="n"/>
      <c r="GU59" s="29" t="n"/>
      <c r="GV59" s="29" t="n"/>
      <c r="GW59" s="29" t="n"/>
      <c r="GX59" s="50" t="n"/>
      <c r="GY59" s="29" t="n"/>
      <c r="GZ59" s="29" t="n"/>
      <c r="HA59" s="29" t="n"/>
      <c r="HB59" s="29" t="n"/>
      <c r="HC59" s="29" t="n"/>
      <c r="HD59" s="29" t="n"/>
      <c r="HE59" s="29" t="n"/>
      <c r="HF59" s="29" t="n"/>
      <c r="HG59" s="29" t="n"/>
      <c r="HH59" s="29" t="n"/>
      <c r="HI59" s="29" t="n"/>
      <c r="HJ59" s="29" t="n"/>
      <c r="HK59" s="29" t="n"/>
      <c r="HL59" s="29" t="n"/>
      <c r="HM59" s="29" t="n"/>
      <c r="HN59" s="50" t="n"/>
      <c r="HO59" s="50" t="n"/>
      <c r="HP59" s="50" t="n"/>
      <c r="HQ59" s="51" t="n"/>
      <c r="HR59" s="2" t="n"/>
      <c r="HS59" s="29" t="n"/>
      <c r="HT59" s="573" t="n"/>
      <c r="HU59" s="29" t="n"/>
      <c r="HV59" s="29" t="n"/>
      <c r="HW59" s="29" t="n"/>
      <c r="HX59" s="174" t="n"/>
      <c r="HY59" s="29" t="n"/>
      <c r="HZ59" s="174" t="n"/>
      <c r="IA59" s="29" t="n"/>
      <c r="IB59" s="29" t="n"/>
      <c r="IC59" s="174" t="n"/>
      <c r="ID59" s="29" t="n"/>
      <c r="IE59" s="29" t="n"/>
      <c r="IF59" s="29" t="n"/>
      <c r="IG59" s="29" t="n"/>
      <c r="IH59" s="29" t="n"/>
      <c r="II59" s="29" t="n"/>
      <c r="IJ59" s="29" t="n"/>
      <c r="IK59" s="174" t="n"/>
      <c r="IL59" s="29" t="n"/>
      <c r="IM59" s="29" t="n"/>
      <c r="IN59" s="29" t="n"/>
      <c r="IO59" s="71" t="n"/>
      <c r="IP59" s="29" t="n"/>
      <c r="IQ59" s="29" t="n"/>
      <c r="IR59" s="29" t="n"/>
      <c r="IS59" s="174" t="n"/>
      <c r="IT59" s="29" t="n"/>
      <c r="IU59" s="29" t="n"/>
      <c r="IV59" s="71" t="n"/>
      <c r="IW59" s="29" t="n"/>
      <c r="IX59" s="29" t="n"/>
      <c r="IY59" s="29" t="n"/>
      <c r="IZ59" s="29" t="n"/>
      <c r="JA59" s="29" t="n"/>
      <c r="JB59" s="29" t="n"/>
      <c r="JC59" s="29" t="n"/>
      <c r="JD59" s="29" t="n"/>
      <c r="JE59" s="29" t="n"/>
      <c r="JF59" s="29" t="n"/>
      <c r="JG59" s="29" t="n"/>
      <c r="JH59" s="71" t="n"/>
      <c r="JI59" s="29" t="n"/>
      <c r="JJ59" s="29" t="n"/>
      <c r="JK59" s="29" t="n"/>
      <c r="JL59" s="29" t="n"/>
      <c r="JM59" s="29" t="n"/>
      <c r="JN59" s="29" t="n"/>
      <c r="JO59" s="29" t="n"/>
      <c r="JP59" s="29" t="n"/>
      <c r="JQ59" s="29" t="n"/>
      <c r="JR59" s="29" t="n"/>
      <c r="JS59" s="29" t="n"/>
      <c r="JT59" s="29" t="n"/>
      <c r="JU59" s="29" t="n"/>
      <c r="JV59" s="29" t="n"/>
      <c r="JW59" s="29" t="n"/>
      <c r="JX59" s="29" t="n"/>
      <c r="JY59" s="29" t="n"/>
      <c r="JZ59" s="29" t="n"/>
      <c r="KA59" s="29" t="n"/>
      <c r="KB59" s="29" t="n"/>
      <c r="KC59" s="29" t="n"/>
      <c r="KD59" s="29" t="n"/>
      <c r="KE59" s="29" t="n"/>
      <c r="KF59" s="29" t="n"/>
      <c r="KG59" s="29" t="n"/>
      <c r="KH59" s="29" t="n"/>
      <c r="KI59" s="29" t="n"/>
      <c r="KJ59" s="29" t="n"/>
      <c r="KK59" s="29" t="n"/>
      <c r="KL59" s="29" t="n"/>
      <c r="KM59" s="29" t="n"/>
      <c r="KN59" s="29" t="n"/>
      <c r="KO59" s="29" t="n"/>
      <c r="KP59" s="29" t="n"/>
      <c r="KQ59" s="29" t="n"/>
      <c r="KR59" s="29" t="n"/>
      <c r="KS59" s="29" t="n"/>
      <c r="KT59" s="29" t="n"/>
      <c r="KU59" s="29" t="n"/>
      <c r="KV59" s="29" t="n"/>
      <c r="KW59" s="29" t="n"/>
      <c r="KX59" s="29" t="n"/>
      <c r="KY59" s="29" t="n"/>
      <c r="KZ59" s="29" t="n"/>
      <c r="LA59" s="29" t="n"/>
      <c r="LB59" s="29" t="n"/>
      <c r="LC59" s="29" t="n"/>
      <c r="LD59" s="29" t="n"/>
      <c r="LE59" s="29" t="n"/>
      <c r="LF59" s="29" t="n"/>
      <c r="LG59" s="29" t="n"/>
      <c r="LH59" s="29" t="n"/>
    </row>
    <row r="60">
      <c r="A60" s="387" t="n"/>
      <c r="B60" s="388" t="n"/>
      <c r="C60" s="388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F60" s="573" t="n"/>
      <c r="CG60" s="573" t="n"/>
      <c r="CH60" s="573" t="n"/>
      <c r="DG60" s="41" t="n"/>
      <c r="EC60" s="573" t="n"/>
      <c r="EI60" s="573" t="n"/>
      <c r="EK60" s="327" t="n"/>
      <c r="EL60" s="327" t="n"/>
      <c r="EM60" s="573" t="n"/>
      <c r="EO60" s="573" t="n"/>
      <c r="EP60" s="573" t="n"/>
      <c r="EQ60" s="573" t="n"/>
      <c r="ER60" s="573" t="n"/>
      <c r="ET60" s="327" t="n"/>
      <c r="EU60" s="573" t="n"/>
      <c r="EV60" s="327" t="n"/>
      <c r="EW60" s="573" t="n"/>
      <c r="EY60" s="573" t="n"/>
      <c r="EZ60" s="573" t="n"/>
      <c r="FA60" s="573" t="n"/>
      <c r="FB60" s="573" t="n"/>
      <c r="FC60" s="573" t="n"/>
      <c r="FD60" s="573" t="n"/>
      <c r="FE60" s="573" t="n"/>
      <c r="FF60" s="573" t="n"/>
      <c r="FG60" s="573" t="n"/>
      <c r="FH60" s="573" t="n"/>
      <c r="FI60" s="573" t="n"/>
      <c r="FJ60" s="573" t="n"/>
      <c r="FK60" s="573" t="n"/>
      <c r="FL60" s="573" t="n"/>
      <c r="FM60" s="573" t="n"/>
      <c r="FZ60" s="50" t="n"/>
      <c r="GA60" s="50" t="n"/>
      <c r="GB60" s="50" t="n"/>
      <c r="GC60" s="50" t="n"/>
      <c r="GD60" s="50" t="n"/>
      <c r="GE60" s="50" t="n"/>
      <c r="GF60" s="50" t="n"/>
      <c r="GG60" s="50" t="n"/>
      <c r="GH60" s="50" t="n"/>
      <c r="GI60" s="50" t="n"/>
      <c r="GJ60" s="50" t="n"/>
      <c r="GK60" s="50" t="n"/>
      <c r="GL60" s="50" t="n"/>
      <c r="GM60" s="50" t="n"/>
      <c r="GN60" s="50" t="n"/>
      <c r="GO60" s="50" t="n"/>
      <c r="GP60" s="50" t="n"/>
      <c r="GQ60" s="29" t="n"/>
      <c r="GR60" s="29" t="n"/>
      <c r="GS60" s="29" t="n"/>
      <c r="GT60" s="29" t="n"/>
      <c r="GU60" s="29" t="n"/>
      <c r="GV60" s="29" t="n"/>
      <c r="GW60" s="29" t="n"/>
      <c r="GX60" s="50" t="n"/>
      <c r="GY60" s="29" t="n"/>
      <c r="GZ60" s="29" t="n"/>
      <c r="HA60" s="29" t="n"/>
      <c r="HB60" s="29" t="n"/>
      <c r="HC60" s="29" t="n"/>
      <c r="HD60" s="29" t="n"/>
      <c r="HE60" s="29" t="n"/>
      <c r="HF60" s="29" t="n"/>
      <c r="HG60" s="29" t="n"/>
      <c r="HH60" s="29" t="n"/>
      <c r="HI60" s="29" t="n"/>
      <c r="HJ60" s="29" t="n"/>
      <c r="HK60" s="29" t="n"/>
      <c r="HL60" s="29" t="n"/>
      <c r="HM60" s="29" t="n"/>
      <c r="HN60" s="50" t="n"/>
      <c r="HO60" s="50" t="n"/>
      <c r="HP60" s="50" t="n"/>
      <c r="HQ60" s="51" t="n"/>
      <c r="HR60" s="2" t="n"/>
      <c r="HS60" s="29" t="n"/>
      <c r="HT60" s="573" t="n"/>
      <c r="HU60" s="29" t="n"/>
      <c r="HV60" s="29" t="n"/>
      <c r="HW60" s="29" t="n"/>
      <c r="HX60" s="174" t="n"/>
      <c r="HY60" s="29" t="n"/>
      <c r="HZ60" s="174" t="n"/>
      <c r="IA60" s="29" t="n"/>
      <c r="IB60" s="29" t="n"/>
      <c r="IC60" s="174" t="n"/>
      <c r="ID60" s="29" t="n"/>
      <c r="IE60" s="29" t="n"/>
      <c r="IF60" s="29" t="n"/>
      <c r="IG60" s="29" t="n"/>
      <c r="IH60" s="29" t="n"/>
      <c r="II60" s="29" t="n"/>
      <c r="IJ60" s="29" t="n"/>
      <c r="IK60" s="174" t="n"/>
      <c r="IL60" s="29" t="n"/>
      <c r="IM60" s="29" t="n"/>
      <c r="IN60" s="29" t="n"/>
      <c r="IO60" s="71" t="n"/>
      <c r="IP60" s="29" t="n"/>
      <c r="IQ60" s="29" t="n"/>
      <c r="IR60" s="29" t="n"/>
      <c r="IS60" s="174" t="n"/>
      <c r="IT60" s="29" t="n"/>
      <c r="IU60" s="29" t="n"/>
      <c r="IV60" s="71" t="n"/>
      <c r="IW60" s="29" t="n"/>
      <c r="IX60" s="29" t="n"/>
      <c r="IY60" s="29" t="n"/>
      <c r="IZ60" s="29" t="n"/>
      <c r="JA60" s="29" t="n"/>
      <c r="JB60" s="29" t="n"/>
      <c r="JC60" s="29" t="n"/>
      <c r="JD60" s="29" t="n"/>
      <c r="JE60" s="29" t="n"/>
      <c r="JF60" s="29" t="n"/>
      <c r="JG60" s="29" t="n"/>
      <c r="JH60" s="71" t="n"/>
      <c r="JI60" s="29" t="n"/>
      <c r="JJ60" s="29" t="n"/>
      <c r="JK60" s="29" t="n"/>
      <c r="JL60" s="29" t="n"/>
      <c r="JM60" s="29" t="n"/>
      <c r="JN60" s="29" t="n"/>
      <c r="JO60" s="29" t="n"/>
      <c r="JP60" s="29" t="n"/>
      <c r="JQ60" s="29" t="n"/>
      <c r="JR60" s="29" t="n"/>
      <c r="JS60" s="29" t="n"/>
      <c r="JT60" s="29" t="n"/>
      <c r="JU60" s="29" t="n"/>
      <c r="JV60" s="29" t="n"/>
      <c r="JW60" s="29" t="n"/>
      <c r="JX60" s="29" t="n"/>
      <c r="JY60" s="29" t="n"/>
      <c r="JZ60" s="29" t="n"/>
      <c r="KA60" s="29" t="n"/>
      <c r="KB60" s="29" t="n"/>
      <c r="KC60" s="29" t="n"/>
      <c r="KD60" s="29" t="n"/>
      <c r="KE60" s="29" t="n"/>
      <c r="KF60" s="29" t="n"/>
      <c r="KG60" s="29" t="n"/>
      <c r="KH60" s="29" t="n"/>
      <c r="KI60" s="29" t="n"/>
      <c r="KJ60" s="29" t="n"/>
      <c r="KK60" s="29" t="n"/>
      <c r="KL60" s="29" t="n"/>
      <c r="KM60" s="29" t="n"/>
      <c r="KN60" s="29" t="n"/>
      <c r="KO60" s="29" t="n"/>
      <c r="KP60" s="29" t="n"/>
      <c r="KQ60" s="29" t="n"/>
      <c r="KR60" s="29" t="n"/>
      <c r="KS60" s="29" t="n"/>
      <c r="KT60" s="29" t="n"/>
      <c r="KU60" s="29" t="n"/>
      <c r="KV60" s="29" t="n"/>
      <c r="KW60" s="29" t="n"/>
      <c r="KX60" s="29" t="n"/>
      <c r="KY60" s="29" t="n"/>
      <c r="KZ60" s="29" t="n"/>
      <c r="LA60" s="29" t="n"/>
      <c r="LB60" s="29" t="n"/>
      <c r="LC60" s="29" t="n"/>
      <c r="LD60" s="29" t="n"/>
      <c r="LE60" s="29" t="n"/>
      <c r="LF60" s="29" t="n"/>
      <c r="LG60" s="29" t="n"/>
      <c r="LH60" s="29" t="n"/>
    </row>
    <row r="61" customFormat="1" s="29">
      <c r="A61" s="247" t="inlineStr">
        <is>
          <t>TAG PAIS/24</t>
        </is>
      </c>
      <c r="B61" s="225" t="n"/>
      <c r="C61" s="172" t="n">
        <v>300</v>
      </c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B61" s="573" t="n"/>
      <c r="CC61" s="573" t="n"/>
      <c r="CD61" s="573" t="n"/>
      <c r="CF61" s="573" t="n"/>
      <c r="CG61" s="573" t="n"/>
      <c r="CH61" s="573" t="n"/>
      <c r="CN61" s="59" t="n"/>
      <c r="CW61" s="59" t="n"/>
      <c r="CX61" s="59" t="n"/>
      <c r="CY61" s="59" t="n"/>
      <c r="DG61" s="41" t="n"/>
      <c r="DM61" s="5" t="n"/>
      <c r="DN61" s="5" t="n"/>
      <c r="DP61" s="5" t="n"/>
      <c r="EC61" s="573" t="n"/>
      <c r="EI61" s="573" t="n"/>
      <c r="EK61" s="327" t="n"/>
      <c r="EL61" s="327" t="n"/>
      <c r="EM61" s="573" t="n"/>
      <c r="EN61" s="5" t="n"/>
      <c r="EO61" s="573" t="n"/>
      <c r="EP61" s="573" t="n"/>
      <c r="EQ61" s="573" t="n"/>
      <c r="ER61" s="573" t="n"/>
      <c r="ET61" s="327" t="n"/>
      <c r="EU61" s="573" t="n"/>
      <c r="EV61" s="327" t="n"/>
      <c r="EW61" s="573" t="n"/>
      <c r="EY61" s="573" t="n"/>
      <c r="EZ61" s="573" t="n"/>
      <c r="FA61" s="573" t="n"/>
      <c r="FB61" s="573" t="n"/>
      <c r="FC61" s="573" t="n"/>
      <c r="FD61" s="573" t="n"/>
      <c r="FE61" s="573" t="n"/>
      <c r="FF61" s="573" t="n"/>
      <c r="FH61" s="573" t="n"/>
      <c r="FI61" s="573" t="n"/>
      <c r="FJ61" s="573" t="n"/>
      <c r="FK61" s="573" t="n"/>
      <c r="FL61" s="573" t="n"/>
      <c r="FM61" s="573" t="n"/>
      <c r="FN61" s="5" t="n"/>
      <c r="FO61" s="5" t="n"/>
      <c r="FP61" s="5" t="n"/>
      <c r="FQ61" s="5" t="n"/>
      <c r="FR61" s="5" t="n"/>
      <c r="FS61" s="5" t="n"/>
      <c r="FT61" s="5" t="n"/>
      <c r="FU61" s="5" t="n"/>
      <c r="FV61" s="5" t="n"/>
      <c r="FW61" s="5" t="n"/>
      <c r="FX61" s="5" t="n"/>
      <c r="FY61" s="5" t="n"/>
      <c r="HT61" s="573" t="n"/>
      <c r="HX61" s="174" t="n"/>
      <c r="HZ61" s="174" t="n"/>
      <c r="IC61" s="174" t="n"/>
      <c r="IK61" s="174" t="n"/>
      <c r="IO61" s="71" t="n"/>
      <c r="IS61" s="174" t="n"/>
      <c r="IV61" s="71" t="n"/>
      <c r="JH61" s="71" t="n"/>
    </row>
    <row r="62">
      <c r="E62" s="573" t="n"/>
      <c r="F62" s="573" t="n"/>
      <c r="G62" s="573" t="n"/>
      <c r="H62" s="573" t="n"/>
      <c r="I62" s="573" t="n"/>
      <c r="J62" s="573" t="n"/>
      <c r="K62" s="573" t="n"/>
      <c r="L62" s="573" t="n"/>
      <c r="M62" s="573" t="n"/>
      <c r="N62" s="573" t="n"/>
      <c r="O62" s="573" t="n"/>
      <c r="P62" s="573" t="n"/>
      <c r="Q62" s="573" t="n"/>
      <c r="R62" s="573" t="n"/>
      <c r="S62" s="573" t="n"/>
      <c r="T62" s="573" t="n"/>
      <c r="U62" s="573" t="n"/>
      <c r="V62" s="573" t="n"/>
      <c r="W62" s="573" t="n"/>
      <c r="X62" s="573" t="n"/>
      <c r="Y62" s="573" t="n"/>
      <c r="Z62" s="573" t="n"/>
      <c r="AA62" s="573" t="n"/>
      <c r="AB62" s="573" t="n"/>
      <c r="AC62" s="573" t="n"/>
      <c r="AD62" s="573" t="n"/>
      <c r="AE62" s="573" t="n"/>
      <c r="AF62" s="573" t="n"/>
      <c r="AG62" s="573" t="n"/>
      <c r="AH62" s="573" t="n"/>
      <c r="AI62" s="573" t="n"/>
      <c r="AJ62" s="573" t="n"/>
      <c r="AK62" s="573" t="n"/>
      <c r="AL62" s="573" t="n"/>
      <c r="AM62" s="573" t="n"/>
      <c r="AN62" s="573" t="n"/>
      <c r="AO62" s="573" t="n"/>
      <c r="AP62" s="573" t="n"/>
      <c r="AQ62" s="573" t="n"/>
      <c r="AR62" s="573" t="n"/>
      <c r="AS62" s="573" t="n"/>
      <c r="AT62" s="573" t="n"/>
      <c r="AU62" s="573" t="n"/>
      <c r="AV62" s="573" t="n"/>
      <c r="AW62" s="573" t="n"/>
      <c r="AX62" s="573" t="n"/>
      <c r="AY62" s="573" t="n"/>
      <c r="AZ62" s="573" t="n"/>
      <c r="BA62" s="573" t="n"/>
      <c r="BB62" s="573" t="n"/>
      <c r="BC62" s="573" t="n"/>
      <c r="BD62" s="573" t="n"/>
      <c r="BE62" s="573" t="n"/>
      <c r="BF62" s="573" t="n"/>
      <c r="BG62" s="573" t="n"/>
      <c r="BH62" s="573" t="n"/>
      <c r="BI62" s="573" t="n"/>
      <c r="BJ62" s="573" t="n"/>
      <c r="BK62" s="573" t="n"/>
      <c r="BL62" s="573" t="n"/>
      <c r="BM62" s="573" t="n"/>
      <c r="BN62" s="573" t="n"/>
      <c r="BO62" s="573" t="n"/>
      <c r="BP62" s="573" t="n"/>
      <c r="BQ62" s="573" t="n"/>
      <c r="BR62" s="573" t="n"/>
      <c r="BS62" s="573" t="n"/>
      <c r="BT62" s="573" t="n"/>
      <c r="BU62" s="573" t="n"/>
      <c r="BV62" s="573" t="n"/>
      <c r="BW62" s="573" t="n"/>
      <c r="BX62" s="573" t="n"/>
      <c r="BY62" s="573" t="n"/>
      <c r="BZ62" s="573" t="n"/>
      <c r="CA62" s="573" t="n"/>
      <c r="CB62" s="573" t="n"/>
      <c r="CD62" s="50" t="n"/>
      <c r="CE62" s="5" t="n"/>
      <c r="CF62" s="2" t="n"/>
      <c r="CH62" s="573" t="n"/>
      <c r="CW62" s="573" t="n"/>
      <c r="CX62" s="573" t="n"/>
      <c r="CY62" s="573" t="n"/>
      <c r="DM62" s="5" t="n"/>
      <c r="DN62" s="5" t="n"/>
      <c r="DP62" s="5" t="n"/>
      <c r="EC62" s="573" t="n"/>
      <c r="EK62" s="327" t="n"/>
      <c r="EL62" s="327" t="n"/>
      <c r="EN62" s="5" t="n"/>
      <c r="ET62" s="327" t="n"/>
      <c r="EV62" s="327" t="n"/>
      <c r="FK62" s="573" t="n"/>
    </row>
    <row r="63" customFormat="1" s="29">
      <c r="A63" s="774" t="inlineStr">
        <is>
          <t>FLACONETES</t>
        </is>
      </c>
      <c r="B63" s="731" t="n"/>
      <c r="C63" s="731" t="n"/>
      <c r="D63" s="775" t="n"/>
      <c r="E63" s="573" t="n"/>
      <c r="F63" s="776" t="n">
        <v>45656</v>
      </c>
      <c r="G63" s="776" t="n">
        <v>45663</v>
      </c>
      <c r="H63" s="776" t="n">
        <v>45670</v>
      </c>
      <c r="I63" s="776" t="n">
        <v>45677</v>
      </c>
      <c r="J63" s="776" t="n">
        <v>45684</v>
      </c>
      <c r="K63" s="776" t="n">
        <v>45691</v>
      </c>
      <c r="L63" s="776" t="n">
        <v>45698</v>
      </c>
      <c r="M63" s="776" t="n">
        <v>45699</v>
      </c>
      <c r="N63" s="776" t="n">
        <v>45712</v>
      </c>
      <c r="O63" s="776" t="n">
        <v>45719</v>
      </c>
      <c r="P63" s="776" t="n">
        <v>45726</v>
      </c>
      <c r="Q63" s="776" t="n">
        <v>45733</v>
      </c>
      <c r="R63" s="776" t="n">
        <v>45740</v>
      </c>
      <c r="S63" s="776" t="n">
        <v>45747</v>
      </c>
      <c r="T63" s="776" t="n">
        <v>45754</v>
      </c>
      <c r="U63" s="776" t="n">
        <v>45761</v>
      </c>
      <c r="V63" s="776" t="n">
        <v>45768</v>
      </c>
      <c r="W63" s="776" t="n">
        <v>45775</v>
      </c>
      <c r="X63" s="776" t="n">
        <v>45782</v>
      </c>
      <c r="Y63" s="776" t="n">
        <v>45789</v>
      </c>
      <c r="Z63" s="776" t="n">
        <v>45796</v>
      </c>
      <c r="AA63" s="776" t="n">
        <v>45803</v>
      </c>
      <c r="AB63" s="776" t="n">
        <v>45810</v>
      </c>
      <c r="AC63" s="776" t="n">
        <v>45817</v>
      </c>
      <c r="AD63" s="776" t="n">
        <v>45824</v>
      </c>
      <c r="AE63" s="776" t="n">
        <v>45831</v>
      </c>
      <c r="AF63" s="776" t="n">
        <v>45838</v>
      </c>
      <c r="AG63" s="776" t="n">
        <v>45845</v>
      </c>
      <c r="AH63" s="776" t="n">
        <v>45852</v>
      </c>
      <c r="AI63" s="776" t="n">
        <v>45859</v>
      </c>
      <c r="AJ63" s="776" t="n">
        <v>45866</v>
      </c>
      <c r="AK63" s="776" t="n">
        <v>45873</v>
      </c>
      <c r="AL63" s="776" t="n">
        <v>45880</v>
      </c>
      <c r="AM63" s="776" t="n">
        <v>45887</v>
      </c>
      <c r="AN63" s="776" t="n">
        <v>45894</v>
      </c>
      <c r="AO63" s="776" t="n">
        <v>45901</v>
      </c>
      <c r="AP63" s="776" t="n">
        <v>45908</v>
      </c>
      <c r="AQ63" s="776" t="n">
        <v>45915</v>
      </c>
      <c r="AR63" s="776" t="n">
        <v>45922</v>
      </c>
      <c r="AS63" s="776" t="n">
        <v>45929</v>
      </c>
      <c r="AT63" s="776" t="n">
        <v>45936</v>
      </c>
      <c r="AU63" s="776" t="n">
        <v>45943</v>
      </c>
      <c r="AV63" s="776" t="n">
        <v>45950</v>
      </c>
      <c r="AW63" s="776" t="n">
        <v>45957</v>
      </c>
      <c r="AX63" s="776" t="n">
        <v>45964</v>
      </c>
      <c r="AY63" s="776" t="n">
        <v>45971</v>
      </c>
      <c r="AZ63" s="776" t="n">
        <v>45978</v>
      </c>
      <c r="BA63" s="776" t="n">
        <v>45985</v>
      </c>
      <c r="BB63" s="776" t="n">
        <v>45992</v>
      </c>
      <c r="BC63" s="776" t="n">
        <v>45999</v>
      </c>
      <c r="BD63" s="776" t="n">
        <v>46006</v>
      </c>
      <c r="BE63" s="776" t="n">
        <v>46013</v>
      </c>
      <c r="BF63" s="776" t="n">
        <v>46020</v>
      </c>
      <c r="BG63" s="776" t="n">
        <v>46027</v>
      </c>
      <c r="BH63" s="776" t="n">
        <v>46034</v>
      </c>
      <c r="BI63" s="776" t="n">
        <v>46041</v>
      </c>
      <c r="BJ63" s="776" t="n">
        <v>46048</v>
      </c>
      <c r="BK63" s="776" t="n">
        <v>46055</v>
      </c>
      <c r="BL63" s="776" t="n">
        <v>46062</v>
      </c>
      <c r="BM63" s="776" t="n">
        <v>46069</v>
      </c>
      <c r="BN63" s="776" t="n">
        <v>46076</v>
      </c>
      <c r="BO63" s="776" t="n">
        <v>46083</v>
      </c>
      <c r="BP63" s="776" t="n">
        <v>46090</v>
      </c>
      <c r="BQ63" s="776" t="n">
        <v>46097</v>
      </c>
      <c r="BR63" s="776" t="n">
        <v>46104</v>
      </c>
      <c r="BS63" s="776" t="n">
        <v>46111</v>
      </c>
      <c r="BT63" s="776" t="n">
        <v>46118</v>
      </c>
      <c r="BU63" s="776" t="n">
        <v>46125</v>
      </c>
      <c r="BV63" s="776" t="n">
        <v>46132</v>
      </c>
      <c r="BW63" s="776" t="n">
        <v>46139</v>
      </c>
      <c r="BX63" s="776" t="n">
        <v>46146</v>
      </c>
      <c r="BY63" s="776" t="n">
        <v>46154</v>
      </c>
      <c r="BZ63" s="776" t="n">
        <v>46160</v>
      </c>
      <c r="CA63" s="779" t="n">
        <v>46161.48022637732</v>
      </c>
      <c r="CB63" s="779" t="n">
        <v>46161.4808857359</v>
      </c>
      <c r="CC63" s="573" t="n"/>
      <c r="CE63" s="5" t="n"/>
      <c r="CH63" s="573" t="n"/>
      <c r="CN63" s="59" t="n"/>
      <c r="CW63" s="573" t="n"/>
      <c r="CX63" s="573" t="n"/>
      <c r="CY63" s="573" t="n"/>
      <c r="DM63" s="5" t="n"/>
      <c r="DN63" s="5" t="n"/>
      <c r="DP63" s="5" t="n"/>
      <c r="EC63" s="573" t="n"/>
      <c r="EK63" s="327" t="n"/>
      <c r="EL63" s="327" t="n"/>
      <c r="EN63" s="5" t="n"/>
      <c r="ET63" s="327" t="n"/>
      <c r="EV63" s="327" t="n"/>
      <c r="FK63" s="573" t="n"/>
      <c r="FN63" s="5" t="n"/>
      <c r="FO63" s="5" t="n"/>
      <c r="FP63" s="5" t="n"/>
      <c r="FQ63" s="5" t="n"/>
      <c r="FR63" s="5" t="n"/>
      <c r="FS63" s="5" t="n"/>
      <c r="FT63" s="5" t="n"/>
      <c r="FU63" s="5" t="n"/>
      <c r="FV63" s="5" t="n"/>
      <c r="FW63" s="5" t="n"/>
      <c r="FX63" s="5" t="n"/>
      <c r="FY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697" t="n">
        <v>0</v>
      </c>
      <c r="G64" s="697" t="n">
        <v>0</v>
      </c>
      <c r="H64" s="697" t="n">
        <v>0</v>
      </c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573" t="n"/>
      <c r="CE64" s="5" t="n"/>
      <c r="CH64" s="573" t="n"/>
      <c r="CN64" s="59" t="n"/>
      <c r="DM64" s="5" t="n"/>
      <c r="DN64" s="5" t="n"/>
      <c r="DP64" s="5" t="n"/>
      <c r="EC64" s="5" t="n"/>
      <c r="EK64" s="327" t="n"/>
      <c r="EL64" s="327" t="n"/>
      <c r="EN64" s="5" t="n"/>
      <c r="ET64" s="327" t="n"/>
      <c r="EV64" s="327" t="n"/>
      <c r="FK64" s="573" t="n"/>
      <c r="FN64" s="5" t="n"/>
      <c r="FO64" s="5" t="n"/>
      <c r="FP64" s="5" t="n"/>
      <c r="FQ64" s="5" t="n"/>
      <c r="FR64" s="5" t="n"/>
      <c r="FS64" s="5" t="n"/>
      <c r="FT64" s="5" t="n"/>
      <c r="FU64" s="5" t="n"/>
      <c r="FV64" s="5" t="n"/>
      <c r="FW64" s="5" t="n"/>
      <c r="FX64" s="5" t="n"/>
      <c r="FY64" s="5" t="n"/>
    </row>
    <row r="65" hidden="1" ht="18.75" customHeight="1">
      <c r="A65" s="781" t="inlineStr">
        <is>
          <t>Malbec Club Antiqueda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D65" s="50" t="n"/>
      <c r="CF65" s="2" t="n"/>
      <c r="CG65" s="63" t="n"/>
      <c r="DM65" s="5" t="n"/>
      <c r="DN65" s="5" t="n"/>
      <c r="DP65" s="5" t="n"/>
      <c r="EA65" s="5" t="n"/>
      <c r="EC65" s="5" t="n"/>
      <c r="EK65" s="327" t="n"/>
      <c r="EL65" s="327" t="n"/>
      <c r="EN65" s="5" t="n"/>
      <c r="ET65" s="327" t="n"/>
      <c r="EV65" s="327" t="n"/>
      <c r="FK65" s="573" t="n"/>
    </row>
    <row r="66" hidden="1" ht="18.75" customHeight="1">
      <c r="A66" s="781" t="inlineStr">
        <is>
          <t xml:space="preserve">Malbec Club Anticaspa 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D66" s="50" t="n"/>
      <c r="CF66" s="2" t="n"/>
      <c r="CG66" s="63" t="n"/>
      <c r="DG66" s="5" t="n"/>
      <c r="DM66" s="5" t="n"/>
      <c r="DN66" s="5" t="n"/>
      <c r="DP66" s="5" t="n"/>
      <c r="EA66" s="5" t="n"/>
      <c r="EC66" s="41" t="n"/>
      <c r="EK66" s="327" t="n"/>
      <c r="EL66" s="327" t="n"/>
      <c r="EN66" s="5" t="n"/>
      <c r="ET66" s="327" t="n"/>
      <c r="EV66" s="327" t="n"/>
      <c r="FK66" s="5" t="n"/>
    </row>
    <row r="67" hidden="1" ht="18.75" customHeight="1">
      <c r="A67" s="781" t="inlineStr">
        <is>
          <t xml:space="preserve">Poligutamico 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D67" s="50" t="n"/>
      <c r="CF67" s="2" t="n"/>
      <c r="CG67" s="63" t="n"/>
      <c r="DG67" s="5" t="n"/>
      <c r="DM67" s="5" t="n"/>
      <c r="DN67" s="5" t="n"/>
      <c r="DP67" s="5" t="n"/>
      <c r="EA67" s="5" t="n"/>
      <c r="EC67" s="41" t="n"/>
      <c r="EK67" s="327" t="n"/>
      <c r="EL67" s="327" t="n"/>
      <c r="EN67" s="5" t="n"/>
      <c r="ET67" s="327" t="n"/>
      <c r="EV67" s="327" t="n"/>
      <c r="FK67" s="5" t="n"/>
    </row>
    <row r="68" hidden="1" ht="18.75" customFormat="1" customHeight="1" s="29">
      <c r="A68" s="781" t="inlineStr">
        <is>
          <t>Floratta F. Eclipes</t>
        </is>
      </c>
      <c r="B68" s="731" t="n"/>
      <c r="C68" s="731" t="n"/>
      <c r="D68" s="775" t="n"/>
      <c r="E68" s="5" t="n"/>
      <c r="F68" s="697" t="n">
        <v>0</v>
      </c>
      <c r="G68" s="697" t="n">
        <v>0</v>
      </c>
      <c r="H68" s="697" t="n">
        <v>0</v>
      </c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573" t="n"/>
      <c r="CH68" s="573" t="n"/>
      <c r="CN68" s="59" t="n"/>
      <c r="DG68" s="5" t="n"/>
      <c r="DM68" s="5" t="n"/>
      <c r="DN68" s="5" t="n"/>
      <c r="DP68" s="5" t="n"/>
      <c r="EA68" s="5" t="n"/>
      <c r="EC68" s="41" t="n"/>
      <c r="EK68" s="328" t="n"/>
      <c r="EL68" s="328" t="n"/>
      <c r="EN68" s="5" t="n"/>
      <c r="ET68" s="327" t="n"/>
      <c r="EV68" s="327" t="n"/>
      <c r="FK68" s="41" t="n"/>
      <c r="FN68" s="5" t="n"/>
      <c r="FO68" s="5" t="n"/>
      <c r="FP68" s="5" t="n"/>
      <c r="FQ68" s="5" t="n"/>
      <c r="FR68" s="5" t="n"/>
      <c r="FS68" s="5" t="n"/>
      <c r="FT68" s="5" t="n"/>
      <c r="FU68" s="5" t="n"/>
      <c r="FV68" s="5" t="n"/>
      <c r="FW68" s="5" t="n"/>
      <c r="FX68" s="5" t="n"/>
      <c r="FY68" s="5" t="n"/>
    </row>
    <row r="69" hidden="1" ht="18.75" customFormat="1" customHeight="1" s="29">
      <c r="A69" s="781" t="inlineStr">
        <is>
          <t xml:space="preserve">Quasar Visison </t>
        </is>
      </c>
      <c r="B69" s="731" t="n"/>
      <c r="C69" s="731" t="n"/>
      <c r="D69" s="775" t="n"/>
      <c r="E69" s="5" t="n"/>
      <c r="F69" s="697" t="n">
        <v>0</v>
      </c>
      <c r="G69" s="697" t="n">
        <v>0</v>
      </c>
      <c r="H69" s="697" t="n">
        <v>0</v>
      </c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573" t="n"/>
      <c r="CH69" s="573" t="n"/>
      <c r="CN69" s="59" t="n"/>
      <c r="DG69" s="59" t="n"/>
      <c r="DM69" s="5" t="n"/>
      <c r="DN69" s="5" t="n"/>
      <c r="DP69" s="5" t="n"/>
      <c r="EA69" s="5" t="n"/>
      <c r="EK69" s="328" t="n"/>
      <c r="EL69" s="328" t="n"/>
      <c r="EN69" s="5" t="n"/>
      <c r="ET69" s="328" t="n"/>
      <c r="EV69" s="328" t="n"/>
      <c r="FK69" s="41" t="n"/>
      <c r="FN69" s="5" t="n"/>
      <c r="FO69" s="5" t="n"/>
      <c r="FP69" s="5" t="n"/>
      <c r="FQ69" s="5" t="n"/>
      <c r="FR69" s="5" t="n"/>
      <c r="FS69" s="5" t="n"/>
      <c r="FT69" s="5" t="n"/>
      <c r="FU69" s="5" t="n"/>
      <c r="FV69" s="5" t="n"/>
      <c r="FW69" s="5" t="n"/>
      <c r="FX69" s="5" t="n"/>
      <c r="FY69" s="5" t="n"/>
    </row>
    <row r="70" hidden="1" ht="18.75" customFormat="1" customHeight="1" s="29">
      <c r="A70" s="781" t="inlineStr">
        <is>
          <t xml:space="preserve">Lily Soleil </t>
        </is>
      </c>
      <c r="B70" s="731" t="n"/>
      <c r="C70" s="731" t="n"/>
      <c r="D70" s="775" t="n"/>
      <c r="E70" s="5" t="n"/>
      <c r="F70" s="697" t="n">
        <v>0</v>
      </c>
      <c r="G70" s="697" t="n">
        <v>0</v>
      </c>
      <c r="H70" s="697" t="n">
        <v>0</v>
      </c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573" t="n"/>
      <c r="CH70" s="5" t="n"/>
      <c r="CN70" s="59" t="n"/>
      <c r="DG70" s="59" t="n"/>
      <c r="DM70" s="5" t="n"/>
      <c r="DN70" s="5" t="n"/>
      <c r="DP70" s="5" t="n"/>
      <c r="EA70" s="5" t="n"/>
      <c r="EK70" s="329" t="n"/>
      <c r="EL70" s="329" t="n"/>
      <c r="ET70" s="328" t="n"/>
      <c r="EV70" s="328" t="n"/>
      <c r="FN70" s="5" t="n"/>
      <c r="FO70" s="5" t="n"/>
      <c r="FP70" s="5" t="n"/>
      <c r="FQ70" s="5" t="n"/>
      <c r="FR70" s="5" t="n"/>
      <c r="FS70" s="5" t="n"/>
      <c r="FT70" s="5" t="n"/>
      <c r="FU70" s="5" t="n"/>
      <c r="FV70" s="5" t="n"/>
      <c r="FW70" s="5" t="n"/>
      <c r="FX70" s="5" t="n"/>
      <c r="FY70" s="5" t="n"/>
    </row>
    <row r="71" hidden="1" ht="18.75" customHeight="1">
      <c r="A71" s="781" t="inlineStr">
        <is>
          <t xml:space="preserve">Portinari Absoluto 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DM71" s="5" t="n"/>
      <c r="DN71" s="5" t="n"/>
      <c r="DP71" s="5" t="n"/>
      <c r="EA71" s="5" t="n"/>
      <c r="EK71" s="329" t="n"/>
      <c r="EL71" s="329" t="n"/>
      <c r="EN71" s="5" t="n"/>
      <c r="ET71" s="329" t="n"/>
      <c r="EV71" s="329" t="n"/>
    </row>
    <row r="72" hidden="1" ht="18.75" customHeight="1">
      <c r="A72" s="781" t="inlineStr">
        <is>
          <t>Boti Baby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EA72" s="5" t="n"/>
      <c r="EK72" s="329" t="n"/>
      <c r="EL72" s="329" t="n"/>
      <c r="ET72" s="329" t="n"/>
      <c r="EV72" s="329" t="n"/>
    </row>
    <row r="73" hidden="1" ht="18.75" customHeight="1">
      <c r="A73" s="781" t="inlineStr">
        <is>
          <t>Base Acido Salicilico cor 200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DM73" s="5" t="n"/>
      <c r="DN73" s="5" t="n"/>
      <c r="DP73" s="5" t="n"/>
      <c r="EK73" s="329" t="n"/>
      <c r="EL73" s="329" t="n"/>
      <c r="ET73" s="329" t="n"/>
      <c r="EV73" s="329" t="n"/>
    </row>
    <row r="74" hidden="1" ht="18.75" customHeight="1">
      <c r="A74" s="781" t="n">
        <v>45271</v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BZ74" s="697" t="n"/>
      <c r="CA74" s="699" t="n"/>
      <c r="CB74" s="699" t="n"/>
      <c r="EK74" s="329" t="n"/>
      <c r="EL74" s="329" t="n"/>
      <c r="EN74" s="173" t="n"/>
      <c r="ET74" s="329" t="n"/>
      <c r="EV74" s="329" t="n"/>
    </row>
    <row r="75" hidden="1" ht="18.75" customHeight="1">
      <c r="A75" s="781" t="inlineStr">
        <is>
          <t>ARBO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EC75" s="5" t="n"/>
      <c r="EK75" s="329" t="n"/>
      <c r="EL75" s="329" t="n"/>
      <c r="EN75" s="173" t="n"/>
      <c r="ET75" s="329" t="n"/>
      <c r="EV75" s="329" t="n"/>
    </row>
    <row r="76" hidden="1" ht="18.75" customHeight="1">
      <c r="A76" s="781" t="inlineStr">
        <is>
          <t>CUIDE-SE BEM NOVA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BZ76" s="697" t="n"/>
      <c r="CA76" s="699" t="n"/>
      <c r="CB76" s="699" t="n"/>
      <c r="DM76" s="173" t="n"/>
      <c r="DN76" s="173" t="n"/>
      <c r="DP76" s="173" t="n"/>
      <c r="EC76" s="5" t="n"/>
      <c r="EK76" s="327" t="n"/>
      <c r="EL76" s="327" t="n"/>
      <c r="EN76" s="173" t="n"/>
      <c r="ET76" s="329" t="n"/>
      <c r="EV76" s="329" t="n"/>
      <c r="FK76" s="5" t="n"/>
    </row>
    <row r="77" hidden="1" ht="18.75" customHeight="1">
      <c r="A77" s="781" t="inlineStr">
        <is>
          <t>quasar blue</t>
        </is>
      </c>
      <c r="B77" s="731" t="n"/>
      <c r="C77" s="731" t="n"/>
      <c r="D77" s="775" t="n"/>
      <c r="F77" s="697" t="n">
        <v>0</v>
      </c>
      <c r="G77" s="697" t="n">
        <v>0</v>
      </c>
      <c r="H77" s="697" t="n">
        <v>0</v>
      </c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DM77" s="173" t="n"/>
      <c r="DN77" s="173" t="n"/>
      <c r="DP77" s="173" t="n"/>
      <c r="EC77" s="5" t="n"/>
      <c r="EK77" s="327" t="n"/>
      <c r="EL77" s="327" t="n"/>
      <c r="ET77" s="327" t="n"/>
      <c r="EV77" s="327" t="n"/>
      <c r="FK77" s="5" t="n"/>
    </row>
    <row r="78" hidden="1" ht="18.75" customHeight="1">
      <c r="A78" s="781" t="inlineStr">
        <is>
          <t>ZAAD VENTURE</t>
        </is>
      </c>
      <c r="B78" s="731" t="n"/>
      <c r="C78" s="731" t="n"/>
      <c r="D78" s="775" t="n"/>
      <c r="F78" s="697" t="n">
        <v>0</v>
      </c>
      <c r="G78" s="697" t="n">
        <v>0</v>
      </c>
      <c r="H78" s="697" t="n">
        <v>0</v>
      </c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BZ78" s="697" t="n"/>
      <c r="CA78" s="699" t="n"/>
      <c r="CB78" s="699" t="n"/>
      <c r="DM78" s="173" t="n"/>
      <c r="DN78" s="173" t="n"/>
      <c r="DP78" s="173" t="n"/>
      <c r="EK78" s="327" t="n"/>
      <c r="EL78" s="327" t="n"/>
      <c r="ET78" s="327" t="n"/>
      <c r="EV78" s="327" t="n"/>
      <c r="FK78" s="5" t="n"/>
    </row>
    <row r="79" hidden="1" ht="18.75" customHeight="1">
      <c r="A79" s="781" t="inlineStr">
        <is>
          <t>MALBEC 20 ANOS</t>
        </is>
      </c>
      <c r="B79" s="731" t="n"/>
      <c r="C79" s="731" t="n"/>
      <c r="D79" s="775" t="n"/>
      <c r="F79" s="697" t="n">
        <v>0</v>
      </c>
      <c r="G79" s="697" t="n">
        <v>0</v>
      </c>
      <c r="H79" s="697" t="n">
        <v>0</v>
      </c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BZ79" s="697" t="n"/>
      <c r="CA79" s="699" t="n"/>
      <c r="CB79" s="699" t="n"/>
      <c r="ET79" s="327" t="n"/>
      <c r="EV79" s="327" t="n"/>
    </row>
    <row r="80" hidden="1" ht="18.75" customHeight="1">
      <c r="A80" s="781" t="inlineStr">
        <is>
          <t>FLORATTA RED PASSION</t>
        </is>
      </c>
      <c r="B80" s="731" t="n"/>
      <c r="C80" s="731" t="n"/>
      <c r="D80" s="775" t="n"/>
      <c r="G80" s="697" t="n">
        <v>0</v>
      </c>
      <c r="H80" s="697" t="n">
        <v>105</v>
      </c>
      <c r="I80" s="697" t="n">
        <v>105</v>
      </c>
      <c r="J80" s="697" t="n">
        <v>90</v>
      </c>
      <c r="K80" s="697" t="n">
        <v>55</v>
      </c>
      <c r="L80" s="697" t="n">
        <v>0</v>
      </c>
      <c r="M80" s="697" t="n">
        <v>0</v>
      </c>
      <c r="N80" s="697" t="n">
        <v>0</v>
      </c>
      <c r="O80" s="697" t="n">
        <v>0</v>
      </c>
      <c r="P80" s="697" t="n">
        <v>0</v>
      </c>
      <c r="Q80" s="697" t="n">
        <v>0</v>
      </c>
      <c r="R80" s="697" t="n">
        <v>0</v>
      </c>
      <c r="S80" s="697" t="n">
        <v>0</v>
      </c>
      <c r="T80" s="697" t="n">
        <v>0</v>
      </c>
      <c r="U80" s="697" t="n">
        <v>0</v>
      </c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  <c r="BZ80" s="697" t="n"/>
      <c r="CA80" s="699" t="n"/>
      <c r="CB80" s="699" t="n"/>
    </row>
    <row r="81" hidden="1" ht="18.75" customHeight="1">
      <c r="A81" s="781" t="inlineStr">
        <is>
          <t>MALBEC ICON</t>
        </is>
      </c>
      <c r="B81" s="731" t="n"/>
      <c r="C81" s="731" t="n"/>
      <c r="D81" s="775" t="n"/>
      <c r="G81" s="697" t="n">
        <v>0</v>
      </c>
      <c r="H81" s="697" t="n">
        <v>95</v>
      </c>
      <c r="I81" s="697" t="n">
        <v>95</v>
      </c>
      <c r="J81" s="697" t="n">
        <v>90</v>
      </c>
      <c r="K81" s="697" t="n">
        <v>50</v>
      </c>
      <c r="L81" s="697" t="n">
        <v>0</v>
      </c>
      <c r="M81" s="697" t="n">
        <v>0</v>
      </c>
      <c r="N81" s="697" t="n">
        <v>0</v>
      </c>
      <c r="O81" s="697" t="n">
        <v>0</v>
      </c>
      <c r="P81" s="697" t="n">
        <v>0</v>
      </c>
      <c r="Q81" s="697" t="n">
        <v>0</v>
      </c>
      <c r="R81" s="697" t="n">
        <v>0</v>
      </c>
      <c r="S81" s="697" t="n">
        <v>0</v>
      </c>
      <c r="T81" s="697" t="n">
        <v>0</v>
      </c>
      <c r="U81" s="697" t="n">
        <v>0</v>
      </c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  <c r="BZ81" s="697" t="n"/>
      <c r="CA81" s="699" t="n"/>
      <c r="CB81" s="699" t="n"/>
    </row>
    <row r="82">
      <c r="A82" s="781" t="inlineStr">
        <is>
          <t>CBEM HIDR. DOCURA NA PESSEGURA</t>
        </is>
      </c>
      <c r="B82" s="731" t="n"/>
      <c r="C82" s="731" t="n"/>
      <c r="D82" s="775" t="n"/>
      <c r="J82" s="697" t="n">
        <v>0</v>
      </c>
      <c r="K82" s="697" t="n">
        <v>335</v>
      </c>
      <c r="L82" s="697" t="n">
        <v>285</v>
      </c>
      <c r="M82" s="697" t="n">
        <v>279</v>
      </c>
      <c r="N82" s="697" t="n">
        <v>270</v>
      </c>
      <c r="O82" s="697" t="n">
        <v>270</v>
      </c>
      <c r="P82" s="697" t="n">
        <v>160</v>
      </c>
      <c r="Q82" s="697" t="n">
        <v>156</v>
      </c>
      <c r="R82" s="697" t="n">
        <v>156</v>
      </c>
      <c r="S82" s="697" t="n">
        <v>120</v>
      </c>
      <c r="T82" s="697" t="n">
        <v>120</v>
      </c>
      <c r="U82" s="697" t="n">
        <v>120</v>
      </c>
      <c r="V82" s="697" t="n">
        <v>72</v>
      </c>
      <c r="W82" s="697" t="n">
        <v>72</v>
      </c>
      <c r="X82" s="697" t="n">
        <v>40</v>
      </c>
      <c r="Y82" s="697" t="n">
        <v>40</v>
      </c>
      <c r="Z82" s="697" t="n">
        <v>20</v>
      </c>
      <c r="AA82" s="697" t="n">
        <v>0</v>
      </c>
      <c r="AB82" s="697" t="n">
        <v>0</v>
      </c>
      <c r="AC82" s="697" t="n">
        <v>0</v>
      </c>
      <c r="AD82" s="697" t="n">
        <v>0</v>
      </c>
      <c r="AE82" s="697" t="n">
        <v>0</v>
      </c>
      <c r="AF82" s="697" t="n">
        <v>0</v>
      </c>
      <c r="AG82" s="697" t="n">
        <v>0</v>
      </c>
      <c r="AH82" s="697" t="n">
        <v>0</v>
      </c>
      <c r="AI82" s="697" t="n">
        <v>0</v>
      </c>
      <c r="AJ82" s="697" t="n">
        <v>0</v>
      </c>
      <c r="AK82" s="697" t="n">
        <v>0</v>
      </c>
      <c r="AL82" s="697" t="n">
        <v>0</v>
      </c>
      <c r="AM82" s="697" t="n">
        <v>0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  <c r="BZ82" s="697" t="n"/>
      <c r="CA82" s="699" t="n"/>
      <c r="CB82" s="699" t="n"/>
    </row>
    <row r="83">
      <c r="A83" s="781" t="inlineStr">
        <is>
          <t>LILY BLANCHE</t>
        </is>
      </c>
      <c r="B83" s="731" t="n"/>
      <c r="C83" s="731" t="n"/>
      <c r="D83" s="775" t="n"/>
      <c r="L83" s="697" t="n">
        <v>0</v>
      </c>
      <c r="M83" s="697" t="n">
        <v>135</v>
      </c>
      <c r="N83" s="697" t="n">
        <v>135</v>
      </c>
      <c r="O83" s="697" t="n">
        <v>135</v>
      </c>
      <c r="P83" s="697" t="n">
        <v>120</v>
      </c>
      <c r="Q83" s="697" t="n">
        <v>105</v>
      </c>
      <c r="R83" s="697" t="n">
        <v>105</v>
      </c>
      <c r="S83" s="697" t="n">
        <v>55</v>
      </c>
      <c r="T83" s="697" t="n">
        <v>55</v>
      </c>
      <c r="U83" s="697" t="n">
        <v>55</v>
      </c>
      <c r="V83" s="697" t="n">
        <v>15</v>
      </c>
      <c r="W83" s="697" t="n">
        <v>15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</row>
    <row r="84">
      <c r="A84" s="781" t="inlineStr">
        <is>
          <t>MEN NBA</t>
        </is>
      </c>
      <c r="B84" s="731" t="n"/>
      <c r="C84" s="731" t="n"/>
      <c r="D84" s="775" t="n"/>
      <c r="O84" s="697" t="n">
        <v>0</v>
      </c>
      <c r="P84" s="697" t="n">
        <v>210</v>
      </c>
      <c r="Q84" s="697" t="n">
        <v>255</v>
      </c>
      <c r="R84" s="697" t="n">
        <v>255</v>
      </c>
      <c r="S84" s="697" t="n">
        <v>175</v>
      </c>
      <c r="T84" s="697" t="n">
        <v>175</v>
      </c>
      <c r="U84" s="697" t="n">
        <v>175</v>
      </c>
      <c r="V84" s="697" t="n">
        <v>140</v>
      </c>
      <c r="W84" s="697" t="n">
        <v>140</v>
      </c>
      <c r="X84" s="697" t="n">
        <v>120</v>
      </c>
      <c r="Y84" s="697" t="n">
        <v>120</v>
      </c>
      <c r="Z84" s="697" t="n">
        <v>100</v>
      </c>
      <c r="AA84" s="697" t="n">
        <v>100</v>
      </c>
      <c r="AB84" s="697" t="n">
        <v>90</v>
      </c>
      <c r="AC84" s="697" t="n">
        <v>25</v>
      </c>
      <c r="AD84" s="697" t="n">
        <v>25</v>
      </c>
      <c r="AE84" s="697" t="n">
        <v>15</v>
      </c>
      <c r="AF84" s="697" t="n">
        <v>15</v>
      </c>
      <c r="AG84" s="697" t="n">
        <v>9</v>
      </c>
      <c r="AH84" s="697" t="n">
        <v>8</v>
      </c>
      <c r="AI84" s="697" t="n">
        <v>2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  <c r="BZ84" s="697" t="n"/>
      <c r="CA84" s="699" t="n"/>
      <c r="CB84" s="699" t="n"/>
    </row>
    <row r="85">
      <c r="A85" s="781" t="inlineStr">
        <is>
          <t>QUASAR DEEP BLUE</t>
        </is>
      </c>
      <c r="B85" s="731" t="n"/>
      <c r="C85" s="731" t="n"/>
      <c r="D85" s="775" t="n"/>
      <c r="S85" s="697" t="n">
        <v>0</v>
      </c>
      <c r="T85" s="697" t="n">
        <v>175</v>
      </c>
      <c r="U85" s="697" t="n">
        <v>175</v>
      </c>
      <c r="V85" s="697" t="n">
        <v>100</v>
      </c>
      <c r="W85" s="697" t="n">
        <v>100</v>
      </c>
      <c r="X85" s="697" t="n">
        <v>80</v>
      </c>
      <c r="Y85" s="697" t="n">
        <v>80</v>
      </c>
      <c r="Z85" s="697" t="n">
        <v>70</v>
      </c>
      <c r="AA85" s="697" t="n">
        <v>70</v>
      </c>
      <c r="AB85" s="697" t="n">
        <v>55</v>
      </c>
      <c r="AC85" s="697" t="n">
        <v>10</v>
      </c>
      <c r="AD85" s="697" t="n">
        <v>10</v>
      </c>
      <c r="AE85" s="697" t="n">
        <v>10</v>
      </c>
      <c r="AF85" s="697" t="n">
        <v>10</v>
      </c>
      <c r="AG85" s="697" t="n">
        <v>9</v>
      </c>
      <c r="AH85" s="697" t="n">
        <v>9</v>
      </c>
      <c r="AI85" s="697" t="n">
        <v>9</v>
      </c>
      <c r="AJ85" s="697" t="n">
        <v>4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697" t="n"/>
      <c r="CA85" s="699" t="n"/>
      <c r="CB85" s="699" t="n"/>
    </row>
    <row r="86">
      <c r="A86" s="781" t="inlineStr">
        <is>
          <t>ARBO ATLANTICA</t>
        </is>
      </c>
      <c r="B86" s="731" t="n"/>
      <c r="C86" s="731" t="n"/>
      <c r="D86" s="775" t="n"/>
      <c r="S86" s="697" t="n">
        <v>0</v>
      </c>
      <c r="T86" s="697" t="n">
        <v>185</v>
      </c>
      <c r="U86" s="697" t="n">
        <v>185</v>
      </c>
      <c r="V86" s="697" t="n">
        <v>155</v>
      </c>
      <c r="W86" s="697" t="n">
        <v>155</v>
      </c>
      <c r="X86" s="697" t="n">
        <v>145</v>
      </c>
      <c r="Y86" s="697" t="n">
        <v>145</v>
      </c>
      <c r="Z86" s="697" t="n">
        <v>135</v>
      </c>
      <c r="AA86" s="697" t="n">
        <v>135</v>
      </c>
      <c r="AB86" s="697" t="n">
        <v>115</v>
      </c>
      <c r="AC86" s="697" t="n">
        <v>85</v>
      </c>
      <c r="AD86" s="697" t="n">
        <v>85</v>
      </c>
      <c r="AE86" s="697" t="n">
        <v>70</v>
      </c>
      <c r="AF86" s="697" t="n">
        <v>70</v>
      </c>
      <c r="AG86" s="697" t="n">
        <v>50</v>
      </c>
      <c r="AH86" s="697" t="n">
        <v>57</v>
      </c>
      <c r="AI86" s="697" t="n">
        <v>37</v>
      </c>
      <c r="AJ86" s="697" t="n">
        <v>17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  <c r="BZ86" s="697" t="n"/>
      <c r="CA86" s="699" t="n"/>
      <c r="CB86" s="699" t="n"/>
    </row>
    <row r="87">
      <c r="A87" s="781" t="inlineStr">
        <is>
          <t>BOTICA 214 SEVILLA DORADA</t>
        </is>
      </c>
      <c r="B87" s="731" t="n"/>
      <c r="C87" s="731" t="n"/>
      <c r="D87" s="775" t="n"/>
      <c r="W87" s="697" t="n">
        <v>0</v>
      </c>
      <c r="X87" s="697" t="n">
        <v>20</v>
      </c>
      <c r="Y87" s="697" t="n">
        <v>20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  <c r="BZ87" s="697" t="n"/>
      <c r="CA87" s="699" t="n"/>
      <c r="CB87" s="699" t="n"/>
    </row>
    <row r="88">
      <c r="A88" s="781" t="inlineStr">
        <is>
          <t>BOTIK FPS 70</t>
        </is>
      </c>
      <c r="B88" s="731" t="n"/>
      <c r="C88" s="731" t="n"/>
      <c r="D88" s="775" t="n"/>
      <c r="W88" s="697" t="n"/>
      <c r="X88" s="697" t="n"/>
      <c r="Y88" s="697" t="n"/>
      <c r="Z88" s="697" t="n">
        <v>0</v>
      </c>
      <c r="AA88" s="697" t="n">
        <v>33</v>
      </c>
      <c r="AB88" s="697" t="n">
        <v>36</v>
      </c>
      <c r="AC88" s="697" t="n">
        <v>27</v>
      </c>
      <c r="AD88" s="697" t="n">
        <v>27</v>
      </c>
      <c r="AE88" s="697" t="n">
        <v>12</v>
      </c>
      <c r="AF88" s="697" t="n">
        <v>12</v>
      </c>
      <c r="AG88" s="697" t="n">
        <v>9</v>
      </c>
      <c r="AH88" s="697" t="n">
        <v>9</v>
      </c>
      <c r="AI88" s="697" t="n">
        <v>19</v>
      </c>
      <c r="AJ88" s="697" t="n">
        <v>13</v>
      </c>
      <c r="AK88" s="697" t="n">
        <v>11</v>
      </c>
      <c r="AL88" s="697" t="n">
        <v>5</v>
      </c>
      <c r="AM88" s="697" t="n">
        <v>0</v>
      </c>
      <c r="AN88" s="697" t="n">
        <v>0</v>
      </c>
      <c r="AO88" s="697" t="n">
        <v>0</v>
      </c>
      <c r="AP88" s="697" t="n">
        <v>0</v>
      </c>
      <c r="AQ88" s="697" t="n">
        <v>0</v>
      </c>
      <c r="AR88" s="697" t="n">
        <v>0</v>
      </c>
      <c r="AS88" s="697" t="n">
        <v>0</v>
      </c>
      <c r="AT88" s="697" t="n">
        <v>0</v>
      </c>
      <c r="AU88" s="697" t="n">
        <v>0</v>
      </c>
      <c r="AV88" s="697" t="n">
        <v>0</v>
      </c>
      <c r="AW88" s="697" t="n">
        <v>0</v>
      </c>
      <c r="AX88" s="697" t="n">
        <v>0</v>
      </c>
      <c r="AY88" s="697" t="n">
        <v>0</v>
      </c>
      <c r="AZ88" s="697" t="n">
        <v>0</v>
      </c>
      <c r="BA88" s="697" t="n">
        <v>0</v>
      </c>
      <c r="BB88" s="697" t="n">
        <v>0</v>
      </c>
      <c r="BC88" s="697" t="n">
        <v>0</v>
      </c>
      <c r="BD88" s="697" t="n">
        <v>0</v>
      </c>
      <c r="BE88" s="697" t="n">
        <v>0</v>
      </c>
      <c r="BF88" s="697" t="n">
        <v>0</v>
      </c>
      <c r="BG88" s="697" t="n">
        <v>0</v>
      </c>
      <c r="BH88" s="697" t="n">
        <v>0</v>
      </c>
      <c r="BI88" s="697" t="n">
        <v>0</v>
      </c>
      <c r="BJ88" s="697" t="n">
        <v>0</v>
      </c>
      <c r="BK88" s="697" t="n">
        <v>0</v>
      </c>
      <c r="BL88" s="697" t="n">
        <v>0</v>
      </c>
      <c r="BM88" s="697" t="n">
        <v>0</v>
      </c>
      <c r="BN88" s="697" t="n">
        <v>0</v>
      </c>
      <c r="BO88" s="697" t="n">
        <v>0</v>
      </c>
      <c r="BP88" s="697" t="n">
        <v>0</v>
      </c>
      <c r="BQ88" s="697" t="n">
        <v>0</v>
      </c>
      <c r="BR88" s="697" t="n">
        <v>0</v>
      </c>
      <c r="BS88" s="697" t="n">
        <v>0</v>
      </c>
      <c r="BT88" s="697" t="n">
        <v>0</v>
      </c>
      <c r="BU88" s="697" t="n">
        <v>0</v>
      </c>
      <c r="BV88" s="697" t="n">
        <v>0</v>
      </c>
      <c r="BW88" s="697" t="n">
        <v>0</v>
      </c>
      <c r="BX88" s="697" t="n">
        <v>0</v>
      </c>
      <c r="BY88" s="697" t="n">
        <v>0</v>
      </c>
      <c r="BZ88" s="697" t="n"/>
      <c r="CA88" s="699" t="n"/>
      <c r="CB88" s="699" t="n"/>
    </row>
    <row r="89">
      <c r="A89" s="781" t="inlineStr">
        <is>
          <t>EGEO COGU</t>
        </is>
      </c>
      <c r="B89" s="731" t="n"/>
      <c r="C89" s="731" t="n"/>
      <c r="D89" s="775" t="n"/>
      <c r="AG89" s="697" t="n">
        <v>0</v>
      </c>
      <c r="AH89" s="697" t="n">
        <v>100</v>
      </c>
      <c r="AI89" s="697" t="n">
        <v>100</v>
      </c>
      <c r="AJ89" s="697" t="n">
        <v>67</v>
      </c>
      <c r="AK89" s="697" t="n">
        <v>37</v>
      </c>
      <c r="AL89" s="697" t="n">
        <v>15</v>
      </c>
      <c r="AM89" s="697" t="n">
        <v>0</v>
      </c>
      <c r="AN89" s="697" t="n">
        <v>0</v>
      </c>
      <c r="AO89" s="697" t="n">
        <v>0</v>
      </c>
      <c r="AP89" s="697" t="n">
        <v>0</v>
      </c>
      <c r="AQ89" s="697" t="n">
        <v>0</v>
      </c>
      <c r="AR89" s="697" t="n">
        <v>0</v>
      </c>
      <c r="AS89" s="697" t="n">
        <v>0</v>
      </c>
      <c r="AT89" s="697" t="n">
        <v>0</v>
      </c>
      <c r="AU89" s="697" t="n">
        <v>0</v>
      </c>
      <c r="AV89" s="697" t="n">
        <v>0</v>
      </c>
      <c r="AW89" s="697" t="n">
        <v>0</v>
      </c>
      <c r="AX89" s="697" t="n">
        <v>0</v>
      </c>
      <c r="AY89" s="697" t="n">
        <v>0</v>
      </c>
      <c r="AZ89" s="697" t="n">
        <v>0</v>
      </c>
      <c r="BA89" s="697" t="n">
        <v>0</v>
      </c>
      <c r="BB89" s="697" t="n">
        <v>0</v>
      </c>
      <c r="BC89" s="697" t="n">
        <v>0</v>
      </c>
      <c r="BD89" s="697" t="n">
        <v>0</v>
      </c>
      <c r="BE89" s="697" t="n">
        <v>0</v>
      </c>
      <c r="BF89" s="697" t="n">
        <v>0</v>
      </c>
      <c r="BG89" s="697" t="n">
        <v>0</v>
      </c>
      <c r="BH89" s="697" t="n">
        <v>0</v>
      </c>
      <c r="BI89" s="697" t="n">
        <v>0</v>
      </c>
      <c r="BJ89" s="697" t="n">
        <v>0</v>
      </c>
      <c r="BK89" s="697" t="n">
        <v>0</v>
      </c>
      <c r="BL89" s="697" t="n">
        <v>0</v>
      </c>
      <c r="BM89" s="697" t="n">
        <v>0</v>
      </c>
      <c r="BN89" s="697" t="n">
        <v>0</v>
      </c>
      <c r="BO89" s="697" t="n">
        <v>0</v>
      </c>
      <c r="BP89" s="697" t="n">
        <v>0</v>
      </c>
      <c r="BQ89" s="697" t="n">
        <v>0</v>
      </c>
      <c r="BR89" s="697" t="n">
        <v>0</v>
      </c>
      <c r="BS89" s="697" t="n">
        <v>0</v>
      </c>
      <c r="BT89" s="697" t="n">
        <v>0</v>
      </c>
      <c r="BU89" s="697" t="n">
        <v>0</v>
      </c>
      <c r="BV89" s="697" t="n">
        <v>0</v>
      </c>
      <c r="BW89" s="697" t="n">
        <v>0</v>
      </c>
      <c r="BX89" s="697" t="n">
        <v>0</v>
      </c>
      <c r="BY89" s="697" t="n">
        <v>0</v>
      </c>
      <c r="BZ89" s="697" t="n"/>
      <c r="CA89" s="699" t="n"/>
      <c r="CB89" s="699" t="n"/>
    </row>
    <row r="90">
      <c r="A90" s="781" t="inlineStr">
        <is>
          <t>HER CODE CLIMAX</t>
        </is>
      </c>
      <c r="B90" s="731" t="n"/>
      <c r="C90" s="731" t="n"/>
      <c r="D90" s="775" t="n"/>
      <c r="AJ90" s="697" t="n">
        <v>0</v>
      </c>
      <c r="AK90" s="697" t="n">
        <v>30</v>
      </c>
      <c r="AL90" s="697" t="n">
        <v>20</v>
      </c>
      <c r="AM90" s="697" t="n">
        <v>0</v>
      </c>
      <c r="AN90" s="697" t="n">
        <v>0</v>
      </c>
      <c r="AO90" s="697" t="n">
        <v>0</v>
      </c>
      <c r="AP90" s="697" t="n">
        <v>0</v>
      </c>
      <c r="AQ90" s="697" t="n">
        <v>0</v>
      </c>
      <c r="AR90" s="697" t="n">
        <v>0</v>
      </c>
      <c r="AS90" s="697" t="n">
        <v>0</v>
      </c>
      <c r="AT90" s="697" t="n">
        <v>0</v>
      </c>
      <c r="AU90" s="697" t="n">
        <v>0</v>
      </c>
      <c r="AV90" s="697" t="n">
        <v>0</v>
      </c>
      <c r="AW90" s="697" t="n">
        <v>0</v>
      </c>
      <c r="AX90" s="697" t="n">
        <v>0</v>
      </c>
      <c r="AY90" s="697" t="n">
        <v>0</v>
      </c>
      <c r="AZ90" s="697" t="n">
        <v>0</v>
      </c>
      <c r="BA90" s="697" t="n">
        <v>0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0</v>
      </c>
      <c r="BG90" s="697" t="n">
        <v>0</v>
      </c>
      <c r="BH90" s="697" t="n">
        <v>0</v>
      </c>
      <c r="BI90" s="697" t="n">
        <v>0</v>
      </c>
      <c r="BJ90" s="697" t="n">
        <v>0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697" t="n"/>
      <c r="CA90" s="699" t="n"/>
      <c r="CB90" s="699" t="n"/>
    </row>
    <row r="91">
      <c r="A91" s="781" t="inlineStr">
        <is>
          <t>FLORATTA BOUQUET</t>
        </is>
      </c>
      <c r="B91" s="731" t="n"/>
      <c r="C91" s="731" t="n"/>
      <c r="D91" s="775" t="n"/>
      <c r="AP91" s="697" t="n">
        <v>0</v>
      </c>
      <c r="AQ91" s="697" t="n">
        <v>25</v>
      </c>
      <c r="AR91" s="697" t="n">
        <v>0</v>
      </c>
      <c r="AS91" s="697" t="n">
        <v>0</v>
      </c>
      <c r="AT91" s="697" t="n">
        <v>0</v>
      </c>
      <c r="AU91" s="697" t="n">
        <v>0</v>
      </c>
      <c r="AV91" s="697" t="n">
        <v>0</v>
      </c>
      <c r="AW91" s="697" t="n">
        <v>0</v>
      </c>
      <c r="AX91" s="697" t="n">
        <v>0</v>
      </c>
      <c r="AY91" s="697" t="n">
        <v>0</v>
      </c>
      <c r="AZ91" s="697" t="n">
        <v>0</v>
      </c>
      <c r="BA91" s="697" t="n">
        <v>0</v>
      </c>
      <c r="BB91" s="697" t="n">
        <v>0</v>
      </c>
      <c r="BC91" s="697" t="n">
        <v>0</v>
      </c>
      <c r="BD91" s="697" t="n">
        <v>0</v>
      </c>
      <c r="BE91" s="697" t="n">
        <v>0</v>
      </c>
      <c r="BF91" s="697" t="n">
        <v>0</v>
      </c>
      <c r="BG91" s="697" t="n">
        <v>0</v>
      </c>
      <c r="BH91" s="697" t="n">
        <v>0</v>
      </c>
      <c r="BI91" s="697" t="n">
        <v>0</v>
      </c>
      <c r="BJ91" s="697" t="n">
        <v>0</v>
      </c>
      <c r="BK91" s="697" t="n">
        <v>0</v>
      </c>
      <c r="BL91" s="697" t="n">
        <v>0</v>
      </c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0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  <c r="BZ91" s="697" t="n"/>
      <c r="CA91" s="699" t="n"/>
      <c r="CB91" s="699" t="n"/>
    </row>
    <row r="92">
      <c r="A92" s="781" t="n"/>
      <c r="B92" s="731" t="n"/>
      <c r="C92" s="731" t="n"/>
      <c r="D92" s="775" t="n"/>
      <c r="AP92" s="697" t="n"/>
      <c r="AQ92" s="697" t="n"/>
      <c r="AR92" s="697" t="n"/>
      <c r="AS92" s="697" t="n"/>
      <c r="AT92" s="697" t="n"/>
      <c r="AU92" s="697" t="n"/>
      <c r="AV92" s="697" t="n"/>
      <c r="AW92" s="697" t="n"/>
      <c r="AX92" s="697" t="n"/>
      <c r="AY92" s="697" t="n"/>
      <c r="AZ92" s="697" t="n"/>
      <c r="BA92" s="697" t="n"/>
      <c r="BB92" s="697" t="n"/>
      <c r="BC92" s="697" t="n"/>
      <c r="BD92" s="697" t="n"/>
      <c r="BE92" s="697" t="n"/>
      <c r="BF92" s="697" t="n"/>
      <c r="BG92" s="697" t="n"/>
      <c r="BH92" s="697" t="n"/>
      <c r="BI92" s="697" t="n"/>
      <c r="BJ92" s="697" t="n"/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  <c r="BZ92" s="697" t="n"/>
      <c r="CA92" s="699" t="n"/>
      <c r="CB92" s="699" t="n"/>
    </row>
  </sheetData>
  <mergeCells count="39">
    <mergeCell ref="A91:D91"/>
    <mergeCell ref="F5:BZ5"/>
    <mergeCell ref="A72:D72"/>
    <mergeCell ref="A81:D81"/>
    <mergeCell ref="A63:D63"/>
    <mergeCell ref="A68:D68"/>
    <mergeCell ref="A1:BZ1"/>
    <mergeCell ref="A67:D67"/>
    <mergeCell ref="A77:D77"/>
    <mergeCell ref="A83:D83"/>
    <mergeCell ref="A92:D92"/>
    <mergeCell ref="A64:D64"/>
    <mergeCell ref="A82:D82"/>
    <mergeCell ref="A73:D73"/>
    <mergeCell ref="A5:A6"/>
    <mergeCell ref="A70:D70"/>
    <mergeCell ref="A79:D79"/>
    <mergeCell ref="A88:D88"/>
    <mergeCell ref="A69:D69"/>
    <mergeCell ref="A78:D78"/>
    <mergeCell ref="A87:D87"/>
    <mergeCell ref="A65:D65"/>
    <mergeCell ref="A90:D90"/>
    <mergeCell ref="B5:B6"/>
    <mergeCell ref="A84:D84"/>
    <mergeCell ref="D5:D6"/>
    <mergeCell ref="A66:D66"/>
    <mergeCell ref="A80:D80"/>
    <mergeCell ref="A75:D75"/>
    <mergeCell ref="B3:D3"/>
    <mergeCell ref="A89:D89"/>
    <mergeCell ref="A74:D74"/>
    <mergeCell ref="A86:D86"/>
    <mergeCell ref="A71:D71"/>
    <mergeCell ref="FL7:FT7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Planilha25">
    <tabColor theme="9"/>
    <outlinePr summaryBelow="1" summaryRight="1"/>
    <pageSetUpPr/>
  </sheetPr>
  <dimension ref="A1:LA92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9" customWidth="1" style="42" min="1" max="1"/>
    <col width="9.28515625" customWidth="1" style="5" min="2" max="2"/>
    <col width="14.42578125" customWidth="1" style="5" min="3" max="4"/>
    <col width="1.5703125" customWidth="1" style="5" min="5" max="5"/>
    <col hidden="1" width="8.28515625" customWidth="1" style="5" min="6" max="75"/>
    <col width="8.28515625" customWidth="1" style="5" min="76" max="78"/>
    <col width="1.85546875" customWidth="1" style="29" min="79" max="79"/>
    <col width="15.42578125" bestFit="1" customWidth="1" style="29" min="80" max="80"/>
    <col width="1.7109375" customWidth="1" style="29" min="81" max="81"/>
    <col width="15.85546875" bestFit="1" customWidth="1" style="29" min="82" max="82"/>
    <col width="2.140625" customWidth="1" style="5" min="83" max="83"/>
    <col width="9.28515625" customWidth="1" style="29" min="84" max="87"/>
    <col width="8.7109375" customWidth="1" style="59" min="88" max="88"/>
    <col hidden="1" width="9.28515625" customWidth="1" style="29" min="89" max="106"/>
    <col hidden="1" width="8.7109375" customWidth="1" style="59" min="107" max="107"/>
    <col hidden="1" width="9.28515625" customWidth="1" style="29" min="108" max="109"/>
    <col hidden="1" width="9.140625" customWidth="1" style="29" min="110" max="110"/>
    <col hidden="1" width="11.5703125" customWidth="1" style="29" min="111" max="111"/>
    <col hidden="1" width="9.28515625" customWidth="1" style="29" min="112" max="112"/>
    <col hidden="1" width="14.42578125" customWidth="1" style="29" min="113" max="113"/>
    <col hidden="1" width="85.42578125" customWidth="1" style="29" min="114" max="114"/>
    <col hidden="1" width="9.28515625" customWidth="1" style="29" min="115" max="115"/>
    <col hidden="1" width="9.7109375" customWidth="1" style="29" min="116" max="116"/>
    <col hidden="1" width="9.28515625" customWidth="1" style="29" min="117" max="122"/>
    <col hidden="1" width="13" customWidth="1" style="29" min="123" max="123"/>
    <col hidden="1" width="9.28515625" customWidth="1" style="29" min="124" max="124"/>
    <col hidden="1" width="11.5703125" customWidth="1" style="29" min="125" max="125"/>
    <col hidden="1" width="9.28515625" customWidth="1" style="29" min="126" max="126"/>
    <col hidden="1" width="25.5703125" customWidth="1" style="59" min="127" max="127"/>
    <col hidden="1" width="9.28515625" customWidth="1" style="29" min="128" max="128"/>
    <col hidden="1" width="8.7109375" customWidth="1" style="59" min="129" max="129"/>
    <col hidden="1" width="9.28515625" customWidth="1" style="29" min="130" max="135"/>
    <col hidden="1" width="12.85546875" customWidth="1" style="29" min="136" max="136"/>
    <col hidden="1" width="14.7109375" customWidth="1" style="323" min="137" max="138"/>
    <col hidden="1" width="13.140625" customWidth="1" style="29" min="139" max="139"/>
    <col hidden="1" width="9.7109375" customWidth="1" style="29" min="140" max="140"/>
    <col hidden="1" width="9.28515625" customWidth="1" style="29" min="141" max="144"/>
    <col hidden="1" width="14.5703125" customWidth="1" style="29" min="145" max="145"/>
    <col hidden="1" width="12.5703125" customWidth="1" style="323" min="146" max="146"/>
    <col hidden="1" width="9.28515625" customWidth="1" style="29" min="147" max="147"/>
    <col hidden="1" width="12" customWidth="1" style="323" min="148" max="148"/>
    <col hidden="1" width="9.28515625" customWidth="1" style="29" min="149" max="149"/>
    <col hidden="1" width="14.140625" customWidth="1" style="29" min="150" max="150"/>
    <col hidden="1" width="9.28515625" customWidth="1" style="29" min="151" max="155"/>
    <col hidden="1" width="14.28515625" customWidth="1" style="29" min="156" max="156"/>
    <col hidden="1" width="9.28515625" customWidth="1" style="29" min="157" max="158"/>
    <col hidden="1" width="21" customWidth="1" style="29" min="159" max="159"/>
    <col hidden="1" width="9.28515625" customWidth="1" style="29" min="160" max="160"/>
    <col hidden="1" width="14.28515625" customWidth="1" style="29" min="161" max="161"/>
    <col hidden="1" width="9.28515625" customWidth="1" style="29" min="162" max="162"/>
    <col hidden="1" width="26.140625" customWidth="1" style="59" min="163" max="163"/>
    <col hidden="1" width="9.28515625" customWidth="1" style="29" min="164" max="164"/>
    <col width="3.28515625" customWidth="1" style="5" min="165" max="165"/>
    <col width="21.85546875" bestFit="1" customWidth="1" style="5" min="166" max="166"/>
    <col width="9.140625" customWidth="1" style="5" min="167" max="167"/>
    <col hidden="1" width="13" customWidth="1" style="5" min="168" max="171"/>
    <col width="9.140625" customWidth="1" style="5" min="172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49" t="n"/>
      <c r="DD1" s="132" t="n"/>
      <c r="DE1" s="132" t="n"/>
      <c r="DF1" s="132" t="n"/>
      <c r="DG1" s="132" t="n"/>
      <c r="DH1" s="132" t="n"/>
      <c r="DI1" s="149" t="n"/>
      <c r="DJ1" s="149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32" t="n"/>
      <c r="DW1" s="149" t="n"/>
      <c r="DX1" s="132" t="n"/>
      <c r="DY1" s="149" t="n"/>
      <c r="DZ1" s="132" t="n"/>
      <c r="EA1" s="132" t="n"/>
      <c r="EB1" s="132" t="n"/>
      <c r="EC1" s="132" t="n"/>
      <c r="ED1" s="132" t="n"/>
      <c r="EE1" s="132" t="n"/>
      <c r="EF1" s="132" t="n"/>
      <c r="EG1" s="488" t="n"/>
      <c r="EH1" s="488" t="n"/>
      <c r="EI1" s="132" t="n"/>
      <c r="EJ1" s="149" t="n"/>
      <c r="EK1" s="132" t="n"/>
      <c r="EL1" s="132" t="n"/>
      <c r="EM1" s="132" t="n"/>
      <c r="EN1" s="132" t="n"/>
      <c r="EO1" s="132" t="n"/>
      <c r="EP1" s="488" t="n"/>
      <c r="EQ1" s="132" t="n"/>
      <c r="ER1" s="488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32" t="n"/>
      <c r="FG1" s="149" t="n"/>
      <c r="FH1" s="132" t="n"/>
    </row>
    <row r="2">
      <c r="A2" s="43" t="inlineStr">
        <is>
          <t>LOJA:</t>
        </is>
      </c>
      <c r="B2" s="722" t="inlineStr">
        <is>
          <t>BOULEVARD</t>
        </is>
      </c>
      <c r="C2" s="723" t="n"/>
      <c r="D2" s="724" t="n"/>
      <c r="CA2" s="5" t="n"/>
      <c r="CB2" s="5" t="n"/>
      <c r="CC2" s="5" t="n"/>
      <c r="CD2" s="5" t="n"/>
      <c r="DI2" s="5" t="n"/>
      <c r="DJ2" s="5" t="n"/>
      <c r="DL2" s="5" t="n"/>
      <c r="EJ2" s="5" t="n"/>
    </row>
    <row r="3">
      <c r="A3" s="43" t="inlineStr">
        <is>
          <t>Responsável:</t>
        </is>
      </c>
      <c r="B3" s="725" t="inlineStr">
        <is>
          <t>ÉRIKA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DI3" s="726" t="n"/>
      <c r="DJ3" s="726" t="n"/>
      <c r="DL3" s="726" t="n"/>
      <c r="EJ3" s="726" t="n"/>
    </row>
    <row r="4" ht="6.75" customHeight="1">
      <c r="CA4" s="133" t="n"/>
      <c r="CC4" s="5" t="n"/>
      <c r="CD4" s="5" t="n"/>
      <c r="CJ4" s="249" t="n"/>
      <c r="DC4" s="249" t="n"/>
      <c r="DI4" s="5" t="n"/>
      <c r="DJ4" s="5" t="n"/>
      <c r="DL4" s="5" t="n"/>
      <c r="DW4" s="249" t="n"/>
      <c r="DY4" s="249" t="n"/>
      <c r="EG4" s="324" t="n"/>
      <c r="EH4" s="324" t="n"/>
      <c r="EJ4" s="5" t="n"/>
      <c r="EP4" s="324" t="n"/>
      <c r="ER4" s="324" t="n"/>
      <c r="FG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A5" s="60" t="n"/>
      <c r="CB5" s="44" t="inlineStr">
        <is>
          <t>Pendências</t>
        </is>
      </c>
      <c r="CC5" s="5" t="n"/>
      <c r="CD5" s="12" t="inlineStr">
        <is>
          <t>Novo Pedido</t>
        </is>
      </c>
      <c r="CF5" s="734" t="n">
        <v>46149</v>
      </c>
      <c r="CG5" s="734" t="n">
        <v>46142</v>
      </c>
      <c r="CH5" s="734" t="n">
        <v>46114</v>
      </c>
      <c r="CI5" s="734" t="n">
        <v>46107</v>
      </c>
      <c r="CJ5" s="735" t="n">
        <v>46065</v>
      </c>
      <c r="CK5" s="734" t="n">
        <v>46099</v>
      </c>
      <c r="CL5" s="734" t="n">
        <v>46092</v>
      </c>
      <c r="CM5" s="734" t="n">
        <v>46084</v>
      </c>
      <c r="CN5" s="734" t="n">
        <v>46071</v>
      </c>
      <c r="CO5" s="734" t="n">
        <v>46056</v>
      </c>
      <c r="CP5" s="734" t="n">
        <v>46048</v>
      </c>
      <c r="CQ5" s="734" t="n">
        <v>46043</v>
      </c>
      <c r="CR5" s="734" t="n">
        <v>46035</v>
      </c>
      <c r="CS5" s="734" t="n">
        <v>46029</v>
      </c>
      <c r="CT5" s="734" t="n">
        <v>46024</v>
      </c>
      <c r="CU5" s="734" t="n">
        <v>46017</v>
      </c>
      <c r="CV5" s="734" t="n">
        <v>46007</v>
      </c>
      <c r="CW5" s="734" t="n">
        <v>46001</v>
      </c>
      <c r="CX5" s="734" t="n">
        <v>45994</v>
      </c>
      <c r="CY5" s="734" t="n">
        <v>45980</v>
      </c>
      <c r="CZ5" s="734" t="n">
        <v>45965</v>
      </c>
      <c r="DA5" s="734" t="n">
        <v>45960</v>
      </c>
      <c r="DB5" s="734" t="n">
        <v>45951</v>
      </c>
      <c r="DC5" s="737" t="n">
        <v>45903</v>
      </c>
      <c r="DD5" s="734" t="n">
        <v>45945</v>
      </c>
      <c r="DE5" s="734" t="n">
        <v>45937</v>
      </c>
      <c r="DF5" s="734" t="n">
        <v>45931</v>
      </c>
      <c r="DG5" s="736" t="inlineStr">
        <is>
          <t>TRANSF.</t>
        </is>
      </c>
      <c r="DH5" s="734" t="n">
        <v>45923</v>
      </c>
      <c r="DI5" s="738" t="inlineStr">
        <is>
          <t>TRANSF.</t>
        </is>
      </c>
      <c r="DJ5" s="738" t="inlineStr">
        <is>
          <t>TRANSFERÊNCIA - HOMEM ARANHA</t>
        </is>
      </c>
      <c r="DK5" s="734" t="n">
        <v>45915</v>
      </c>
      <c r="DL5" s="738" t="n">
        <v>45863</v>
      </c>
      <c r="DM5" s="734" t="n">
        <v>45909</v>
      </c>
      <c r="DN5" s="734" t="n">
        <v>45903</v>
      </c>
      <c r="DO5" s="734" t="n">
        <v>45895</v>
      </c>
      <c r="DP5" s="734" t="n">
        <v>45888</v>
      </c>
      <c r="DQ5" s="734" t="n">
        <v>45881</v>
      </c>
      <c r="DR5" s="734" t="n">
        <v>45874</v>
      </c>
      <c r="DS5" s="739" t="inlineStr">
        <is>
          <t>TRANSF.</t>
        </is>
      </c>
      <c r="DT5" s="734" t="n">
        <v>45867</v>
      </c>
      <c r="DU5" s="739" t="inlineStr">
        <is>
          <t xml:space="preserve">TRANSF. </t>
        </is>
      </c>
      <c r="DV5" s="734" t="n">
        <v>45860</v>
      </c>
      <c r="DW5" s="741" t="inlineStr">
        <is>
          <t>COLLAB DORAMA</t>
        </is>
      </c>
      <c r="DX5" s="734" t="n">
        <v>45848</v>
      </c>
      <c r="DY5" s="739" t="n">
        <v>45791</v>
      </c>
      <c r="DZ5" s="734" t="n">
        <v>45839</v>
      </c>
      <c r="EA5" s="734" t="n">
        <v>45832</v>
      </c>
      <c r="EB5" s="734" t="n">
        <v>45825</v>
      </c>
      <c r="EC5" s="734" t="n">
        <v>45819</v>
      </c>
      <c r="ED5" s="734" t="n">
        <v>45813</v>
      </c>
      <c r="EE5" s="734" t="n">
        <v>45798</v>
      </c>
      <c r="EF5" s="736" t="inlineStr">
        <is>
          <t>TRANSF.</t>
        </is>
      </c>
      <c r="EG5" s="740" t="inlineStr">
        <is>
          <t>TRANSF.</t>
        </is>
      </c>
      <c r="EH5" s="740" t="inlineStr">
        <is>
          <t>TRANSF.</t>
        </is>
      </c>
      <c r="EI5" s="736" t="inlineStr">
        <is>
          <t>TRANSF.</t>
        </is>
      </c>
      <c r="EJ5" s="742" t="n">
        <v>45735</v>
      </c>
      <c r="EK5" s="734" t="n">
        <v>45790</v>
      </c>
      <c r="EL5" s="734" t="n">
        <v>45783</v>
      </c>
      <c r="EM5" s="734" t="n">
        <v>45770</v>
      </c>
      <c r="EN5" s="734" t="n">
        <v>45756</v>
      </c>
      <c r="EO5" s="736" t="inlineStr">
        <is>
          <t>TRANSF.</t>
        </is>
      </c>
      <c r="EP5" s="740" t="inlineStr">
        <is>
          <t>TRANSF.</t>
        </is>
      </c>
      <c r="EQ5" s="734" t="n">
        <v>45743</v>
      </c>
      <c r="ER5" s="740" t="n">
        <v>45700</v>
      </c>
      <c r="ES5" s="734" t="n">
        <v>45734</v>
      </c>
      <c r="ET5" s="736" t="inlineStr">
        <is>
          <t>TRANSF.</t>
        </is>
      </c>
      <c r="EU5" s="734" t="n">
        <v>45728</v>
      </c>
      <c r="EV5" s="734" t="n">
        <v>45722</v>
      </c>
      <c r="EW5" s="734" t="n">
        <v>45706</v>
      </c>
      <c r="EX5" s="734" t="n">
        <v>45699</v>
      </c>
      <c r="EY5" s="734" t="n">
        <v>45693</v>
      </c>
      <c r="EZ5" s="736" t="inlineStr">
        <is>
          <t>TRANSF.</t>
        </is>
      </c>
      <c r="FA5" s="734" t="n">
        <v>45685</v>
      </c>
      <c r="FB5" s="734" t="n">
        <v>45674</v>
      </c>
      <c r="FC5" s="222" t="inlineStr">
        <is>
          <t>TRANSF. PAIS/24</t>
        </is>
      </c>
      <c r="FD5" s="734" t="n">
        <v>45664</v>
      </c>
      <c r="FE5" s="736" t="inlineStr">
        <is>
          <t>TRANSF.</t>
        </is>
      </c>
      <c r="FF5" s="734" t="n">
        <v>45660</v>
      </c>
      <c r="FG5" s="744" t="inlineStr">
        <is>
          <t>TRANSF. NATAL/24</t>
        </is>
      </c>
      <c r="FH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751" t="n"/>
      <c r="CD6" s="752" t="n">
        <v>46155</v>
      </c>
      <c r="CE6" s="751" t="n"/>
      <c r="CF6" s="734" t="n">
        <v>46155</v>
      </c>
      <c r="CG6" s="734" t="n">
        <v>46148</v>
      </c>
      <c r="CH6" s="734" t="n">
        <v>46122</v>
      </c>
      <c r="CI6" s="734" t="n">
        <v>46112</v>
      </c>
      <c r="CJ6" s="735" t="n">
        <v>46111</v>
      </c>
      <c r="CK6" s="734" t="n">
        <v>46107</v>
      </c>
      <c r="CL6" s="734" t="n">
        <v>46100</v>
      </c>
      <c r="CM6" s="734" t="n">
        <v>46089</v>
      </c>
      <c r="CN6" s="734" t="n">
        <v>46076</v>
      </c>
      <c r="CO6" s="734" t="n">
        <v>46059</v>
      </c>
      <c r="CP6" s="734" t="n">
        <v>46056</v>
      </c>
      <c r="CQ6" s="734" t="n">
        <v>46051</v>
      </c>
      <c r="CR6" s="734" t="n">
        <v>46041</v>
      </c>
      <c r="CS6" s="734" t="n">
        <v>46036</v>
      </c>
      <c r="CT6" s="734" t="n">
        <v>46035</v>
      </c>
      <c r="CU6" s="734" t="n">
        <v>46025</v>
      </c>
      <c r="CV6" s="734" t="n">
        <v>46013</v>
      </c>
      <c r="CW6" s="734" t="n">
        <v>46009</v>
      </c>
      <c r="CX6" s="734" t="n">
        <v>46002</v>
      </c>
      <c r="CY6" s="734" t="n">
        <v>45993</v>
      </c>
      <c r="CZ6" s="734" t="n">
        <v>45972</v>
      </c>
      <c r="DA6" s="734" t="n">
        <v>45967</v>
      </c>
      <c r="DB6" s="734" t="n">
        <v>45958</v>
      </c>
      <c r="DC6" s="753" t="n">
        <v>45958</v>
      </c>
      <c r="DD6" s="734" t="n">
        <v>45957</v>
      </c>
      <c r="DE6" s="734" t="n">
        <v>45944</v>
      </c>
      <c r="DF6" s="734" t="n">
        <v>45938</v>
      </c>
      <c r="DG6" s="736" t="n">
        <v>45937</v>
      </c>
      <c r="DH6" s="734" t="n">
        <v>45936</v>
      </c>
      <c r="DI6" s="754" t="n">
        <v>45924</v>
      </c>
      <c r="DJ6" s="754" t="n">
        <v>45923</v>
      </c>
      <c r="DK6" s="734" t="n">
        <v>45923</v>
      </c>
      <c r="DL6" s="754" t="n">
        <v>45917</v>
      </c>
      <c r="DM6" s="734" t="n">
        <v>45912</v>
      </c>
      <c r="DN6" s="734" t="n">
        <v>45909</v>
      </c>
      <c r="DO6" s="734" t="n">
        <v>45902</v>
      </c>
      <c r="DP6" s="734" t="n">
        <v>45891</v>
      </c>
      <c r="DQ6" s="734" t="n">
        <v>45888</v>
      </c>
      <c r="DR6" s="734" t="n">
        <v>45881</v>
      </c>
      <c r="DS6" s="739" t="n">
        <v>45880</v>
      </c>
      <c r="DT6" s="734" t="n">
        <v>45874</v>
      </c>
      <c r="DU6" s="739" t="n">
        <v>45863</v>
      </c>
      <c r="DV6" s="734" t="n">
        <v>45862</v>
      </c>
      <c r="DW6" s="741" t="n">
        <v>45856</v>
      </c>
      <c r="DX6" s="734" t="n">
        <v>45853</v>
      </c>
      <c r="DY6" s="739" t="n">
        <v>45852</v>
      </c>
      <c r="DZ6" s="734" t="n">
        <v>45845</v>
      </c>
      <c r="EA6" s="734" t="n">
        <v>45838</v>
      </c>
      <c r="EB6" s="734" t="n">
        <v>45832</v>
      </c>
      <c r="EC6" s="734" t="n">
        <v>45826</v>
      </c>
      <c r="ED6" s="734" t="n">
        <v>45819</v>
      </c>
      <c r="EE6" s="734" t="n">
        <v>45813</v>
      </c>
      <c r="EF6" s="736" t="n">
        <v>45813</v>
      </c>
      <c r="EG6" s="740" t="n">
        <v>45810</v>
      </c>
      <c r="EH6" s="740" t="n">
        <v>45806</v>
      </c>
      <c r="EI6" s="736" t="n">
        <v>45806</v>
      </c>
      <c r="EJ6" s="755" t="n">
        <v>45798</v>
      </c>
      <c r="EK6" s="734" t="n">
        <v>45796</v>
      </c>
      <c r="EL6" s="734" t="n">
        <v>45785</v>
      </c>
      <c r="EM6" s="734" t="n">
        <v>45777</v>
      </c>
      <c r="EN6" s="734" t="n">
        <v>45772</v>
      </c>
      <c r="EO6" s="736" t="n">
        <v>45770</v>
      </c>
      <c r="EP6" s="740" t="n">
        <v>45750</v>
      </c>
      <c r="EQ6" s="734" t="n">
        <v>45749</v>
      </c>
      <c r="ER6" s="740" t="n">
        <v>45744</v>
      </c>
      <c r="ES6" s="734" t="n">
        <v>45743</v>
      </c>
      <c r="ET6" s="736" t="n">
        <v>45731</v>
      </c>
      <c r="EU6" s="734" t="n">
        <v>45733</v>
      </c>
      <c r="EV6" s="734" t="n">
        <v>45727</v>
      </c>
      <c r="EW6" s="734" t="n">
        <v>45715</v>
      </c>
      <c r="EX6" s="734" t="n">
        <v>45706</v>
      </c>
      <c r="EY6" s="734" t="n">
        <v>45700</v>
      </c>
      <c r="EZ6" s="736" t="n">
        <v>45693</v>
      </c>
      <c r="FA6" s="734" t="n">
        <v>45691</v>
      </c>
      <c r="FB6" s="734" t="n">
        <v>45678</v>
      </c>
      <c r="FC6" s="784" t="n">
        <v>45674</v>
      </c>
      <c r="FD6" s="734" t="n">
        <v>45670</v>
      </c>
      <c r="FE6" s="736" t="n">
        <v>45670</v>
      </c>
      <c r="FF6" s="734" t="n">
        <v>45665</v>
      </c>
      <c r="FG6" s="744" t="n">
        <v>45663</v>
      </c>
      <c r="FH6" s="734" t="n">
        <v>45659</v>
      </c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D7" s="13" t="n"/>
      <c r="CE7" s="5" t="n"/>
      <c r="CF7" s="13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n"/>
      <c r="DR7" s="13" t="n"/>
      <c r="DS7" s="13" t="inlineStr">
        <is>
          <t>PAIS/25</t>
        </is>
      </c>
      <c r="DT7" s="13" t="n"/>
      <c r="DU7" s="13" t="inlineStr">
        <is>
          <t>PAIS/25</t>
        </is>
      </c>
      <c r="DV7" s="13" t="n"/>
      <c r="DW7" s="13" t="inlineStr">
        <is>
          <t>ENVIO AUTOMÁTICO</t>
        </is>
      </c>
      <c r="DX7" s="13" t="n"/>
      <c r="DY7" s="13" t="n"/>
      <c r="DZ7" s="13" t="n"/>
      <c r="EA7" s="13" t="n"/>
      <c r="EB7" s="13" t="n"/>
      <c r="EC7" s="13" t="n"/>
      <c r="ED7" s="13" t="n"/>
      <c r="EE7" s="320" t="n"/>
      <c r="EF7" s="13" t="n"/>
      <c r="EG7" s="13" t="inlineStr">
        <is>
          <t>MÃES/25</t>
        </is>
      </c>
      <c r="EH7" s="13" t="inlineStr">
        <is>
          <t>MÃES/25</t>
        </is>
      </c>
      <c r="EI7" s="320" t="n"/>
      <c r="EJ7" s="320" t="n"/>
      <c r="EK7" s="320" t="n"/>
      <c r="EL7" s="320" t="n"/>
      <c r="EM7" s="320" t="n"/>
      <c r="EN7" s="320" t="n"/>
      <c r="EO7" s="320" t="n"/>
      <c r="EP7" s="13" t="inlineStr">
        <is>
          <t>MÃES/25</t>
        </is>
      </c>
      <c r="EQ7" s="320" t="n"/>
      <c r="ER7" s="13" t="inlineStr">
        <is>
          <t>MÃES/25</t>
        </is>
      </c>
      <c r="ES7" s="320" t="n"/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J7" s="235" t="inlineStr">
        <is>
          <t>MÃES 2026</t>
        </is>
      </c>
      <c r="FK7" s="731" t="n"/>
      <c r="FL7" s="731" t="n"/>
      <c r="FM7" s="731" t="n"/>
      <c r="FN7" s="731" t="n"/>
      <c r="FO7" s="731" t="n"/>
      <c r="FP7" s="731" t="n"/>
      <c r="FQ7" s="731" t="n"/>
      <c r="FR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1030+FH8</f>
        <v/>
      </c>
      <c r="G8" s="697" t="n">
        <v>1480</v>
      </c>
      <c r="H8" s="697">
        <f>1370+FD8</f>
        <v/>
      </c>
      <c r="I8" s="697" t="n">
        <v>1820</v>
      </c>
      <c r="J8" s="697" t="n">
        <v>1640</v>
      </c>
      <c r="K8" s="697" t="n">
        <v>1540</v>
      </c>
      <c r="L8" s="697" t="n">
        <v>1400</v>
      </c>
      <c r="M8" s="697" t="n">
        <v>1310</v>
      </c>
      <c r="N8" s="697" t="n">
        <v>1230</v>
      </c>
      <c r="O8" s="697" t="n">
        <v>1150</v>
      </c>
      <c r="P8" s="697" t="n">
        <v>980</v>
      </c>
      <c r="Q8" s="697" t="n">
        <v>790</v>
      </c>
      <c r="R8" s="697" t="n">
        <v>640</v>
      </c>
      <c r="S8" s="697">
        <f>540+EQ8</f>
        <v/>
      </c>
      <c r="T8" s="697" t="n">
        <v>940</v>
      </c>
      <c r="U8" s="697" t="n">
        <v>750</v>
      </c>
      <c r="V8" s="697">
        <f>490+300</f>
        <v/>
      </c>
      <c r="W8" s="697" t="n">
        <v>1340</v>
      </c>
      <c r="X8" s="697" t="n">
        <v>1390</v>
      </c>
      <c r="Y8" s="697">
        <f>1300+EL8</f>
        <v/>
      </c>
      <c r="Z8" s="697" t="n">
        <v>1460</v>
      </c>
      <c r="AA8" s="697" t="n">
        <v>1300</v>
      </c>
      <c r="AB8" s="697" t="n">
        <v>1270</v>
      </c>
      <c r="AC8" s="697" t="n">
        <v>1040</v>
      </c>
      <c r="AD8" s="697" t="n">
        <v>920</v>
      </c>
      <c r="AE8" s="697" t="n">
        <v>800</v>
      </c>
      <c r="AF8" s="697" t="n">
        <v>660</v>
      </c>
      <c r="AG8" s="697" t="n">
        <v>620</v>
      </c>
      <c r="AH8" s="697" t="n">
        <v>550</v>
      </c>
      <c r="AI8" s="697" t="n">
        <v>200</v>
      </c>
      <c r="AJ8" s="697" t="n">
        <v>660</v>
      </c>
      <c r="AK8" s="697" t="n">
        <v>530</v>
      </c>
      <c r="AL8" s="697" t="n">
        <v>280</v>
      </c>
      <c r="AM8" s="697" t="n">
        <v>520</v>
      </c>
      <c r="AN8" s="697">
        <f>470+DP8</f>
        <v/>
      </c>
      <c r="AO8" s="697" t="n">
        <v>680</v>
      </c>
      <c r="AP8" s="697" t="n">
        <v>540</v>
      </c>
      <c r="AQ8" s="697" t="n">
        <v>390</v>
      </c>
      <c r="AR8" s="697">
        <f>360+DK8</f>
        <v/>
      </c>
      <c r="AS8" s="697" t="n">
        <v>460</v>
      </c>
      <c r="AT8" s="697">
        <f>360+DF8</f>
        <v/>
      </c>
      <c r="AU8" s="697" t="n">
        <v>480</v>
      </c>
      <c r="AV8" s="697" t="n">
        <v>370</v>
      </c>
      <c r="AW8" s="697">
        <f>230+DD8</f>
        <v/>
      </c>
      <c r="AX8" s="697" t="n">
        <v>390</v>
      </c>
      <c r="AY8" s="697">
        <f>580+CZ8</f>
        <v/>
      </c>
      <c r="AZ8" s="697" t="n">
        <v>740</v>
      </c>
      <c r="BA8" s="697" t="n">
        <v>590</v>
      </c>
      <c r="BB8" s="697">
        <f>390+CY8</f>
        <v/>
      </c>
      <c r="BC8" s="697">
        <f>580+CX8</f>
        <v/>
      </c>
      <c r="BD8" s="697" t="n">
        <v>730</v>
      </c>
      <c r="BE8" s="697">
        <f>1060+CV8</f>
        <v/>
      </c>
      <c r="BF8" s="697" t="n">
        <v>1150</v>
      </c>
      <c r="BG8" s="697" t="n">
        <v>1400</v>
      </c>
      <c r="BH8" s="697" t="n">
        <v>1270</v>
      </c>
      <c r="BI8" s="697" t="n">
        <v>1240</v>
      </c>
      <c r="BJ8" s="697" t="n">
        <v>1110</v>
      </c>
      <c r="BK8" s="697" t="n">
        <v>1010</v>
      </c>
      <c r="BL8" s="697" t="n">
        <v>880</v>
      </c>
      <c r="BM8" s="697" t="n">
        <v>800</v>
      </c>
      <c r="BN8" s="697" t="n">
        <v>700</v>
      </c>
      <c r="BO8" s="697" t="n">
        <v>550</v>
      </c>
      <c r="BP8" s="697" t="n">
        <v>720</v>
      </c>
      <c r="BQ8" s="697" t="n">
        <v>660</v>
      </c>
      <c r="BR8" s="697" t="n">
        <v>520</v>
      </c>
      <c r="BS8" s="697" t="n">
        <v>410</v>
      </c>
      <c r="BT8" s="697" t="n">
        <v>310</v>
      </c>
      <c r="BU8" s="697" t="n">
        <v>470</v>
      </c>
      <c r="BV8" s="697" t="n">
        <v>330</v>
      </c>
      <c r="BW8" s="697" t="n">
        <v>270</v>
      </c>
      <c r="BX8" s="697">
        <f>120+CG8</f>
        <v/>
      </c>
      <c r="BY8" s="697">
        <f>280+CF8</f>
        <v/>
      </c>
      <c r="BZ8" s="192">
        <f>BX8+IF(NOT(ISBLANK(OFFSET(BZ8,0,6))),N(OFFSET(BZ8,0,6)),N(OFFSET(BZ8,0,7)))-BY8</f>
        <v/>
      </c>
      <c r="CA8" s="129" t="n"/>
      <c r="CB8" s="22" t="n"/>
      <c r="CD8" s="49" t="n">
        <v>300</v>
      </c>
      <c r="CE8" s="5" t="n"/>
      <c r="CF8" s="23" t="n">
        <v>300</v>
      </c>
      <c r="CG8" s="23" t="n">
        <v>300</v>
      </c>
      <c r="CH8" s="23" t="n">
        <v>300</v>
      </c>
      <c r="CI8" s="23" t="n"/>
      <c r="CJ8" s="23" t="n"/>
      <c r="CK8" s="23" t="n"/>
      <c r="CL8" s="23" t="n"/>
      <c r="CM8" s="23" t="n">
        <v>300</v>
      </c>
      <c r="CN8" s="23" t="n"/>
      <c r="CO8" s="23" t="n"/>
      <c r="CP8" s="23" t="n"/>
      <c r="CQ8" s="23" t="n"/>
      <c r="CR8" s="23" t="n"/>
      <c r="CS8" s="23" t="n"/>
      <c r="CT8" s="23" t="n"/>
      <c r="CU8" s="23" t="n">
        <v>300</v>
      </c>
      <c r="CV8" s="23" t="n">
        <v>300</v>
      </c>
      <c r="CW8" s="23" t="n">
        <v>600</v>
      </c>
      <c r="CX8" s="23" t="n">
        <v>300</v>
      </c>
      <c r="CY8" s="23" t="n">
        <v>300</v>
      </c>
      <c r="CZ8" s="23" t="n">
        <v>300</v>
      </c>
      <c r="DA8" s="23" t="n">
        <v>300</v>
      </c>
      <c r="DB8" s="23" t="n"/>
      <c r="DC8" s="219" t="n"/>
      <c r="DD8" s="23" t="n">
        <v>300</v>
      </c>
      <c r="DE8" s="23" t="n"/>
      <c r="DF8" s="23" t="n">
        <v>300</v>
      </c>
      <c r="DG8" s="23" t="n"/>
      <c r="DH8" s="23" t="n"/>
      <c r="DI8" s="219" t="n"/>
      <c r="DJ8" s="219" t="n"/>
      <c r="DK8" s="23" t="n">
        <v>300</v>
      </c>
      <c r="DL8" s="219" t="n"/>
      <c r="DM8" s="23" t="n"/>
      <c r="DN8" s="23" t="n"/>
      <c r="DO8" s="23" t="n"/>
      <c r="DP8" s="23" t="n">
        <v>300</v>
      </c>
      <c r="DQ8" s="23" t="n"/>
      <c r="DR8" s="23" t="n">
        <v>300</v>
      </c>
      <c r="DS8" s="23" t="n"/>
      <c r="DT8" s="23" t="n"/>
      <c r="DU8" s="23" t="n"/>
      <c r="DV8" s="23" t="n">
        <v>600</v>
      </c>
      <c r="DW8" s="219" t="n"/>
      <c r="DX8" s="23" t="n"/>
      <c r="DY8" s="219" t="n"/>
      <c r="DZ8" s="23" t="n"/>
      <c r="EA8" s="23" t="n"/>
      <c r="EB8" s="23" t="n"/>
      <c r="EC8" s="23" t="n"/>
      <c r="ED8" s="23" t="n"/>
      <c r="EE8" s="23" t="n"/>
      <c r="EF8" s="23" t="n"/>
      <c r="EG8" s="219" t="n"/>
      <c r="EH8" s="219" t="n"/>
      <c r="EI8" s="23" t="n"/>
      <c r="EJ8" s="219" t="n"/>
      <c r="EK8" s="23" t="n"/>
      <c r="EL8" s="23" t="n">
        <v>300</v>
      </c>
      <c r="EM8" s="23" t="n">
        <v>300</v>
      </c>
      <c r="EN8" s="23" t="n">
        <v>600</v>
      </c>
      <c r="EO8" s="282" t="inlineStr">
        <is>
          <t>300 DE CDB</t>
        </is>
      </c>
      <c r="EP8" s="219" t="n"/>
      <c r="EQ8" s="23" t="n">
        <v>600</v>
      </c>
      <c r="ER8" s="219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/>
      <c r="FB8" s="23" t="n"/>
      <c r="FC8" s="23" t="n"/>
      <c r="FD8" s="23" t="n">
        <v>600</v>
      </c>
      <c r="FE8" s="23" t="n"/>
      <c r="FF8" s="23" t="n"/>
      <c r="FG8" s="219" t="n"/>
      <c r="FH8" s="23" t="n">
        <v>600</v>
      </c>
      <c r="FJ8" s="304" t="inlineStr">
        <is>
          <t xml:space="preserve">SACOLAS </t>
        </is>
      </c>
      <c r="FK8" s="235" t="inlineStr">
        <is>
          <t>PCT</t>
        </is>
      </c>
      <c r="FL8" s="746" t="n">
        <v>46118</v>
      </c>
      <c r="FM8" s="746" t="n">
        <v>46125</v>
      </c>
      <c r="FN8" s="746" t="n">
        <v>46132</v>
      </c>
      <c r="FO8" s="746" t="n">
        <v>46139</v>
      </c>
      <c r="FP8" s="746" t="n">
        <v>46146</v>
      </c>
      <c r="FQ8" s="746" t="n">
        <v>46154</v>
      </c>
      <c r="FR8" s="758" t="inlineStr">
        <is>
          <t>USOU</t>
        </is>
      </c>
    </row>
    <row r="9" ht="19.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41" t="n"/>
      <c r="F9" s="697">
        <f>890+FH9</f>
        <v/>
      </c>
      <c r="G9" s="697">
        <f>1770+FF9+400</f>
        <v/>
      </c>
      <c r="H9" s="697" t="n">
        <v>3980</v>
      </c>
      <c r="I9" s="697" t="n">
        <v>3690</v>
      </c>
      <c r="J9" s="697" t="n">
        <v>3340</v>
      </c>
      <c r="K9" s="697" t="n">
        <v>3070</v>
      </c>
      <c r="L9" s="697" t="n">
        <v>2710</v>
      </c>
      <c r="M9" s="697">
        <f>2430+EX9</f>
        <v/>
      </c>
      <c r="N9" s="697" t="n">
        <v>2530</v>
      </c>
      <c r="O9" s="697" t="n">
        <v>2290</v>
      </c>
      <c r="P9" s="697" t="n">
        <v>1780</v>
      </c>
      <c r="Q9" s="697" t="n">
        <v>1450</v>
      </c>
      <c r="R9" s="697" t="n">
        <v>1180</v>
      </c>
      <c r="S9" s="697">
        <f>1330+EQ9</f>
        <v/>
      </c>
      <c r="T9" s="697" t="n">
        <v>1100</v>
      </c>
      <c r="U9" s="697" t="n">
        <v>830</v>
      </c>
      <c r="V9" s="697" t="n">
        <v>770</v>
      </c>
      <c r="W9" s="697" t="n">
        <v>740</v>
      </c>
      <c r="X9" s="697" t="n">
        <v>660</v>
      </c>
      <c r="Y9" s="697" t="n">
        <v>540</v>
      </c>
      <c r="Z9" s="697" t="n">
        <v>390</v>
      </c>
      <c r="AA9" s="697">
        <f>150+800</f>
        <v/>
      </c>
      <c r="AB9" s="697" t="n">
        <v>650</v>
      </c>
      <c r="AC9" s="697">
        <f>640+ED9</f>
        <v/>
      </c>
      <c r="AD9" s="697" t="n">
        <v>520</v>
      </c>
      <c r="AE9" s="697">
        <f>550+EB9</f>
        <v/>
      </c>
      <c r="AF9" s="697">
        <f>710+EA9</f>
        <v/>
      </c>
      <c r="AG9" s="697" t="n">
        <v>690</v>
      </c>
      <c r="AH9" s="697">
        <f>570+DX9</f>
        <v/>
      </c>
      <c r="AI9" s="697" t="n">
        <v>740</v>
      </c>
      <c r="AJ9" s="697" t="n">
        <v>1060</v>
      </c>
      <c r="AK9" s="697" t="n">
        <v>740</v>
      </c>
      <c r="AL9" s="697" t="n">
        <v>190</v>
      </c>
      <c r="AM9" s="697">
        <f>360+DQ9</f>
        <v/>
      </c>
      <c r="AN9" s="697" t="n">
        <v>1740</v>
      </c>
      <c r="AO9" s="697" t="n">
        <v>1550</v>
      </c>
      <c r="AP9" s="697" t="n">
        <v>1220</v>
      </c>
      <c r="AQ9" s="697" t="n">
        <v>930</v>
      </c>
      <c r="AR9" s="697">
        <f>550+DK9</f>
        <v/>
      </c>
      <c r="AS9" s="697" t="n">
        <v>480</v>
      </c>
      <c r="AT9" s="697">
        <f>210+DH9+DF9</f>
        <v/>
      </c>
      <c r="AU9" s="697">
        <f>380+DE9</f>
        <v/>
      </c>
      <c r="AV9" s="697" t="n">
        <v>420</v>
      </c>
      <c r="AW9" s="697">
        <f>180+DD9</f>
        <v/>
      </c>
      <c r="AX9" s="697" t="n">
        <v>1000</v>
      </c>
      <c r="AY9" s="697" t="n">
        <v>800</v>
      </c>
      <c r="AZ9" s="697" t="n">
        <v>720</v>
      </c>
      <c r="BA9" s="697" t="n">
        <v>510</v>
      </c>
      <c r="BB9" s="697" t="n">
        <v>350</v>
      </c>
      <c r="BC9" s="697" t="n">
        <v>330</v>
      </c>
      <c r="BD9" s="697" t="n">
        <v>330</v>
      </c>
      <c r="BE9" s="697">
        <f>20+CV9</f>
        <v/>
      </c>
      <c r="BF9" s="697" t="n">
        <v>180</v>
      </c>
      <c r="BG9" s="697" t="n">
        <v>950</v>
      </c>
      <c r="BH9" s="697">
        <f>510+CT9+CS9</f>
        <v/>
      </c>
      <c r="BI9" s="697" t="n">
        <v>2440</v>
      </c>
      <c r="BJ9" s="697" t="n">
        <v>2180</v>
      </c>
      <c r="BK9" s="697" t="n">
        <v>1820</v>
      </c>
      <c r="BL9" s="697" t="n">
        <v>1810</v>
      </c>
      <c r="BM9" s="697" t="n">
        <v>1510</v>
      </c>
      <c r="BN9" s="697">
        <f>1190+CN9</f>
        <v/>
      </c>
      <c r="BO9" s="697" t="n">
        <v>1450</v>
      </c>
      <c r="BP9" s="697" t="n">
        <v>890</v>
      </c>
      <c r="BQ9" s="697">
        <f>580+CL9</f>
        <v/>
      </c>
      <c r="BR9" s="697" t="n">
        <v>1320</v>
      </c>
      <c r="BS9" s="697" t="n">
        <v>980</v>
      </c>
      <c r="BT9" s="697" t="n">
        <v>650</v>
      </c>
      <c r="BU9" s="697" t="n">
        <v>800</v>
      </c>
      <c r="BV9" s="697" t="n">
        <v>920</v>
      </c>
      <c r="BW9" s="697" t="n">
        <v>920</v>
      </c>
      <c r="BX9" s="697" t="n">
        <v>920</v>
      </c>
      <c r="BY9" s="697" t="n">
        <v>920</v>
      </c>
      <c r="BZ9" s="192">
        <f>BX9+IF(NOT(ISBLANK(OFFSET(BZ9,0,6))),N(OFFSET(BZ9,0,6)),N(OFFSET(BZ9,0,7)))-BY9</f>
        <v/>
      </c>
      <c r="CA9" s="129" t="n"/>
      <c r="CB9" s="22" t="n"/>
      <c r="CD9" s="49" t="n"/>
      <c r="CE9" s="5" t="n"/>
      <c r="CF9" s="23" t="n">
        <v>0</v>
      </c>
      <c r="CG9" s="23" t="n">
        <v>0</v>
      </c>
      <c r="CH9" s="23" t="n">
        <v>400</v>
      </c>
      <c r="CI9" s="23" t="n"/>
      <c r="CJ9" s="219" t="n">
        <v>2400</v>
      </c>
      <c r="CK9" s="23" t="n"/>
      <c r="CL9" s="23" t="n">
        <v>1000</v>
      </c>
      <c r="CM9" s="23" t="n"/>
      <c r="CN9" s="23" t="n">
        <v>600</v>
      </c>
      <c r="CO9" s="23" t="n">
        <v>400</v>
      </c>
      <c r="CP9" s="23" t="n"/>
      <c r="CQ9" s="23" t="n"/>
      <c r="CR9" s="23" t="n">
        <v>1400</v>
      </c>
      <c r="CS9" s="23" t="n">
        <v>400</v>
      </c>
      <c r="CT9" s="23" t="n">
        <v>400</v>
      </c>
      <c r="CU9" s="23" t="n">
        <v>1000</v>
      </c>
      <c r="CV9" s="23" t="n">
        <v>1400</v>
      </c>
      <c r="CW9" s="23" t="n">
        <v>400</v>
      </c>
      <c r="CX9" s="23" t="n"/>
      <c r="CY9" s="23" t="n"/>
      <c r="CZ9" s="23" t="n"/>
      <c r="DA9" s="23" t="n"/>
      <c r="DB9" s="23" t="n"/>
      <c r="DC9" s="219" t="n">
        <v>3200</v>
      </c>
      <c r="DD9" s="23" t="n">
        <v>1000</v>
      </c>
      <c r="DE9" s="23" t="n">
        <v>400</v>
      </c>
      <c r="DF9" s="23" t="n">
        <v>200</v>
      </c>
      <c r="DG9" s="23" t="n"/>
      <c r="DH9" s="23" t="n">
        <v>400</v>
      </c>
      <c r="DI9" s="219" t="n"/>
      <c r="DJ9" s="219" t="n"/>
      <c r="DK9" s="23" t="n">
        <v>200</v>
      </c>
      <c r="DL9" s="219" t="n"/>
      <c r="DM9" s="23" t="n"/>
      <c r="DN9" s="23" t="n"/>
      <c r="DO9" s="23" t="n"/>
      <c r="DP9" s="23" t="n">
        <v>1000</v>
      </c>
      <c r="DQ9" s="23" t="n">
        <v>600</v>
      </c>
      <c r="DR9" s="23" t="n">
        <v>400</v>
      </c>
      <c r="DS9" s="23" t="n"/>
      <c r="DT9" s="23" t="n"/>
      <c r="DU9" s="23" t="n"/>
      <c r="DV9" s="23" t="n">
        <v>600</v>
      </c>
      <c r="DW9" s="219" t="n"/>
      <c r="DX9" s="23" t="n">
        <v>600</v>
      </c>
      <c r="DY9" s="219" t="n"/>
      <c r="DZ9" s="23" t="n"/>
      <c r="EA9" s="23" t="n">
        <v>400</v>
      </c>
      <c r="EB9" s="23" t="n">
        <v>400</v>
      </c>
      <c r="EC9" s="23" t="n">
        <v>400</v>
      </c>
      <c r="ED9" s="23" t="n">
        <v>200</v>
      </c>
      <c r="EE9" s="23" t="n">
        <v>400</v>
      </c>
      <c r="EF9" s="23" t="n"/>
      <c r="EG9" s="219" t="n"/>
      <c r="EH9" s="219" t="n"/>
      <c r="EI9" s="282" t="inlineStr">
        <is>
          <t>800 DE CD</t>
        </is>
      </c>
      <c r="EJ9" s="219" t="n"/>
      <c r="EK9" s="23" t="n"/>
      <c r="EL9" s="23" t="n"/>
      <c r="EM9" s="23" t="n"/>
      <c r="EN9" s="23" t="n"/>
      <c r="EO9" s="23" t="n"/>
      <c r="EP9" s="219" t="n"/>
      <c r="EQ9" s="23" t="n">
        <v>200</v>
      </c>
      <c r="ER9" s="219" t="n">
        <v>2000</v>
      </c>
      <c r="ES9" s="23" t="n">
        <v>400</v>
      </c>
      <c r="ET9" s="23" t="n"/>
      <c r="EU9" s="23" t="n"/>
      <c r="EV9" s="23" t="n"/>
      <c r="EW9" s="23" t="n"/>
      <c r="EX9" s="23" t="n">
        <v>400</v>
      </c>
      <c r="EY9" s="23" t="n"/>
      <c r="EZ9" s="23" t="n"/>
      <c r="FA9" s="23" t="n"/>
      <c r="FB9" s="23" t="n"/>
      <c r="FC9" s="23" t="n"/>
      <c r="FD9" s="23" t="n"/>
      <c r="FE9" s="282" t="inlineStr">
        <is>
          <t>400 DE MD</t>
        </is>
      </c>
      <c r="FF9" s="23" t="n">
        <v>2000</v>
      </c>
      <c r="FG9" s="219" t="n"/>
      <c r="FH9" s="23" t="n">
        <v>1000</v>
      </c>
      <c r="FJ9" s="300" t="inlineStr">
        <is>
          <t xml:space="preserve">SACOLA P </t>
        </is>
      </c>
      <c r="FK9" s="162" t="n">
        <v>200</v>
      </c>
      <c r="FL9" s="697">
        <f>CJ9</f>
        <v/>
      </c>
      <c r="FM9" s="697" t="n">
        <v>2340</v>
      </c>
      <c r="FN9" s="697" t="n">
        <v>1870</v>
      </c>
      <c r="FO9" s="697" t="n">
        <v>1580</v>
      </c>
      <c r="FP9" s="697" t="n">
        <v>1180</v>
      </c>
      <c r="FQ9" s="697" t="n">
        <v>380</v>
      </c>
      <c r="FR9" s="431">
        <f>FP9+IF(NOT(ISBLANK(OFFSET(FR9,0,6))),N(OFFSET(FR9,0,6)),N(OFFSET(FR9,0,7)))-FQ9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1080+FH10</f>
        <v/>
      </c>
      <c r="G10" s="697">
        <f>1550+FF10</f>
        <v/>
      </c>
      <c r="H10" s="697" t="n">
        <v>1970</v>
      </c>
      <c r="I10" s="697" t="n">
        <v>1790</v>
      </c>
      <c r="J10" s="697" t="n">
        <v>1650</v>
      </c>
      <c r="K10" s="697">
        <f>1530+FA10</f>
        <v/>
      </c>
      <c r="L10" s="697" t="n">
        <v>1520</v>
      </c>
      <c r="M10" s="697" t="n">
        <v>1330</v>
      </c>
      <c r="N10" s="697" t="n">
        <v>1190</v>
      </c>
      <c r="O10" s="697" t="n">
        <v>1270</v>
      </c>
      <c r="P10" s="697">
        <f>970+EV10</f>
        <v/>
      </c>
      <c r="Q10" s="697" t="n">
        <v>1270</v>
      </c>
      <c r="R10" s="697" t="n">
        <v>1090</v>
      </c>
      <c r="S10" s="697">
        <f>820+EQ10</f>
        <v/>
      </c>
      <c r="T10" s="697" t="n">
        <v>830</v>
      </c>
      <c r="U10" s="697" t="n">
        <v>740</v>
      </c>
      <c r="V10" s="697" t="n">
        <v>710</v>
      </c>
      <c r="W10" s="697" t="n">
        <v>660</v>
      </c>
      <c r="X10" s="697" t="n">
        <v>630</v>
      </c>
      <c r="Y10" s="697" t="n">
        <v>500</v>
      </c>
      <c r="Z10" s="697" t="n">
        <v>250</v>
      </c>
      <c r="AA10" s="697" t="n">
        <v>30</v>
      </c>
      <c r="AB10" s="697" t="n">
        <v>0</v>
      </c>
      <c r="AC10" s="697" t="n">
        <v>410</v>
      </c>
      <c r="AD10" s="697" t="n">
        <v>410</v>
      </c>
      <c r="AE10" s="697" t="n">
        <v>250</v>
      </c>
      <c r="AF10" s="697">
        <f>60+EA10</f>
        <v/>
      </c>
      <c r="AG10" s="697">
        <f>520+DZ10</f>
        <v/>
      </c>
      <c r="AH10" s="697" t="n">
        <v>450</v>
      </c>
      <c r="AI10" s="697" t="n">
        <v>320</v>
      </c>
      <c r="AJ10" s="697" t="n">
        <v>260</v>
      </c>
      <c r="AK10" s="697" t="n">
        <v>210</v>
      </c>
      <c r="AL10" s="697" t="n">
        <v>60</v>
      </c>
      <c r="AM10" s="697">
        <f>40+DQ10</f>
        <v/>
      </c>
      <c r="AN10" s="697" t="n">
        <v>960</v>
      </c>
      <c r="AO10" s="697">
        <f>890+DO10</f>
        <v/>
      </c>
      <c r="AP10" s="697">
        <f>670+DN10</f>
        <v/>
      </c>
      <c r="AQ10" s="697" t="n">
        <v>770</v>
      </c>
      <c r="AR10" s="697">
        <f>720+DK10</f>
        <v/>
      </c>
      <c r="AS10" s="697" t="n">
        <v>750</v>
      </c>
      <c r="AT10" s="697">
        <f>630+DF10</f>
        <v/>
      </c>
      <c r="AU10" s="697" t="n">
        <v>670</v>
      </c>
      <c r="AV10" s="697" t="n">
        <v>510</v>
      </c>
      <c r="AW10" s="697">
        <f>380+DB10</f>
        <v/>
      </c>
      <c r="AX10" s="697" t="n">
        <v>580</v>
      </c>
      <c r="AY10" s="697" t="n">
        <v>580</v>
      </c>
      <c r="AZ10" s="697" t="n">
        <v>560</v>
      </c>
      <c r="BA10" s="697" t="n">
        <v>560</v>
      </c>
      <c r="BB10" s="697" t="n">
        <v>520</v>
      </c>
      <c r="BC10" s="697" t="n">
        <v>520</v>
      </c>
      <c r="BD10" s="697" t="n">
        <v>520</v>
      </c>
      <c r="BE10" s="697">
        <f>150+CV10</f>
        <v/>
      </c>
      <c r="BF10" s="697" t="n">
        <v>0</v>
      </c>
      <c r="BG10" s="697" t="n">
        <v>270</v>
      </c>
      <c r="BH10" s="697">
        <f>100+CT10+CS10</f>
        <v/>
      </c>
      <c r="BI10" s="697" t="n">
        <v>1560</v>
      </c>
      <c r="BJ10" s="697" t="n">
        <v>1530</v>
      </c>
      <c r="BK10" s="697" t="n">
        <v>1300</v>
      </c>
      <c r="BL10" s="697" t="n">
        <v>1550</v>
      </c>
      <c r="BM10" s="697" t="n">
        <v>1460</v>
      </c>
      <c r="BN10" s="697" t="n">
        <v>1360</v>
      </c>
      <c r="BO10" s="697" t="n">
        <v>1230</v>
      </c>
      <c r="BP10" s="697" t="n">
        <v>980</v>
      </c>
      <c r="BQ10" s="697" t="n">
        <v>870</v>
      </c>
      <c r="BR10" s="697" t="n">
        <v>730</v>
      </c>
      <c r="BS10" s="697" t="n">
        <v>650</v>
      </c>
      <c r="BT10" s="697" t="n">
        <v>350</v>
      </c>
      <c r="BU10" s="697" t="n">
        <v>670</v>
      </c>
      <c r="BV10" s="697" t="n">
        <v>820</v>
      </c>
      <c r="BW10" s="697" t="n">
        <v>810</v>
      </c>
      <c r="BX10" s="697" t="n">
        <v>810</v>
      </c>
      <c r="BY10" s="697" t="n">
        <v>810</v>
      </c>
      <c r="BZ10" s="192">
        <f>BX10+IF(NOT(ISBLANK(OFFSET(BZ10,0,6))),N(OFFSET(BZ10,0,6)),N(OFFSET(BZ10,0,7)))-BY10</f>
        <v/>
      </c>
      <c r="CA10" s="129" t="n"/>
      <c r="CB10" s="22" t="n"/>
      <c r="CC10" s="4" t="n"/>
      <c r="CD10" s="49" t="n"/>
      <c r="CE10" s="5" t="n"/>
      <c r="CF10" s="23" t="n">
        <v>0</v>
      </c>
      <c r="CG10" s="23" t="n">
        <v>0</v>
      </c>
      <c r="CH10" s="23" t="n">
        <v>200</v>
      </c>
      <c r="CI10" s="23" t="n"/>
      <c r="CJ10" s="219" t="n">
        <v>1800</v>
      </c>
      <c r="CK10" s="23" t="n"/>
      <c r="CL10" s="23" t="n"/>
      <c r="CM10" s="23" t="n"/>
      <c r="CN10" s="23" t="n"/>
      <c r="CO10" s="23" t="n">
        <v>400</v>
      </c>
      <c r="CP10" s="23" t="n"/>
      <c r="CQ10" s="23" t="n"/>
      <c r="CR10" s="23" t="n">
        <v>800</v>
      </c>
      <c r="CS10" s="23" t="n">
        <v>400</v>
      </c>
      <c r="CT10" s="23" t="n">
        <v>400</v>
      </c>
      <c r="CU10" s="23" t="n">
        <v>400</v>
      </c>
      <c r="CV10" s="23" t="n">
        <v>400</v>
      </c>
      <c r="CW10" s="23" t="n"/>
      <c r="CX10" s="23" t="n"/>
      <c r="CY10" s="23" t="n"/>
      <c r="CZ10" s="23" t="n"/>
      <c r="DA10" s="23" t="n"/>
      <c r="DB10" s="23" t="n">
        <v>200</v>
      </c>
      <c r="DC10" s="219" t="n">
        <v>2600</v>
      </c>
      <c r="DD10" s="23" t="n"/>
      <c r="DE10" s="23" t="n"/>
      <c r="DF10" s="23" t="n">
        <v>200</v>
      </c>
      <c r="DG10" s="23" t="n"/>
      <c r="DH10" s="23" t="n"/>
      <c r="DI10" s="437" t="inlineStr">
        <is>
          <t>100 DE BSH</t>
        </is>
      </c>
      <c r="DJ10" s="219" t="n"/>
      <c r="DK10" s="23" t="n">
        <v>200</v>
      </c>
      <c r="DL10" s="219" t="n"/>
      <c r="DM10" s="23" t="n">
        <v>200</v>
      </c>
      <c r="DN10" s="23" t="n">
        <v>200</v>
      </c>
      <c r="DO10" s="23" t="n">
        <v>200</v>
      </c>
      <c r="DP10" s="23" t="n">
        <v>400</v>
      </c>
      <c r="DQ10" s="23" t="n">
        <v>400</v>
      </c>
      <c r="DR10" s="23" t="n"/>
      <c r="DS10" s="23" t="n"/>
      <c r="DT10" s="23" t="n"/>
      <c r="DU10" s="23" t="n"/>
      <c r="DV10" s="23" t="n"/>
      <c r="DW10" s="219" t="n"/>
      <c r="DX10" s="23" t="n"/>
      <c r="DY10" s="219" t="n">
        <v>1200</v>
      </c>
      <c r="DZ10" s="23" t="n">
        <v>200</v>
      </c>
      <c r="EA10" s="23" t="n">
        <v>600</v>
      </c>
      <c r="EB10" s="23" t="n"/>
      <c r="EC10" s="23" t="n"/>
      <c r="ED10" s="23" t="n"/>
      <c r="EE10" s="23" t="n">
        <v>400</v>
      </c>
      <c r="EF10" s="23" t="n"/>
      <c r="EG10" s="219" t="n"/>
      <c r="EH10" s="219" t="n"/>
      <c r="EI10" s="23" t="n"/>
      <c r="EJ10" s="219" t="n">
        <v>1000</v>
      </c>
      <c r="EK10" s="23" t="n"/>
      <c r="EL10" s="23" t="n"/>
      <c r="EM10" s="23" t="n"/>
      <c r="EN10" s="23" t="n"/>
      <c r="EO10" s="23" t="n"/>
      <c r="EP10" s="219" t="n"/>
      <c r="EQ10" s="23" t="n">
        <v>200</v>
      </c>
      <c r="ER10" s="219" t="n">
        <v>1400</v>
      </c>
      <c r="ES10" s="23" t="n"/>
      <c r="ET10" s="23" t="n"/>
      <c r="EU10" s="23" t="n"/>
      <c r="EV10" s="23" t="n">
        <v>400</v>
      </c>
      <c r="EW10" s="23" t="n">
        <v>200</v>
      </c>
      <c r="EX10" s="23" t="n"/>
      <c r="EY10" s="23" t="n"/>
      <c r="EZ10" s="23" t="n"/>
      <c r="FA10" s="23" t="n">
        <v>200</v>
      </c>
      <c r="FB10" s="23" t="n"/>
      <c r="FC10" s="23" t="n"/>
      <c r="FD10" s="23" t="n"/>
      <c r="FE10" s="23" t="n"/>
      <c r="FF10" s="23" t="n">
        <v>600</v>
      </c>
      <c r="FG10" s="219" t="n"/>
      <c r="FH10" s="23" t="n">
        <v>600</v>
      </c>
      <c r="FJ10" s="65" t="inlineStr">
        <is>
          <t xml:space="preserve">SACOLA M </t>
        </is>
      </c>
      <c r="FK10" s="699" t="n">
        <v>200</v>
      </c>
      <c r="FL10" s="697">
        <f>CJ10</f>
        <v/>
      </c>
      <c r="FM10" s="697" t="n">
        <v>1680</v>
      </c>
      <c r="FN10" s="697" t="n">
        <v>1380</v>
      </c>
      <c r="FO10" s="697" t="n">
        <v>1330</v>
      </c>
      <c r="FP10" s="697" t="n">
        <v>1020</v>
      </c>
      <c r="FQ10" s="697" t="n">
        <v>80</v>
      </c>
      <c r="FR10" s="431">
        <f>FP10+IF(NOT(ISBLANK(OFFSET(FR10,0,6))),N(OFFSET(FR10,0,6)),N(OFFSET(FR10,0,7)))-FQ10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90</v>
      </c>
      <c r="G11" s="697">
        <f>90+FF11</f>
        <v/>
      </c>
      <c r="H11" s="697" t="n">
        <v>190</v>
      </c>
      <c r="I11" s="697" t="n">
        <v>190</v>
      </c>
      <c r="J11" s="697" t="n">
        <v>190</v>
      </c>
      <c r="K11" s="697" t="n">
        <v>190</v>
      </c>
      <c r="L11" s="697" t="n">
        <v>190</v>
      </c>
      <c r="M11" s="697" t="n">
        <v>190</v>
      </c>
      <c r="N11" s="697" t="n">
        <v>190</v>
      </c>
      <c r="O11" s="697" t="n">
        <v>190</v>
      </c>
      <c r="P11" s="697" t="n">
        <v>190</v>
      </c>
      <c r="Q11" s="697" t="n">
        <v>190</v>
      </c>
      <c r="R11" s="697" t="n">
        <v>190</v>
      </c>
      <c r="S11" s="697" t="n">
        <v>190</v>
      </c>
      <c r="T11" s="697" t="n">
        <v>190</v>
      </c>
      <c r="U11" s="697" t="n">
        <v>190</v>
      </c>
      <c r="V11" s="697" t="n">
        <v>190</v>
      </c>
      <c r="W11" s="697" t="n">
        <v>140</v>
      </c>
      <c r="X11" s="697" t="n">
        <v>140</v>
      </c>
      <c r="Y11" s="697" t="n">
        <v>120</v>
      </c>
      <c r="Z11" s="697">
        <f>150+EK11</f>
        <v/>
      </c>
      <c r="AA11" s="697" t="n">
        <v>250</v>
      </c>
      <c r="AB11" s="697" t="n">
        <v>220</v>
      </c>
      <c r="AC11" s="697" t="n">
        <v>220</v>
      </c>
      <c r="AD11" s="697" t="n">
        <v>210</v>
      </c>
      <c r="AE11" s="697" t="n">
        <v>210</v>
      </c>
      <c r="AF11" s="697" t="n">
        <v>200</v>
      </c>
      <c r="AG11" s="697" t="n">
        <v>190</v>
      </c>
      <c r="AH11" s="697" t="n">
        <v>220</v>
      </c>
      <c r="AI11" s="697" t="n">
        <v>220</v>
      </c>
      <c r="AJ11" s="697" t="n">
        <v>180</v>
      </c>
      <c r="AK11" s="697" t="n">
        <v>160</v>
      </c>
      <c r="AL11" s="697" t="n">
        <v>130</v>
      </c>
      <c r="AM11" s="697" t="n">
        <v>130</v>
      </c>
      <c r="AN11" s="697" t="n">
        <v>130</v>
      </c>
      <c r="AO11" s="697" t="n">
        <v>130</v>
      </c>
      <c r="AP11" s="697" t="n">
        <v>130</v>
      </c>
      <c r="AQ11" s="697" t="n">
        <v>130</v>
      </c>
      <c r="AR11" s="697" t="n">
        <v>120</v>
      </c>
      <c r="AS11" s="697" t="n">
        <v>110</v>
      </c>
      <c r="AT11" s="697" t="n">
        <v>110</v>
      </c>
      <c r="AU11" s="697" t="n">
        <v>110</v>
      </c>
      <c r="AV11" s="697" t="n">
        <v>110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70</v>
      </c>
      <c r="BG11" s="697" t="n">
        <v>70</v>
      </c>
      <c r="BH11" s="697">
        <f>60+CT11</f>
        <v/>
      </c>
      <c r="BI11" s="697" t="n">
        <v>160</v>
      </c>
      <c r="BJ11" s="697" t="n">
        <v>140</v>
      </c>
      <c r="BK11" s="697" t="n">
        <v>140</v>
      </c>
      <c r="BL11" s="697" t="n">
        <v>140</v>
      </c>
      <c r="BM11" s="697" t="n">
        <v>130</v>
      </c>
      <c r="BN11" s="697" t="n">
        <v>130</v>
      </c>
      <c r="BO11" s="697" t="n">
        <v>130</v>
      </c>
      <c r="BP11" s="697" t="n">
        <v>90</v>
      </c>
      <c r="BQ11" s="697" t="n">
        <v>60</v>
      </c>
      <c r="BR11" s="697" t="n">
        <v>60</v>
      </c>
      <c r="BS11" s="697" t="n">
        <v>60</v>
      </c>
      <c r="BT11" s="697" t="n">
        <v>60</v>
      </c>
      <c r="BU11" s="697" t="n">
        <v>60</v>
      </c>
      <c r="BV11" s="697" t="n">
        <v>50</v>
      </c>
      <c r="BW11" s="697" t="n">
        <v>50</v>
      </c>
      <c r="BX11" s="697" t="n">
        <v>50</v>
      </c>
      <c r="BY11" s="697" t="n">
        <v>40</v>
      </c>
      <c r="BZ11" s="192">
        <f>BX11+IF(NOT(ISBLANK(OFFSET(BZ11,0,6))),N(OFFSET(BZ11,0,6)),N(OFFSET(BZ11,0,7)))-BY11</f>
        <v/>
      </c>
      <c r="CA11" s="129" t="n"/>
      <c r="CB11" s="22" t="inlineStr">
        <is>
          <t>100 DE BSH</t>
        </is>
      </c>
      <c r="CC11" s="4" t="n"/>
      <c r="CD11" s="49" t="n"/>
      <c r="CE11" s="5" t="n"/>
      <c r="CF11" s="23" t="n">
        <v>0</v>
      </c>
      <c r="CG11" s="23" t="n">
        <v>0</v>
      </c>
      <c r="CH11" s="23" t="n">
        <v>0</v>
      </c>
      <c r="CI11" s="23" t="n"/>
      <c r="CJ11" s="219" t="n">
        <v>200</v>
      </c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>
        <v>100</v>
      </c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19" t="n">
        <v>400</v>
      </c>
      <c r="DD11" s="23" t="n"/>
      <c r="DE11" s="23" t="n"/>
      <c r="DF11" s="23" t="n"/>
      <c r="DG11" s="23" t="n"/>
      <c r="DH11" s="23" t="n"/>
      <c r="DI11" s="219" t="n"/>
      <c r="DJ11" s="219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3" t="n"/>
      <c r="DW11" s="219" t="n"/>
      <c r="DX11" s="23" t="n"/>
      <c r="DY11" s="219" t="n"/>
      <c r="DZ11" s="23" t="n"/>
      <c r="EA11" s="23" t="n"/>
      <c r="EB11" s="23" t="n"/>
      <c r="EC11" s="23" t="n"/>
      <c r="ED11" s="23" t="n"/>
      <c r="EE11" s="23" t="n"/>
      <c r="EF11" s="23" t="n"/>
      <c r="EG11" s="219" t="n"/>
      <c r="EH11" s="219" t="n"/>
      <c r="EI11" s="23" t="n"/>
      <c r="EJ11" s="219" t="n"/>
      <c r="EK11" s="23" t="n">
        <v>100</v>
      </c>
      <c r="EL11" s="23" t="n"/>
      <c r="EM11" s="23" t="n"/>
      <c r="EN11" s="23" t="n"/>
      <c r="EO11" s="23" t="n"/>
      <c r="EP11" s="219" t="n"/>
      <c r="EQ11" s="23" t="n"/>
      <c r="ER11" s="219" t="n">
        <v>200</v>
      </c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>
        <v>100</v>
      </c>
      <c r="FG11" s="219" t="n"/>
      <c r="FH11" s="23" t="n"/>
      <c r="FJ11" s="66" t="inlineStr">
        <is>
          <t xml:space="preserve">SACOLA G </t>
        </is>
      </c>
      <c r="FK11" s="699" t="n">
        <v>100</v>
      </c>
      <c r="FL11" s="697">
        <f>CJ11</f>
        <v/>
      </c>
      <c r="FM11" s="697" t="n">
        <v>180</v>
      </c>
      <c r="FN11" s="697" t="n">
        <v>150</v>
      </c>
      <c r="FO11" s="697" t="n">
        <v>150</v>
      </c>
      <c r="FP11" s="697" t="n">
        <v>100</v>
      </c>
      <c r="FQ11" s="697" t="n">
        <v>0</v>
      </c>
      <c r="FR11" s="431">
        <f>FP11+IF(NOT(ISBLANK(OFFSET(FR11,0,6))),N(OFFSET(FR11,0,6)),N(OFFSET(FR11,0,7)))-FQ11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4" t="n"/>
      <c r="CD12" s="4" t="n"/>
      <c r="CE12" s="5" t="n"/>
      <c r="CJ12" s="47" t="n"/>
      <c r="DC12" s="47" t="n"/>
      <c r="DI12" s="64" t="n"/>
      <c r="DJ12" s="64" t="n"/>
      <c r="DL12" s="64" t="n"/>
      <c r="DW12" s="47" t="n"/>
      <c r="DY12" s="47" t="n"/>
      <c r="EG12" s="308" t="n"/>
      <c r="EH12" s="308" t="n"/>
      <c r="EJ12" s="64" t="n"/>
      <c r="EP12" s="308" t="n"/>
      <c r="ER12" s="308" t="n"/>
      <c r="FG12" s="47" t="n"/>
      <c r="FJ12" s="35" t="n"/>
      <c r="FK12" s="2" t="n"/>
      <c r="FL12" s="4" t="n"/>
      <c r="FM12" s="4" t="n"/>
      <c r="FN12" s="4" t="n"/>
      <c r="FO12" s="4" t="n"/>
      <c r="FP12" s="4" t="n"/>
      <c r="FQ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726" t="n"/>
      <c r="CF13" s="734" t="n">
        <v>46149</v>
      </c>
      <c r="CG13" s="734" t="n">
        <v>46142</v>
      </c>
      <c r="CH13" s="734" t="n">
        <v>46114</v>
      </c>
      <c r="CI13" s="734" t="n">
        <v>46107</v>
      </c>
      <c r="CJ13" s="735" t="n">
        <v>46065</v>
      </c>
      <c r="CK13" s="734" t="n">
        <v>46099</v>
      </c>
      <c r="CL13" s="734" t="n">
        <v>46092</v>
      </c>
      <c r="CM13" s="734" t="n">
        <v>46084</v>
      </c>
      <c r="CN13" s="734" t="n">
        <v>46071</v>
      </c>
      <c r="CO13" s="734" t="n">
        <v>46056</v>
      </c>
      <c r="CP13" s="734" t="n">
        <v>46048</v>
      </c>
      <c r="CQ13" s="734" t="n">
        <v>46043</v>
      </c>
      <c r="CR13" s="734" t="n">
        <v>46035</v>
      </c>
      <c r="CS13" s="734" t="n">
        <v>46029</v>
      </c>
      <c r="CT13" s="734" t="n">
        <v>46024</v>
      </c>
      <c r="CU13" s="734" t="n">
        <v>46017</v>
      </c>
      <c r="CV13" s="734" t="n">
        <v>46007</v>
      </c>
      <c r="CW13" s="734" t="n">
        <v>46001</v>
      </c>
      <c r="CX13" s="734" t="n">
        <v>45994</v>
      </c>
      <c r="CY13" s="734" t="n">
        <v>45980</v>
      </c>
      <c r="CZ13" s="734" t="n">
        <v>45965</v>
      </c>
      <c r="DA13" s="734" t="n">
        <v>45960</v>
      </c>
      <c r="DB13" s="734" t="n">
        <v>45951</v>
      </c>
      <c r="DC13" s="737" t="n">
        <v>45903</v>
      </c>
      <c r="DD13" s="734" t="n">
        <v>45945</v>
      </c>
      <c r="DE13" s="734" t="n">
        <v>45937</v>
      </c>
      <c r="DF13" s="734" t="n">
        <v>45931</v>
      </c>
      <c r="DG13" s="736" t="n">
        <v>45937</v>
      </c>
      <c r="DH13" s="734" t="n">
        <v>45923</v>
      </c>
      <c r="DI13" s="754" t="n">
        <v>45924</v>
      </c>
      <c r="DJ13" s="754" t="n">
        <v>45923</v>
      </c>
      <c r="DK13" s="734" t="n">
        <v>45915</v>
      </c>
      <c r="DL13" s="738" t="n">
        <v>45863</v>
      </c>
      <c r="DM13" s="734" t="n">
        <v>45909</v>
      </c>
      <c r="DN13" s="734" t="n">
        <v>45903</v>
      </c>
      <c r="DO13" s="734" t="n">
        <v>45895</v>
      </c>
      <c r="DP13" s="734" t="n">
        <v>45888</v>
      </c>
      <c r="DQ13" s="734" t="n">
        <v>45881</v>
      </c>
      <c r="DR13" s="734" t="n">
        <v>45874</v>
      </c>
      <c r="DS13" s="739" t="n">
        <v>45880</v>
      </c>
      <c r="DT13" s="734" t="n">
        <v>45867</v>
      </c>
      <c r="DU13" s="739" t="n">
        <v>45863</v>
      </c>
      <c r="DV13" s="734" t="n">
        <v>45860</v>
      </c>
      <c r="DW13" s="741" t="n">
        <v>45856</v>
      </c>
      <c r="DX13" s="734" t="n">
        <v>45848</v>
      </c>
      <c r="DY13" s="739" t="n">
        <v>45791</v>
      </c>
      <c r="DZ13" s="734" t="n">
        <v>45839</v>
      </c>
      <c r="EA13" s="734" t="n">
        <v>45832</v>
      </c>
      <c r="EB13" s="734" t="n">
        <v>45825</v>
      </c>
      <c r="EC13" s="734" t="n">
        <v>45819</v>
      </c>
      <c r="ED13" s="734" t="n">
        <v>45813</v>
      </c>
      <c r="EE13" s="734" t="n">
        <v>45798</v>
      </c>
      <c r="EF13" s="736" t="n">
        <v>45813</v>
      </c>
      <c r="EG13" s="740" t="n">
        <v>45810</v>
      </c>
      <c r="EH13" s="740" t="n">
        <v>45806</v>
      </c>
      <c r="EI13" s="736" t="n">
        <v>45806</v>
      </c>
      <c r="EJ13" s="742" t="n">
        <v>45735</v>
      </c>
      <c r="EK13" s="734" t="n">
        <v>45790</v>
      </c>
      <c r="EL13" s="734" t="n">
        <v>45783</v>
      </c>
      <c r="EM13" s="734" t="n">
        <v>45770</v>
      </c>
      <c r="EN13" s="734" t="n">
        <v>45756</v>
      </c>
      <c r="EO13" s="736" t="n">
        <v>45770</v>
      </c>
      <c r="EP13" s="740" t="n">
        <v>45750</v>
      </c>
      <c r="EQ13" s="734" t="n">
        <v>45743</v>
      </c>
      <c r="ER13" s="740" t="n">
        <v>45700</v>
      </c>
      <c r="ES13" s="734" t="n">
        <v>45734</v>
      </c>
      <c r="ET13" s="736" t="n">
        <v>45731</v>
      </c>
      <c r="EU13" s="734" t="n">
        <v>45728</v>
      </c>
      <c r="EV13" s="734" t="n">
        <v>45722</v>
      </c>
      <c r="EW13" s="734" t="n">
        <v>45706</v>
      </c>
      <c r="EX13" s="734" t="n">
        <v>45699</v>
      </c>
      <c r="EY13" s="734" t="n">
        <v>45693</v>
      </c>
      <c r="EZ13" s="736" t="n">
        <v>45693</v>
      </c>
      <c r="FA13" s="734" t="n">
        <v>45685</v>
      </c>
      <c r="FB13" s="734" t="n">
        <v>45674</v>
      </c>
      <c r="FC13" s="784" t="n">
        <v>45674</v>
      </c>
      <c r="FD13" s="734" t="n">
        <v>45664</v>
      </c>
      <c r="FE13" s="736" t="n">
        <v>45670</v>
      </c>
      <c r="FF13" s="734" t="n">
        <v>45660</v>
      </c>
      <c r="FG13" s="744" t="n">
        <v>45663</v>
      </c>
      <c r="FH13" s="734" t="n">
        <v>45652</v>
      </c>
      <c r="FJ13" s="304" t="inlineStr">
        <is>
          <t>DIVERSOS</t>
        </is>
      </c>
      <c r="FK13" s="235" t="inlineStr">
        <is>
          <t>PCT</t>
        </is>
      </c>
      <c r="FL13" s="746" t="n">
        <v>46118</v>
      </c>
      <c r="FM13" s="746" t="n">
        <v>46125</v>
      </c>
      <c r="FN13" s="746" t="n">
        <v>46132</v>
      </c>
      <c r="FO13" s="746" t="n">
        <v>46139</v>
      </c>
      <c r="FP13" s="746" t="n">
        <v>46146</v>
      </c>
      <c r="FQ13" s="746" t="n">
        <v>46154</v>
      </c>
      <c r="FR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726" t="n"/>
      <c r="F14" s="697" t="n">
        <v>3</v>
      </c>
      <c r="G14" s="697">
        <f>3+FF14</f>
        <v/>
      </c>
      <c r="H14" s="697" t="n">
        <v>7</v>
      </c>
      <c r="I14" s="697" t="n">
        <v>6</v>
      </c>
      <c r="J14" s="697" t="n">
        <v>5</v>
      </c>
      <c r="K14" s="697">
        <f>5+FA14</f>
        <v/>
      </c>
      <c r="L14" s="697" t="n">
        <v>5</v>
      </c>
      <c r="M14" s="697">
        <f>4+EX14</f>
        <v/>
      </c>
      <c r="N14" s="697" t="n">
        <v>4</v>
      </c>
      <c r="O14" s="697" t="n">
        <v>3</v>
      </c>
      <c r="P14" s="697">
        <f>2+EV14</f>
        <v/>
      </c>
      <c r="Q14" s="697">
        <f>4+EU14</f>
        <v/>
      </c>
      <c r="R14" s="697" t="n">
        <v>6</v>
      </c>
      <c r="S14" s="697" t="n">
        <v>7</v>
      </c>
      <c r="T14" s="697" t="n">
        <v>6</v>
      </c>
      <c r="U14" s="697" t="n">
        <v>5</v>
      </c>
      <c r="V14" s="697" t="n">
        <v>5</v>
      </c>
      <c r="W14" s="697" t="n">
        <v>4</v>
      </c>
      <c r="X14" s="697" t="n">
        <v>3</v>
      </c>
      <c r="Y14" s="697" t="n">
        <v>1</v>
      </c>
      <c r="Z14" s="697">
        <f>1+EK14</f>
        <v/>
      </c>
      <c r="AA14" s="697" t="n">
        <v>4</v>
      </c>
      <c r="AB14" s="697" t="n">
        <v>4</v>
      </c>
      <c r="AC14" s="697">
        <f>4+ED14</f>
        <v/>
      </c>
      <c r="AD14" s="697" t="n">
        <v>4</v>
      </c>
      <c r="AE14" s="697">
        <f>3+EB14</f>
        <v/>
      </c>
      <c r="AF14" s="697">
        <f>4+EA14</f>
        <v/>
      </c>
      <c r="AG14" s="697" t="n">
        <v>5</v>
      </c>
      <c r="AH14" s="697">
        <f>4+DX14</f>
        <v/>
      </c>
      <c r="AI14" s="697" t="n">
        <v>5</v>
      </c>
      <c r="AJ14" s="697" t="n">
        <v>5</v>
      </c>
      <c r="AK14" s="697" t="n">
        <v>5</v>
      </c>
      <c r="AL14" s="697" t="n">
        <v>3</v>
      </c>
      <c r="AM14" s="697">
        <f>3+DQ14</f>
        <v/>
      </c>
      <c r="AN14" s="697" t="n">
        <v>5</v>
      </c>
      <c r="AO14" s="697">
        <f>5+DO14</f>
        <v/>
      </c>
      <c r="AP14" s="697" t="n">
        <v>4</v>
      </c>
      <c r="AQ14" s="697" t="n">
        <v>4</v>
      </c>
      <c r="AR14" s="697">
        <f>4+DK14</f>
        <v/>
      </c>
      <c r="AS14" s="697">
        <f>1+2</f>
        <v/>
      </c>
      <c r="AT14" s="697">
        <f>3+DF14</f>
        <v/>
      </c>
      <c r="AU14" s="697" t="n">
        <v>8</v>
      </c>
      <c r="AV14" s="697" t="n">
        <v>8</v>
      </c>
      <c r="AW14" s="697" t="n">
        <v>8</v>
      </c>
      <c r="AX14" s="697" t="n">
        <v>7</v>
      </c>
      <c r="AY14" s="697" t="n">
        <v>6</v>
      </c>
      <c r="AZ14" s="697" t="n">
        <v>5</v>
      </c>
      <c r="BA14" s="697" t="n">
        <v>5</v>
      </c>
      <c r="BB14" s="697" t="n">
        <v>5</v>
      </c>
      <c r="BC14" s="697" t="n">
        <v>5</v>
      </c>
      <c r="BD14" s="697" t="n">
        <v>5</v>
      </c>
      <c r="BE14" s="697" t="n">
        <v>4</v>
      </c>
      <c r="BF14" s="697" t="n">
        <v>0</v>
      </c>
      <c r="BG14" s="697" t="n">
        <v>3</v>
      </c>
      <c r="BH14" s="697">
        <f>1+CT14+CS14</f>
        <v/>
      </c>
      <c r="BI14" s="697" t="n">
        <v>29</v>
      </c>
      <c r="BJ14" s="697" t="n">
        <v>28</v>
      </c>
      <c r="BK14" s="697" t="n">
        <v>26</v>
      </c>
      <c r="BL14" s="697" t="n">
        <v>24</v>
      </c>
      <c r="BM14" s="697" t="n">
        <v>23</v>
      </c>
      <c r="BN14" s="697" t="n">
        <v>21</v>
      </c>
      <c r="BO14" s="697" t="n">
        <v>20</v>
      </c>
      <c r="BP14" s="697" t="n">
        <v>18</v>
      </c>
      <c r="BQ14" s="697" t="n">
        <v>16</v>
      </c>
      <c r="BR14" s="697" t="n">
        <v>15</v>
      </c>
      <c r="BS14" s="697" t="n">
        <v>14</v>
      </c>
      <c r="BT14" s="697" t="n">
        <v>12</v>
      </c>
      <c r="BU14" s="697" t="n">
        <v>11</v>
      </c>
      <c r="BV14" s="697" t="n">
        <v>11</v>
      </c>
      <c r="BW14" s="697" t="n">
        <v>11</v>
      </c>
      <c r="BX14" s="697" t="n">
        <v>11</v>
      </c>
      <c r="BY14" s="697" t="n">
        <v>3</v>
      </c>
      <c r="BZ14" s="192">
        <f>BX14+IF(NOT(ISBLANK(OFFSET(BZ14,0,6))),N(OFFSET(BZ14,0,6)),N(OFFSET(BZ14,0,7)))-BY14</f>
        <v/>
      </c>
      <c r="CB14" s="22" t="n"/>
      <c r="CC14" s="4" t="n"/>
      <c r="CD14" s="49" t="n">
        <v>5</v>
      </c>
      <c r="CE14" s="726" t="n"/>
      <c r="CF14" s="23" t="n">
        <v>0</v>
      </c>
      <c r="CG14" s="23" t="n">
        <v>0</v>
      </c>
      <c r="CH14" s="23" t="n">
        <v>0</v>
      </c>
      <c r="CI14" s="23" t="n"/>
      <c r="CJ14" s="219" t="n">
        <v>10</v>
      </c>
      <c r="CK14" s="23" t="n"/>
      <c r="CL14" s="23" t="n"/>
      <c r="CM14" s="23" t="n"/>
      <c r="CN14" s="23" t="n"/>
      <c r="CO14" s="23" t="n"/>
      <c r="CP14" s="23" t="n"/>
      <c r="CQ14" s="23" t="n"/>
      <c r="CR14" s="23" t="n">
        <v>15</v>
      </c>
      <c r="CS14" s="23" t="n">
        <v>10</v>
      </c>
      <c r="CT14" s="23" t="n">
        <v>5</v>
      </c>
      <c r="CU14" s="23" t="n">
        <v>5</v>
      </c>
      <c r="CV14" s="23" t="n"/>
      <c r="CW14" s="23" t="n"/>
      <c r="CX14" s="23" t="n"/>
      <c r="CY14" s="23" t="n"/>
      <c r="CZ14" s="23" t="n"/>
      <c r="DA14" s="23" t="n"/>
      <c r="DB14" s="23" t="n"/>
      <c r="DC14" s="219" t="n">
        <v>25</v>
      </c>
      <c r="DD14" s="23" t="n"/>
      <c r="DE14" s="23" t="n"/>
      <c r="DF14" s="23" t="n">
        <v>5</v>
      </c>
      <c r="DG14" s="192" t="inlineStr">
        <is>
          <t>02 DE Q2</t>
        </is>
      </c>
      <c r="DH14" s="23" t="n"/>
      <c r="DI14" s="437" t="inlineStr">
        <is>
          <t>100 DE BSH</t>
        </is>
      </c>
      <c r="DJ14" s="219" t="n"/>
      <c r="DK14" s="23" t="n">
        <v>1</v>
      </c>
      <c r="DL14" s="219" t="n"/>
      <c r="DM14" s="23" t="n">
        <v>1</v>
      </c>
      <c r="DN14" s="23" t="n"/>
      <c r="DO14" s="23" t="n">
        <v>1</v>
      </c>
      <c r="DP14" s="23" t="n"/>
      <c r="DQ14" s="23" t="n">
        <v>2</v>
      </c>
      <c r="DR14" s="23" t="n"/>
      <c r="DS14" s="23" t="n"/>
      <c r="DT14" s="23" t="n"/>
      <c r="DU14" s="23" t="n"/>
      <c r="DV14" s="23" t="n"/>
      <c r="DW14" s="219" t="n">
        <v>200</v>
      </c>
      <c r="DX14" s="23" t="n">
        <v>1</v>
      </c>
      <c r="DY14" s="219" t="n">
        <v>8</v>
      </c>
      <c r="DZ14" s="23" t="n"/>
      <c r="EA14" s="23" t="n">
        <v>2</v>
      </c>
      <c r="EB14" s="23" t="n">
        <v>2</v>
      </c>
      <c r="EC14" s="23" t="n"/>
      <c r="ED14" s="23" t="n">
        <v>1</v>
      </c>
      <c r="EE14" s="23" t="n"/>
      <c r="EF14" s="23" t="n"/>
      <c r="EG14" s="219" t="n"/>
      <c r="EH14" s="219" t="n"/>
      <c r="EI14" s="23" t="n"/>
      <c r="EJ14" s="219" t="n">
        <v>5</v>
      </c>
      <c r="EK14" s="23" t="n">
        <v>4</v>
      </c>
      <c r="EL14" s="23" t="n"/>
      <c r="EM14" s="23" t="n"/>
      <c r="EN14" s="23" t="n"/>
      <c r="EO14" s="23" t="n"/>
      <c r="EP14" s="219" t="n"/>
      <c r="EQ14" s="23" t="n"/>
      <c r="ER14" s="219" t="n">
        <v>10</v>
      </c>
      <c r="ES14" s="23" t="n">
        <v>2</v>
      </c>
      <c r="ET14" s="23" t="n"/>
      <c r="EU14" s="23" t="n">
        <v>3</v>
      </c>
      <c r="EV14" s="23" t="n">
        <v>3</v>
      </c>
      <c r="EW14" s="23" t="n"/>
      <c r="EX14" s="23" t="n">
        <v>1</v>
      </c>
      <c r="EY14" s="23" t="n"/>
      <c r="EZ14" s="23" t="n"/>
      <c r="FA14" s="23" t="n">
        <v>1</v>
      </c>
      <c r="FB14" s="23" t="n"/>
      <c r="FC14" s="23" t="n"/>
      <c r="FD14" s="23" t="n"/>
      <c r="FE14" s="23" t="n"/>
      <c r="FF14" s="23" t="n">
        <v>5</v>
      </c>
      <c r="FG14" s="219" t="n"/>
      <c r="FH14" s="23" t="n"/>
      <c r="FJ14" s="300" t="inlineStr">
        <is>
          <t>PAPEL DE SEDA</t>
        </is>
      </c>
      <c r="FK14" s="162" t="n">
        <v>200</v>
      </c>
      <c r="FL14" s="697">
        <f>CJ14</f>
        <v/>
      </c>
      <c r="FM14" s="697" t="n">
        <v>9</v>
      </c>
      <c r="FN14" s="697" t="n">
        <v>6</v>
      </c>
      <c r="FO14" s="697" t="n">
        <v>4</v>
      </c>
      <c r="FP14" s="697" t="n">
        <v>1</v>
      </c>
      <c r="FQ14" s="697" t="n">
        <v>0</v>
      </c>
      <c r="FR14" s="431">
        <f>FP14+IF(NOT(ISBLANK(OFFSET(FR14,0,6))),N(OFFSET(FR14,0,6)),N(OFFSET(FR14,0,7)))-FQ14</f>
        <v/>
      </c>
    </row>
    <row r="15" customFormat="1" s="3">
      <c r="A15" s="37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726" t="n"/>
      <c r="F15" s="697">
        <f>1+#REF!</f>
        <v/>
      </c>
      <c r="G15" s="697">
        <f>2+FF15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3</v>
      </c>
      <c r="M15" s="697">
        <f>3+EX15</f>
        <v/>
      </c>
      <c r="N15" s="697" t="n">
        <v>4</v>
      </c>
      <c r="O15" s="697" t="n">
        <v>4</v>
      </c>
      <c r="P15" s="697" t="n">
        <v>4</v>
      </c>
      <c r="Q15" s="697" t="n">
        <v>5</v>
      </c>
      <c r="R15" s="697" t="n">
        <v>5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2</v>
      </c>
      <c r="X15" s="697" t="n">
        <v>2</v>
      </c>
      <c r="Y15" s="697" t="n">
        <v>2</v>
      </c>
      <c r="Z15" s="697">
        <f>2+EK15</f>
        <v/>
      </c>
      <c r="AA15" s="697" t="n">
        <v>3</v>
      </c>
      <c r="AB15" s="697" t="n">
        <v>3</v>
      </c>
      <c r="AC15" s="697" t="n">
        <v>3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2</v>
      </c>
      <c r="AO15" s="697" t="n">
        <v>2</v>
      </c>
      <c r="AP15" s="697" t="n">
        <v>2</v>
      </c>
      <c r="AQ15" s="697" t="n">
        <v>1</v>
      </c>
      <c r="AR15" s="697">
        <f>1+DK15</f>
        <v/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0</v>
      </c>
      <c r="BC15" s="697">
        <f>0+CX15</f>
        <v/>
      </c>
      <c r="BD15" s="697" t="n">
        <v>5</v>
      </c>
      <c r="BE15" s="697" t="n">
        <v>8</v>
      </c>
      <c r="BF15" s="697" t="n">
        <v>8</v>
      </c>
      <c r="BG15" s="697" t="n">
        <v>11</v>
      </c>
      <c r="BH15" s="697" t="n">
        <v>10</v>
      </c>
      <c r="BI15" s="697" t="n">
        <v>9</v>
      </c>
      <c r="BJ15" s="697" t="n">
        <v>8</v>
      </c>
      <c r="BK15" s="697" t="n">
        <v>8</v>
      </c>
      <c r="BL15" s="697" t="n">
        <v>8</v>
      </c>
      <c r="BM15" s="697" t="n">
        <v>8</v>
      </c>
      <c r="BN15" s="697" t="n">
        <v>8</v>
      </c>
      <c r="BO15" s="697" t="n">
        <v>8</v>
      </c>
      <c r="BP15" s="697" t="n">
        <v>8</v>
      </c>
      <c r="BQ15" s="697" t="n">
        <v>7</v>
      </c>
      <c r="BR15" s="697" t="n">
        <v>7</v>
      </c>
      <c r="BS15" s="697" t="n">
        <v>7</v>
      </c>
      <c r="BT15" s="697" t="n">
        <v>6</v>
      </c>
      <c r="BU15" s="697" t="n">
        <v>6</v>
      </c>
      <c r="BV15" s="697" t="n">
        <v>6</v>
      </c>
      <c r="BW15" s="697" t="n">
        <v>5</v>
      </c>
      <c r="BX15" s="697" t="n">
        <v>5</v>
      </c>
      <c r="BY15" s="697" t="n">
        <v>2</v>
      </c>
      <c r="BZ15" s="192">
        <f>BX15+IF(NOT(ISBLANK(OFFSET(BZ15,0,6))),N(OFFSET(BZ15,0,6)),N(OFFSET(BZ15,0,7)))-BY15</f>
        <v/>
      </c>
      <c r="CB15" s="22" t="n"/>
      <c r="CC15" s="4" t="n"/>
      <c r="CD15" s="49" t="n"/>
      <c r="CE15" s="726" t="n"/>
      <c r="CF15" s="23" t="n">
        <v>0</v>
      </c>
      <c r="CG15" s="23" t="n">
        <v>0</v>
      </c>
      <c r="CH15" s="23" t="n">
        <v>0</v>
      </c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4</v>
      </c>
      <c r="CV15" s="23" t="n"/>
      <c r="CW15" s="23" t="n">
        <v>3</v>
      </c>
      <c r="CX15" s="23" t="n">
        <v>5</v>
      </c>
      <c r="CY15" s="23" t="n"/>
      <c r="CZ15" s="23" t="n"/>
      <c r="DA15" s="23" t="n"/>
      <c r="DB15" s="23" t="n"/>
      <c r="DC15" s="219" t="n">
        <v>9</v>
      </c>
      <c r="DD15" s="23" t="n"/>
      <c r="DE15" s="23" t="n"/>
      <c r="DF15" s="23" t="n"/>
      <c r="DG15" s="23" t="n"/>
      <c r="DH15" s="23" t="n"/>
      <c r="DI15" s="437" t="inlineStr">
        <is>
          <t>100 DE BSH</t>
        </is>
      </c>
      <c r="DJ15" s="219" t="n"/>
      <c r="DK15" s="23" t="n">
        <v>1</v>
      </c>
      <c r="DL15" s="219" t="n"/>
      <c r="DM15" s="23" t="n"/>
      <c r="DN15" s="23" t="n"/>
      <c r="DO15" s="23" t="n"/>
      <c r="DP15" s="23" t="n"/>
      <c r="DQ15" s="23" t="n"/>
      <c r="DR15" s="23" t="n"/>
      <c r="DS15" s="23" t="n"/>
      <c r="DT15" s="23" t="n"/>
      <c r="DU15" s="23" t="n"/>
      <c r="DV15" s="23" t="n"/>
      <c r="DW15" s="219" t="n">
        <v>100</v>
      </c>
      <c r="DX15" s="23" t="n"/>
      <c r="DY15" s="219" t="n"/>
      <c r="DZ15" s="23" t="n"/>
      <c r="EA15" s="23" t="n"/>
      <c r="EB15" s="23" t="n"/>
      <c r="EC15" s="23" t="n"/>
      <c r="ED15" s="23" t="n"/>
      <c r="EE15" s="23" t="n"/>
      <c r="EF15" s="23" t="n"/>
      <c r="EG15" s="219" t="n"/>
      <c r="EH15" s="219" t="n"/>
      <c r="EI15" s="23" t="n"/>
      <c r="EJ15" s="219" t="n">
        <v>2</v>
      </c>
      <c r="EK15" s="23" t="n">
        <v>1</v>
      </c>
      <c r="EL15" s="23" t="n">
        <v>1</v>
      </c>
      <c r="EM15" s="23" t="n"/>
      <c r="EN15" s="23" t="n"/>
      <c r="EO15" s="23" t="n"/>
      <c r="EP15" s="219" t="n"/>
      <c r="EQ15" s="23" t="n"/>
      <c r="ER15" s="219" t="n"/>
      <c r="ES15" s="23" t="n"/>
      <c r="ET15" s="23" t="n"/>
      <c r="EU15" s="23" t="n"/>
      <c r="EV15" s="23" t="n"/>
      <c r="EW15" s="23" t="n"/>
      <c r="EX15" s="23" t="n">
        <v>1</v>
      </c>
      <c r="EY15" s="23" t="n"/>
      <c r="EZ15" s="23" t="n"/>
      <c r="FA15" s="23" t="n"/>
      <c r="FB15" s="23" t="n"/>
      <c r="FC15" s="23" t="n"/>
      <c r="FD15" s="23" t="n"/>
      <c r="FE15" s="23" t="n"/>
      <c r="FF15" s="23" t="n">
        <v>2</v>
      </c>
      <c r="FG15" s="219" t="n"/>
      <c r="FH15" s="23" t="n"/>
      <c r="FJ15" s="65" t="inlineStr">
        <is>
          <t>ADESIVOS</t>
        </is>
      </c>
      <c r="FK15" s="699" t="n">
        <v>200</v>
      </c>
      <c r="FL15" s="697">
        <f>CJ15</f>
        <v/>
      </c>
      <c r="FM15" s="697" t="n">
        <v>3</v>
      </c>
      <c r="FN15" s="697" t="n">
        <v>3</v>
      </c>
      <c r="FO15" s="697" t="n">
        <v>2</v>
      </c>
      <c r="FP15" s="697" t="n">
        <v>2</v>
      </c>
      <c r="FQ15" s="697" t="n">
        <v>0</v>
      </c>
      <c r="FR15" s="431">
        <f>FP15+IF(NOT(ISBLANK(OFFSET(FR15,0,6))),N(OFFSET(FR15,0,6)),N(OFFSET(FR15,0,7)))-FQ15</f>
        <v/>
      </c>
    </row>
    <row r="16" customFormat="1" s="3">
      <c r="A16" s="37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2" t="n"/>
      <c r="F16" s="697">
        <f>0+FH16</f>
        <v/>
      </c>
      <c r="G16" s="697">
        <f>4+FF16</f>
        <v/>
      </c>
      <c r="H16" s="697" t="n">
        <v>8</v>
      </c>
      <c r="I16" s="697" t="n">
        <v>7</v>
      </c>
      <c r="J16" s="697" t="n">
        <v>7</v>
      </c>
      <c r="K16" s="697" t="n">
        <v>6</v>
      </c>
      <c r="L16" s="697" t="n">
        <v>5</v>
      </c>
      <c r="M16" s="697">
        <f>5+EX16</f>
        <v/>
      </c>
      <c r="N16" s="697" t="n">
        <v>5</v>
      </c>
      <c r="O16" s="697" t="n">
        <v>4</v>
      </c>
      <c r="P16" s="697">
        <f>2+EV16</f>
        <v/>
      </c>
      <c r="Q16" s="697">
        <f>3+EU16</f>
        <v/>
      </c>
      <c r="R16" s="697" t="n">
        <v>8</v>
      </c>
      <c r="S16" s="697" t="n">
        <v>8</v>
      </c>
      <c r="T16" s="697" t="n">
        <v>8</v>
      </c>
      <c r="U16" s="697" t="n">
        <v>7</v>
      </c>
      <c r="V16" s="697" t="n">
        <v>6</v>
      </c>
      <c r="W16" s="697" t="n">
        <v>5</v>
      </c>
      <c r="X16" s="697" t="n">
        <v>4</v>
      </c>
      <c r="Y16" s="697" t="n">
        <v>5</v>
      </c>
      <c r="Z16" s="697" t="n">
        <v>3</v>
      </c>
      <c r="AA16" s="697" t="n">
        <v>3</v>
      </c>
      <c r="AB16" s="697" t="n">
        <v>2</v>
      </c>
      <c r="AC16" s="697">
        <f>1+ED16</f>
        <v/>
      </c>
      <c r="AD16" s="697" t="n">
        <v>5</v>
      </c>
      <c r="AE16" s="697" t="n">
        <v>5</v>
      </c>
      <c r="AF16" s="697" t="n">
        <v>4</v>
      </c>
      <c r="AG16" s="697">
        <f>3+DZ16</f>
        <v/>
      </c>
      <c r="AH16" s="697">
        <f>3+DX16</f>
        <v/>
      </c>
      <c r="AI16" s="697" t="n">
        <v>2</v>
      </c>
      <c r="AJ16" s="697" t="n">
        <v>7</v>
      </c>
      <c r="AK16" s="697" t="n">
        <v>5</v>
      </c>
      <c r="AL16" s="697" t="n">
        <v>4</v>
      </c>
      <c r="AM16" s="697">
        <f>3+DQ16</f>
        <v/>
      </c>
      <c r="AN16" s="697" t="n">
        <v>5</v>
      </c>
      <c r="AO16" s="697" t="n">
        <v>3</v>
      </c>
      <c r="AP16" s="697">
        <f>2+DN16</f>
        <v/>
      </c>
      <c r="AQ16" s="697" t="n">
        <v>5</v>
      </c>
      <c r="AR16" s="697" t="n">
        <v>5</v>
      </c>
      <c r="AS16" s="697" t="n">
        <v>3</v>
      </c>
      <c r="AT16" s="697">
        <f>3+DF16</f>
        <v/>
      </c>
      <c r="AU16" s="697" t="n">
        <v>4</v>
      </c>
      <c r="AV16" s="697" t="n">
        <v>3</v>
      </c>
      <c r="AW16" s="697" t="n">
        <v>2</v>
      </c>
      <c r="AX16" s="697" t="n">
        <v>1</v>
      </c>
      <c r="AY16" s="697">
        <f>1+CZ16</f>
        <v/>
      </c>
      <c r="AZ16" s="697" t="n">
        <v>2</v>
      </c>
      <c r="BA16" s="697" t="n">
        <v>1</v>
      </c>
      <c r="BB16" s="697">
        <f>0+CY16</f>
        <v/>
      </c>
      <c r="BC16" s="697" t="n">
        <v>4</v>
      </c>
      <c r="BD16" s="697" t="n">
        <v>4</v>
      </c>
      <c r="BE16" s="697" t="n">
        <v>2</v>
      </c>
      <c r="BF16" s="697" t="n">
        <v>0</v>
      </c>
      <c r="BG16" s="697" t="n">
        <v>3</v>
      </c>
      <c r="BH16" s="697">
        <f>2+CT16+CS16</f>
        <v/>
      </c>
      <c r="BI16" s="697" t="n">
        <v>8</v>
      </c>
      <c r="BJ16" s="697" t="n">
        <v>8</v>
      </c>
      <c r="BK16" s="697" t="n">
        <v>8</v>
      </c>
      <c r="BL16" s="697" t="n">
        <v>7</v>
      </c>
      <c r="BM16" s="697" t="n">
        <v>6</v>
      </c>
      <c r="BN16" s="697" t="n">
        <v>5</v>
      </c>
      <c r="BO16" s="697" t="n">
        <v>5</v>
      </c>
      <c r="BP16" s="697" t="n">
        <v>2</v>
      </c>
      <c r="BQ16" s="697">
        <f>2+CL16</f>
        <v/>
      </c>
      <c r="BR16" s="697" t="n">
        <v>4</v>
      </c>
      <c r="BS16" s="697" t="n">
        <v>3</v>
      </c>
      <c r="BT16" s="697" t="n">
        <v>2</v>
      </c>
      <c r="BU16" s="697" t="n">
        <v>3</v>
      </c>
      <c r="BV16" s="697" t="n">
        <v>2</v>
      </c>
      <c r="BW16" s="697" t="n">
        <v>2</v>
      </c>
      <c r="BX16" s="697">
        <f>1+CG16</f>
        <v/>
      </c>
      <c r="BY16" s="697">
        <f>3+CF16</f>
        <v/>
      </c>
      <c r="BZ16" s="192">
        <f>BX16+IF(NOT(ISBLANK(OFFSET(BZ16,0,6))),N(OFFSET(BZ16,0,6)),N(OFFSET(BZ16,0,7)))-BY16</f>
        <v/>
      </c>
      <c r="CB16" s="22" t="n"/>
      <c r="CC16" s="4" t="n"/>
      <c r="CD16" s="49" t="n">
        <v>2</v>
      </c>
      <c r="CE16" s="2" t="n"/>
      <c r="CF16" s="23" t="n">
        <v>2</v>
      </c>
      <c r="CG16" s="23" t="n">
        <v>3</v>
      </c>
      <c r="CH16" s="23" t="n">
        <v>2</v>
      </c>
      <c r="CI16" s="23" t="n"/>
      <c r="CJ16" s="23" t="n"/>
      <c r="CK16" s="23" t="n"/>
      <c r="CL16" s="23" t="n">
        <v>3</v>
      </c>
      <c r="CM16" s="23" t="n"/>
      <c r="CN16" s="23" t="n"/>
      <c r="CO16" s="23" t="n"/>
      <c r="CP16" s="23" t="n"/>
      <c r="CQ16" s="23" t="n"/>
      <c r="CR16" s="23" t="n">
        <v>3</v>
      </c>
      <c r="CS16" s="23" t="n">
        <v>2</v>
      </c>
      <c r="CT16" s="23" t="n">
        <v>2</v>
      </c>
      <c r="CU16" s="23" t="n">
        <v>4</v>
      </c>
      <c r="CV16" s="23" t="n"/>
      <c r="CW16" s="23" t="n">
        <v>2</v>
      </c>
      <c r="CX16" s="23" t="n"/>
      <c r="CY16" s="23" t="n">
        <v>5</v>
      </c>
      <c r="CZ16" s="23" t="n">
        <v>3</v>
      </c>
      <c r="DA16" s="23" t="n">
        <v>2</v>
      </c>
      <c r="DB16" s="23" t="n"/>
      <c r="DC16" s="219" t="n"/>
      <c r="DD16" s="23" t="n"/>
      <c r="DE16" s="23" t="n"/>
      <c r="DF16" s="23" t="n">
        <v>2</v>
      </c>
      <c r="DG16" s="23" t="n"/>
      <c r="DH16" s="23" t="n"/>
      <c r="DI16" s="219" t="n"/>
      <c r="DJ16" s="219" t="n"/>
      <c r="DK16" s="23" t="n"/>
      <c r="DL16" s="219" t="n"/>
      <c r="DM16" s="23" t="n">
        <v>2</v>
      </c>
      <c r="DN16" s="23" t="n">
        <v>2</v>
      </c>
      <c r="DO16" s="23" t="n"/>
      <c r="DP16" s="23" t="n">
        <v>1</v>
      </c>
      <c r="DQ16" s="23" t="n">
        <v>1</v>
      </c>
      <c r="DR16" s="23" t="n"/>
      <c r="DS16" s="23" t="n"/>
      <c r="DT16" s="23" t="n"/>
      <c r="DU16" s="23" t="n"/>
      <c r="DV16" s="23" t="n">
        <v>5</v>
      </c>
      <c r="DW16" s="219" t="n"/>
      <c r="DX16" s="23" t="n">
        <v>1</v>
      </c>
      <c r="DY16" s="219" t="n"/>
      <c r="DZ16" s="23" t="n">
        <v>1</v>
      </c>
      <c r="EA16" s="23" t="n"/>
      <c r="EB16" s="23" t="n"/>
      <c r="EC16" s="23" t="n">
        <v>1</v>
      </c>
      <c r="ED16" s="23" t="n">
        <v>4</v>
      </c>
      <c r="EE16" s="23" t="n"/>
      <c r="EF16" s="23" t="n"/>
      <c r="EG16" s="219" t="n"/>
      <c r="EH16" s="219" t="n"/>
      <c r="EI16" s="23" t="n"/>
      <c r="EJ16" s="219" t="n"/>
      <c r="EK16" s="23" t="n"/>
      <c r="EL16" s="23" t="n">
        <v>3</v>
      </c>
      <c r="EM16" s="23" t="n"/>
      <c r="EN16" s="23" t="n"/>
      <c r="EO16" s="23" t="n"/>
      <c r="EP16" s="219" t="n"/>
      <c r="EQ16" s="23" t="n"/>
      <c r="ER16" s="219" t="n">
        <v>3</v>
      </c>
      <c r="ES16" s="23" t="n">
        <v>3</v>
      </c>
      <c r="ET16" s="316" t="n"/>
      <c r="EU16" s="23" t="n">
        <v>5</v>
      </c>
      <c r="EV16" s="23" t="n">
        <v>2</v>
      </c>
      <c r="EW16" s="23" t="n"/>
      <c r="EX16" s="23" t="n">
        <v>1</v>
      </c>
      <c r="EY16" s="23" t="n"/>
      <c r="EZ16" s="23" t="n"/>
      <c r="FA16" s="23" t="n"/>
      <c r="FB16" s="23" t="n"/>
      <c r="FC16" s="23" t="n"/>
      <c r="FD16" s="23" t="n"/>
      <c r="FE16" s="23" t="n"/>
      <c r="FF16" s="23" t="n">
        <v>5</v>
      </c>
      <c r="FG16" s="219" t="n"/>
      <c r="FH16" s="23" t="n">
        <v>4</v>
      </c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2" t="n"/>
      <c r="F17" s="697">
        <f>3+#REF!+FH17</f>
        <v/>
      </c>
      <c r="G17" s="697">
        <f>4+FF17</f>
        <v/>
      </c>
      <c r="H17" s="697" t="n">
        <v>6</v>
      </c>
      <c r="I17" s="697" t="n">
        <v>5</v>
      </c>
      <c r="J17" s="697" t="n">
        <v>4</v>
      </c>
      <c r="K17" s="697">
        <f>3+FA17</f>
        <v/>
      </c>
      <c r="L17" s="697" t="n">
        <v>4</v>
      </c>
      <c r="M17" s="697" t="n">
        <v>3</v>
      </c>
      <c r="N17" s="697" t="n">
        <v>2</v>
      </c>
      <c r="O17" s="697" t="n">
        <v>3</v>
      </c>
      <c r="P17" s="697">
        <f>2+EV17</f>
        <v/>
      </c>
      <c r="Q17" s="697">
        <f>4+EU17</f>
        <v/>
      </c>
      <c r="R17" s="697" t="n">
        <v>3</v>
      </c>
      <c r="S17" s="697" t="n">
        <v>5</v>
      </c>
      <c r="T17" s="697" t="n">
        <v>5</v>
      </c>
      <c r="U17" s="697" t="n">
        <v>4</v>
      </c>
      <c r="V17" s="697" t="n">
        <v>3</v>
      </c>
      <c r="W17" s="697" t="n">
        <v>2</v>
      </c>
      <c r="X17" s="697" t="n">
        <v>4</v>
      </c>
      <c r="Y17" s="697" t="n">
        <v>2</v>
      </c>
      <c r="Z17" s="697">
        <f>1+EK17</f>
        <v/>
      </c>
      <c r="AA17" s="697">
        <f>1+3</f>
        <v/>
      </c>
      <c r="AB17" s="697" t="n">
        <v>3</v>
      </c>
      <c r="AC17" s="697">
        <f>2+ED17</f>
        <v/>
      </c>
      <c r="AD17" s="697" t="n">
        <v>2</v>
      </c>
      <c r="AE17" s="697">
        <f>2+EB17</f>
        <v/>
      </c>
      <c r="AF17" s="697">
        <f>3+EA17</f>
        <v/>
      </c>
      <c r="AG17" s="697">
        <f>4+DZ17</f>
        <v/>
      </c>
      <c r="AH17" s="697" t="n">
        <v>4</v>
      </c>
      <c r="AI17" s="697" t="n">
        <v>4</v>
      </c>
      <c r="AJ17" s="697" t="n">
        <v>4</v>
      </c>
      <c r="AK17" s="697" t="n">
        <v>2</v>
      </c>
      <c r="AL17" s="697" t="n">
        <v>1</v>
      </c>
      <c r="AM17" s="697" t="n">
        <v>3</v>
      </c>
      <c r="AN17" s="697" t="n">
        <v>4</v>
      </c>
      <c r="AO17" s="697" t="n">
        <v>3</v>
      </c>
      <c r="AP17" s="697">
        <f>2+DN17</f>
        <v/>
      </c>
      <c r="AQ17" s="697" t="n">
        <v>3</v>
      </c>
      <c r="AR17" s="697">
        <f>3+DK17</f>
        <v/>
      </c>
      <c r="AS17" s="697" t="n">
        <v>3</v>
      </c>
      <c r="AT17" s="697">
        <f>2+DF17</f>
        <v/>
      </c>
      <c r="AU17" s="697">
        <f>3+DE17</f>
        <v/>
      </c>
      <c r="AV17" s="697" t="n">
        <v>3</v>
      </c>
      <c r="AW17" s="697">
        <f>3+DB17</f>
        <v/>
      </c>
      <c r="AX17" s="697" t="n">
        <v>2</v>
      </c>
      <c r="AY17" s="697">
        <f>2+CZ17</f>
        <v/>
      </c>
      <c r="AZ17" s="697" t="n">
        <v>5</v>
      </c>
      <c r="BA17" s="697" t="n">
        <v>4</v>
      </c>
      <c r="BB17" s="697">
        <f>3+CY17</f>
        <v/>
      </c>
      <c r="BC17" s="697">
        <f>2+CX17</f>
        <v/>
      </c>
      <c r="BD17" s="697" t="n">
        <v>3</v>
      </c>
      <c r="BE17" s="697" t="n">
        <v>6</v>
      </c>
      <c r="BF17" s="697" t="n">
        <v>5</v>
      </c>
      <c r="BG17" s="697" t="n">
        <v>7</v>
      </c>
      <c r="BH17" s="697">
        <f>6+CT17</f>
        <v/>
      </c>
      <c r="BI17" s="697" t="n">
        <v>8</v>
      </c>
      <c r="BJ17" s="697" t="n">
        <v>7</v>
      </c>
      <c r="BK17" s="697" t="n">
        <v>7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4</v>
      </c>
      <c r="BR17" s="697" t="n">
        <v>4</v>
      </c>
      <c r="BS17" s="697" t="n">
        <v>3</v>
      </c>
      <c r="BT17" s="697" t="n">
        <v>3</v>
      </c>
      <c r="BU17" s="697" t="n">
        <v>5</v>
      </c>
      <c r="BV17" s="697" t="n">
        <v>5</v>
      </c>
      <c r="BW17" s="697" t="n">
        <v>4</v>
      </c>
      <c r="BX17" s="697" t="n">
        <v>3</v>
      </c>
      <c r="BY17" s="697">
        <f>1+CF17</f>
        <v/>
      </c>
      <c r="BZ17" s="192">
        <f>BX17+IF(NOT(ISBLANK(OFFSET(BZ17,0,6))),N(OFFSET(BZ17,0,6)),N(OFFSET(BZ17,0,7)))-BY17</f>
        <v/>
      </c>
      <c r="CB17" s="22" t="n"/>
      <c r="CC17" s="4" t="n"/>
      <c r="CD17" s="49" t="n">
        <v>1</v>
      </c>
      <c r="CE17" s="2" t="n"/>
      <c r="CF17" s="23" t="n">
        <v>1</v>
      </c>
      <c r="CG17" s="23" t="n">
        <v>0</v>
      </c>
      <c r="CH17" s="23" t="n">
        <v>3</v>
      </c>
      <c r="CI17" s="23" t="n"/>
      <c r="CJ17" s="23" t="n"/>
      <c r="CK17" s="23" t="n"/>
      <c r="CL17" s="23" t="n"/>
      <c r="CM17" s="23" t="n">
        <v>1</v>
      </c>
      <c r="CN17" s="23" t="n"/>
      <c r="CO17" s="23" t="n"/>
      <c r="CP17" s="23" t="n"/>
      <c r="CQ17" s="23" t="n"/>
      <c r="CR17" s="23" t="n"/>
      <c r="CS17" s="23" t="n"/>
      <c r="CT17" s="23" t="n">
        <v>2</v>
      </c>
      <c r="CU17" s="23" t="n">
        <v>3</v>
      </c>
      <c r="CV17" s="23" t="n"/>
      <c r="CW17" s="23" t="n">
        <v>6</v>
      </c>
      <c r="CX17" s="23" t="n">
        <v>2</v>
      </c>
      <c r="CY17" s="23" t="n">
        <v>1</v>
      </c>
      <c r="CZ17" s="23" t="n">
        <v>4</v>
      </c>
      <c r="DA17" s="23" t="n"/>
      <c r="DB17" s="23" t="n">
        <v>1</v>
      </c>
      <c r="DC17" s="219" t="n"/>
      <c r="DD17" s="23" t="n"/>
      <c r="DE17" s="23" t="n">
        <v>1</v>
      </c>
      <c r="DF17" s="23" t="n">
        <v>1</v>
      </c>
      <c r="DG17" s="23" t="n"/>
      <c r="DH17" s="23" t="n"/>
      <c r="DI17" s="219" t="n"/>
      <c r="DJ17" s="219" t="n"/>
      <c r="DK17" s="23" t="n">
        <v>1</v>
      </c>
      <c r="DL17" s="219" t="n"/>
      <c r="DM17" s="23" t="n">
        <v>1</v>
      </c>
      <c r="DN17" s="23" t="n">
        <v>1</v>
      </c>
      <c r="DO17" s="23" t="n"/>
      <c r="DP17" s="23" t="n">
        <v>1</v>
      </c>
      <c r="DQ17" s="23" t="n"/>
      <c r="DR17" s="23" t="n">
        <v>3</v>
      </c>
      <c r="DS17" s="23" t="n"/>
      <c r="DT17" s="23" t="n"/>
      <c r="DU17" s="23" t="n"/>
      <c r="DV17" s="23" t="n"/>
      <c r="DW17" s="219" t="n"/>
      <c r="DX17" s="23" t="n"/>
      <c r="DY17" s="219" t="n"/>
      <c r="DZ17" s="23" t="n">
        <v>1</v>
      </c>
      <c r="EA17" s="23" t="n">
        <v>1</v>
      </c>
      <c r="EB17" s="23" t="n">
        <v>2</v>
      </c>
      <c r="EC17" s="23" t="n">
        <v>1</v>
      </c>
      <c r="ED17" s="23" t="n">
        <v>1</v>
      </c>
      <c r="EE17" s="23" t="n"/>
      <c r="EF17" s="282" t="inlineStr">
        <is>
          <t>03 DE BSH</t>
        </is>
      </c>
      <c r="EG17" s="219" t="n"/>
      <c r="EH17" s="219" t="n"/>
      <c r="EI17" s="23" t="n"/>
      <c r="EJ17" s="219" t="n"/>
      <c r="EK17" s="23" t="n">
        <v>1</v>
      </c>
      <c r="EL17" s="23" t="n"/>
      <c r="EM17" s="23" t="n">
        <v>2</v>
      </c>
      <c r="EN17" s="23" t="n"/>
      <c r="EO17" s="23" t="n"/>
      <c r="EP17" s="219" t="n"/>
      <c r="EQ17" s="23" t="n"/>
      <c r="ER17" s="219" t="n"/>
      <c r="ES17" s="23" t="n">
        <v>2</v>
      </c>
      <c r="ET17" s="23" t="n"/>
      <c r="EU17" s="23" t="n">
        <v>1</v>
      </c>
      <c r="EV17" s="23" t="n">
        <v>3</v>
      </c>
      <c r="EW17" s="23" t="n">
        <v>2</v>
      </c>
      <c r="EX17" s="23" t="n"/>
      <c r="EY17" s="23" t="n"/>
      <c r="EZ17" s="23" t="n"/>
      <c r="FA17" s="23" t="n">
        <v>1</v>
      </c>
      <c r="FB17" s="23" t="n"/>
      <c r="FC17" s="23" t="n"/>
      <c r="FD17" s="23" t="n"/>
      <c r="FE17" s="23" t="n"/>
      <c r="FF17" s="23" t="n">
        <v>2</v>
      </c>
      <c r="FG17" s="219" t="n"/>
      <c r="FH17" s="23" t="n">
        <v>1</v>
      </c>
    </row>
    <row r="18" ht="14.25" customFormat="1" customHeight="1" s="3">
      <c r="A18" s="35" t="n"/>
      <c r="C18" s="763" t="n"/>
      <c r="D18" s="450" t="n"/>
      <c r="CB18" s="48" t="n"/>
      <c r="CD18" s="61" t="n"/>
      <c r="CJ18" s="250" t="n"/>
      <c r="DI18" s="372" t="n"/>
      <c r="DJ18" s="372" t="n"/>
      <c r="DL18" s="372" t="n"/>
      <c r="DW18" s="250" t="n"/>
      <c r="DY18" s="250" t="n"/>
      <c r="EG18" s="19" t="n"/>
      <c r="EH18" s="19" t="n"/>
      <c r="EJ18" s="372" t="n"/>
      <c r="EP18" s="19" t="n"/>
      <c r="ER18" s="19" t="n"/>
      <c r="FG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2" t="n"/>
      <c r="CF19" s="734" t="n">
        <v>46149</v>
      </c>
      <c r="CG19" s="734" t="n">
        <v>46142</v>
      </c>
      <c r="CH19" s="734" t="n">
        <v>46114</v>
      </c>
      <c r="CI19" s="734" t="n">
        <v>46107</v>
      </c>
      <c r="CJ19" s="735" t="n">
        <v>46065</v>
      </c>
      <c r="CK19" s="734" t="n">
        <v>46099</v>
      </c>
      <c r="CL19" s="734" t="n">
        <v>46092</v>
      </c>
      <c r="CM19" s="734" t="n">
        <v>46084</v>
      </c>
      <c r="CN19" s="734" t="n">
        <v>46071</v>
      </c>
      <c r="CO19" s="734" t="n">
        <v>46056</v>
      </c>
      <c r="CP19" s="734" t="n">
        <v>46048</v>
      </c>
      <c r="CQ19" s="734" t="n">
        <v>46043</v>
      </c>
      <c r="CR19" s="734" t="n">
        <v>46035</v>
      </c>
      <c r="CS19" s="734" t="n">
        <v>46029</v>
      </c>
      <c r="CT19" s="734" t="n">
        <v>46024</v>
      </c>
      <c r="CU19" s="734" t="n">
        <v>46017</v>
      </c>
      <c r="CV19" s="734" t="n">
        <v>46007</v>
      </c>
      <c r="CW19" s="734" t="n">
        <v>46001</v>
      </c>
      <c r="CX19" s="734" t="n">
        <v>45994</v>
      </c>
      <c r="CY19" s="734" t="n">
        <v>45980</v>
      </c>
      <c r="CZ19" s="734" t="n">
        <v>45965</v>
      </c>
      <c r="DA19" s="734" t="n">
        <v>45960</v>
      </c>
      <c r="DB19" s="734" t="n">
        <v>45951</v>
      </c>
      <c r="DC19" s="737" t="n">
        <v>45903</v>
      </c>
      <c r="DD19" s="734" t="n">
        <v>45945</v>
      </c>
      <c r="DE19" s="734" t="n">
        <v>45937</v>
      </c>
      <c r="DF19" s="734" t="n">
        <v>45931</v>
      </c>
      <c r="DG19" s="736" t="n">
        <v>45937</v>
      </c>
      <c r="DH19" s="734" t="n">
        <v>45923</v>
      </c>
      <c r="DI19" s="754" t="n">
        <v>45924</v>
      </c>
      <c r="DJ19" s="754" t="n">
        <v>45923</v>
      </c>
      <c r="DK19" s="734" t="n">
        <v>45915</v>
      </c>
      <c r="DL19" s="738" t="n">
        <v>45863</v>
      </c>
      <c r="DM19" s="734" t="n">
        <v>45909</v>
      </c>
      <c r="DN19" s="734" t="n">
        <v>45903</v>
      </c>
      <c r="DO19" s="734" t="n">
        <v>45895</v>
      </c>
      <c r="DP19" s="734" t="n">
        <v>45888</v>
      </c>
      <c r="DQ19" s="734" t="n">
        <v>45881</v>
      </c>
      <c r="DR19" s="734" t="n">
        <v>45874</v>
      </c>
      <c r="DS19" s="739" t="n">
        <v>45880</v>
      </c>
      <c r="DT19" s="734" t="n">
        <v>45867</v>
      </c>
      <c r="DU19" s="739" t="n">
        <v>45863</v>
      </c>
      <c r="DV19" s="734" t="n">
        <v>45860</v>
      </c>
      <c r="DW19" s="741" t="n">
        <v>45856</v>
      </c>
      <c r="DX19" s="734" t="n">
        <v>45848</v>
      </c>
      <c r="DY19" s="739" t="n">
        <v>45791</v>
      </c>
      <c r="DZ19" s="734" t="n">
        <v>45839</v>
      </c>
      <c r="EA19" s="734" t="n">
        <v>45832</v>
      </c>
      <c r="EB19" s="734" t="n">
        <v>45825</v>
      </c>
      <c r="EC19" s="734" t="n">
        <v>45819</v>
      </c>
      <c r="ED19" s="734" t="n">
        <v>45813</v>
      </c>
      <c r="EE19" s="734" t="n">
        <v>45798</v>
      </c>
      <c r="EF19" s="736" t="n">
        <v>45813</v>
      </c>
      <c r="EG19" s="740" t="n">
        <v>45810</v>
      </c>
      <c r="EH19" s="740" t="n">
        <v>45806</v>
      </c>
      <c r="EI19" s="736" t="n">
        <v>45806</v>
      </c>
      <c r="EJ19" s="742" t="n">
        <v>45735</v>
      </c>
      <c r="EK19" s="734" t="n">
        <v>45790</v>
      </c>
      <c r="EL19" s="734" t="n">
        <v>45783</v>
      </c>
      <c r="EM19" s="734" t="n">
        <v>45770</v>
      </c>
      <c r="EN19" s="734" t="n">
        <v>45756</v>
      </c>
      <c r="EO19" s="736" t="n">
        <v>45770</v>
      </c>
      <c r="EP19" s="740" t="n">
        <v>45750</v>
      </c>
      <c r="EQ19" s="734" t="n">
        <v>45743</v>
      </c>
      <c r="ER19" s="740" t="n">
        <v>45700</v>
      </c>
      <c r="ES19" s="734" t="n">
        <v>45734</v>
      </c>
      <c r="ET19" s="736" t="n">
        <v>45731</v>
      </c>
      <c r="EU19" s="734" t="n">
        <v>45728</v>
      </c>
      <c r="EV19" s="734" t="n">
        <v>45722</v>
      </c>
      <c r="EW19" s="734" t="n">
        <v>45706</v>
      </c>
      <c r="EX19" s="734" t="n">
        <v>45699</v>
      </c>
      <c r="EY19" s="734" t="n">
        <v>45693</v>
      </c>
      <c r="EZ19" s="736" t="n">
        <v>45693</v>
      </c>
      <c r="FA19" s="734" t="n">
        <v>45685</v>
      </c>
      <c r="FB19" s="734" t="n">
        <v>45674</v>
      </c>
      <c r="FC19" s="784" t="n">
        <v>45674</v>
      </c>
      <c r="FD19" s="734" t="n">
        <v>45664</v>
      </c>
      <c r="FE19" s="736" t="n">
        <v>45670</v>
      </c>
      <c r="FF19" s="734" t="n">
        <v>45660</v>
      </c>
      <c r="FG19" s="744" t="n">
        <v>45663</v>
      </c>
      <c r="FH19" s="734" t="n">
        <v>45652</v>
      </c>
      <c r="FJ19" s="304" t="inlineStr">
        <is>
          <t>CAIXAS</t>
        </is>
      </c>
      <c r="FK19" s="235" t="inlineStr">
        <is>
          <t>PCT</t>
        </is>
      </c>
      <c r="FL19" s="746" t="n">
        <v>46118</v>
      </c>
      <c r="FM19" s="746" t="n">
        <v>46125</v>
      </c>
      <c r="FN19" s="746" t="n">
        <v>46132</v>
      </c>
      <c r="FO19" s="746" t="n">
        <v>46139</v>
      </c>
      <c r="FP19" s="746" t="n">
        <v>46146</v>
      </c>
      <c r="FQ19" s="746" t="n">
        <v>46154</v>
      </c>
      <c r="FR19" s="758" t="inlineStr">
        <is>
          <t>USOU</t>
        </is>
      </c>
    </row>
    <row r="20" customForma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162</v>
      </c>
      <c r="G20" s="697" t="n">
        <v>162</v>
      </c>
      <c r="H20" s="697" t="n">
        <v>159</v>
      </c>
      <c r="I20" s="697" t="n">
        <v>141</v>
      </c>
      <c r="J20" s="697" t="n">
        <v>122</v>
      </c>
      <c r="K20" s="697" t="n">
        <v>96</v>
      </c>
      <c r="L20" s="697">
        <f>78+EY20</f>
        <v/>
      </c>
      <c r="M20" s="697">
        <f>211+EX20</f>
        <v/>
      </c>
      <c r="N20" s="697" t="n">
        <v>320</v>
      </c>
      <c r="O20" s="697" t="n">
        <v>284</v>
      </c>
      <c r="P20" s="697" t="n">
        <v>224</v>
      </c>
      <c r="Q20" s="697" t="n">
        <v>182</v>
      </c>
      <c r="R20" s="697" t="n">
        <v>140</v>
      </c>
      <c r="S20" s="697" t="n">
        <v>249</v>
      </c>
      <c r="T20" s="697" t="n">
        <v>228</v>
      </c>
      <c r="U20" s="697" t="n">
        <v>196</v>
      </c>
      <c r="V20" s="697" t="n">
        <v>181</v>
      </c>
      <c r="W20" s="697" t="n">
        <v>172</v>
      </c>
      <c r="X20" s="697" t="n">
        <v>162</v>
      </c>
      <c r="Y20" s="697" t="n">
        <v>156</v>
      </c>
      <c r="Z20" s="697" t="n">
        <v>146</v>
      </c>
      <c r="AA20" s="697" t="n">
        <v>112</v>
      </c>
      <c r="AB20" s="697" t="n">
        <v>70</v>
      </c>
      <c r="AC20" s="697">
        <f>62+ED20</f>
        <v/>
      </c>
      <c r="AD20" s="697" t="n">
        <v>201</v>
      </c>
      <c r="AE20" s="697" t="n">
        <v>220</v>
      </c>
      <c r="AF20" s="697" t="n">
        <v>209</v>
      </c>
      <c r="AG20" s="697" t="n">
        <v>205</v>
      </c>
      <c r="AH20" s="697" t="n">
        <v>189</v>
      </c>
      <c r="AI20" s="697" t="n">
        <v>166</v>
      </c>
      <c r="AJ20" s="697" t="n">
        <v>297</v>
      </c>
      <c r="AK20" s="697" t="n">
        <v>276</v>
      </c>
      <c r="AL20" s="697" t="n">
        <v>186</v>
      </c>
      <c r="AM20" s="697">
        <f>163+DQ20</f>
        <v/>
      </c>
      <c r="AN20" s="697" t="n">
        <v>298</v>
      </c>
      <c r="AO20" s="697" t="n">
        <v>273</v>
      </c>
      <c r="AP20" s="697" t="n">
        <v>227</v>
      </c>
      <c r="AQ20" s="697" t="n">
        <v>145</v>
      </c>
      <c r="AR20" s="697">
        <f>109+DK20</f>
        <v/>
      </c>
      <c r="AS20" s="697" t="n">
        <v>231</v>
      </c>
      <c r="AT20" s="697" t="n">
        <v>199</v>
      </c>
      <c r="AU20" s="697">
        <f>162+DE20</f>
        <v/>
      </c>
      <c r="AV20" s="697" t="n">
        <v>434</v>
      </c>
      <c r="AW20" s="697" t="n">
        <v>419</v>
      </c>
      <c r="AX20" s="697" t="n">
        <v>385</v>
      </c>
      <c r="AY20" s="697" t="n">
        <v>362</v>
      </c>
      <c r="AZ20" s="697" t="n">
        <v>333</v>
      </c>
      <c r="BA20" s="697" t="n">
        <v>326</v>
      </c>
      <c r="BB20" s="697" t="n">
        <v>233</v>
      </c>
      <c r="BC20" s="697" t="n">
        <v>164</v>
      </c>
      <c r="BD20" s="697">
        <f>164+CW20</f>
        <v/>
      </c>
      <c r="BE20" s="697" t="n">
        <v>313</v>
      </c>
      <c r="BF20" s="697" t="n">
        <v>82</v>
      </c>
      <c r="BG20" s="697" t="n">
        <v>58</v>
      </c>
      <c r="BH20" s="697">
        <f>23+CT20</f>
        <v/>
      </c>
      <c r="BI20" s="697" t="n">
        <v>310</v>
      </c>
      <c r="BJ20" s="697" t="n">
        <v>305</v>
      </c>
      <c r="BK20" s="697" t="n">
        <v>288</v>
      </c>
      <c r="BL20" s="697" t="n">
        <v>251</v>
      </c>
      <c r="BM20" s="697" t="n">
        <v>242</v>
      </c>
      <c r="BN20" s="697" t="n">
        <v>240</v>
      </c>
      <c r="BO20" s="697" t="n">
        <v>224</v>
      </c>
      <c r="BP20" s="697" t="n">
        <v>182</v>
      </c>
      <c r="BQ20" s="697" t="n">
        <v>170</v>
      </c>
      <c r="BR20" s="697">
        <f>152+CK20</f>
        <v/>
      </c>
      <c r="BS20" s="697" t="n">
        <v>293</v>
      </c>
      <c r="BT20" s="697" t="n"/>
      <c r="BU20" s="697" t="n"/>
      <c r="BV20" s="697" t="n"/>
      <c r="BW20" s="697" t="n">
        <v>262</v>
      </c>
      <c r="BX20" s="697" t="n">
        <v>260</v>
      </c>
      <c r="BY20" s="697" t="n">
        <v>257</v>
      </c>
      <c r="BZ20" s="192">
        <f>BX20+IF(NOT(ISBLANK(OFFSET(BZ20,0,6))),N(OFFSET(BZ20,0,6)),N(OFFSET(BZ20,0,7)))-BY20</f>
        <v/>
      </c>
      <c r="CA20" s="50" t="n"/>
      <c r="CB20" s="22" t="n"/>
      <c r="CC20" s="4" t="n"/>
      <c r="CD20" s="49" t="n"/>
      <c r="CE20" s="2" t="n"/>
      <c r="CF20" s="23" t="n">
        <v>0</v>
      </c>
      <c r="CG20" s="23" t="n">
        <v>0</v>
      </c>
      <c r="CH20" s="23" t="n">
        <v>0</v>
      </c>
      <c r="CI20" s="23" t="n"/>
      <c r="CJ20" s="219" t="n">
        <v>300</v>
      </c>
      <c r="CK20" s="23" t="n">
        <v>150</v>
      </c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>
        <v>300</v>
      </c>
      <c r="CU20" s="23" t="n"/>
      <c r="CV20" s="23" t="n"/>
      <c r="CW20" s="23" t="n">
        <v>150</v>
      </c>
      <c r="CX20" s="23" t="n"/>
      <c r="CY20" s="23" t="n"/>
      <c r="CZ20" s="23" t="n"/>
      <c r="DA20" s="23" t="n"/>
      <c r="DB20" s="23" t="n"/>
      <c r="DC20" s="219" t="n">
        <v>150</v>
      </c>
      <c r="DD20" s="23" t="n"/>
      <c r="DE20" s="23" t="n">
        <v>150</v>
      </c>
      <c r="DF20" s="23" t="n"/>
      <c r="DG20" s="23" t="n"/>
      <c r="DH20" s="23" t="n"/>
      <c r="DI20" s="219" t="n"/>
      <c r="DJ20" s="219" t="n"/>
      <c r="DK20" s="23" t="n">
        <v>150</v>
      </c>
      <c r="DL20" s="219" t="n"/>
      <c r="DM20" s="23" t="n"/>
      <c r="DN20" s="23" t="n"/>
      <c r="DO20" s="23" t="n"/>
      <c r="DP20" s="23" t="n"/>
      <c r="DQ20" s="23" t="n">
        <v>150</v>
      </c>
      <c r="DR20" s="23" t="n"/>
      <c r="DS20" s="23" t="n"/>
      <c r="DT20" s="23" t="n"/>
      <c r="DU20" s="23" t="n"/>
      <c r="DV20" s="23" t="n">
        <v>150</v>
      </c>
      <c r="DW20" s="219" t="n"/>
      <c r="DX20" s="23" t="n"/>
      <c r="DY20" s="219" t="n"/>
      <c r="DZ20" s="23" t="n"/>
      <c r="EA20" s="23" t="n"/>
      <c r="EB20" s="23" t="n"/>
      <c r="EC20" s="23" t="n"/>
      <c r="ED20" s="23" t="n">
        <v>150</v>
      </c>
      <c r="EE20" s="23" t="n"/>
      <c r="EF20" s="23" t="n"/>
      <c r="EG20" s="292" t="inlineStr">
        <is>
          <t>49 DE Q2</t>
        </is>
      </c>
      <c r="EH20" s="292" t="inlineStr">
        <is>
          <t>45 DE MD</t>
        </is>
      </c>
      <c r="EI20" s="23" t="n"/>
      <c r="EJ20" s="219" t="n"/>
      <c r="EK20" s="23" t="n"/>
      <c r="EL20" s="23" t="n"/>
      <c r="EM20" s="23" t="n"/>
      <c r="EN20" s="23" t="n"/>
      <c r="EO20" s="23" t="n"/>
      <c r="EP20" s="292" t="inlineStr">
        <is>
          <t>100 P/ Q7</t>
        </is>
      </c>
      <c r="EQ20" s="23" t="n"/>
      <c r="ER20" s="219" t="n">
        <v>300</v>
      </c>
      <c r="ES20" s="23" t="n">
        <v>150</v>
      </c>
      <c r="ET20" s="23" t="n"/>
      <c r="EU20" s="23" t="n"/>
      <c r="EV20" s="23" t="n"/>
      <c r="EW20" s="23" t="n"/>
      <c r="EX20" s="23" t="n">
        <v>150</v>
      </c>
      <c r="EY20" s="23" t="n">
        <v>150</v>
      </c>
      <c r="EZ20" s="23" t="n"/>
      <c r="FA20" s="23" t="n"/>
      <c r="FB20" s="23" t="n"/>
      <c r="FC20" s="23" t="n"/>
      <c r="FD20" s="23" t="n"/>
      <c r="FE20" s="23" t="n"/>
      <c r="FF20" s="23" t="n"/>
      <c r="FG20" s="219" t="n"/>
      <c r="FH20" s="23" t="n"/>
      <c r="FJ20" s="300" t="inlineStr">
        <is>
          <t>CAIXA P</t>
        </is>
      </c>
      <c r="FK20" s="162" t="n">
        <v>150</v>
      </c>
      <c r="FL20" s="697">
        <f>CJ20</f>
        <v/>
      </c>
      <c r="FM20" s="697" t="n"/>
      <c r="FN20" s="697" t="n"/>
      <c r="FO20" s="697" t="n">
        <v>186</v>
      </c>
      <c r="FP20" s="697" t="n">
        <v>169</v>
      </c>
      <c r="FQ20" s="697" t="n"/>
      <c r="FR20" s="431">
        <f>FP20+IF(NOT(ISBLANK(OFFSET(FR20,0,6))),N(OFFSET(FR20,0,6)),N(OFFSET(FR20,0,7)))-FQ20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2" t="n"/>
      <c r="F21" s="31" t="n">
        <v>59</v>
      </c>
      <c r="G21" s="31">
        <f>18+FF21</f>
        <v/>
      </c>
      <c r="H21" s="31" t="n">
        <v>92</v>
      </c>
      <c r="I21" s="31">
        <f>53+FB21</f>
        <v/>
      </c>
      <c r="J21" s="31" t="n">
        <v>118</v>
      </c>
      <c r="K21" s="31">
        <f>67+70</f>
        <v/>
      </c>
      <c r="L21" s="31">
        <f>57+EY21</f>
        <v/>
      </c>
      <c r="M21" s="31">
        <f>91+EX21</f>
        <v/>
      </c>
      <c r="N21" s="31" t="n">
        <v>142</v>
      </c>
      <c r="O21" s="31" t="n">
        <v>264</v>
      </c>
      <c r="P21" s="31" t="n">
        <v>124</v>
      </c>
      <c r="Q21" s="31">
        <f>89+EU21</f>
        <v/>
      </c>
      <c r="R21" s="31" t="n">
        <v>295</v>
      </c>
      <c r="S21" s="31" t="n">
        <v>316</v>
      </c>
      <c r="T21" s="31" t="n">
        <v>242</v>
      </c>
      <c r="U21" s="31" t="n">
        <v>153</v>
      </c>
      <c r="V21" s="31" t="n">
        <v>131</v>
      </c>
      <c r="W21" s="31" t="n">
        <v>219</v>
      </c>
      <c r="X21" s="31" t="n">
        <v>202</v>
      </c>
      <c r="Y21" s="31" t="n">
        <v>180</v>
      </c>
      <c r="Z21" s="31" t="n">
        <v>161</v>
      </c>
      <c r="AA21" s="31">
        <f>131+71</f>
        <v/>
      </c>
      <c r="AB21" s="31" t="n">
        <v>172</v>
      </c>
      <c r="AC21" s="31" t="n">
        <v>147</v>
      </c>
      <c r="AD21" s="31" t="n">
        <v>109</v>
      </c>
      <c r="AE21" s="31">
        <f>63+EB21</f>
        <v/>
      </c>
      <c r="AF21" s="31" t="n">
        <v>224</v>
      </c>
      <c r="AG21" s="31" t="n">
        <v>154</v>
      </c>
      <c r="AH21" s="31">
        <f>89+DX21</f>
        <v/>
      </c>
      <c r="AI21" s="31" t="n">
        <v>126</v>
      </c>
      <c r="AJ21" s="31" t="n">
        <v>80</v>
      </c>
      <c r="AK21" s="31">
        <f>46+DT21</f>
        <v/>
      </c>
      <c r="AL21" s="31" t="n">
        <v>51</v>
      </c>
      <c r="AM21" s="31">
        <f>28+DQ21</f>
        <v/>
      </c>
      <c r="AN21" s="31" t="n">
        <v>169</v>
      </c>
      <c r="AO21" s="31">
        <f>123+DO21</f>
        <v/>
      </c>
      <c r="AP21" s="31" t="n">
        <v>275</v>
      </c>
      <c r="AQ21" s="31" t="n">
        <v>229</v>
      </c>
      <c r="AR21" s="31">
        <f>161+DK21</f>
        <v/>
      </c>
      <c r="AS21" s="31" t="n">
        <v>204</v>
      </c>
      <c r="AT21" s="31">
        <f>146+DF21</f>
        <v/>
      </c>
      <c r="AU21" s="31">
        <f>150+DE21</f>
        <v/>
      </c>
      <c r="AV21" s="31" t="n">
        <v>301</v>
      </c>
      <c r="AW21" s="31" t="n">
        <v>236</v>
      </c>
      <c r="AX21" s="31" t="n">
        <v>173</v>
      </c>
      <c r="AY21" s="31" t="n">
        <v>134</v>
      </c>
      <c r="AZ21" s="31" t="n">
        <v>105</v>
      </c>
      <c r="BA21" s="31" t="n">
        <v>104</v>
      </c>
      <c r="BB21" s="31" t="n">
        <v>6</v>
      </c>
      <c r="BC21" s="31" t="n">
        <v>3</v>
      </c>
      <c r="BD21" s="31">
        <f>3+CW21</f>
        <v/>
      </c>
      <c r="BE21" s="31" t="n">
        <v>103</v>
      </c>
      <c r="BF21" s="31" t="n">
        <v>106</v>
      </c>
      <c r="BG21" s="31" t="n">
        <v>68</v>
      </c>
      <c r="BH21" s="31">
        <f>61+CT21</f>
        <v/>
      </c>
      <c r="BI21" s="31" t="n">
        <v>241</v>
      </c>
      <c r="BJ21" s="31" t="n">
        <v>210</v>
      </c>
      <c r="BK21" s="31" t="n">
        <v>283</v>
      </c>
      <c r="BL21" s="31" t="n">
        <v>242</v>
      </c>
      <c r="BM21" s="31" t="n">
        <v>227</v>
      </c>
      <c r="BN21" s="31" t="n">
        <v>218</v>
      </c>
      <c r="BO21" s="31" t="n">
        <v>228</v>
      </c>
      <c r="BP21" s="31" t="n">
        <v>183</v>
      </c>
      <c r="BQ21" s="31">
        <f>167+CL21</f>
        <v/>
      </c>
      <c r="BR21" s="31" t="n">
        <v>244</v>
      </c>
      <c r="BS21" s="31" t="n">
        <v>203</v>
      </c>
      <c r="BT21" s="31" t="n"/>
      <c r="BU21" s="31" t="n"/>
      <c r="BV21" s="31" t="n"/>
      <c r="BW21" s="31" t="n">
        <v>156</v>
      </c>
      <c r="BX21" s="31" t="n">
        <v>153</v>
      </c>
      <c r="BY21" s="31" t="n">
        <v>151</v>
      </c>
      <c r="BZ21" s="192">
        <f>BX21+IF(NOT(ISBLANK(OFFSET(BZ21,0,6))),N(OFFSET(BZ21,0,6)),N(OFFSET(BZ21,0,7)))-BY21</f>
        <v/>
      </c>
      <c r="CA21" s="50" t="n"/>
      <c r="CB21" s="210" t="n"/>
      <c r="CC21" s="4" t="n"/>
      <c r="CD21" s="49" t="n"/>
      <c r="CE21" s="2" t="n"/>
      <c r="CF21" s="23" t="n">
        <v>0</v>
      </c>
      <c r="CG21" s="23" t="n">
        <v>0</v>
      </c>
      <c r="CH21" s="23" t="n">
        <v>0</v>
      </c>
      <c r="CI21" s="23" t="n"/>
      <c r="CJ21" s="219" t="n">
        <v>400</v>
      </c>
      <c r="CK21" s="23" t="n"/>
      <c r="CL21" s="23" t="n">
        <v>100</v>
      </c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>
        <v>200</v>
      </c>
      <c r="CU21" s="23" t="n"/>
      <c r="CV21" s="23" t="n"/>
      <c r="CW21" s="23" t="n">
        <v>100</v>
      </c>
      <c r="CX21" s="23" t="n"/>
      <c r="CY21" s="23" t="n"/>
      <c r="CZ21" s="23" t="n"/>
      <c r="DA21" s="23" t="n"/>
      <c r="DB21" s="23" t="n"/>
      <c r="DC21" s="219" t="n">
        <v>600</v>
      </c>
      <c r="DD21" s="23" t="n"/>
      <c r="DE21" s="23" t="n">
        <v>100</v>
      </c>
      <c r="DF21" s="23" t="n">
        <v>100</v>
      </c>
      <c r="DG21" s="23" t="n"/>
      <c r="DH21" s="23" t="n"/>
      <c r="DI21" s="219" t="n"/>
      <c r="DJ21" s="437" t="inlineStr">
        <is>
          <t>05 P/ MD + 20 P/ BSH + 10 P/ GV + 15 P/ Q7 + 10 P/ Q2 + 10 P/ TTR + 10 P/ TDQ</t>
        </is>
      </c>
      <c r="DK21" s="23" t="n">
        <v>100</v>
      </c>
      <c r="DL21" s="219" t="n">
        <v>100</v>
      </c>
      <c r="DM21" s="23" t="n"/>
      <c r="DN21" s="23" t="n"/>
      <c r="DO21" s="23" t="n">
        <v>200</v>
      </c>
      <c r="DP21" s="23" t="n"/>
      <c r="DQ21" s="23" t="n">
        <v>200</v>
      </c>
      <c r="DR21" s="23" t="n"/>
      <c r="DS21" s="419" t="inlineStr">
        <is>
          <t>14 DE Q7</t>
        </is>
      </c>
      <c r="DT21" s="23" t="n">
        <v>100</v>
      </c>
      <c r="DU21" s="23" t="n"/>
      <c r="DV21" s="23" t="n"/>
      <c r="DW21" s="219" t="n">
        <v>100</v>
      </c>
      <c r="DX21" s="23" t="n">
        <v>100</v>
      </c>
      <c r="DY21" s="219" t="n">
        <v>100</v>
      </c>
      <c r="DZ21" s="23" t="n"/>
      <c r="EA21" s="23" t="n">
        <v>100</v>
      </c>
      <c r="EB21" s="23" t="n">
        <v>100</v>
      </c>
      <c r="EC21" s="23" t="n"/>
      <c r="ED21" s="23" t="n"/>
      <c r="EE21" s="23" t="n"/>
      <c r="EF21" s="23" t="n"/>
      <c r="EG21" s="292" t="inlineStr">
        <is>
          <t>35 DE Q2</t>
        </is>
      </c>
      <c r="EH21" s="219" t="n"/>
      <c r="EI21" s="23" t="n"/>
      <c r="EJ21" s="219" t="n">
        <v>200</v>
      </c>
      <c r="EK21" s="23" t="n"/>
      <c r="EL21" s="23" t="n"/>
      <c r="EM21" s="23" t="n"/>
      <c r="EN21" s="23" t="n">
        <v>100</v>
      </c>
      <c r="EO21" s="23" t="n"/>
      <c r="EP21" s="219" t="n"/>
      <c r="EQ21" s="23" t="n"/>
      <c r="ER21" s="219" t="n">
        <v>400</v>
      </c>
      <c r="ES21" s="23" t="n">
        <v>100</v>
      </c>
      <c r="ET21" s="736" t="inlineStr">
        <is>
          <t>50 DE GET</t>
        </is>
      </c>
      <c r="EU21" s="23" t="n">
        <v>300</v>
      </c>
      <c r="EV21" s="23" t="n"/>
      <c r="EW21" s="23" t="n">
        <v>200</v>
      </c>
      <c r="EX21" s="23" t="n">
        <v>100</v>
      </c>
      <c r="EY21" s="23" t="n">
        <v>100</v>
      </c>
      <c r="EZ21" s="282" t="inlineStr">
        <is>
          <t>70 DE MD</t>
        </is>
      </c>
      <c r="FA21" s="23" t="n"/>
      <c r="FB21" s="23" t="n">
        <v>100</v>
      </c>
      <c r="FC21" s="292" t="inlineStr">
        <is>
          <t>21 DE Q2</t>
        </is>
      </c>
      <c r="FD21" s="23" t="n"/>
      <c r="FE21" s="23" t="n"/>
      <c r="FF21" s="23" t="n">
        <v>100</v>
      </c>
      <c r="FG21" s="260" t="inlineStr">
        <is>
          <t>20 DE Q7 + 54 DE MD</t>
        </is>
      </c>
      <c r="FH21" s="23" t="n"/>
      <c r="FJ21" s="65" t="inlineStr">
        <is>
          <t>CAIXA M</t>
        </is>
      </c>
      <c r="FK21" s="699" t="n">
        <v>100</v>
      </c>
      <c r="FL21" s="697">
        <f>CJ21</f>
        <v/>
      </c>
      <c r="FM21" s="697" t="n"/>
      <c r="FN21" s="697" t="n"/>
      <c r="FO21" s="697" t="n">
        <v>356</v>
      </c>
      <c r="FP21" s="697" t="n">
        <v>331</v>
      </c>
      <c r="FQ21" s="697" t="n"/>
      <c r="FR21" s="431">
        <f>FP21+IF(NOT(ISBLANK(OFFSET(FR21,0,6))),N(OFFSET(FR21,0,6)),N(OFFSET(FR21,0,7)))-FQ21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726" t="n"/>
      <c r="F22" s="697" t="n">
        <v>42</v>
      </c>
      <c r="G22" s="697" t="n">
        <v>36</v>
      </c>
      <c r="H22" s="697" t="n">
        <v>30</v>
      </c>
      <c r="I22" s="697" t="n">
        <v>21</v>
      </c>
      <c r="J22" s="697" t="n">
        <v>71</v>
      </c>
      <c r="K22" s="697" t="n">
        <v>63</v>
      </c>
      <c r="L22" s="697" t="n">
        <v>71</v>
      </c>
      <c r="M22" s="697" t="n">
        <v>71</v>
      </c>
      <c r="N22" s="697" t="n">
        <v>65</v>
      </c>
      <c r="O22" s="697" t="n">
        <v>65</v>
      </c>
      <c r="P22" s="697" t="n">
        <v>63</v>
      </c>
      <c r="Q22" s="697" t="n">
        <v>63</v>
      </c>
      <c r="R22" s="697" t="n">
        <v>63</v>
      </c>
      <c r="S22" s="697" t="n">
        <v>63</v>
      </c>
      <c r="T22" s="697" t="n">
        <v>60</v>
      </c>
      <c r="U22" s="697" t="n">
        <v>60</v>
      </c>
      <c r="V22" s="697" t="n">
        <v>58</v>
      </c>
      <c r="W22" s="697" t="n">
        <v>58</v>
      </c>
      <c r="X22" s="697" t="n">
        <v>58</v>
      </c>
      <c r="Y22" s="697" t="n">
        <v>58</v>
      </c>
      <c r="Z22" s="697" t="n">
        <v>54</v>
      </c>
      <c r="AA22" s="697" t="n">
        <v>56</v>
      </c>
      <c r="AB22" s="697" t="n">
        <v>56</v>
      </c>
      <c r="AC22" s="697" t="n">
        <v>56</v>
      </c>
      <c r="AD22" s="697" t="n">
        <v>56</v>
      </c>
      <c r="AE22" s="697" t="n">
        <v>54</v>
      </c>
      <c r="AF22" s="697" t="n">
        <v>54</v>
      </c>
      <c r="AG22" s="697" t="n">
        <v>50</v>
      </c>
      <c r="AH22" s="697" t="n">
        <v>50</v>
      </c>
      <c r="AI22" s="697" t="n">
        <v>50</v>
      </c>
      <c r="AJ22" s="697" t="n">
        <v>50</v>
      </c>
      <c r="AK22" s="697" t="n">
        <v>50</v>
      </c>
      <c r="AL22" s="697" t="n">
        <v>49</v>
      </c>
      <c r="AM22" s="697" t="n">
        <v>48</v>
      </c>
      <c r="AN22" s="697" t="n">
        <v>48</v>
      </c>
      <c r="AO22" s="697" t="n">
        <v>48</v>
      </c>
      <c r="AP22" s="697" t="n">
        <v>48</v>
      </c>
      <c r="AQ22" s="697" t="n">
        <v>48</v>
      </c>
      <c r="AR22" s="697" t="n">
        <v>43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43</v>
      </c>
      <c r="AX22" s="697" t="n">
        <v>43</v>
      </c>
      <c r="AY22" s="697" t="n">
        <v>43</v>
      </c>
      <c r="AZ22" s="697" t="n">
        <v>43</v>
      </c>
      <c r="BA22" s="697" t="n">
        <v>43</v>
      </c>
      <c r="BB22" s="697" t="n">
        <v>43</v>
      </c>
      <c r="BC22" s="697" t="n">
        <v>35</v>
      </c>
      <c r="BD22" s="697" t="n">
        <v>35</v>
      </c>
      <c r="BE22" s="697" t="n">
        <v>35</v>
      </c>
      <c r="BF22" s="697" t="n">
        <v>26</v>
      </c>
      <c r="BG22" s="697" t="n">
        <v>26</v>
      </c>
      <c r="BH22" s="697" t="n">
        <v>26</v>
      </c>
      <c r="BI22" s="697" t="n">
        <v>26</v>
      </c>
      <c r="BJ22" s="697" t="n">
        <v>26</v>
      </c>
      <c r="BK22" s="697" t="n">
        <v>26</v>
      </c>
      <c r="BL22" s="697" t="n">
        <v>26</v>
      </c>
      <c r="BM22" s="697" t="n">
        <v>25</v>
      </c>
      <c r="BN22" s="697" t="n">
        <v>25</v>
      </c>
      <c r="BO22" s="697" t="n">
        <v>25</v>
      </c>
      <c r="BP22" s="697" t="n">
        <v>25</v>
      </c>
      <c r="BQ22" s="697" t="n">
        <v>25</v>
      </c>
      <c r="BR22" s="697" t="n">
        <v>25</v>
      </c>
      <c r="BS22" s="697" t="n">
        <v>25</v>
      </c>
      <c r="BT22" s="697" t="n">
        <v>25</v>
      </c>
      <c r="BU22" s="697" t="n">
        <v>25</v>
      </c>
      <c r="BV22" s="697" t="n">
        <v>25</v>
      </c>
      <c r="BW22" s="697" t="n">
        <v>25</v>
      </c>
      <c r="BX22" s="697" t="n">
        <v>25</v>
      </c>
      <c r="BY22" s="697" t="n">
        <v>20</v>
      </c>
      <c r="BZ22" s="192">
        <f>BX22+IF(NOT(ISBLANK(OFFSET(BZ22,0,6))),N(OFFSET(BZ22,0,6)),N(OFFSET(BZ22,0,7)))-BY22</f>
        <v/>
      </c>
      <c r="CA22" s="50" t="n"/>
      <c r="CB22" s="210" t="n"/>
      <c r="CC22" s="4" t="n"/>
      <c r="CD22" s="49" t="n"/>
      <c r="CE22" s="726" t="n"/>
      <c r="CF22" s="23" t="n">
        <v>0</v>
      </c>
      <c r="CG22" s="23" t="n">
        <v>0</v>
      </c>
      <c r="CH22" s="23" t="n">
        <v>0</v>
      </c>
      <c r="CI22" s="23" t="n"/>
      <c r="CJ22" s="219" t="n">
        <v>400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443" t="n">
        <v>600</v>
      </c>
      <c r="DD22" s="23" t="n"/>
      <c r="DE22" s="23" t="n"/>
      <c r="DF22" s="23" t="n"/>
      <c r="DG22" s="23" t="n"/>
      <c r="DH22" s="23" t="n"/>
      <c r="DI22" s="219" t="n"/>
      <c r="DJ22" s="219" t="n"/>
      <c r="DK22" s="23" t="n"/>
      <c r="DL22" s="219" t="n"/>
      <c r="DM22" s="23" t="n"/>
      <c r="DN22" s="23" t="n"/>
      <c r="DO22" s="23" t="n"/>
      <c r="DP22" s="23" t="n"/>
      <c r="DQ22" s="23" t="n"/>
      <c r="DR22" s="23" t="n"/>
      <c r="DS22" s="23" t="n"/>
      <c r="DT22" s="23" t="n"/>
      <c r="DU22" s="23" t="n"/>
      <c r="DV22" s="23" t="n"/>
      <c r="DW22" s="219" t="n"/>
      <c r="DX22" s="23" t="n"/>
      <c r="DY22" s="219" t="n">
        <v>150</v>
      </c>
      <c r="DZ22" s="23" t="n"/>
      <c r="EA22" s="23" t="n"/>
      <c r="EB22" s="23" t="n"/>
      <c r="EC22" s="23" t="n"/>
      <c r="ED22" s="23" t="n"/>
      <c r="EE22" s="23" t="n"/>
      <c r="EF22" s="23" t="n"/>
      <c r="EG22" s="219" t="n"/>
      <c r="EH22" s="219" t="n"/>
      <c r="EI22" s="23" t="n"/>
      <c r="EJ22" s="219" t="n">
        <v>100</v>
      </c>
      <c r="EK22" s="23" t="n"/>
      <c r="EL22" s="23" t="n"/>
      <c r="EM22" s="23" t="n"/>
      <c r="EN22" s="23" t="n"/>
      <c r="EO22" s="23" t="n"/>
      <c r="EP22" s="219" t="n"/>
      <c r="EQ22" s="23" t="n"/>
      <c r="ER22" s="219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19" t="n"/>
      <c r="FH22" s="23" t="n"/>
      <c r="FJ22" s="66" t="inlineStr">
        <is>
          <t>CARTUCHO P</t>
        </is>
      </c>
      <c r="FK22" s="699" t="n">
        <v>200</v>
      </c>
      <c r="FL22" s="697">
        <f>CJ22</f>
        <v/>
      </c>
      <c r="FM22" s="697" t="n"/>
      <c r="FN22" s="697" t="n"/>
      <c r="FO22" s="697" t="n">
        <v>263</v>
      </c>
      <c r="FP22" s="697" t="n">
        <v>216</v>
      </c>
      <c r="FQ22" s="697" t="n"/>
      <c r="FR22" s="431">
        <f>FP22+IF(NOT(ISBLANK(OFFSET(FR22,0,6))),N(OFFSET(FR22,0,6)),N(OFFSET(FR22,0,7)))-FQ22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0+CP23</f>
        <v/>
      </c>
      <c r="BL23" s="697" t="n">
        <v>147</v>
      </c>
      <c r="BM23" s="697" t="n">
        <v>133</v>
      </c>
      <c r="BN23" s="697" t="n">
        <v>117</v>
      </c>
      <c r="BO23" s="697" t="n">
        <v>104</v>
      </c>
      <c r="BP23" s="697" t="n">
        <v>68</v>
      </c>
      <c r="BQ23" s="697">
        <f>41+CL23</f>
        <v/>
      </c>
      <c r="BR23" s="697" t="n">
        <v>170</v>
      </c>
      <c r="BS23" s="697">
        <f>153+CI23</f>
        <v/>
      </c>
      <c r="BT23" s="697" t="n"/>
      <c r="BU23" s="697" t="n"/>
      <c r="BV23" s="697" t="n"/>
      <c r="BW23" s="697" t="n">
        <v>274</v>
      </c>
      <c r="BX23" s="697" t="n">
        <v>272</v>
      </c>
      <c r="BY23" s="697" t="n"/>
      <c r="BZ23" s="192">
        <f>BX23+IF(NOT(ISBLANK(OFFSET(BZ23,0,6))),N(OFFSET(BZ23,0,6)),N(OFFSET(BZ23,0,7)))-BY23</f>
        <v/>
      </c>
      <c r="CB23" s="210" t="n"/>
      <c r="CD23" s="49" t="n"/>
      <c r="CF23" s="23" t="n">
        <v>0</v>
      </c>
      <c r="CG23" s="23" t="n">
        <v>0</v>
      </c>
      <c r="CH23" s="23" t="n">
        <v>0</v>
      </c>
      <c r="CI23" s="23" t="n">
        <v>150</v>
      </c>
      <c r="CJ23" s="219" t="n">
        <v>300</v>
      </c>
      <c r="CK23" s="23" t="n"/>
      <c r="CL23" s="23" t="n">
        <v>150</v>
      </c>
      <c r="CM23" s="23" t="n"/>
      <c r="CN23" s="23" t="n"/>
      <c r="CO23" s="23" t="n"/>
      <c r="CP23" s="23" t="n">
        <v>150</v>
      </c>
      <c r="CQ23" s="23" t="n"/>
      <c r="CR23" s="23" t="n"/>
      <c r="CS23" s="23" t="n"/>
      <c r="CT23" s="23" t="n"/>
      <c r="CU23" s="23" t="n"/>
      <c r="CV23" s="23" t="n"/>
      <c r="CW23" s="29" t="n"/>
      <c r="CX23" s="29" t="n"/>
      <c r="CY23" s="29" t="n"/>
      <c r="CZ23" s="29" t="n"/>
      <c r="DA23" s="29" t="n"/>
      <c r="DB23" s="29" t="n"/>
      <c r="DC23" s="326" t="n">
        <v>450</v>
      </c>
      <c r="DD23" s="29" t="n"/>
      <c r="DE23" s="29" t="n"/>
      <c r="DF23" s="29" t="n"/>
      <c r="DG23" s="29" t="n"/>
      <c r="DH23" s="29" t="n"/>
      <c r="DI23" s="5" t="n"/>
      <c r="DJ23" s="5" t="n"/>
      <c r="DK23" s="29" t="n"/>
      <c r="DL23" s="5" t="n"/>
      <c r="DM23" s="29" t="n"/>
      <c r="DN23" s="29" t="n"/>
      <c r="DO23" s="29" t="n"/>
      <c r="DP23" s="29" t="n"/>
      <c r="DQ23" s="29" t="n"/>
      <c r="DR23" s="29" t="n"/>
      <c r="DS23" s="29" t="n"/>
      <c r="DT23" s="29" t="n"/>
      <c r="DU23" s="417" t="inlineStr">
        <is>
          <t>15 DE Q2</t>
        </is>
      </c>
      <c r="DV23" s="29" t="n"/>
      <c r="DX23" s="29" t="n"/>
      <c r="DY23" s="5" t="n"/>
      <c r="DZ23" s="29" t="n"/>
      <c r="EA23" s="29" t="n"/>
      <c r="EB23" s="29" t="n"/>
      <c r="EC23" s="29" t="n"/>
      <c r="ED23" s="29" t="n"/>
      <c r="EF23" s="29" t="n"/>
      <c r="EJ23" s="5" t="n"/>
      <c r="EO23" s="29" t="n"/>
      <c r="ER23" s="326" t="n">
        <v>400</v>
      </c>
      <c r="ET23" s="29" t="n"/>
      <c r="FC23" s="29" t="n"/>
      <c r="FJ23" s="66" t="inlineStr">
        <is>
          <t>CARTUCHO M</t>
        </is>
      </c>
      <c r="FK23" s="699" t="n">
        <v>150</v>
      </c>
      <c r="FL23" s="697">
        <f>CJ23</f>
        <v/>
      </c>
      <c r="FM23" s="697" t="n"/>
      <c r="FN23" s="697" t="n"/>
      <c r="FO23" s="697" t="n">
        <v>270</v>
      </c>
      <c r="FP23" s="697" t="n">
        <v>235</v>
      </c>
      <c r="FQ23" s="697" t="n"/>
      <c r="FR23" s="431">
        <f>FP23+IF(NOT(ISBLANK(OFFSET(FR23,0,6))),N(OFFSET(FR23,0,6)),N(OFFSET(FR23,0,7)))-FQ23</f>
        <v/>
      </c>
    </row>
    <row r="24">
      <c r="CF24" s="29" t="n"/>
      <c r="CG24" s="29" t="n"/>
      <c r="CH24" s="29" t="n"/>
      <c r="CI24" s="29" t="n"/>
      <c r="CJ24" s="5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29" t="n"/>
      <c r="DC24" s="327" t="n"/>
      <c r="DD24" s="29" t="n"/>
      <c r="DE24" s="29" t="n"/>
      <c r="DF24" s="29" t="n"/>
      <c r="DG24" s="29" t="n"/>
      <c r="DH24" s="29" t="n"/>
      <c r="DI24" s="5" t="n"/>
      <c r="DJ24" s="5" t="n"/>
      <c r="DK24" s="29" t="n"/>
      <c r="DL24" s="5" t="n"/>
      <c r="DM24" s="29" t="n"/>
      <c r="DN24" s="29" t="n"/>
      <c r="DO24" s="29" t="n"/>
      <c r="DP24" s="29" t="n"/>
      <c r="DQ24" s="29" t="n"/>
      <c r="DR24" s="29" t="n"/>
      <c r="DS24" s="29" t="n"/>
      <c r="DT24" s="29" t="n"/>
      <c r="DU24" s="417" t="n"/>
      <c r="DV24" s="29" t="n"/>
      <c r="DX24" s="29" t="n"/>
      <c r="DY24" s="5" t="n"/>
      <c r="DZ24" s="29" t="n"/>
      <c r="EA24" s="29" t="n"/>
      <c r="EB24" s="29" t="n"/>
      <c r="EC24" s="29" t="n"/>
      <c r="ED24" s="29" t="n"/>
      <c r="EF24" s="29" t="n"/>
      <c r="EJ24" s="5" t="n"/>
      <c r="EO24" s="29" t="n"/>
      <c r="ER24" s="326" t="n"/>
      <c r="ET24" s="29" t="n"/>
      <c r="FC24" s="29" t="n"/>
      <c r="FJ24" s="5" t="n"/>
      <c r="FK24" s="5" t="n"/>
      <c r="FL24" s="5" t="n"/>
      <c r="FM24" s="5" t="n"/>
      <c r="FN24" s="5" t="n"/>
      <c r="FO24" s="5" t="n"/>
      <c r="FP24" s="5" t="n"/>
      <c r="FQ24" s="5" t="n"/>
      <c r="FR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F25" s="29" t="n"/>
      <c r="CG25" s="29" t="n"/>
      <c r="CH25" s="29" t="n"/>
      <c r="CI25" s="29" t="n"/>
      <c r="CJ25" s="5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29" t="n"/>
      <c r="DC25" s="5" t="n"/>
      <c r="DD25" s="29" t="n"/>
      <c r="DE25" s="29" t="n"/>
      <c r="DF25" s="29" t="n"/>
      <c r="DG25" s="29" t="n"/>
      <c r="DH25" s="29" t="n"/>
      <c r="DI25" s="5" t="n"/>
      <c r="DJ25" s="5" t="n"/>
      <c r="DK25" s="29" t="n"/>
      <c r="DL25" s="5" t="n"/>
      <c r="DM25" s="29" t="n"/>
      <c r="DN25" s="29" t="n"/>
      <c r="DO25" s="29" t="n"/>
      <c r="DP25" s="29" t="n"/>
      <c r="DQ25" s="29" t="n"/>
      <c r="DR25" s="29" t="n"/>
      <c r="DS25" s="29" t="n"/>
      <c r="DT25" s="29" t="n"/>
      <c r="DU25" s="417" t="inlineStr">
        <is>
          <t>15 DE Q2</t>
        </is>
      </c>
      <c r="DV25" s="29" t="n"/>
      <c r="DX25" s="29" t="n"/>
      <c r="DY25" s="5" t="n"/>
      <c r="DZ25" s="29" t="n"/>
      <c r="EA25" s="29" t="n"/>
      <c r="EB25" s="29" t="n"/>
      <c r="EC25" s="29" t="n"/>
      <c r="ED25" s="29" t="n"/>
      <c r="EF25" s="29" t="n"/>
      <c r="EJ25" s="5" t="n"/>
      <c r="EO25" s="29" t="n"/>
      <c r="ER25" s="326" t="n">
        <v>300</v>
      </c>
      <c r="ET25" s="29" t="n"/>
      <c r="FC25" s="29" t="n"/>
      <c r="FJ25" s="5" t="n"/>
      <c r="FK25" s="5" t="n"/>
      <c r="FL25" s="5" t="n"/>
      <c r="FM25" s="5" t="n"/>
      <c r="FN25" s="5" t="n"/>
      <c r="FO25" s="5" t="n"/>
      <c r="FP25" s="5" t="n"/>
      <c r="FQ25" s="5" t="n"/>
      <c r="FR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>
        <f>10+21</f>
        <v/>
      </c>
      <c r="I26" s="697" t="n">
        <v>31</v>
      </c>
      <c r="J26" s="697" t="n">
        <v>6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F26" s="29" t="n"/>
      <c r="CG26" s="29" t="n"/>
      <c r="CH26" s="29" t="n"/>
      <c r="CI26" s="29" t="n"/>
      <c r="CJ26" s="5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29" t="n"/>
      <c r="DC26" s="5" t="n"/>
      <c r="DD26" s="29" t="n"/>
      <c r="DE26" s="29" t="n"/>
      <c r="DF26" s="29" t="n"/>
      <c r="DG26" s="29" t="n"/>
      <c r="DH26" s="29" t="n"/>
      <c r="DI26" s="5" t="n"/>
      <c r="DJ26" s="5" t="n"/>
      <c r="DK26" s="29" t="n"/>
      <c r="DL26" s="5" t="n"/>
      <c r="DM26" s="29" t="n"/>
      <c r="DN26" s="29" t="n"/>
      <c r="DO26" s="29" t="n"/>
      <c r="DP26" s="29" t="n"/>
      <c r="DQ26" s="29" t="n"/>
      <c r="DR26" s="29" t="n"/>
      <c r="DS26" s="29" t="n"/>
      <c r="DT26" s="29" t="n"/>
      <c r="DU26" s="417" t="inlineStr">
        <is>
          <t>15 DE Q2</t>
        </is>
      </c>
      <c r="DV26" s="29" t="n"/>
      <c r="DX26" s="29" t="n"/>
      <c r="DY26" s="5" t="n"/>
      <c r="DZ26" s="29" t="n"/>
      <c r="EA26" s="29" t="n"/>
      <c r="EB26" s="29" t="n"/>
      <c r="EC26" s="29" t="n"/>
      <c r="ED26" s="29" t="n"/>
      <c r="EF26" s="29" t="n"/>
      <c r="EG26" s="327" t="n"/>
      <c r="EH26" s="327" t="n"/>
      <c r="EJ26" s="5" t="n"/>
      <c r="EO26" s="29" t="n"/>
      <c r="EP26" s="327" t="n"/>
      <c r="ER26" s="327" t="n"/>
      <c r="ET26" s="29" t="n"/>
      <c r="FC26" s="29" t="n"/>
      <c r="FJ26" s="5" t="n"/>
      <c r="FK26" s="5" t="n"/>
      <c r="FL26" s="5" t="n"/>
      <c r="FM26" s="5" t="n"/>
      <c r="FN26" s="5" t="n"/>
      <c r="FO26" s="5" t="n"/>
      <c r="FP26" s="5" t="n"/>
      <c r="FQ26" s="5" t="n"/>
      <c r="FR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503</v>
      </c>
      <c r="G27" s="697" t="n">
        <v>503</v>
      </c>
      <c r="H27" s="697" t="n">
        <v>503</v>
      </c>
      <c r="I27" s="697" t="n">
        <v>502</v>
      </c>
      <c r="J27" s="697" t="n">
        <v>428</v>
      </c>
      <c r="K27" s="697" t="n">
        <v>430</v>
      </c>
      <c r="L27" s="697" t="n">
        <v>428</v>
      </c>
      <c r="M27" s="697" t="n">
        <v>413</v>
      </c>
      <c r="N27" s="697" t="n">
        <v>412</v>
      </c>
      <c r="O27" s="697" t="n">
        <v>405</v>
      </c>
      <c r="P27" s="697" t="n">
        <v>403</v>
      </c>
      <c r="Q27" s="697" t="n">
        <v>399</v>
      </c>
      <c r="R27" s="697" t="n">
        <v>399</v>
      </c>
      <c r="S27" s="697" t="n">
        <v>399</v>
      </c>
      <c r="T27" s="697" t="n">
        <v>384</v>
      </c>
      <c r="U27" s="697" t="n">
        <v>384</v>
      </c>
      <c r="V27" s="697" t="n">
        <v>377</v>
      </c>
      <c r="W27" s="697" t="n">
        <v>377</v>
      </c>
      <c r="X27" s="697" t="n">
        <v>377</v>
      </c>
      <c r="Y27" s="697" t="n">
        <v>377</v>
      </c>
      <c r="Z27" s="697" t="n">
        <v>364</v>
      </c>
      <c r="AA27" s="697" t="n">
        <v>361</v>
      </c>
      <c r="AB27" s="697" t="n">
        <v>361</v>
      </c>
      <c r="AC27" s="697" t="n">
        <v>359</v>
      </c>
      <c r="AD27" s="697" t="n">
        <v>359</v>
      </c>
      <c r="AE27" s="697" t="n">
        <v>356</v>
      </c>
      <c r="AF27" s="697" t="n">
        <v>352</v>
      </c>
      <c r="AG27" s="697" t="n">
        <v>352</v>
      </c>
      <c r="AH27" s="697" t="n">
        <v>344</v>
      </c>
      <c r="AI27" s="697" t="n">
        <v>342</v>
      </c>
      <c r="AJ27" s="697" t="n">
        <v>341</v>
      </c>
      <c r="AK27" s="697" t="n">
        <v>341</v>
      </c>
      <c r="AL27" s="697" t="n">
        <v>341</v>
      </c>
      <c r="AM27" s="697" t="n">
        <v>340</v>
      </c>
      <c r="AN27" s="697" t="n">
        <v>340</v>
      </c>
      <c r="AO27" s="697" t="n">
        <v>340</v>
      </c>
      <c r="AP27" s="697" t="n">
        <v>340</v>
      </c>
      <c r="AQ27" s="697" t="n">
        <v>340</v>
      </c>
      <c r="AR27" s="697" t="n">
        <v>333</v>
      </c>
      <c r="AS27" s="697" t="n">
        <v>330</v>
      </c>
      <c r="AT27" s="697" t="n">
        <v>328</v>
      </c>
      <c r="AU27" s="697" t="n">
        <v>328</v>
      </c>
      <c r="AV27" s="697" t="n">
        <v>328</v>
      </c>
      <c r="AW27" s="697" t="n">
        <v>328</v>
      </c>
      <c r="AX27" s="697" t="n">
        <v>328</v>
      </c>
      <c r="AY27" s="697" t="n">
        <v>328</v>
      </c>
      <c r="AZ27" s="697" t="n">
        <v>328</v>
      </c>
      <c r="BA27" s="697" t="n">
        <v>328</v>
      </c>
      <c r="BB27" s="697" t="n">
        <v>328</v>
      </c>
      <c r="BC27" s="697" t="n">
        <v>304</v>
      </c>
      <c r="BD27" s="697" t="n">
        <v>304</v>
      </c>
      <c r="BE27" s="697" t="n">
        <v>304</v>
      </c>
      <c r="BF27" s="697" t="n">
        <v>287</v>
      </c>
      <c r="BG27" s="697" t="n">
        <v>287</v>
      </c>
      <c r="BH27" s="697" t="n">
        <v>287</v>
      </c>
      <c r="BI27" s="697" t="n">
        <v>287</v>
      </c>
      <c r="BJ27" s="697" t="n">
        <v>287</v>
      </c>
      <c r="BK27" s="697" t="n">
        <v>287</v>
      </c>
      <c r="BL27" s="697" t="n">
        <v>287</v>
      </c>
      <c r="BM27" s="697" t="n">
        <v>279</v>
      </c>
      <c r="BN27" s="697" t="n">
        <v>279</v>
      </c>
      <c r="BO27" s="697" t="n">
        <v>279</v>
      </c>
      <c r="BP27" s="697" t="n">
        <v>279</v>
      </c>
      <c r="BQ27" s="697" t="n">
        <v>279</v>
      </c>
      <c r="BR27" s="697" t="n">
        <v>279</v>
      </c>
      <c r="BS27" s="697" t="n">
        <v>279</v>
      </c>
      <c r="BT27" s="697" t="n">
        <v>279</v>
      </c>
      <c r="BU27" s="697" t="n">
        <v>279</v>
      </c>
      <c r="BV27" s="697" t="n">
        <v>279</v>
      </c>
      <c r="BW27" s="697" t="n">
        <v>279</v>
      </c>
      <c r="BX27" s="697" t="n">
        <v>279</v>
      </c>
      <c r="BY27" s="697" t="n">
        <v>272</v>
      </c>
      <c r="BZ27" s="192">
        <f>BX27+IF(NOT(ISBLANK(OFFSET(BZ27,0,6))),N(OFFSET(BZ27,0,6)),N(OFFSET(BZ27,0,7)))-BY27</f>
        <v/>
      </c>
      <c r="CF27" s="29" t="n"/>
      <c r="CG27" s="29" t="n"/>
      <c r="CH27" s="29" t="n"/>
      <c r="CI27" s="29" t="n"/>
      <c r="CJ27" s="5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29" t="n"/>
      <c r="DC27" s="5" t="n"/>
      <c r="DD27" s="29" t="n"/>
      <c r="DE27" s="29" t="n"/>
      <c r="DF27" s="29" t="n"/>
      <c r="DG27" s="29" t="n"/>
      <c r="DH27" s="29" t="n"/>
      <c r="DI27" s="5" t="n"/>
      <c r="DJ27" s="5" t="n"/>
      <c r="DK27" s="29" t="n"/>
      <c r="DL27" s="5" t="n"/>
      <c r="DM27" s="29" t="n"/>
      <c r="DN27" s="29" t="n"/>
      <c r="DO27" s="29" t="n"/>
      <c r="DP27" s="29" t="n"/>
      <c r="DQ27" s="29" t="n"/>
      <c r="DR27" s="29" t="n"/>
      <c r="DS27" s="29" t="n"/>
      <c r="DT27" s="29" t="n"/>
      <c r="DU27" s="29" t="n"/>
      <c r="DV27" s="29" t="n"/>
      <c r="DX27" s="29" t="n"/>
      <c r="DY27" s="5" t="n"/>
      <c r="DZ27" s="29" t="n"/>
      <c r="EA27" s="29" t="n"/>
      <c r="EB27" s="29" t="n"/>
      <c r="EC27" s="29" t="n"/>
      <c r="ED27" s="29" t="n"/>
      <c r="EF27" s="29" t="n"/>
      <c r="EG27" s="327" t="n"/>
      <c r="EH27" s="327" t="n"/>
      <c r="EJ27" s="5" t="n"/>
      <c r="EO27" s="29" t="n"/>
      <c r="EP27" s="327" t="n"/>
      <c r="ER27" s="327" t="n"/>
      <c r="ET27" s="29" t="n"/>
      <c r="FC27" s="29" t="n"/>
      <c r="FJ27" s="5" t="n"/>
      <c r="FK27" s="5" t="n"/>
      <c r="FL27" s="5" t="n"/>
      <c r="FM27" s="5" t="n"/>
      <c r="FN27" s="5" t="n"/>
      <c r="FO27" s="5" t="n"/>
      <c r="FP27" s="5" t="n"/>
      <c r="FQ27" s="5" t="n"/>
      <c r="FR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77</v>
      </c>
      <c r="G28" s="699" t="n">
        <v>45</v>
      </c>
      <c r="H28" s="697" t="n">
        <v>12</v>
      </c>
      <c r="I28" s="697" t="n">
        <v>8</v>
      </c>
      <c r="J28" s="697" t="n">
        <v>8</v>
      </c>
      <c r="K28" s="697" t="n">
        <v>5</v>
      </c>
      <c r="L28" s="697" t="n">
        <v>4</v>
      </c>
      <c r="M28" s="697" t="n">
        <v>4</v>
      </c>
      <c r="N28" s="697" t="n">
        <v>4</v>
      </c>
      <c r="O28" s="697" t="n">
        <v>4</v>
      </c>
      <c r="P28" s="697" t="n">
        <v>4</v>
      </c>
      <c r="Q28" s="697" t="n">
        <v>2</v>
      </c>
      <c r="R28" s="697" t="n">
        <v>2</v>
      </c>
      <c r="S28" s="697" t="n">
        <v>0</v>
      </c>
      <c r="T28" s="697" t="n">
        <v>0</v>
      </c>
      <c r="U28" s="697" t="n">
        <v>0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0</v>
      </c>
      <c r="AA28" s="697" t="n">
        <v>0</v>
      </c>
      <c r="AB28" s="697" t="n">
        <v>0</v>
      </c>
      <c r="AC28" s="697" t="n">
        <v>0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F28" s="29" t="n"/>
      <c r="CG28" s="29" t="n"/>
      <c r="CH28" s="29" t="n"/>
      <c r="CI28" s="29" t="n"/>
      <c r="CJ28" s="5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29" t="n"/>
      <c r="DC28" s="5" t="n"/>
      <c r="DD28" s="29" t="n"/>
      <c r="DE28" s="29" t="n"/>
      <c r="DF28" s="29" t="n"/>
      <c r="DG28" s="29" t="n"/>
      <c r="DH28" s="29" t="n"/>
      <c r="DI28" s="5" t="n"/>
      <c r="DJ28" s="5" t="n"/>
      <c r="DK28" s="29" t="n"/>
      <c r="DL28" s="5" t="n"/>
      <c r="DM28" s="29" t="n"/>
      <c r="DN28" s="29" t="n"/>
      <c r="DO28" s="29" t="n"/>
      <c r="DP28" s="29" t="n"/>
      <c r="DQ28" s="29" t="n"/>
      <c r="DR28" s="29" t="n"/>
      <c r="DS28" s="29" t="n"/>
      <c r="DT28" s="29" t="n"/>
      <c r="DU28" s="29" t="n"/>
      <c r="DV28" s="29" t="n"/>
      <c r="DW28" s="573" t="n"/>
      <c r="DX28" s="29" t="n"/>
      <c r="DY28" s="5" t="n"/>
      <c r="DZ28" s="29" t="n"/>
      <c r="EA28" s="29" t="n"/>
      <c r="EB28" s="29" t="n"/>
      <c r="EC28" s="29" t="n"/>
      <c r="ED28" s="29" t="n"/>
      <c r="EF28" s="29" t="n"/>
      <c r="EG28" s="327" t="n"/>
      <c r="EH28" s="327" t="n"/>
      <c r="EJ28" s="5" t="n"/>
      <c r="EO28" s="29" t="n"/>
      <c r="EP28" s="327" t="n"/>
      <c r="ER28" s="327" t="n"/>
      <c r="ET28" s="29" t="n"/>
      <c r="FC28" s="29" t="n"/>
      <c r="FJ28" s="5" t="n"/>
      <c r="FK28" s="5" t="n"/>
      <c r="FL28" s="5" t="n"/>
      <c r="FM28" s="5" t="n"/>
      <c r="FN28" s="5" t="n"/>
      <c r="FO28" s="5" t="n"/>
      <c r="FP28" s="5" t="n"/>
      <c r="FQ28" s="5" t="n"/>
      <c r="FR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0</v>
      </c>
      <c r="G29" s="699" t="n">
        <v>54</v>
      </c>
      <c r="H29" s="697" t="n">
        <v>12</v>
      </c>
      <c r="I29" s="697" t="n">
        <v>9</v>
      </c>
      <c r="J29" s="697" t="n">
        <v>8</v>
      </c>
      <c r="K29" s="697" t="n">
        <v>6</v>
      </c>
      <c r="L29" s="697" t="n">
        <v>4</v>
      </c>
      <c r="M29" s="697" t="n">
        <v>2</v>
      </c>
      <c r="N29" s="697" t="n">
        <v>2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0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F29" s="29" t="n"/>
      <c r="CG29" s="29" t="n"/>
      <c r="CH29" s="29" t="n"/>
      <c r="CI29" s="29" t="n"/>
      <c r="CJ29" s="5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29" t="n"/>
      <c r="DC29" s="5" t="n"/>
      <c r="DD29" s="29" t="n"/>
      <c r="DE29" s="29" t="n"/>
      <c r="DF29" s="29" t="n"/>
      <c r="DG29" s="29" t="n"/>
      <c r="DH29" s="29" t="n"/>
      <c r="DI29" s="5" t="n"/>
      <c r="DJ29" s="5" t="n"/>
      <c r="DK29" s="29" t="n"/>
      <c r="DL29" s="5" t="n"/>
      <c r="DM29" s="29" t="n"/>
      <c r="DN29" s="29" t="n"/>
      <c r="DO29" s="29" t="n"/>
      <c r="DP29" s="29" t="n"/>
      <c r="DQ29" s="29" t="n"/>
      <c r="DR29" s="29" t="n"/>
      <c r="DS29" s="29" t="n"/>
      <c r="DT29" s="29" t="n"/>
      <c r="DU29" s="29" t="n"/>
      <c r="DV29" s="29" t="n"/>
      <c r="DW29" s="573" t="n"/>
      <c r="DX29" s="29" t="n"/>
      <c r="DY29" s="5" t="n"/>
      <c r="DZ29" s="29" t="n"/>
      <c r="EA29" s="29" t="n"/>
      <c r="EB29" s="29" t="n"/>
      <c r="EC29" s="29" t="n"/>
      <c r="ED29" s="29" t="n"/>
      <c r="EF29" s="29" t="n"/>
      <c r="EG29" s="327" t="n"/>
      <c r="EH29" s="327" t="n"/>
      <c r="EJ29" s="5" t="n"/>
      <c r="EO29" s="29" t="n"/>
      <c r="EP29" s="327" t="n"/>
      <c r="ER29" s="327" t="n"/>
      <c r="ET29" s="29" t="n"/>
      <c r="FC29" s="29" t="n"/>
      <c r="FJ29" s="5" t="n"/>
      <c r="FK29" s="5" t="n"/>
      <c r="FL29" s="5" t="n"/>
      <c r="FM29" s="5" t="n"/>
      <c r="FN29" s="5" t="n"/>
      <c r="FO29" s="5" t="n"/>
      <c r="FP29" s="5" t="n"/>
      <c r="FQ29" s="5" t="n"/>
      <c r="FR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F30" s="29" t="n"/>
      <c r="CG30" s="29" t="n"/>
      <c r="CH30" s="29" t="n"/>
      <c r="CI30" s="29" t="n"/>
      <c r="CJ30" s="5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29" t="n"/>
      <c r="DC30" s="5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29" t="n"/>
      <c r="DV30" s="29" t="n"/>
      <c r="DW30" s="573" t="n"/>
      <c r="DX30" s="29" t="n"/>
      <c r="DY30" s="5" t="n"/>
      <c r="DZ30" s="29" t="n"/>
      <c r="EA30" s="29" t="n"/>
      <c r="EB30" s="29" t="n"/>
      <c r="EC30" s="29" t="n"/>
      <c r="ED30" s="29" t="n"/>
      <c r="EF30" s="29" t="n"/>
      <c r="EG30" s="327" t="n"/>
      <c r="EH30" s="327" t="n"/>
      <c r="EJ30" s="29" t="n"/>
      <c r="EO30" s="29" t="n"/>
      <c r="EP30" s="327" t="n"/>
      <c r="ER30" s="327" t="n"/>
      <c r="ET30" s="29" t="n"/>
      <c r="FC30" s="29" t="n"/>
      <c r="FJ30" s="5" t="n"/>
      <c r="FK30" s="5" t="n"/>
      <c r="FL30" s="5" t="n"/>
      <c r="FM30" s="5" t="n"/>
      <c r="FN30" s="5" t="n"/>
      <c r="FO30" s="5" t="n"/>
      <c r="FP30" s="5" t="n"/>
      <c r="FQ30" s="5" t="n"/>
      <c r="FR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5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F31" s="29" t="n"/>
      <c r="CG31" s="29" t="n"/>
      <c r="CH31" s="29" t="n"/>
      <c r="CI31" s="29" t="n"/>
      <c r="CJ31" s="5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29" t="n"/>
      <c r="DC31" s="5" t="n"/>
      <c r="DD31" s="29" t="n"/>
      <c r="DE31" s="29" t="n"/>
      <c r="DF31" s="29" t="n"/>
      <c r="DG31" s="29" t="n"/>
      <c r="DH31" s="29" t="n"/>
      <c r="DK31" s="29" t="n"/>
      <c r="DM31" s="29" t="n"/>
      <c r="DN31" s="29" t="n"/>
      <c r="DO31" s="29" t="n"/>
      <c r="DP31" s="29" t="n"/>
      <c r="DQ31" s="29" t="n"/>
      <c r="DR31" s="29" t="n"/>
      <c r="DS31" s="29" t="n"/>
      <c r="DT31" s="29" t="n"/>
      <c r="DU31" s="29" t="n"/>
      <c r="DV31" s="29" t="n"/>
      <c r="DW31" s="573" t="n"/>
      <c r="DX31" s="29" t="n"/>
      <c r="DY31" s="5" t="n"/>
      <c r="DZ31" s="29" t="n"/>
      <c r="EA31" s="29" t="n"/>
      <c r="EB31" s="29" t="n"/>
      <c r="EC31" s="29" t="n"/>
      <c r="ED31" s="29" t="n"/>
      <c r="EF31" s="29" t="n"/>
      <c r="EG31" s="327" t="n"/>
      <c r="EH31" s="327" t="n"/>
      <c r="EO31" s="29" t="n"/>
      <c r="EP31" s="327" t="n"/>
      <c r="ER31" s="327" t="n"/>
      <c r="ET31" s="29" t="n"/>
      <c r="FC31" s="29" t="n"/>
      <c r="FJ31" s="5" t="n"/>
      <c r="FK31" s="5" t="n"/>
      <c r="FL31" s="5" t="n"/>
      <c r="FM31" s="5" t="n"/>
      <c r="FN31" s="5" t="n"/>
      <c r="FO31" s="5" t="n"/>
      <c r="FP31" s="5" t="n"/>
      <c r="FQ31" s="5" t="n"/>
      <c r="FR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6</v>
      </c>
      <c r="G32" s="699" t="n">
        <v>6</v>
      </c>
      <c r="H32" s="697" t="n">
        <v>6</v>
      </c>
      <c r="I32" s="697" t="n">
        <v>6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F32" s="29" t="n"/>
      <c r="CG32" s="29" t="n"/>
      <c r="CH32" s="29" t="n"/>
      <c r="CI32" s="29" t="n"/>
      <c r="CJ32" s="5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29" t="n"/>
      <c r="DC32" s="5" t="n"/>
      <c r="DD32" s="29" t="n"/>
      <c r="DE32" s="29" t="n"/>
      <c r="DF32" s="29" t="n"/>
      <c r="DG32" s="29" t="n"/>
      <c r="DH32" s="29" t="n"/>
      <c r="DK32" s="29" t="n"/>
      <c r="DM32" s="29" t="n"/>
      <c r="DN32" s="29" t="n"/>
      <c r="DO32" s="29" t="n"/>
      <c r="DP32" s="29" t="n"/>
      <c r="DQ32" s="29" t="n"/>
      <c r="DR32" s="29" t="n"/>
      <c r="DS32" s="29" t="n"/>
      <c r="DT32" s="29" t="n"/>
      <c r="DU32" s="29" t="n"/>
      <c r="DV32" s="29" t="n"/>
      <c r="DW32" s="573" t="n"/>
      <c r="DX32" s="29" t="n"/>
      <c r="DY32" s="5" t="n"/>
      <c r="DZ32" s="29" t="n"/>
      <c r="EA32" s="29" t="n"/>
      <c r="EB32" s="29" t="n"/>
      <c r="EC32" s="29" t="n"/>
      <c r="ED32" s="29" t="n"/>
      <c r="EF32" s="29" t="n"/>
      <c r="EG32" s="327" t="n"/>
      <c r="EH32" s="327" t="n"/>
      <c r="EO32" s="59" t="n"/>
      <c r="EP32" s="327" t="n"/>
      <c r="ER32" s="327" t="n"/>
      <c r="ET32" s="59" t="n"/>
      <c r="FC32" s="29" t="n"/>
      <c r="FJ32" s="5" t="n"/>
      <c r="FK32" s="5" t="n"/>
      <c r="FL32" s="5" t="n"/>
      <c r="FM32" s="5" t="n"/>
      <c r="FN32" s="5" t="n"/>
      <c r="FO32" s="5" t="n"/>
      <c r="FP32" s="5" t="n"/>
      <c r="FQ32" s="5" t="n"/>
      <c r="FR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175</v>
      </c>
      <c r="G33" s="699" t="n">
        <v>175</v>
      </c>
      <c r="H33" s="697" t="n">
        <v>175</v>
      </c>
      <c r="I33" s="697" t="n">
        <v>175</v>
      </c>
      <c r="J33" s="697" t="n">
        <v>175</v>
      </c>
      <c r="K33" s="697" t="n">
        <v>175</v>
      </c>
      <c r="L33" s="697" t="n">
        <v>175</v>
      </c>
      <c r="M33" s="697" t="n">
        <v>175</v>
      </c>
      <c r="N33" s="697" t="n">
        <v>175</v>
      </c>
      <c r="O33" s="697" t="n">
        <v>175</v>
      </c>
      <c r="P33" s="697" t="n">
        <v>175</v>
      </c>
      <c r="Q33" s="697" t="n">
        <v>175</v>
      </c>
      <c r="R33" s="697" t="n">
        <v>175</v>
      </c>
      <c r="S33" s="697" t="n">
        <v>175</v>
      </c>
      <c r="T33" s="697" t="n">
        <v>175</v>
      </c>
      <c r="U33" s="697" t="n">
        <v>175</v>
      </c>
      <c r="V33" s="697" t="n">
        <v>175</v>
      </c>
      <c r="W33" s="697" t="n">
        <v>175</v>
      </c>
      <c r="X33" s="697" t="n">
        <v>175</v>
      </c>
      <c r="Y33" s="697" t="n">
        <v>175</v>
      </c>
      <c r="Z33" s="697" t="n">
        <v>175</v>
      </c>
      <c r="AA33" s="697" t="n">
        <v>175</v>
      </c>
      <c r="AB33" s="697" t="n">
        <v>175</v>
      </c>
      <c r="AC33" s="697" t="n">
        <v>175</v>
      </c>
      <c r="AD33" s="697" t="n">
        <v>175</v>
      </c>
      <c r="AE33" s="697" t="n">
        <v>175</v>
      </c>
      <c r="AF33" s="697" t="n">
        <v>175</v>
      </c>
      <c r="AG33" s="697" t="n">
        <v>175</v>
      </c>
      <c r="AH33" s="697" t="n">
        <v>175</v>
      </c>
      <c r="AI33" s="697" t="n">
        <v>175</v>
      </c>
      <c r="AJ33" s="697" t="n">
        <v>175</v>
      </c>
      <c r="AK33" s="697" t="n">
        <v>175</v>
      </c>
      <c r="AL33" s="697" t="n">
        <v>175</v>
      </c>
      <c r="AM33" s="697" t="n">
        <v>175</v>
      </c>
      <c r="AN33" s="697" t="n">
        <v>175</v>
      </c>
      <c r="AO33" s="697" t="n">
        <v>175</v>
      </c>
      <c r="AP33" s="697" t="n">
        <v>175</v>
      </c>
      <c r="AQ33" s="697" t="n">
        <v>175</v>
      </c>
      <c r="AR33" s="697" t="n">
        <v>175</v>
      </c>
      <c r="AS33" s="697" t="n">
        <v>175</v>
      </c>
      <c r="AT33" s="697" t="n">
        <v>175</v>
      </c>
      <c r="AU33" s="697" t="n">
        <v>175</v>
      </c>
      <c r="AV33" s="697" t="n">
        <v>175</v>
      </c>
      <c r="AW33" s="697" t="n">
        <v>175</v>
      </c>
      <c r="AX33" s="697" t="n">
        <v>175</v>
      </c>
      <c r="AY33" s="697" t="n">
        <v>175</v>
      </c>
      <c r="AZ33" s="697" t="n">
        <v>175</v>
      </c>
      <c r="BA33" s="697" t="n">
        <v>175</v>
      </c>
      <c r="BB33" s="314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192">
        <f>BX33+IF(NOT(ISBLANK(OFFSET(BZ33,0,6))),N(OFFSET(BZ33,0,6)),N(OFFSET(BZ33,0,7)))-BY33</f>
        <v/>
      </c>
      <c r="CF33" s="29" t="n"/>
      <c r="CG33" s="29" t="n"/>
      <c r="CH33" s="29" t="n"/>
      <c r="CI33" s="29" t="n"/>
      <c r="CJ33" s="5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29" t="n"/>
      <c r="DC33" s="5" t="n"/>
      <c r="DD33" s="29" t="n"/>
      <c r="DE33" s="29" t="n"/>
      <c r="DF33" s="29" t="n"/>
      <c r="DG33" s="29" t="n"/>
      <c r="DH33" s="29" t="n"/>
      <c r="DK33" s="29" t="n"/>
      <c r="DM33" s="29" t="n"/>
      <c r="DN33" s="29" t="n"/>
      <c r="DO33" s="29" t="n"/>
      <c r="DP33" s="29" t="n"/>
      <c r="DQ33" s="29" t="n"/>
      <c r="DR33" s="29" t="n"/>
      <c r="DS33" s="29" t="n"/>
      <c r="DT33" s="29" t="n"/>
      <c r="DU33" s="29" t="n"/>
      <c r="DV33" s="29" t="n"/>
      <c r="DW33" s="573" t="n"/>
      <c r="DX33" s="29" t="n"/>
      <c r="DY33" s="5" t="n"/>
      <c r="DZ33" s="29" t="n"/>
      <c r="EA33" s="29" t="n"/>
      <c r="EB33" s="29" t="n"/>
      <c r="EC33" s="29" t="n"/>
      <c r="ED33" s="29" t="n"/>
      <c r="EF33" s="29" t="n"/>
      <c r="EG33" s="327" t="n"/>
      <c r="EH33" s="327" t="n"/>
      <c r="EO33" s="573" t="n"/>
      <c r="EP33" s="327" t="n"/>
      <c r="ER33" s="327" t="n"/>
      <c r="ET33" s="573" t="n"/>
      <c r="FC33" s="29" t="n"/>
      <c r="FJ33" s="5" t="n"/>
      <c r="FK33" s="5" t="n"/>
      <c r="FL33" s="5" t="n"/>
      <c r="FM33" s="5" t="n"/>
      <c r="FN33" s="5" t="n"/>
      <c r="FO33" s="5" t="n"/>
      <c r="FP33" s="5" t="n"/>
      <c r="FQ33" s="5" t="n"/>
      <c r="FR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149</v>
      </c>
      <c r="G34" s="699" t="n">
        <v>149</v>
      </c>
      <c r="H34" s="697" t="n">
        <v>149</v>
      </c>
      <c r="I34" s="697" t="n">
        <v>149</v>
      </c>
      <c r="J34" s="697" t="n">
        <v>149</v>
      </c>
      <c r="K34" s="697" t="n">
        <v>149</v>
      </c>
      <c r="L34" s="697" t="n">
        <v>149</v>
      </c>
      <c r="M34" s="697" t="n">
        <v>149</v>
      </c>
      <c r="N34" s="697" t="n">
        <v>149</v>
      </c>
      <c r="O34" s="697" t="n">
        <v>149</v>
      </c>
      <c r="P34" s="697" t="n">
        <v>149</v>
      </c>
      <c r="Q34" s="697" t="n">
        <v>149</v>
      </c>
      <c r="R34" s="697" t="n">
        <v>149</v>
      </c>
      <c r="S34" s="697" t="n">
        <v>149</v>
      </c>
      <c r="T34" s="697" t="n">
        <v>149</v>
      </c>
      <c r="U34" s="697" t="n">
        <v>149</v>
      </c>
      <c r="V34" s="697" t="n">
        <v>149</v>
      </c>
      <c r="W34" s="697" t="n">
        <v>149</v>
      </c>
      <c r="X34" s="697" t="n">
        <v>149</v>
      </c>
      <c r="Y34" s="697" t="n">
        <v>149</v>
      </c>
      <c r="Z34" s="697" t="n">
        <v>149</v>
      </c>
      <c r="AA34" s="697" t="n">
        <v>149</v>
      </c>
      <c r="AB34" s="697" t="n">
        <v>149</v>
      </c>
      <c r="AC34" s="697" t="n">
        <v>149</v>
      </c>
      <c r="AD34" s="697" t="n">
        <v>149</v>
      </c>
      <c r="AE34" s="697" t="n">
        <v>149</v>
      </c>
      <c r="AF34" s="697" t="n">
        <v>149</v>
      </c>
      <c r="AG34" s="697" t="n">
        <v>149</v>
      </c>
      <c r="AH34" s="697" t="n">
        <v>149</v>
      </c>
      <c r="AI34" s="697" t="n">
        <v>149</v>
      </c>
      <c r="AJ34" s="697" t="n">
        <v>149</v>
      </c>
      <c r="AK34" s="697" t="n">
        <v>149</v>
      </c>
      <c r="AL34" s="697" t="n">
        <v>149</v>
      </c>
      <c r="AM34" s="697" t="n">
        <v>149</v>
      </c>
      <c r="AN34" s="697" t="n">
        <v>149</v>
      </c>
      <c r="AO34" s="697" t="n">
        <v>149</v>
      </c>
      <c r="AP34" s="697" t="n">
        <v>149</v>
      </c>
      <c r="AQ34" s="697" t="n">
        <v>149</v>
      </c>
      <c r="AR34" s="697" t="n">
        <v>149</v>
      </c>
      <c r="AS34" s="697" t="n">
        <v>149</v>
      </c>
      <c r="AT34" s="697" t="n">
        <v>149</v>
      </c>
      <c r="AU34" s="697" t="n">
        <v>149</v>
      </c>
      <c r="AV34" s="697" t="n">
        <v>149</v>
      </c>
      <c r="AW34" s="697" t="n">
        <v>149</v>
      </c>
      <c r="AX34" s="697" t="n">
        <v>149</v>
      </c>
      <c r="AY34" s="697" t="n">
        <v>149</v>
      </c>
      <c r="AZ34" s="697" t="n">
        <v>149</v>
      </c>
      <c r="BA34" s="697" t="n">
        <v>149</v>
      </c>
      <c r="BB34" s="314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F34" s="29" t="n"/>
      <c r="CG34" s="29" t="n"/>
      <c r="CH34" s="29" t="n"/>
      <c r="CI34" s="29" t="n"/>
      <c r="CJ34" s="5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29" t="n"/>
      <c r="DC34" s="5" t="n"/>
      <c r="DD34" s="29" t="n"/>
      <c r="DE34" s="29" t="n"/>
      <c r="DF34" s="29" t="n"/>
      <c r="DG34" s="29" t="n"/>
      <c r="DH34" s="29" t="n"/>
      <c r="DK34" s="29" t="n"/>
      <c r="DM34" s="29" t="n"/>
      <c r="DN34" s="29" t="n"/>
      <c r="DO34" s="29" t="n"/>
      <c r="DP34" s="29" t="n"/>
      <c r="DQ34" s="29" t="n"/>
      <c r="DR34" s="29" t="n"/>
      <c r="DS34" s="29" t="n"/>
      <c r="DT34" s="29" t="n"/>
      <c r="DU34" s="29" t="n"/>
      <c r="DV34" s="29" t="n"/>
      <c r="DW34" s="573" t="n"/>
      <c r="DX34" s="29" t="n"/>
      <c r="DY34" s="5" t="n"/>
      <c r="DZ34" s="29" t="n"/>
      <c r="EA34" s="29" t="n"/>
      <c r="EB34" s="29" t="n"/>
      <c r="EC34" s="29" t="n"/>
      <c r="ED34" s="29" t="n"/>
      <c r="EF34" s="29" t="n"/>
      <c r="EG34" s="327" t="n"/>
      <c r="EH34" s="327" t="n"/>
      <c r="EO34" s="573" t="n"/>
      <c r="EP34" s="327" t="n"/>
      <c r="ER34" s="327" t="n"/>
      <c r="ET34" s="573" t="n"/>
      <c r="FC34" s="29" t="n"/>
      <c r="FJ34" s="5" t="n"/>
      <c r="FK34" s="5" t="n"/>
      <c r="FL34" s="5" t="n"/>
      <c r="FM34" s="5" t="n"/>
      <c r="FN34" s="5" t="n"/>
      <c r="FO34" s="5" t="n"/>
      <c r="FP34" s="5" t="n"/>
      <c r="FQ34" s="5" t="n"/>
      <c r="FR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5</v>
      </c>
      <c r="AA35" s="699">
        <f>1+45+49</f>
        <v/>
      </c>
      <c r="AB35" s="699" t="n">
        <v>93</v>
      </c>
      <c r="AC35" s="699" t="n">
        <v>83</v>
      </c>
      <c r="AD35" s="699" t="n">
        <v>67</v>
      </c>
      <c r="AE35" s="699" t="n">
        <v>43</v>
      </c>
      <c r="AF35" s="699" t="n">
        <v>29</v>
      </c>
      <c r="AG35" s="699" t="n">
        <v>22</v>
      </c>
      <c r="AH35" s="699" t="n">
        <v>7</v>
      </c>
      <c r="AI35" s="699" t="n">
        <v>3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F35" s="29" t="n"/>
      <c r="CG35" s="29" t="n"/>
      <c r="CH35" s="29" t="n"/>
      <c r="CI35" s="29" t="n"/>
      <c r="CJ35" s="5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29" t="n"/>
      <c r="DC35" s="5" t="n"/>
      <c r="DD35" s="29" t="n"/>
      <c r="DE35" s="29" t="n"/>
      <c r="DF35" s="29" t="n"/>
      <c r="DG35" s="29" t="n"/>
      <c r="DH35" s="29" t="n"/>
      <c r="DK35" s="29" t="n"/>
      <c r="DM35" s="29" t="n"/>
      <c r="DN35" s="29" t="n"/>
      <c r="DO35" s="29" t="n"/>
      <c r="DP35" s="29" t="n"/>
      <c r="DQ35" s="29" t="n"/>
      <c r="DR35" s="29" t="n"/>
      <c r="DS35" s="29" t="n"/>
      <c r="DT35" s="29" t="n"/>
      <c r="DU35" s="29" t="n"/>
      <c r="DV35" s="29" t="n"/>
      <c r="DW35" s="573" t="n"/>
      <c r="DX35" s="29" t="n"/>
      <c r="DY35" s="5" t="n"/>
      <c r="DZ35" s="29" t="n"/>
      <c r="EA35" s="29" t="n"/>
      <c r="EB35" s="29" t="n"/>
      <c r="EC35" s="29" t="n"/>
      <c r="ED35" s="29" t="n"/>
      <c r="EF35" s="29" t="n"/>
      <c r="EG35" s="327" t="n"/>
      <c r="EH35" s="327" t="n"/>
      <c r="EO35" s="573" t="n"/>
      <c r="EP35" s="327" t="n"/>
      <c r="ER35" s="327" t="n"/>
      <c r="ET35" s="573" t="n"/>
      <c r="FC35" s="29" t="n"/>
      <c r="FJ35" s="5" t="n"/>
      <c r="FK35" s="5" t="n"/>
      <c r="FL35" s="5" t="n"/>
      <c r="FM35" s="5" t="n"/>
      <c r="FN35" s="5" t="n"/>
      <c r="FO35" s="5" t="n"/>
      <c r="FP35" s="5" t="n"/>
      <c r="FQ35" s="5" t="n"/>
      <c r="FR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18</v>
      </c>
      <c r="AA36" s="699">
        <f>5+35</f>
        <v/>
      </c>
      <c r="AB36" s="699" t="n">
        <v>36</v>
      </c>
      <c r="AC36" s="699" t="n">
        <v>31</v>
      </c>
      <c r="AD36" s="699" t="n">
        <v>31</v>
      </c>
      <c r="AE36" s="699" t="n">
        <v>19</v>
      </c>
      <c r="AF36" s="699" t="n">
        <v>5</v>
      </c>
      <c r="AG36" s="699" t="n">
        <v>2</v>
      </c>
      <c r="AH36" s="699" t="n">
        <v>0</v>
      </c>
      <c r="AI36" s="699" t="n">
        <v>0</v>
      </c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F36" s="29" t="n"/>
      <c r="CG36" s="29" t="n"/>
      <c r="CH36" s="29" t="n"/>
      <c r="CI36" s="29" t="n"/>
      <c r="CJ36" s="5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29" t="n"/>
      <c r="DC36" s="5" t="n"/>
      <c r="DD36" s="29" t="n"/>
      <c r="DE36" s="29" t="n"/>
      <c r="DF36" s="29" t="n"/>
      <c r="DG36" s="29" t="n"/>
      <c r="DH36" s="29" t="n"/>
      <c r="DK36" s="29" t="n"/>
      <c r="DM36" s="29" t="n"/>
      <c r="DN36" s="29" t="n"/>
      <c r="DO36" s="29" t="n"/>
      <c r="DP36" s="29" t="n"/>
      <c r="DQ36" s="29" t="n"/>
      <c r="DR36" s="29" t="n"/>
      <c r="DS36" s="29" t="n"/>
      <c r="DT36" s="29" t="n"/>
      <c r="DU36" s="29" t="n"/>
      <c r="DV36" s="29" t="n"/>
      <c r="DW36" s="573" t="n"/>
      <c r="DX36" s="29" t="n"/>
      <c r="DY36" s="5" t="n"/>
      <c r="DZ36" s="29" t="n"/>
      <c r="EA36" s="29" t="n"/>
      <c r="EB36" s="29" t="n"/>
      <c r="EC36" s="29" t="n"/>
      <c r="ED36" s="29" t="n"/>
      <c r="EF36" s="29" t="n"/>
      <c r="EG36" s="327" t="n"/>
      <c r="EH36" s="327" t="n"/>
      <c r="EO36" s="573" t="n"/>
      <c r="EP36" s="327" t="n"/>
      <c r="ER36" s="327" t="n"/>
      <c r="ET36" s="573" t="n"/>
      <c r="FC36" s="29" t="n"/>
      <c r="FJ36" s="5" t="n"/>
      <c r="FK36" s="5" t="n"/>
      <c r="FL36" s="5" t="n"/>
      <c r="FM36" s="5" t="n"/>
      <c r="FN36" s="5" t="n"/>
      <c r="FO36" s="5" t="n"/>
      <c r="FP36" s="5" t="n"/>
      <c r="FQ36" s="5" t="n"/>
      <c r="FR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F37" s="29" t="n"/>
      <c r="CG37" s="29" t="n"/>
      <c r="CH37" s="29" t="n"/>
      <c r="CI37" s="29" t="n"/>
      <c r="CJ37" s="5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29" t="n"/>
      <c r="DC37" s="5" t="n"/>
      <c r="DD37" s="29" t="n"/>
      <c r="DE37" s="29" t="n"/>
      <c r="DF37" s="29" t="n"/>
      <c r="DG37" s="29" t="n"/>
      <c r="DH37" s="29" t="n"/>
      <c r="DK37" s="29" t="n"/>
      <c r="DM37" s="29" t="n"/>
      <c r="DN37" s="29" t="n"/>
      <c r="DO37" s="29" t="n"/>
      <c r="DP37" s="29" t="n"/>
      <c r="DQ37" s="29" t="n"/>
      <c r="DR37" s="29" t="n"/>
      <c r="DS37" s="29" t="n"/>
      <c r="DT37" s="29" t="n"/>
      <c r="DU37" s="29" t="n"/>
      <c r="DV37" s="29" t="n"/>
      <c r="DW37" s="573" t="n"/>
      <c r="DX37" s="29" t="n"/>
      <c r="DY37" s="5" t="n"/>
      <c r="DZ37" s="29" t="n"/>
      <c r="EA37" s="29" t="n"/>
      <c r="EB37" s="29" t="n"/>
      <c r="EC37" s="29" t="n"/>
      <c r="ED37" s="29" t="n"/>
      <c r="EF37" s="29" t="n"/>
      <c r="EG37" s="327" t="n"/>
      <c r="EH37" s="327" t="n"/>
      <c r="EO37" s="573" t="n"/>
      <c r="EP37" s="327" t="n"/>
      <c r="ER37" s="327" t="n"/>
      <c r="ET37" s="573" t="n"/>
      <c r="FC37" s="29" t="n"/>
      <c r="FJ37" s="5" t="n"/>
      <c r="FK37" s="5" t="n"/>
      <c r="FL37" s="5" t="n"/>
      <c r="FM37" s="5" t="n"/>
      <c r="FN37" s="5" t="n"/>
      <c r="FO37" s="5" t="n"/>
      <c r="FP37" s="5" t="n"/>
      <c r="FQ37" s="5" t="n"/>
      <c r="FR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83</v>
      </c>
      <c r="AA38" s="699" t="n">
        <v>61</v>
      </c>
      <c r="AB38" s="699" t="n">
        <v>52</v>
      </c>
      <c r="AC38" s="699" t="n">
        <v>48</v>
      </c>
      <c r="AD38" s="699" t="n">
        <v>39</v>
      </c>
      <c r="AE38" s="699" t="n">
        <v>33</v>
      </c>
      <c r="AF38" s="699" t="n">
        <v>32</v>
      </c>
      <c r="AG38" s="699" t="n">
        <v>32</v>
      </c>
      <c r="AH38" s="699" t="n">
        <v>28</v>
      </c>
      <c r="AI38" s="699" t="n">
        <v>27</v>
      </c>
      <c r="AJ38" s="699" t="n">
        <v>22</v>
      </c>
      <c r="AK38" s="699" t="n">
        <v>16</v>
      </c>
      <c r="AL38" s="699" t="n">
        <v>8</v>
      </c>
      <c r="AM38" s="699" t="n">
        <v>0</v>
      </c>
      <c r="AN38" s="699" t="n">
        <v>0</v>
      </c>
      <c r="AO38" s="699" t="n">
        <v>0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F38" s="29" t="n"/>
      <c r="CG38" s="29" t="n"/>
      <c r="CH38" s="29" t="n"/>
      <c r="CI38" s="29" t="n"/>
      <c r="CJ38" s="5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29" t="n"/>
      <c r="DC38" s="5" t="n"/>
      <c r="DD38" s="29" t="n"/>
      <c r="DE38" s="29" t="n"/>
      <c r="DF38" s="29" t="n"/>
      <c r="DG38" s="29" t="n"/>
      <c r="DH38" s="29" t="n"/>
      <c r="DK38" s="29" t="n"/>
      <c r="DM38" s="29" t="n"/>
      <c r="DN38" s="29" t="n"/>
      <c r="DO38" s="29" t="n"/>
      <c r="DP38" s="29" t="n"/>
      <c r="DQ38" s="29" t="n"/>
      <c r="DR38" s="29" t="n"/>
      <c r="DS38" s="29" t="n"/>
      <c r="DT38" s="29" t="n"/>
      <c r="DU38" s="29" t="n"/>
      <c r="DV38" s="29" t="n"/>
      <c r="DW38" s="573" t="n"/>
      <c r="DX38" s="29" t="n"/>
      <c r="DY38" s="5" t="n"/>
      <c r="DZ38" s="29" t="n"/>
      <c r="EA38" s="29" t="n"/>
      <c r="EB38" s="29" t="n"/>
      <c r="EC38" s="29" t="n"/>
      <c r="ED38" s="29" t="n"/>
      <c r="EF38" s="29" t="n"/>
      <c r="EG38" s="327" t="n"/>
      <c r="EH38" s="327" t="n"/>
      <c r="EO38" s="573" t="n"/>
      <c r="EP38" s="327" t="n"/>
      <c r="ER38" s="327" t="n"/>
      <c r="ET38" s="573" t="n"/>
      <c r="FC38" s="29" t="n"/>
      <c r="FJ38" s="5" t="n"/>
      <c r="FK38" s="5" t="n"/>
      <c r="FL38" s="5" t="n"/>
      <c r="FM38" s="5" t="n"/>
      <c r="FN38" s="5" t="n"/>
      <c r="FO38" s="5" t="n"/>
      <c r="FP38" s="5" t="n"/>
      <c r="FQ38" s="5" t="n"/>
      <c r="FR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82</v>
      </c>
      <c r="AA39" s="699" t="n">
        <v>64</v>
      </c>
      <c r="AB39" s="699" t="n">
        <v>62</v>
      </c>
      <c r="AC39" s="699" t="n">
        <v>56</v>
      </c>
      <c r="AD39" s="699" t="n">
        <v>50</v>
      </c>
      <c r="AE39" s="699" t="n">
        <v>49</v>
      </c>
      <c r="AF39" s="699" t="n">
        <v>48</v>
      </c>
      <c r="AG39" s="699" t="n">
        <v>48</v>
      </c>
      <c r="AH39" s="699" t="n">
        <v>40</v>
      </c>
      <c r="AI39" s="699" t="n">
        <v>26</v>
      </c>
      <c r="AJ39" s="699" t="n">
        <v>20</v>
      </c>
      <c r="AK39" s="699" t="n">
        <v>20</v>
      </c>
      <c r="AL39" s="699" t="n">
        <v>18</v>
      </c>
      <c r="AM39" s="699" t="n">
        <v>5</v>
      </c>
      <c r="AN39" s="699" t="n">
        <v>4</v>
      </c>
      <c r="AO39" s="699" t="n">
        <v>1</v>
      </c>
      <c r="AP39" s="699" t="n">
        <v>0</v>
      </c>
      <c r="AQ39" s="699" t="n">
        <v>0</v>
      </c>
      <c r="AR39" s="699" t="n">
        <v>0</v>
      </c>
      <c r="AS39" s="699" t="n">
        <v>0</v>
      </c>
      <c r="AT39" s="699" t="n">
        <v>0</v>
      </c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F39" s="29" t="n"/>
      <c r="CG39" s="29" t="n"/>
      <c r="CH39" s="29" t="n"/>
      <c r="CI39" s="29" t="n"/>
      <c r="CJ39" s="51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29" t="n"/>
      <c r="DC39" s="5" t="n"/>
      <c r="DD39" s="29" t="n"/>
      <c r="DE39" s="29" t="n"/>
      <c r="DF39" s="29" t="n"/>
      <c r="DG39" s="29" t="n"/>
      <c r="DH39" s="29" t="n"/>
      <c r="DK39" s="29" t="n"/>
      <c r="DM39" s="29" t="n"/>
      <c r="DN39" s="29" t="n"/>
      <c r="DO39" s="29" t="n"/>
      <c r="DP39" s="29" t="n"/>
      <c r="DQ39" s="29" t="n"/>
      <c r="DR39" s="29" t="n"/>
      <c r="DS39" s="29" t="n"/>
      <c r="DT39" s="29" t="n"/>
      <c r="DU39" s="29" t="n"/>
      <c r="DV39" s="29" t="n"/>
      <c r="DW39" s="573" t="n"/>
      <c r="DX39" s="29" t="n"/>
      <c r="DY39" s="5" t="n"/>
      <c r="DZ39" s="29" t="n"/>
      <c r="EA39" s="29" t="n"/>
      <c r="EB39" s="29" t="n"/>
      <c r="EC39" s="29" t="n"/>
      <c r="ED39" s="29" t="n"/>
      <c r="EF39" s="29" t="n"/>
      <c r="EG39" s="327" t="n"/>
      <c r="EH39" s="327" t="n"/>
      <c r="EO39" s="573" t="n"/>
      <c r="EP39" s="327" t="n"/>
      <c r="ER39" s="327" t="n"/>
      <c r="ET39" s="573" t="n"/>
      <c r="FC39" s="29" t="n"/>
      <c r="FJ39" s="5" t="n"/>
      <c r="FK39" s="5" t="n"/>
      <c r="FL39" s="5" t="n"/>
      <c r="FM39" s="5" t="n"/>
      <c r="FN39" s="5" t="n"/>
      <c r="FO39" s="5" t="n"/>
      <c r="FP39" s="5" t="n"/>
      <c r="FQ39" s="5" t="n"/>
      <c r="FR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82</v>
      </c>
      <c r="AA40" s="699" t="n">
        <v>64</v>
      </c>
      <c r="AB40" s="699" t="n">
        <v>62</v>
      </c>
      <c r="AC40" s="699" t="n">
        <v>56</v>
      </c>
      <c r="AD40" s="699" t="n">
        <v>50</v>
      </c>
      <c r="AE40" s="699" t="n">
        <v>49</v>
      </c>
      <c r="AF40" s="699" t="n">
        <v>4</v>
      </c>
      <c r="AG40" s="699" t="n">
        <v>0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F40" s="29" t="n"/>
      <c r="CG40" s="29" t="n"/>
      <c r="CH40" s="29" t="n"/>
      <c r="CI40" s="29" t="n"/>
      <c r="CJ40" s="51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29" t="n"/>
      <c r="DC40" s="5" t="n"/>
      <c r="DD40" s="29" t="n"/>
      <c r="DE40" s="29" t="n"/>
      <c r="DF40" s="29" t="n"/>
      <c r="DG40" s="29" t="n"/>
      <c r="DH40" s="29" t="n"/>
      <c r="DK40" s="29" t="n"/>
      <c r="DM40" s="29" t="n"/>
      <c r="DN40" s="29" t="n"/>
      <c r="DO40" s="29" t="n"/>
      <c r="DP40" s="29" t="n"/>
      <c r="DQ40" s="29" t="n"/>
      <c r="DR40" s="29" t="n"/>
      <c r="DS40" s="29" t="n"/>
      <c r="DT40" s="29" t="n"/>
      <c r="DU40" s="29" t="n"/>
      <c r="DV40" s="29" t="n"/>
      <c r="DW40" s="573" t="n"/>
      <c r="DX40" s="29" t="n"/>
      <c r="DY40" s="5" t="n"/>
      <c r="DZ40" s="29" t="n"/>
      <c r="EA40" s="29" t="n"/>
      <c r="EB40" s="29" t="n"/>
      <c r="EC40" s="29" t="n"/>
      <c r="ED40" s="29" t="n"/>
      <c r="EF40" s="29" t="n"/>
      <c r="EG40" s="327" t="n"/>
      <c r="EH40" s="327" t="n"/>
      <c r="EO40" s="573" t="n"/>
      <c r="EP40" s="327" t="n"/>
      <c r="ER40" s="327" t="n"/>
      <c r="ET40" s="573" t="n"/>
      <c r="FC40" s="29" t="n"/>
      <c r="FJ40" s="5" t="n"/>
      <c r="FK40" s="5" t="n"/>
      <c r="FL40" s="5" t="n"/>
      <c r="FM40" s="5" t="n"/>
      <c r="FN40" s="5" t="n"/>
      <c r="FO40" s="5" t="n"/>
      <c r="FP40" s="5" t="n"/>
      <c r="FQ40" s="5" t="n"/>
      <c r="FR40" s="5" t="n"/>
    </row>
    <row r="41" hidden="1">
      <c r="A41" s="400" t="inlineStr">
        <is>
          <t>CARTUCHO M NAMO/25</t>
        </is>
      </c>
      <c r="B41" s="357" t="n">
        <v>150</v>
      </c>
      <c r="C41" s="771" t="n">
        <v>298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>
        <v>82</v>
      </c>
      <c r="AA41" s="699" t="n">
        <v>64</v>
      </c>
      <c r="AB41" s="699" t="n">
        <v>62</v>
      </c>
      <c r="AC41" s="699" t="n">
        <v>56</v>
      </c>
      <c r="AD41" s="699" t="n">
        <v>50</v>
      </c>
      <c r="AE41" s="699" t="n">
        <v>49</v>
      </c>
      <c r="AF41" s="699" t="n">
        <v>1</v>
      </c>
      <c r="AG41" s="699" t="n">
        <v>1</v>
      </c>
      <c r="AH41" s="699" t="n">
        <v>0</v>
      </c>
      <c r="AI41" s="699" t="n">
        <v>0</v>
      </c>
      <c r="AJ41" s="699" t="n"/>
      <c r="AK41" s="699" t="n"/>
      <c r="AL41" s="699" t="n"/>
      <c r="AM41" s="699" t="n"/>
      <c r="AN41" s="699" t="n"/>
      <c r="AO41" s="699" t="n"/>
      <c r="AP41" s="699" t="n"/>
      <c r="AQ41" s="699" t="n"/>
      <c r="AR41" s="699" t="n"/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F41" s="29" t="n"/>
      <c r="CG41" s="29" t="n"/>
      <c r="CH41" s="29" t="n"/>
      <c r="CI41" s="29" t="n"/>
      <c r="CJ41" s="573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29" t="n"/>
      <c r="DC41" s="5" t="n"/>
      <c r="DD41" s="29" t="n"/>
      <c r="DE41" s="29" t="n"/>
      <c r="DF41" s="29" t="n"/>
      <c r="DG41" s="29" t="n"/>
      <c r="DH41" s="29" t="n"/>
      <c r="DK41" s="29" t="n"/>
      <c r="DM41" s="29" t="n"/>
      <c r="DN41" s="29" t="n"/>
      <c r="DO41" s="29" t="n"/>
      <c r="DP41" s="29" t="n"/>
      <c r="DQ41" s="29" t="n"/>
      <c r="DR41" s="29" t="n"/>
      <c r="DS41" s="29" t="n"/>
      <c r="DT41" s="29" t="n"/>
      <c r="DU41" s="29" t="n"/>
      <c r="DV41" s="29" t="n"/>
      <c r="DW41" s="573" t="n"/>
      <c r="DX41" s="29" t="n"/>
      <c r="DY41" s="5" t="n"/>
      <c r="DZ41" s="29" t="n"/>
      <c r="EA41" s="29" t="n"/>
      <c r="EB41" s="29" t="n"/>
      <c r="EC41" s="29" t="n"/>
      <c r="ED41" s="29" t="n"/>
      <c r="EF41" s="29" t="n"/>
      <c r="EG41" s="327" t="n"/>
      <c r="EH41" s="327" t="n"/>
      <c r="EO41" s="573" t="n"/>
      <c r="EP41" s="327" t="n"/>
      <c r="ER41" s="327" t="n"/>
      <c r="ET41" s="573" t="n"/>
      <c r="FC41" s="29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  <c r="FR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13</v>
      </c>
      <c r="AP42" s="699" t="n">
        <v>13</v>
      </c>
      <c r="AQ42" s="699" t="n">
        <v>8</v>
      </c>
      <c r="AR42" s="699" t="n">
        <v>8</v>
      </c>
      <c r="AS42" s="699" t="n">
        <v>8</v>
      </c>
      <c r="AT42" s="699" t="n">
        <v>7</v>
      </c>
      <c r="AU42" s="699" t="n">
        <v>7</v>
      </c>
      <c r="AV42" s="699" t="n">
        <v>6</v>
      </c>
      <c r="AW42" s="699" t="n">
        <v>4</v>
      </c>
      <c r="AX42" s="699" t="n">
        <v>4</v>
      </c>
      <c r="AY42" s="699" t="n">
        <v>4</v>
      </c>
      <c r="AZ42" s="699" t="n">
        <v>2</v>
      </c>
      <c r="BA42" s="699" t="n">
        <v>1</v>
      </c>
      <c r="BB42" s="699" t="n">
        <v>1</v>
      </c>
      <c r="BC42" s="699" t="n">
        <v>0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F42" s="29" t="n"/>
      <c r="CG42" s="29" t="n"/>
      <c r="CH42" s="29" t="n"/>
      <c r="CI42" s="29" t="n"/>
      <c r="CJ42" s="573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29" t="n"/>
      <c r="DC42" s="5" t="n"/>
      <c r="DD42" s="29" t="n"/>
      <c r="DE42" s="29" t="n"/>
      <c r="DF42" s="29" t="n"/>
      <c r="DG42" s="29" t="n"/>
      <c r="DH42" s="29" t="n"/>
      <c r="DK42" s="29" t="n"/>
      <c r="DM42" s="29" t="n"/>
      <c r="DN42" s="29" t="n"/>
      <c r="DO42" s="29" t="n"/>
      <c r="DP42" s="29" t="n"/>
      <c r="DQ42" s="29" t="n"/>
      <c r="DR42" s="29" t="n"/>
      <c r="DS42" s="29" t="n"/>
      <c r="DT42" s="29" t="n"/>
      <c r="DU42" s="29" t="n"/>
      <c r="DV42" s="29" t="n"/>
      <c r="DW42" s="573" t="n"/>
      <c r="DX42" s="29" t="n"/>
      <c r="DY42" s="5" t="n"/>
      <c r="DZ42" s="29" t="n"/>
      <c r="EA42" s="29" t="n"/>
      <c r="EB42" s="29" t="n"/>
      <c r="EC42" s="29" t="n"/>
      <c r="ED42" s="29" t="n"/>
      <c r="EF42" s="29" t="n"/>
      <c r="EG42" s="327" t="n"/>
      <c r="EH42" s="327" t="n"/>
      <c r="EO42" s="573" t="n"/>
      <c r="EP42" s="327" t="n"/>
      <c r="ER42" s="327" t="n"/>
      <c r="ET42" s="573" t="n"/>
      <c r="FC42" s="29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  <c r="FR42" s="573" t="n"/>
    </row>
    <row r="43" hidden="1">
      <c r="A43" s="423" t="inlineStr">
        <is>
          <t>ENVELOPE C/ VISOR M</t>
        </is>
      </c>
      <c r="B43" s="424" t="n">
        <v>150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13</v>
      </c>
      <c r="AP43" s="699" t="n">
        <v>4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F43" s="29" t="n"/>
      <c r="CG43" s="29" t="n"/>
      <c r="CH43" s="29" t="n"/>
      <c r="CI43" s="29" t="n"/>
      <c r="CJ43" s="573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29" t="n"/>
      <c r="DC43" s="5" t="n"/>
      <c r="DD43" s="29" t="n"/>
      <c r="DE43" s="29" t="n"/>
      <c r="DF43" s="29" t="n"/>
      <c r="DG43" s="29" t="n"/>
      <c r="DH43" s="29" t="n"/>
      <c r="DK43" s="29" t="n"/>
      <c r="DM43" s="29" t="n"/>
      <c r="DN43" s="29" t="n"/>
      <c r="DO43" s="29" t="n"/>
      <c r="DP43" s="29" t="n"/>
      <c r="DQ43" s="29" t="n"/>
      <c r="DR43" s="29" t="n"/>
      <c r="DS43" s="29" t="n"/>
      <c r="DT43" s="29" t="n"/>
      <c r="DU43" s="29" t="n"/>
      <c r="DV43" s="29" t="n"/>
      <c r="DW43" s="573" t="n"/>
      <c r="DX43" s="29" t="n"/>
      <c r="DY43" s="5" t="n"/>
      <c r="DZ43" s="29" t="n"/>
      <c r="EA43" s="29" t="n"/>
      <c r="EB43" s="29" t="n"/>
      <c r="EC43" s="29" t="n"/>
      <c r="ED43" s="29" t="n"/>
      <c r="EF43" s="29" t="n"/>
      <c r="EG43" s="327" t="n"/>
      <c r="EH43" s="327" t="n"/>
      <c r="EO43" s="573" t="n"/>
      <c r="EP43" s="327" t="n"/>
      <c r="ER43" s="327" t="n"/>
      <c r="ET43" s="573" t="n"/>
      <c r="FC43" s="29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  <c r="FR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-1</v>
      </c>
      <c r="AP44" s="699" t="n">
        <v>-1</v>
      </c>
      <c r="AQ44" s="699" t="n">
        <v>-1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F44" s="29" t="n"/>
      <c r="CG44" s="29" t="n"/>
      <c r="CH44" s="29" t="n"/>
      <c r="CI44" s="29" t="n"/>
      <c r="CJ44" s="573" t="n"/>
      <c r="CK44" s="29" t="n"/>
      <c r="CL44" s="29" t="n"/>
      <c r="CM44" s="29" t="n"/>
      <c r="CN44" s="29" t="n"/>
      <c r="CO44" s="29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29" t="n"/>
      <c r="CY44" s="29" t="n"/>
      <c r="CZ44" s="29" t="n"/>
      <c r="DA44" s="29" t="n"/>
      <c r="DB44" s="29" t="n"/>
      <c r="DC44" s="5" t="n"/>
      <c r="DD44" s="29" t="n"/>
      <c r="DE44" s="29" t="n"/>
      <c r="DF44" s="29" t="n"/>
      <c r="DG44" s="29" t="n"/>
      <c r="DH44" s="29" t="n"/>
      <c r="DK44" s="29" t="n"/>
      <c r="DM44" s="29" t="n"/>
      <c r="DN44" s="29" t="n"/>
      <c r="DO44" s="29" t="n"/>
      <c r="DP44" s="29" t="n"/>
      <c r="DQ44" s="29" t="n"/>
      <c r="DR44" s="29" t="n"/>
      <c r="DS44" s="29" t="n"/>
      <c r="DT44" s="29" t="n"/>
      <c r="DU44" s="29" t="n"/>
      <c r="DV44" s="29" t="n"/>
      <c r="DW44" s="573" t="n"/>
      <c r="DX44" s="29" t="n"/>
      <c r="DY44" s="5" t="n"/>
      <c r="DZ44" s="29" t="n"/>
      <c r="EA44" s="29" t="n"/>
      <c r="EB44" s="29" t="n"/>
      <c r="EC44" s="29" t="n"/>
      <c r="ED44" s="29" t="n"/>
      <c r="EF44" s="29" t="n"/>
      <c r="EG44" s="327" t="n"/>
      <c r="EH44" s="327" t="n"/>
      <c r="EO44" s="573" t="n"/>
      <c r="EP44" s="327" t="n"/>
      <c r="ER44" s="327" t="n"/>
      <c r="ET44" s="573" t="n"/>
      <c r="FC44" s="29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  <c r="FR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1</v>
      </c>
      <c r="AR45" s="699" t="n">
        <v>1</v>
      </c>
      <c r="AS45" s="699" t="n">
        <v>1</v>
      </c>
      <c r="AT45" s="699" t="n">
        <v>1</v>
      </c>
      <c r="AU45" s="699" t="n">
        <v>1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F45" s="29" t="n"/>
      <c r="CG45" s="29" t="n"/>
      <c r="CH45" s="29" t="n"/>
      <c r="CI45" s="29" t="n"/>
      <c r="CK45" s="29" t="n"/>
      <c r="CL45" s="29" t="n"/>
      <c r="CM45" s="29" t="n"/>
      <c r="CN45" s="29" t="n"/>
      <c r="CO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29" t="n"/>
      <c r="CY45" s="29" t="n"/>
      <c r="CZ45" s="29" t="n"/>
      <c r="DA45" s="29" t="n"/>
      <c r="DB45" s="29" t="n"/>
      <c r="DC45" s="51" t="n"/>
      <c r="DD45" s="29" t="n"/>
      <c r="DE45" s="29" t="n"/>
      <c r="DF45" s="29" t="n"/>
      <c r="DG45" s="29" t="n"/>
      <c r="DH45" s="29" t="n"/>
      <c r="DK45" s="29" t="n"/>
      <c r="DM45" s="29" t="n"/>
      <c r="DN45" s="29" t="n"/>
      <c r="DO45" s="29" t="n"/>
      <c r="DP45" s="29" t="n"/>
      <c r="DQ45" s="29" t="n"/>
      <c r="DR45" s="29" t="n"/>
      <c r="DS45" s="29" t="n"/>
      <c r="DT45" s="29" t="n"/>
      <c r="DU45" s="29" t="n"/>
      <c r="DV45" s="29" t="n"/>
      <c r="DW45" s="573" t="n"/>
      <c r="DX45" s="29" t="n"/>
      <c r="DY45" s="5" t="n"/>
      <c r="DZ45" s="29" t="n"/>
      <c r="EA45" s="29" t="n"/>
      <c r="EB45" s="29" t="n"/>
      <c r="EC45" s="29" t="n"/>
      <c r="ED45" s="29" t="n"/>
      <c r="EF45" s="29" t="n"/>
      <c r="EG45" s="327" t="n"/>
      <c r="EH45" s="327" t="n"/>
      <c r="EO45" s="573" t="n"/>
      <c r="EP45" s="327" t="n"/>
      <c r="ER45" s="327" t="n"/>
      <c r="ET45" s="573" t="n"/>
      <c r="FC45" s="29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E46" s="5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2" t="n"/>
      <c r="AO46" s="699" t="n">
        <v>37</v>
      </c>
      <c r="AP46" s="699" t="n">
        <v>27</v>
      </c>
      <c r="AQ46" s="699" t="n">
        <v>24</v>
      </c>
      <c r="AR46" s="699" t="n">
        <v>17</v>
      </c>
      <c r="AS46" s="699" t="n">
        <v>11</v>
      </c>
      <c r="AT46" s="699" t="n">
        <v>9</v>
      </c>
      <c r="AU46" s="699" t="n">
        <v>7</v>
      </c>
      <c r="AV46" s="699" t="n">
        <v>5</v>
      </c>
      <c r="AW46" s="699" t="n">
        <v>2</v>
      </c>
      <c r="AX46" s="699" t="n">
        <v>2</v>
      </c>
      <c r="AY46" s="699" t="n">
        <v>2</v>
      </c>
      <c r="AZ46" s="699" t="n">
        <v>1</v>
      </c>
      <c r="BA46" s="699" t="n">
        <v>1</v>
      </c>
      <c r="BB46" s="699" t="n">
        <v>1</v>
      </c>
      <c r="BC46" s="699" t="n">
        <v>1</v>
      </c>
      <c r="BD46" s="699" t="n">
        <v>1</v>
      </c>
      <c r="BE46" s="699" t="n">
        <v>1</v>
      </c>
      <c r="BF46" s="699" t="n">
        <v>1</v>
      </c>
      <c r="BG46" s="699" t="n">
        <v>1</v>
      </c>
      <c r="BH46" s="699" t="n">
        <v>1</v>
      </c>
      <c r="BI46" s="699" t="n">
        <v>1</v>
      </c>
      <c r="BJ46" s="699" t="n">
        <v>1</v>
      </c>
      <c r="BK46" s="699" t="n">
        <v>1</v>
      </c>
      <c r="BL46" s="699" t="n">
        <v>1</v>
      </c>
      <c r="BM46" s="699" t="n">
        <v>1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>
        <v>0</v>
      </c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F46" s="29" t="n"/>
      <c r="CG46" s="29" t="n"/>
      <c r="CH46" s="29" t="n"/>
      <c r="CI46" s="29" t="n"/>
      <c r="CK46" s="29" t="n"/>
      <c r="CL46" s="29" t="n"/>
      <c r="CM46" s="29" t="n"/>
      <c r="CN46" s="29" t="n"/>
      <c r="CO46" s="29" t="n"/>
      <c r="CP46" s="29" t="n"/>
      <c r="CQ46" s="29" t="n"/>
      <c r="CR46" s="29" t="n"/>
      <c r="CS46" s="29" t="n"/>
      <c r="CT46" s="29" t="n"/>
      <c r="CU46" s="29" t="n"/>
      <c r="CV46" s="29" t="n"/>
      <c r="CW46" s="29" t="n"/>
      <c r="CX46" s="29" t="n"/>
      <c r="CY46" s="29" t="n"/>
      <c r="CZ46" s="29" t="n"/>
      <c r="DA46" s="29" t="n"/>
      <c r="DB46" s="29" t="n"/>
      <c r="DC46" s="51" t="n"/>
      <c r="DD46" s="29" t="n"/>
      <c r="DE46" s="29" t="n"/>
      <c r="DF46" s="29" t="n"/>
      <c r="DG46" s="29" t="n"/>
      <c r="DH46" s="29" t="n"/>
      <c r="DK46" s="29" t="n"/>
      <c r="DM46" s="29" t="n"/>
      <c r="DN46" s="29" t="n"/>
      <c r="DO46" s="29" t="n"/>
      <c r="DP46" s="29" t="n"/>
      <c r="DQ46" s="29" t="n"/>
      <c r="DR46" s="29" t="n"/>
      <c r="DS46" s="29" t="n"/>
      <c r="DT46" s="29" t="n"/>
      <c r="DU46" s="29" t="n"/>
      <c r="DV46" s="29" t="n"/>
      <c r="DW46" s="573" t="n"/>
      <c r="DX46" s="29" t="n"/>
      <c r="DY46" s="5" t="n"/>
      <c r="DZ46" s="29" t="n"/>
      <c r="EA46" s="29" t="n"/>
      <c r="EB46" s="29" t="n"/>
      <c r="EC46" s="29" t="n"/>
      <c r="ED46" s="29" t="n"/>
      <c r="EF46" s="29" t="n"/>
      <c r="EG46" s="327" t="n"/>
      <c r="EH46" s="327" t="n"/>
      <c r="EO46" s="573" t="n"/>
      <c r="EP46" s="327" t="n"/>
      <c r="ER46" s="327" t="n"/>
      <c r="ET46" s="573" t="n"/>
      <c r="FC46" s="29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218" t="n">
        <v>140</v>
      </c>
      <c r="BE47" s="699" t="n">
        <v>29</v>
      </c>
      <c r="BF47" s="699" t="n">
        <v>4</v>
      </c>
      <c r="BG47" s="699" t="n">
        <v>4</v>
      </c>
      <c r="BH47" s="699" t="n">
        <v>43</v>
      </c>
      <c r="BI47" s="699" t="n">
        <v>26</v>
      </c>
      <c r="BJ47" s="699" t="n">
        <v>18</v>
      </c>
      <c r="BK47" s="699" t="n">
        <v>17</v>
      </c>
      <c r="BL47" s="699" t="n">
        <v>22</v>
      </c>
      <c r="BM47" s="699" t="n">
        <v>14</v>
      </c>
      <c r="BN47" s="699" t="n">
        <v>8</v>
      </c>
      <c r="BO47" s="699" t="n">
        <v>6</v>
      </c>
      <c r="BP47" s="699" t="n">
        <v>1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0" t="n"/>
      <c r="CC47" s="2" t="n"/>
      <c r="CD47" s="63" t="n"/>
      <c r="CJ47" s="5" t="n"/>
      <c r="DC47" s="573" t="n"/>
      <c r="DI47" s="173" t="n"/>
      <c r="DJ47" s="173" t="n"/>
      <c r="DL47" s="173" t="n"/>
      <c r="DW47" s="573" t="n"/>
      <c r="DY47" s="51" t="n"/>
      <c r="EG47" s="327" t="n"/>
      <c r="EH47" s="327" t="n"/>
      <c r="EJ47" s="173" t="n"/>
      <c r="EO47" s="573" t="n"/>
      <c r="EP47" s="327" t="n"/>
      <c r="ER47" s="327" t="n"/>
      <c r="ET47" s="573" t="n"/>
    </row>
    <row r="48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381</v>
      </c>
      <c r="BE48" s="699" t="n">
        <v>184</v>
      </c>
      <c r="BF48" s="699" t="n">
        <v>29</v>
      </c>
      <c r="BG48" s="699" t="n">
        <v>14</v>
      </c>
      <c r="BH48" s="699" t="n">
        <v>1</v>
      </c>
      <c r="BI48" s="699" t="n">
        <v>-8</v>
      </c>
      <c r="BJ48" s="699" t="n">
        <v>-12</v>
      </c>
      <c r="BK48" s="699" t="n">
        <v>-12</v>
      </c>
      <c r="BL48" s="699" t="n">
        <v>17</v>
      </c>
      <c r="BM48" s="699" t="n">
        <v>11</v>
      </c>
      <c r="BN48" s="699" t="n">
        <v>2</v>
      </c>
      <c r="BO48" s="699" t="n">
        <v>11</v>
      </c>
      <c r="BP48" s="699" t="n">
        <v>6</v>
      </c>
      <c r="BQ48" s="699" t="n">
        <v>4</v>
      </c>
      <c r="BR48" s="699" t="n">
        <v>4</v>
      </c>
      <c r="BS48" s="699" t="n">
        <v>4</v>
      </c>
      <c r="BT48" s="699" t="n">
        <v>4</v>
      </c>
      <c r="BU48" s="699" t="n">
        <v>4</v>
      </c>
      <c r="BV48" s="699" t="n">
        <v>4</v>
      </c>
      <c r="BW48" s="699" t="n">
        <v>3</v>
      </c>
      <c r="BX48" s="699" t="n">
        <v>3</v>
      </c>
      <c r="BY48" s="699" t="n">
        <v>0</v>
      </c>
      <c r="BZ48" s="192">
        <f>BX48+IF(NOT(ISBLANK(OFFSET(BZ48,0,6))),N(OFFSET(BZ48,0,6)),N(OFFSET(BZ48,0,7)))-BY48</f>
        <v/>
      </c>
      <c r="CA48" s="50" t="n"/>
      <c r="CC48" s="2" t="n"/>
      <c r="CD48" s="63" t="n"/>
      <c r="DC48" s="573" t="n"/>
      <c r="DI48" s="173" t="n"/>
      <c r="DJ48" s="173" t="n"/>
      <c r="DL48" s="173" t="n"/>
      <c r="DW48" s="573" t="n"/>
      <c r="DY48" s="51" t="n"/>
      <c r="EG48" s="327" t="n"/>
      <c r="EH48" s="327" t="n"/>
      <c r="EJ48" s="173" t="n"/>
      <c r="EO48" s="573" t="n"/>
      <c r="EP48" s="327" t="n"/>
      <c r="ER48" s="327" t="n"/>
      <c r="ET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304</v>
      </c>
      <c r="BE49" s="699" t="n">
        <v>1</v>
      </c>
      <c r="BF49" s="699" t="n">
        <v>-3</v>
      </c>
      <c r="BG49" s="699" t="n">
        <v>-5</v>
      </c>
      <c r="BH49" s="699" t="n">
        <v>0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>
        <v>0</v>
      </c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A49" s="50" t="n"/>
      <c r="CC49" s="2" t="n"/>
      <c r="CD49" s="63" t="n"/>
      <c r="DC49" s="573" t="n"/>
      <c r="DI49" s="173" t="n"/>
      <c r="DJ49" s="173" t="n"/>
      <c r="DL49" s="173" t="n"/>
      <c r="DW49" s="573" t="n"/>
      <c r="DY49" s="51" t="n"/>
      <c r="EG49" s="327" t="n"/>
      <c r="EH49" s="327" t="n"/>
      <c r="EJ49" s="173" t="n"/>
      <c r="EO49" s="573" t="n"/>
      <c r="EP49" s="327" t="n"/>
      <c r="ER49" s="327" t="n"/>
      <c r="ET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227</v>
      </c>
      <c r="BE50" s="699" t="n">
        <v>31</v>
      </c>
      <c r="BF50" s="699" t="n">
        <v>3</v>
      </c>
      <c r="BG50" s="699" t="n">
        <v>1</v>
      </c>
      <c r="BH50" s="699" t="n">
        <v>1</v>
      </c>
      <c r="BI50" s="699" t="n">
        <v>1</v>
      </c>
      <c r="BJ50" s="699" t="n">
        <v>1</v>
      </c>
      <c r="BK50" s="699" t="n">
        <v>1</v>
      </c>
      <c r="BL50" s="699" t="n">
        <v>1</v>
      </c>
      <c r="BM50" s="699" t="n">
        <v>1</v>
      </c>
      <c r="BN50" s="699" t="n">
        <v>1</v>
      </c>
      <c r="BO50" s="699" t="n">
        <v>0</v>
      </c>
      <c r="BP50" s="699" t="n">
        <v>0</v>
      </c>
      <c r="BQ50" s="699" t="n">
        <v>0</v>
      </c>
      <c r="BR50" s="699" t="n">
        <v>0</v>
      </c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A50" s="50" t="n"/>
      <c r="CC50" s="2" t="n"/>
      <c r="CD50" s="63" t="n"/>
      <c r="DC50" s="573" t="n"/>
      <c r="DI50" s="173" t="n"/>
      <c r="DJ50" s="173" t="n"/>
      <c r="DL50" s="173" t="n"/>
      <c r="DW50" s="573" t="n"/>
      <c r="DY50" s="51" t="n"/>
      <c r="EG50" s="327" t="n"/>
      <c r="EH50" s="327" t="n"/>
      <c r="EJ50" s="173" t="n"/>
      <c r="EO50" s="573" t="n"/>
      <c r="EP50" s="327" t="n"/>
      <c r="ER50" s="327" t="n"/>
      <c r="ET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0</v>
      </c>
      <c r="BG51" s="699" t="n">
        <v>0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>
        <v>0</v>
      </c>
      <c r="BQ51" s="699" t="n">
        <v>0</v>
      </c>
      <c r="BR51" s="699" t="n">
        <v>0</v>
      </c>
      <c r="BS51" s="699" t="n"/>
      <c r="BT51" s="699" t="n"/>
      <c r="BU51" s="699" t="n"/>
      <c r="BV51" s="699" t="n"/>
      <c r="BW51" s="699" t="n"/>
      <c r="BX51" s="699" t="n"/>
      <c r="BY51" s="699" t="n"/>
      <c r="BZ51" s="192">
        <f>BX51+IF(NOT(ISBLANK(OFFSET(BZ51,0,6))),N(OFFSET(BZ51,0,6)),N(OFFSET(BZ51,0,7)))-BY51</f>
        <v/>
      </c>
      <c r="CA51" s="50" t="n"/>
      <c r="CC51" s="2" t="n"/>
      <c r="CD51" s="63" t="n"/>
      <c r="DC51" s="573" t="n"/>
      <c r="DI51" s="173" t="n"/>
      <c r="DJ51" s="173" t="n"/>
      <c r="DL51" s="173" t="n"/>
      <c r="DW51" s="573" t="n"/>
      <c r="DY51" s="51" t="n"/>
      <c r="EG51" s="327" t="n"/>
      <c r="EH51" s="327" t="n"/>
      <c r="EJ51" s="173" t="n"/>
      <c r="EO51" s="573" t="n"/>
      <c r="EP51" s="327" t="n"/>
      <c r="ER51" s="327" t="n"/>
      <c r="ET51" s="573" t="n"/>
    </row>
    <row r="52">
      <c r="C52" s="72" t="n"/>
      <c r="D52" s="72" t="n"/>
      <c r="CA52" s="50" t="n"/>
      <c r="CC52" s="2" t="n"/>
      <c r="CD52" s="63" t="n"/>
      <c r="DC52" s="573" t="n"/>
      <c r="DI52" s="173" t="n"/>
      <c r="DJ52" s="173" t="n"/>
      <c r="DL52" s="173" t="n"/>
      <c r="DW52" s="573" t="n"/>
      <c r="DY52" s="51" t="n"/>
      <c r="EG52" s="327" t="n"/>
      <c r="EH52" s="327" t="n"/>
      <c r="EJ52" s="173" t="n"/>
      <c r="EO52" s="573" t="n"/>
      <c r="EP52" s="327" t="n"/>
      <c r="ER52" s="327" t="n"/>
      <c r="ET52" s="573" t="n"/>
    </row>
    <row r="53" hidden="1">
      <c r="C53" s="72" t="n"/>
      <c r="D53" s="72" t="n"/>
      <c r="CA53" s="50" t="n"/>
      <c r="CC53" s="2" t="n"/>
      <c r="CD53" s="63" t="n"/>
      <c r="DC53" s="573" t="n"/>
      <c r="DI53" s="173" t="n"/>
      <c r="DJ53" s="173" t="n"/>
      <c r="DL53" s="173" t="n"/>
      <c r="DW53" s="573" t="n"/>
      <c r="DY53" s="51" t="n"/>
      <c r="EG53" s="327" t="n"/>
      <c r="EH53" s="327" t="n"/>
      <c r="EJ53" s="173" t="n"/>
      <c r="EO53" s="573" t="n"/>
      <c r="EP53" s="327" t="n"/>
      <c r="ER53" s="327" t="n"/>
      <c r="ET53" s="573" t="n"/>
    </row>
    <row r="54" hidden="1">
      <c r="C54" s="72" t="n"/>
      <c r="D54" s="72" t="n"/>
      <c r="CA54" s="50" t="n"/>
      <c r="CC54" s="2" t="n"/>
      <c r="CD54" s="63" t="n"/>
      <c r="CF54" s="59" t="n"/>
      <c r="CG54" s="59" t="n"/>
      <c r="CH54" s="59" t="n"/>
      <c r="CI54" s="59" t="n"/>
      <c r="CK54" s="59" t="n"/>
      <c r="CL54" s="59" t="n"/>
      <c r="CM54" s="59" t="n"/>
      <c r="CN54" s="59" t="n"/>
      <c r="CO54" s="59" t="n"/>
      <c r="CP54" s="59" t="n"/>
      <c r="CQ54" s="59" t="n"/>
      <c r="CR54" s="59" t="n"/>
      <c r="DC54" s="573" t="n"/>
      <c r="DI54" s="173" t="n"/>
      <c r="DJ54" s="173" t="n"/>
      <c r="DL54" s="173" t="n"/>
      <c r="DW54" s="573" t="n"/>
      <c r="DY54" s="51" t="n"/>
      <c r="EG54" s="327" t="n"/>
      <c r="EH54" s="327" t="n"/>
      <c r="EJ54" s="173" t="n"/>
      <c r="EO54" s="573" t="n"/>
      <c r="EP54" s="327" t="n"/>
      <c r="ER54" s="327" t="n"/>
      <c r="ET54" s="573" t="n"/>
    </row>
    <row r="55" ht="21" customHeight="1">
      <c r="A55" s="380" t="inlineStr">
        <is>
          <t>SOBRAS DATAS COMEMORATIVAS</t>
        </is>
      </c>
      <c r="B55" s="380" t="n"/>
      <c r="C55" s="380" t="n"/>
      <c r="CA55" s="50" t="n"/>
      <c r="CC55" s="2" t="n"/>
      <c r="CF55" s="573" t="n"/>
      <c r="CG55" s="573" t="n"/>
      <c r="CH55" s="573" t="n"/>
      <c r="CI55" s="573" t="n"/>
      <c r="CK55" s="573" t="n"/>
      <c r="CL55" s="573" t="n"/>
      <c r="CM55" s="573" t="n"/>
      <c r="CN55" s="573" t="n"/>
      <c r="CO55" s="573" t="n"/>
      <c r="CP55" s="573" t="n"/>
      <c r="CQ55" s="573" t="n"/>
      <c r="CR55" s="573" t="n"/>
      <c r="DC55" s="573" t="n"/>
      <c r="DI55" s="174" t="n"/>
      <c r="DJ55" s="174" t="n"/>
      <c r="DL55" s="174" t="n"/>
      <c r="DM55" s="59" t="n"/>
      <c r="DN55" s="59" t="n"/>
      <c r="DO55" s="59" t="n"/>
      <c r="DP55" s="59" t="n"/>
      <c r="DQ55" s="59" t="n"/>
      <c r="DR55" s="59" t="n"/>
      <c r="DS55" s="59" t="n"/>
      <c r="DT55" s="59" t="n"/>
      <c r="DU55" s="59" t="n"/>
      <c r="DV55" s="59" t="n"/>
      <c r="DW55" s="5" t="n"/>
      <c r="DY55" s="51" t="n"/>
      <c r="EG55" s="327" t="n"/>
      <c r="EH55" s="327" t="n"/>
      <c r="EJ55" s="174" t="n"/>
      <c r="EP55" s="327" t="n"/>
      <c r="ER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CA56" s="50" t="n"/>
      <c r="CC56" s="2" t="n"/>
      <c r="CE56" s="573" t="n"/>
      <c r="CF56" s="573" t="n"/>
      <c r="CG56" s="573" t="n"/>
      <c r="CH56" s="573" t="n"/>
      <c r="CI56" s="573" t="n"/>
      <c r="CK56" s="573" t="n"/>
      <c r="CL56" s="573" t="n"/>
      <c r="CM56" s="573" t="n"/>
      <c r="CN56" s="573" t="n"/>
      <c r="CO56" s="573" t="n"/>
      <c r="CP56" s="573" t="n"/>
      <c r="CQ56" s="573" t="n"/>
      <c r="CR56" s="573" t="n"/>
      <c r="CV56" s="59" t="n"/>
      <c r="CW56" s="59" t="n"/>
      <c r="CX56" s="59" t="n"/>
      <c r="CY56" s="59" t="n"/>
      <c r="CZ56" s="59" t="n"/>
      <c r="DA56" s="59" t="n"/>
      <c r="DB56" s="59" t="n"/>
      <c r="DC56" s="573" t="n"/>
      <c r="DD56" s="59" t="n"/>
      <c r="DE56" s="59" t="n"/>
      <c r="DF56" s="59" t="n"/>
      <c r="DG56" s="59" t="n"/>
      <c r="DH56" s="59" t="n"/>
      <c r="DI56" s="174" t="n"/>
      <c r="DJ56" s="174" t="n"/>
      <c r="DK56" s="59" t="n"/>
      <c r="DL56" s="174" t="n"/>
      <c r="DM56" s="573" t="n"/>
      <c r="DN56" s="573" t="n"/>
      <c r="DO56" s="573" t="n"/>
      <c r="DP56" s="573" t="n"/>
      <c r="DQ56" s="573" t="n"/>
      <c r="DR56" s="573" t="n"/>
      <c r="DS56" s="573" t="n"/>
      <c r="DT56" s="573" t="n"/>
      <c r="DU56" s="573" t="n"/>
      <c r="DV56" s="573" t="n"/>
      <c r="DW56" s="5" t="n"/>
      <c r="DY56" s="573" t="n"/>
      <c r="EA56" s="59" t="n"/>
      <c r="EB56" s="59" t="n"/>
      <c r="EC56" s="59" t="n"/>
      <c r="ED56" s="59" t="n"/>
      <c r="EF56" s="59" t="n"/>
      <c r="EG56" s="327" t="n"/>
      <c r="EH56" s="327" t="n"/>
      <c r="EJ56" s="174" t="n"/>
      <c r="EP56" s="327" t="n"/>
      <c r="ER56" s="327" t="n"/>
      <c r="FC56" s="59" t="n"/>
    </row>
    <row r="57">
      <c r="A57" s="387" t="n"/>
      <c r="B57" s="388" t="n"/>
      <c r="C57" s="388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V57" s="573" t="n"/>
      <c r="CW57" s="573" t="n"/>
      <c r="CX57" s="573" t="n"/>
      <c r="CY57" s="573" t="n"/>
      <c r="CZ57" s="573" t="n"/>
      <c r="DA57" s="573" t="n"/>
      <c r="DB57" s="573" t="n"/>
      <c r="DC57" s="573" t="n"/>
      <c r="DD57" s="573" t="n"/>
      <c r="DE57" s="573" t="n"/>
      <c r="DF57" s="573" t="n"/>
      <c r="DG57" s="573" t="n"/>
      <c r="DH57" s="573" t="n"/>
      <c r="DK57" s="573" t="n"/>
      <c r="DM57" s="573" t="n"/>
      <c r="DN57" s="573" t="n"/>
      <c r="DO57" s="573" t="n"/>
      <c r="DP57" s="573" t="n"/>
      <c r="DQ57" s="573" t="n"/>
      <c r="DR57" s="573" t="n"/>
      <c r="DS57" s="573" t="n"/>
      <c r="DT57" s="573" t="n"/>
      <c r="DU57" s="573" t="n"/>
      <c r="DV57" s="573" t="n"/>
      <c r="DW57" s="41" t="n"/>
      <c r="DX57" s="59" t="n"/>
      <c r="DY57" s="573" t="n"/>
      <c r="DZ57" s="59" t="n"/>
      <c r="EA57" s="573" t="n"/>
      <c r="EB57" s="573" t="n"/>
      <c r="EC57" s="573" t="n"/>
      <c r="ED57" s="573" t="n"/>
      <c r="EE57" s="59" t="n"/>
      <c r="EF57" s="573" t="n"/>
      <c r="EG57" s="327" t="n"/>
      <c r="EH57" s="327" t="n"/>
      <c r="EI57" s="59" t="n"/>
      <c r="EK57" s="59" t="n"/>
      <c r="EL57" s="59" t="n"/>
      <c r="EM57" s="59" t="n"/>
      <c r="EN57" s="59" t="n"/>
      <c r="EP57" s="327" t="n"/>
      <c r="EQ57" s="59" t="n"/>
      <c r="ER57" s="327" t="n"/>
      <c r="ES57" s="59" t="n"/>
      <c r="EU57" s="59" t="n"/>
      <c r="EV57" s="59" t="n"/>
      <c r="EW57" s="59" t="n"/>
      <c r="EX57" s="59" t="n"/>
      <c r="EY57" s="59" t="n"/>
      <c r="EZ57" s="59" t="n"/>
      <c r="FA57" s="59" t="n"/>
      <c r="FB57" s="59" t="n"/>
      <c r="FC57" s="573" t="n"/>
      <c r="FD57" s="59" t="n"/>
      <c r="FE57" s="59" t="n"/>
      <c r="FF57" s="59" t="n"/>
      <c r="FH57" s="59" t="n"/>
      <c r="FI57" s="573" t="n"/>
      <c r="FS57" s="50" t="n"/>
      <c r="FT57" s="50" t="n"/>
      <c r="FU57" s="50" t="n"/>
      <c r="FV57" s="50" t="n"/>
      <c r="FW57" s="50" t="n"/>
      <c r="FX57" s="50" t="n"/>
      <c r="FY57" s="50" t="n"/>
      <c r="FZ57" s="50" t="n"/>
      <c r="GA57" s="50" t="n"/>
      <c r="GB57" s="50" t="n"/>
      <c r="GC57" s="50" t="n"/>
      <c r="GD57" s="50" t="n"/>
      <c r="GE57" s="50" t="n"/>
      <c r="GF57" s="50" t="n"/>
      <c r="GG57" s="50" t="n"/>
      <c r="GH57" s="50" t="n"/>
      <c r="GI57" s="50" t="n"/>
      <c r="GJ57" s="29" t="n"/>
      <c r="GK57" s="29" t="n"/>
      <c r="GL57" s="29" t="n"/>
      <c r="GM57" s="29" t="n"/>
      <c r="GN57" s="29" t="n"/>
      <c r="GO57" s="29" t="n"/>
      <c r="GP57" s="29" t="n"/>
      <c r="GQ57" s="50" t="n"/>
      <c r="GR57" s="29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50" t="n"/>
      <c r="HH57" s="50" t="n"/>
      <c r="HI57" s="50" t="n"/>
      <c r="HJ57" s="51" t="n"/>
      <c r="HK57" s="2" t="n"/>
      <c r="HL57" s="29" t="n"/>
      <c r="HM57" s="573" t="n"/>
      <c r="HN57" s="29" t="n"/>
      <c r="HO57" s="29" t="n"/>
      <c r="HP57" s="29" t="n"/>
      <c r="HQ57" s="174" t="n"/>
      <c r="HR57" s="29" t="n"/>
      <c r="HS57" s="174" t="n"/>
      <c r="HT57" s="29" t="n"/>
      <c r="HU57" s="29" t="n"/>
      <c r="HV57" s="174" t="n"/>
      <c r="HW57" s="29" t="n"/>
      <c r="HX57" s="29" t="n"/>
      <c r="HY57" s="29" t="n"/>
      <c r="HZ57" s="29" t="n"/>
      <c r="IA57" s="29" t="n"/>
      <c r="IB57" s="29" t="n"/>
      <c r="IC57" s="29" t="n"/>
      <c r="ID57" s="174" t="n"/>
      <c r="IE57" s="29" t="n"/>
      <c r="IF57" s="29" t="n"/>
      <c r="IG57" s="29" t="n"/>
      <c r="IH57" s="71" t="n"/>
      <c r="II57" s="29" t="n"/>
      <c r="IJ57" s="29" t="n"/>
      <c r="IK57" s="29" t="n"/>
      <c r="IL57" s="174" t="n"/>
      <c r="IM57" s="29" t="n"/>
      <c r="IN57" s="29" t="n"/>
      <c r="IO57" s="71" t="n"/>
      <c r="IP57" s="29" t="n"/>
      <c r="IQ57" s="29" t="n"/>
      <c r="IR57" s="29" t="n"/>
      <c r="IS57" s="29" t="n"/>
      <c r="IT57" s="29" t="n"/>
      <c r="IU57" s="29" t="n"/>
      <c r="IV57" s="29" t="n"/>
      <c r="IW57" s="29" t="n"/>
      <c r="IX57" s="29" t="n"/>
      <c r="IY57" s="29" t="n"/>
      <c r="IZ57" s="29" t="n"/>
      <c r="JA57" s="71" t="n"/>
      <c r="JB57" s="29" t="n"/>
      <c r="JC57" s="29" t="n"/>
      <c r="JD57" s="29" t="n"/>
      <c r="JE57" s="29" t="n"/>
      <c r="JF57" s="29" t="n"/>
      <c r="JG57" s="29" t="n"/>
      <c r="JH57" s="29" t="n"/>
      <c r="JI57" s="29" t="n"/>
      <c r="JJ57" s="29" t="n"/>
      <c r="JK57" s="29" t="n"/>
      <c r="JL57" s="29" t="n"/>
      <c r="JM57" s="29" t="n"/>
      <c r="JN57" s="29" t="n"/>
      <c r="JO57" s="29" t="n"/>
      <c r="JP57" s="29" t="n"/>
      <c r="JQ57" s="29" t="n"/>
      <c r="JR57" s="29" t="n"/>
      <c r="JS57" s="29" t="n"/>
      <c r="JT57" s="29" t="n"/>
      <c r="JU57" s="29" t="n"/>
      <c r="JV57" s="29" t="n"/>
      <c r="JW57" s="29" t="n"/>
      <c r="JX57" s="29" t="n"/>
      <c r="JY57" s="29" t="n"/>
      <c r="JZ57" s="29" t="n"/>
      <c r="KA57" s="29" t="n"/>
      <c r="KB57" s="29" t="n"/>
      <c r="KC57" s="29" t="n"/>
      <c r="KD57" s="29" t="n"/>
      <c r="KE57" s="29" t="n"/>
      <c r="KF57" s="29" t="n"/>
      <c r="KG57" s="29" t="n"/>
      <c r="KH57" s="29" t="n"/>
      <c r="KI57" s="29" t="n"/>
      <c r="KJ57" s="29" t="n"/>
      <c r="KK57" s="29" t="n"/>
      <c r="KL57" s="29" t="n"/>
      <c r="KM57" s="29" t="n"/>
      <c r="KN57" s="29" t="n"/>
      <c r="KO57" s="29" t="n"/>
      <c r="KP57" s="29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</row>
    <row r="58" ht="29.25" customHeight="1">
      <c r="A58" s="786" t="inlineStr">
        <is>
          <t>CARTUCHO P MÃES/24</t>
        </is>
      </c>
      <c r="B58" s="225" t="n"/>
      <c r="C58" s="172" t="n">
        <v>11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1" t="n"/>
      <c r="CC58" s="573" t="n"/>
      <c r="CD58" s="573" t="n"/>
      <c r="CE58" s="573" t="n"/>
      <c r="CV58" s="573" t="n"/>
      <c r="CW58" s="573" t="n"/>
      <c r="CX58" s="573" t="n"/>
      <c r="CY58" s="573" t="n"/>
      <c r="CZ58" s="573" t="n"/>
      <c r="DA58" s="573" t="n"/>
      <c r="DB58" s="573" t="n"/>
      <c r="DC58" s="573" t="n"/>
      <c r="DD58" s="573" t="n"/>
      <c r="DE58" s="573" t="n"/>
      <c r="DF58" s="573" t="n"/>
      <c r="DG58" s="573" t="n"/>
      <c r="DH58" s="573" t="n"/>
      <c r="DK58" s="573" t="n"/>
      <c r="DW58" s="41" t="n"/>
      <c r="DX58" s="573" t="n"/>
      <c r="DY58" s="573" t="n"/>
      <c r="DZ58" s="573" t="n"/>
      <c r="EA58" s="573" t="n"/>
      <c r="EB58" s="573" t="n"/>
      <c r="EC58" s="573" t="n"/>
      <c r="ED58" s="573" t="n"/>
      <c r="EE58" s="573" t="n"/>
      <c r="EF58" s="573" t="n"/>
      <c r="EG58" s="327" t="n"/>
      <c r="EH58" s="327" t="n"/>
      <c r="EI58" s="573" t="n"/>
      <c r="EK58" s="573" t="n"/>
      <c r="EL58" s="573" t="n"/>
      <c r="EM58" s="573" t="n"/>
      <c r="EN58" s="573" t="n"/>
      <c r="EP58" s="327" t="n"/>
      <c r="EQ58" s="573" t="n"/>
      <c r="ER58" s="327" t="n"/>
      <c r="ES58" s="573" t="n"/>
      <c r="EU58" s="573" t="n"/>
      <c r="EV58" s="573" t="n"/>
      <c r="EW58" s="573" t="n"/>
      <c r="EX58" s="573" t="n"/>
      <c r="EY58" s="573" t="n"/>
      <c r="EZ58" s="573" t="n"/>
      <c r="FA58" s="573" t="n"/>
      <c r="FB58" s="573" t="n"/>
      <c r="FC58" s="573" t="n"/>
      <c r="FD58" s="573" t="n"/>
      <c r="FE58" s="573" t="n"/>
      <c r="FF58" s="573" t="n"/>
      <c r="FG58" s="573" t="n"/>
      <c r="FH58" s="573" t="n"/>
      <c r="FI58" s="573" t="n"/>
      <c r="FS58" s="50" t="n"/>
      <c r="FT58" s="50" t="n"/>
      <c r="FU58" s="50" t="n"/>
      <c r="FV58" s="50" t="n"/>
      <c r="FW58" s="50" t="n"/>
      <c r="FX58" s="50" t="n"/>
      <c r="FY58" s="50" t="n"/>
      <c r="FZ58" s="50" t="n"/>
      <c r="GA58" s="50" t="n"/>
      <c r="GB58" s="50" t="n"/>
      <c r="GC58" s="50" t="n"/>
      <c r="GD58" s="50" t="n"/>
      <c r="GE58" s="50" t="n"/>
      <c r="GF58" s="50" t="n"/>
      <c r="GG58" s="50" t="n"/>
      <c r="GH58" s="50" t="n"/>
      <c r="GI58" s="50" t="n"/>
      <c r="GJ58" s="29" t="n"/>
      <c r="GK58" s="29" t="n"/>
      <c r="GL58" s="29" t="n"/>
      <c r="GM58" s="29" t="n"/>
      <c r="GN58" s="29" t="n"/>
      <c r="GO58" s="29" t="n"/>
      <c r="GP58" s="29" t="n"/>
      <c r="GQ58" s="50" t="n"/>
      <c r="GR58" s="29" t="n"/>
      <c r="GS58" s="29" t="n"/>
      <c r="GT58" s="29" t="n"/>
      <c r="GU58" s="29" t="n"/>
      <c r="GV58" s="29" t="n"/>
      <c r="GW58" s="29" t="n"/>
      <c r="GX58" s="29" t="n"/>
      <c r="GY58" s="29" t="n"/>
      <c r="GZ58" s="29" t="n"/>
      <c r="HA58" s="29" t="n"/>
      <c r="HB58" s="29" t="n"/>
      <c r="HC58" s="29" t="n"/>
      <c r="HD58" s="29" t="n"/>
      <c r="HE58" s="29" t="n"/>
      <c r="HF58" s="29" t="n"/>
      <c r="HG58" s="50" t="n"/>
      <c r="HH58" s="50" t="n"/>
      <c r="HI58" s="50" t="n"/>
      <c r="HJ58" s="51" t="n"/>
      <c r="HK58" s="2" t="n"/>
      <c r="HL58" s="29" t="n"/>
      <c r="HM58" s="573" t="n"/>
      <c r="HN58" s="29" t="n"/>
      <c r="HO58" s="29" t="n"/>
      <c r="HP58" s="29" t="n"/>
      <c r="HQ58" s="174" t="n"/>
      <c r="HR58" s="29" t="n"/>
      <c r="HS58" s="174" t="n"/>
      <c r="HT58" s="29" t="n"/>
      <c r="HU58" s="29" t="n"/>
      <c r="HV58" s="174" t="n"/>
      <c r="HW58" s="29" t="n"/>
      <c r="HX58" s="29" t="n"/>
      <c r="HY58" s="29" t="n"/>
      <c r="HZ58" s="29" t="n"/>
      <c r="IA58" s="29" t="n"/>
      <c r="IB58" s="29" t="n"/>
      <c r="IC58" s="29" t="n"/>
      <c r="ID58" s="174" t="n"/>
      <c r="IE58" s="29" t="n"/>
      <c r="IF58" s="29" t="n"/>
      <c r="IG58" s="29" t="n"/>
      <c r="IH58" s="71" t="n"/>
      <c r="II58" s="29" t="n"/>
      <c r="IJ58" s="29" t="n"/>
      <c r="IK58" s="29" t="n"/>
      <c r="IL58" s="174" t="n"/>
      <c r="IM58" s="29" t="n"/>
      <c r="IN58" s="29" t="n"/>
      <c r="IO58" s="71" t="n"/>
      <c r="IP58" s="29" t="n"/>
      <c r="IQ58" s="29" t="n"/>
      <c r="IR58" s="29" t="n"/>
      <c r="IS58" s="29" t="n"/>
      <c r="IT58" s="29" t="n"/>
      <c r="IU58" s="29" t="n"/>
      <c r="IV58" s="29" t="n"/>
      <c r="IW58" s="29" t="n"/>
      <c r="IX58" s="29" t="n"/>
      <c r="IY58" s="29" t="n"/>
      <c r="IZ58" s="29" t="n"/>
      <c r="JA58" s="71" t="n"/>
      <c r="JB58" s="29" t="n"/>
      <c r="JC58" s="29" t="n"/>
      <c r="JD58" s="29" t="n"/>
      <c r="JE58" s="29" t="n"/>
      <c r="JF58" s="29" t="n"/>
      <c r="JG58" s="29" t="n"/>
      <c r="JH58" s="29" t="n"/>
      <c r="JI58" s="29" t="n"/>
      <c r="JJ58" s="29" t="n"/>
      <c r="JK58" s="29" t="n"/>
      <c r="JL58" s="29" t="n"/>
      <c r="JM58" s="29" t="n"/>
      <c r="JN58" s="29" t="n"/>
      <c r="JO58" s="29" t="n"/>
      <c r="JP58" s="29" t="n"/>
      <c r="JQ58" s="29" t="n"/>
      <c r="JR58" s="29" t="n"/>
      <c r="JS58" s="29" t="n"/>
      <c r="JT58" s="29" t="n"/>
      <c r="JU58" s="29" t="n"/>
      <c r="JV58" s="29" t="n"/>
      <c r="JW58" s="29" t="n"/>
      <c r="JX58" s="29" t="n"/>
      <c r="JY58" s="29" t="n"/>
      <c r="JZ58" s="29" t="n"/>
      <c r="KA58" s="29" t="n"/>
      <c r="KB58" s="29" t="n"/>
      <c r="KC58" s="29" t="n"/>
      <c r="KD58" s="29" t="n"/>
      <c r="KE58" s="29" t="n"/>
      <c r="KF58" s="29" t="n"/>
      <c r="KG58" s="29" t="n"/>
      <c r="KH58" s="29" t="n"/>
      <c r="KI58" s="29" t="n"/>
      <c r="KJ58" s="29" t="n"/>
      <c r="KK58" s="29" t="n"/>
      <c r="KL58" s="29" t="n"/>
      <c r="KM58" s="29" t="n"/>
      <c r="KN58" s="29" t="n"/>
      <c r="KO58" s="29" t="n"/>
      <c r="KP58" s="29" t="n"/>
      <c r="KQ58" s="29" t="n"/>
      <c r="KR58" s="29" t="n"/>
      <c r="KS58" s="29" t="n"/>
      <c r="KT58" s="29" t="n"/>
      <c r="KU58" s="29" t="n"/>
      <c r="KV58" s="29" t="n"/>
      <c r="KW58" s="29" t="n"/>
      <c r="KX58" s="29" t="n"/>
      <c r="KY58" s="29" t="n"/>
      <c r="KZ58" s="29" t="n"/>
      <c r="LA58" s="29" t="n"/>
    </row>
    <row r="59" ht="29.25" customHeight="1">
      <c r="A59" s="356" t="inlineStr">
        <is>
          <t>TAG DIVERTIDAMENTE</t>
        </is>
      </c>
      <c r="B59" s="225" t="n"/>
      <c r="C59" s="172" t="n">
        <v>200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C59" s="573" t="n"/>
      <c r="CD59" s="573" t="n"/>
      <c r="CE59" s="573" t="n"/>
      <c r="DC59" s="5" t="n"/>
      <c r="DX59" s="573" t="n"/>
      <c r="DY59" s="573" t="n"/>
      <c r="DZ59" s="573" t="n"/>
      <c r="EE59" s="573" t="n"/>
      <c r="EG59" s="327" t="n"/>
      <c r="EH59" s="327" t="n"/>
      <c r="EI59" s="573" t="n"/>
      <c r="EK59" s="573" t="n"/>
      <c r="EL59" s="573" t="n"/>
      <c r="EM59" s="573" t="n"/>
      <c r="EN59" s="573" t="n"/>
      <c r="EP59" s="327" t="n"/>
      <c r="EQ59" s="573" t="n"/>
      <c r="ER59" s="327" t="n"/>
      <c r="ES59" s="573" t="n"/>
      <c r="EU59" s="573" t="n"/>
      <c r="EV59" s="573" t="n"/>
      <c r="EW59" s="573" t="n"/>
      <c r="EX59" s="573" t="n"/>
      <c r="EY59" s="573" t="n"/>
      <c r="EZ59" s="573" t="n"/>
      <c r="FA59" s="573" t="n"/>
      <c r="FB59" s="573" t="n"/>
      <c r="FC59" s="573" t="n"/>
      <c r="FD59" s="573" t="n"/>
      <c r="FE59" s="573" t="n"/>
      <c r="FF59" s="573" t="n"/>
      <c r="FG59" s="573" t="n"/>
      <c r="FH59" s="573" t="n"/>
      <c r="FI59" s="573" t="n"/>
      <c r="FS59" s="50" t="n"/>
      <c r="FT59" s="50" t="n"/>
      <c r="FU59" s="50" t="n"/>
      <c r="FV59" s="50" t="n"/>
      <c r="FW59" s="50" t="n"/>
      <c r="FX59" s="50" t="n"/>
      <c r="FY59" s="50" t="n"/>
      <c r="FZ59" s="50" t="n"/>
      <c r="GA59" s="50" t="n"/>
      <c r="GB59" s="50" t="n"/>
      <c r="GC59" s="50" t="n"/>
      <c r="GD59" s="50" t="n"/>
      <c r="GE59" s="50" t="n"/>
      <c r="GF59" s="50" t="n"/>
      <c r="GG59" s="50" t="n"/>
      <c r="GH59" s="50" t="n"/>
      <c r="GI59" s="50" t="n"/>
      <c r="GJ59" s="29" t="n"/>
      <c r="GK59" s="29" t="n"/>
      <c r="GL59" s="29" t="n"/>
      <c r="GM59" s="29" t="n"/>
      <c r="GN59" s="29" t="n"/>
      <c r="GO59" s="29" t="n"/>
      <c r="GP59" s="29" t="n"/>
      <c r="GQ59" s="50" t="n"/>
      <c r="GR59" s="29" t="n"/>
      <c r="GS59" s="29" t="n"/>
      <c r="GT59" s="29" t="n"/>
      <c r="GU59" s="29" t="n"/>
      <c r="GV59" s="29" t="n"/>
      <c r="GW59" s="29" t="n"/>
      <c r="GX59" s="29" t="n"/>
      <c r="GY59" s="29" t="n"/>
      <c r="GZ59" s="29" t="n"/>
      <c r="HA59" s="29" t="n"/>
      <c r="HB59" s="29" t="n"/>
      <c r="HC59" s="29" t="n"/>
      <c r="HD59" s="29" t="n"/>
      <c r="HE59" s="29" t="n"/>
      <c r="HF59" s="29" t="n"/>
      <c r="HG59" s="50" t="n"/>
      <c r="HH59" s="50" t="n"/>
      <c r="HI59" s="50" t="n"/>
      <c r="HJ59" s="51" t="n"/>
      <c r="HK59" s="2" t="n"/>
      <c r="HL59" s="29" t="n"/>
      <c r="HM59" s="573" t="n"/>
      <c r="HN59" s="29" t="n"/>
      <c r="HO59" s="29" t="n"/>
      <c r="HP59" s="29" t="n"/>
      <c r="HQ59" s="174" t="n"/>
      <c r="HR59" s="29" t="n"/>
      <c r="HS59" s="174" t="n"/>
      <c r="HT59" s="29" t="n"/>
      <c r="HU59" s="29" t="n"/>
      <c r="HV59" s="174" t="n"/>
      <c r="HW59" s="29" t="n"/>
      <c r="HX59" s="29" t="n"/>
      <c r="HY59" s="29" t="n"/>
      <c r="HZ59" s="29" t="n"/>
      <c r="IA59" s="29" t="n"/>
      <c r="IB59" s="29" t="n"/>
      <c r="IC59" s="29" t="n"/>
      <c r="ID59" s="174" t="n"/>
      <c r="IE59" s="29" t="n"/>
      <c r="IF59" s="29" t="n"/>
      <c r="IG59" s="29" t="n"/>
      <c r="IH59" s="71" t="n"/>
      <c r="II59" s="29" t="n"/>
      <c r="IJ59" s="29" t="n"/>
      <c r="IK59" s="29" t="n"/>
      <c r="IL59" s="174" t="n"/>
      <c r="IM59" s="29" t="n"/>
      <c r="IN59" s="29" t="n"/>
      <c r="IO59" s="71" t="n"/>
      <c r="IP59" s="29" t="n"/>
      <c r="IQ59" s="29" t="n"/>
      <c r="IR59" s="29" t="n"/>
      <c r="IS59" s="29" t="n"/>
      <c r="IT59" s="29" t="n"/>
      <c r="IU59" s="29" t="n"/>
      <c r="IV59" s="29" t="n"/>
      <c r="IW59" s="29" t="n"/>
      <c r="IX59" s="29" t="n"/>
      <c r="IY59" s="29" t="n"/>
      <c r="IZ59" s="29" t="n"/>
      <c r="JA59" s="71" t="n"/>
      <c r="JB59" s="29" t="n"/>
      <c r="JC59" s="29" t="n"/>
      <c r="JD59" s="29" t="n"/>
      <c r="JE59" s="29" t="n"/>
      <c r="JF59" s="29" t="n"/>
      <c r="JG59" s="29" t="n"/>
      <c r="JH59" s="29" t="n"/>
      <c r="JI59" s="29" t="n"/>
      <c r="JJ59" s="29" t="n"/>
      <c r="JK59" s="29" t="n"/>
      <c r="JL59" s="29" t="n"/>
      <c r="JM59" s="29" t="n"/>
      <c r="JN59" s="29" t="n"/>
      <c r="JO59" s="29" t="n"/>
      <c r="JP59" s="29" t="n"/>
      <c r="JQ59" s="29" t="n"/>
      <c r="JR59" s="29" t="n"/>
      <c r="JS59" s="29" t="n"/>
      <c r="JT59" s="29" t="n"/>
      <c r="JU59" s="29" t="n"/>
      <c r="JV59" s="29" t="n"/>
      <c r="JW59" s="29" t="n"/>
      <c r="JX59" s="29" t="n"/>
      <c r="JY59" s="29" t="n"/>
      <c r="JZ59" s="29" t="n"/>
      <c r="KA59" s="29" t="n"/>
      <c r="KB59" s="29" t="n"/>
      <c r="KC59" s="29" t="n"/>
      <c r="KD59" s="29" t="n"/>
      <c r="KE59" s="29" t="n"/>
      <c r="KF59" s="29" t="n"/>
      <c r="KG59" s="29" t="n"/>
      <c r="KH59" s="29" t="n"/>
      <c r="KI59" s="29" t="n"/>
      <c r="KJ59" s="29" t="n"/>
      <c r="KK59" s="29" t="n"/>
      <c r="KL59" s="29" t="n"/>
      <c r="KM59" s="29" t="n"/>
      <c r="KN59" s="29" t="n"/>
      <c r="KO59" s="29" t="n"/>
      <c r="KP59" s="29" t="n"/>
      <c r="KQ59" s="29" t="n"/>
      <c r="KR59" s="29" t="n"/>
      <c r="KS59" s="29" t="n"/>
      <c r="KT59" s="29" t="n"/>
      <c r="KU59" s="29" t="n"/>
      <c r="KV59" s="29" t="n"/>
      <c r="KW59" s="29" t="n"/>
      <c r="KX59" s="29" t="n"/>
      <c r="KY59" s="29" t="n"/>
      <c r="KZ59" s="29" t="n"/>
      <c r="LA59" s="29" t="n"/>
    </row>
    <row r="60">
      <c r="A60" s="387" t="n"/>
      <c r="B60" s="388" t="n"/>
      <c r="C60" s="388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C60" s="573" t="n"/>
      <c r="CD60" s="573" t="n"/>
      <c r="CE60" s="573" t="n"/>
      <c r="DC60" s="41" t="n"/>
      <c r="DY60" s="573" t="n"/>
      <c r="EE60" s="573" t="n"/>
      <c r="EG60" s="327" t="n"/>
      <c r="EH60" s="327" t="n"/>
      <c r="EI60" s="573" t="n"/>
      <c r="EK60" s="573" t="n"/>
      <c r="EL60" s="573" t="n"/>
      <c r="EM60" s="573" t="n"/>
      <c r="EN60" s="573" t="n"/>
      <c r="EP60" s="327" t="n"/>
      <c r="EQ60" s="573" t="n"/>
      <c r="ER60" s="327" t="n"/>
      <c r="ES60" s="573" t="n"/>
      <c r="EU60" s="573" t="n"/>
      <c r="EV60" s="573" t="n"/>
      <c r="EW60" s="573" t="n"/>
      <c r="EX60" s="573" t="n"/>
      <c r="EY60" s="573" t="n"/>
      <c r="EZ60" s="573" t="n"/>
      <c r="FA60" s="573" t="n"/>
      <c r="FB60" s="573" t="n"/>
      <c r="FC60" s="573" t="n"/>
      <c r="FD60" s="573" t="n"/>
      <c r="FE60" s="573" t="n"/>
      <c r="FF60" s="573" t="n"/>
      <c r="FG60" s="573" t="n"/>
      <c r="FH60" s="573" t="n"/>
      <c r="FI60" s="573" t="n"/>
      <c r="FS60" s="50" t="n"/>
      <c r="FT60" s="50" t="n"/>
      <c r="FU60" s="50" t="n"/>
      <c r="FV60" s="50" t="n"/>
      <c r="FW60" s="50" t="n"/>
      <c r="FX60" s="50" t="n"/>
      <c r="FY60" s="50" t="n"/>
      <c r="FZ60" s="50" t="n"/>
      <c r="GA60" s="50" t="n"/>
      <c r="GB60" s="50" t="n"/>
      <c r="GC60" s="50" t="n"/>
      <c r="GD60" s="50" t="n"/>
      <c r="GE60" s="50" t="n"/>
      <c r="GF60" s="50" t="n"/>
      <c r="GG60" s="50" t="n"/>
      <c r="GH60" s="50" t="n"/>
      <c r="GI60" s="50" t="n"/>
      <c r="GJ60" s="29" t="n"/>
      <c r="GK60" s="29" t="n"/>
      <c r="GL60" s="29" t="n"/>
      <c r="GM60" s="29" t="n"/>
      <c r="GN60" s="29" t="n"/>
      <c r="GO60" s="29" t="n"/>
      <c r="GP60" s="29" t="n"/>
      <c r="GQ60" s="50" t="n"/>
      <c r="GR60" s="29" t="n"/>
      <c r="GS60" s="29" t="n"/>
      <c r="GT60" s="29" t="n"/>
      <c r="GU60" s="29" t="n"/>
      <c r="GV60" s="29" t="n"/>
      <c r="GW60" s="29" t="n"/>
      <c r="GX60" s="29" t="n"/>
      <c r="GY60" s="29" t="n"/>
      <c r="GZ60" s="29" t="n"/>
      <c r="HA60" s="29" t="n"/>
      <c r="HB60" s="29" t="n"/>
      <c r="HC60" s="29" t="n"/>
      <c r="HD60" s="29" t="n"/>
      <c r="HE60" s="29" t="n"/>
      <c r="HF60" s="29" t="n"/>
      <c r="HG60" s="50" t="n"/>
      <c r="HH60" s="50" t="n"/>
      <c r="HI60" s="50" t="n"/>
      <c r="HJ60" s="51" t="n"/>
      <c r="HK60" s="2" t="n"/>
      <c r="HL60" s="29" t="n"/>
      <c r="HM60" s="573" t="n"/>
      <c r="HN60" s="29" t="n"/>
      <c r="HO60" s="29" t="n"/>
      <c r="HP60" s="29" t="n"/>
      <c r="HQ60" s="174" t="n"/>
      <c r="HR60" s="29" t="n"/>
      <c r="HS60" s="174" t="n"/>
      <c r="HT60" s="29" t="n"/>
      <c r="HU60" s="29" t="n"/>
      <c r="HV60" s="174" t="n"/>
      <c r="HW60" s="29" t="n"/>
      <c r="HX60" s="29" t="n"/>
      <c r="HY60" s="29" t="n"/>
      <c r="HZ60" s="29" t="n"/>
      <c r="IA60" s="29" t="n"/>
      <c r="IB60" s="29" t="n"/>
      <c r="IC60" s="29" t="n"/>
      <c r="ID60" s="174" t="n"/>
      <c r="IE60" s="29" t="n"/>
      <c r="IF60" s="29" t="n"/>
      <c r="IG60" s="29" t="n"/>
      <c r="IH60" s="71" t="n"/>
      <c r="II60" s="29" t="n"/>
      <c r="IJ60" s="29" t="n"/>
      <c r="IK60" s="29" t="n"/>
      <c r="IL60" s="174" t="n"/>
      <c r="IM60" s="29" t="n"/>
      <c r="IN60" s="29" t="n"/>
      <c r="IO60" s="71" t="n"/>
      <c r="IP60" s="29" t="n"/>
      <c r="IQ60" s="29" t="n"/>
      <c r="IR60" s="29" t="n"/>
      <c r="IS60" s="29" t="n"/>
      <c r="IT60" s="29" t="n"/>
      <c r="IU60" s="29" t="n"/>
      <c r="IV60" s="29" t="n"/>
      <c r="IW60" s="29" t="n"/>
      <c r="IX60" s="29" t="n"/>
      <c r="IY60" s="29" t="n"/>
      <c r="IZ60" s="29" t="n"/>
      <c r="JA60" s="71" t="n"/>
      <c r="JB60" s="29" t="n"/>
      <c r="JC60" s="29" t="n"/>
      <c r="JD60" s="29" t="n"/>
      <c r="JE60" s="29" t="n"/>
      <c r="JF60" s="29" t="n"/>
      <c r="JG60" s="29" t="n"/>
      <c r="JH60" s="29" t="n"/>
      <c r="JI60" s="29" t="n"/>
      <c r="JJ60" s="29" t="n"/>
      <c r="JK60" s="29" t="n"/>
      <c r="JL60" s="29" t="n"/>
      <c r="JM60" s="29" t="n"/>
      <c r="JN60" s="29" t="n"/>
      <c r="JO60" s="29" t="n"/>
      <c r="JP60" s="29" t="n"/>
      <c r="JQ60" s="29" t="n"/>
      <c r="JR60" s="29" t="n"/>
      <c r="JS60" s="29" t="n"/>
      <c r="JT60" s="29" t="n"/>
      <c r="JU60" s="29" t="n"/>
      <c r="JV60" s="29" t="n"/>
      <c r="JW60" s="29" t="n"/>
      <c r="JX60" s="29" t="n"/>
      <c r="JY60" s="29" t="n"/>
      <c r="JZ60" s="29" t="n"/>
      <c r="KA60" s="29" t="n"/>
      <c r="KB60" s="29" t="n"/>
      <c r="KC60" s="29" t="n"/>
      <c r="KD60" s="29" t="n"/>
      <c r="KE60" s="29" t="n"/>
      <c r="KF60" s="29" t="n"/>
      <c r="KG60" s="29" t="n"/>
      <c r="KH60" s="29" t="n"/>
      <c r="KI60" s="29" t="n"/>
      <c r="KJ60" s="29" t="n"/>
      <c r="KK60" s="29" t="n"/>
      <c r="KL60" s="29" t="n"/>
      <c r="KM60" s="29" t="n"/>
      <c r="KN60" s="29" t="n"/>
      <c r="KO60" s="29" t="n"/>
      <c r="KP60" s="29" t="n"/>
      <c r="KQ60" s="29" t="n"/>
      <c r="KR60" s="29" t="n"/>
      <c r="KS60" s="29" t="n"/>
      <c r="KT60" s="29" t="n"/>
      <c r="KU60" s="29" t="n"/>
      <c r="KV60" s="29" t="n"/>
      <c r="KW60" s="29" t="n"/>
      <c r="KX60" s="29" t="n"/>
      <c r="KY60" s="29" t="n"/>
      <c r="KZ60" s="29" t="n"/>
      <c r="LA60" s="29" t="n"/>
    </row>
    <row r="61" customFormat="1" s="29">
      <c r="A61" s="247" t="inlineStr">
        <is>
          <t>TAG PAIS/24</t>
        </is>
      </c>
      <c r="B61" s="225" t="n"/>
      <c r="C61" s="172" t="n">
        <v>300</v>
      </c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C61" s="573" t="n"/>
      <c r="CD61" s="573" t="n"/>
      <c r="CE61" s="573" t="n"/>
      <c r="CJ61" s="59" t="n"/>
      <c r="CS61" s="59" t="n"/>
      <c r="CT61" s="59" t="n"/>
      <c r="CU61" s="59" t="n"/>
      <c r="DC61" s="41" t="n"/>
      <c r="DI61" s="5" t="n"/>
      <c r="DJ61" s="5" t="n"/>
      <c r="DL61" s="5" t="n"/>
      <c r="DY61" s="573" t="n"/>
      <c r="EE61" s="573" t="n"/>
      <c r="EG61" s="327" t="n"/>
      <c r="EH61" s="327" t="n"/>
      <c r="EI61" s="573" t="n"/>
      <c r="EJ61" s="5" t="n"/>
      <c r="EK61" s="573" t="n"/>
      <c r="EL61" s="573" t="n"/>
      <c r="EM61" s="573" t="n"/>
      <c r="EN61" s="573" t="n"/>
      <c r="EP61" s="327" t="n"/>
      <c r="EQ61" s="573" t="n"/>
      <c r="ER61" s="327" t="n"/>
      <c r="ES61" s="573" t="n"/>
      <c r="EU61" s="573" t="n"/>
      <c r="EV61" s="573" t="n"/>
      <c r="EW61" s="573" t="n"/>
      <c r="EX61" s="573" t="n"/>
      <c r="EY61" s="573" t="n"/>
      <c r="EZ61" s="573" t="n"/>
      <c r="FA61" s="573" t="n"/>
      <c r="FB61" s="573" t="n"/>
      <c r="FD61" s="573" t="n"/>
      <c r="FE61" s="573" t="n"/>
      <c r="FF61" s="573" t="n"/>
      <c r="FG61" s="573" t="n"/>
      <c r="FH61" s="573" t="n"/>
      <c r="FI61" s="573" t="n"/>
      <c r="FJ61" s="5" t="n"/>
      <c r="FK61" s="5" t="n"/>
      <c r="FL61" s="5" t="n"/>
      <c r="FM61" s="5" t="n"/>
      <c r="FN61" s="5" t="n"/>
      <c r="FO61" s="5" t="n"/>
      <c r="FP61" s="5" t="n"/>
      <c r="FQ61" s="5" t="n"/>
      <c r="FR61" s="5" t="n"/>
      <c r="HM61" s="573" t="n"/>
      <c r="HQ61" s="174" t="n"/>
      <c r="HS61" s="174" t="n"/>
      <c r="HV61" s="174" t="n"/>
      <c r="ID61" s="174" t="n"/>
      <c r="IH61" s="71" t="n"/>
      <c r="IL61" s="174" t="n"/>
      <c r="IO61" s="71" t="n"/>
      <c r="JA61" s="71" t="n"/>
    </row>
    <row r="62">
      <c r="E62" s="573" t="n"/>
      <c r="F62" s="573" t="n"/>
      <c r="G62" s="573" t="n"/>
      <c r="H62" s="573" t="n"/>
      <c r="I62" s="573" t="n"/>
      <c r="J62" s="573" t="n"/>
      <c r="K62" s="573" t="n"/>
      <c r="L62" s="573" t="n"/>
      <c r="M62" s="573" t="n"/>
      <c r="N62" s="573" t="n"/>
      <c r="O62" s="573" t="n"/>
      <c r="P62" s="573" t="n"/>
      <c r="Q62" s="573" t="n"/>
      <c r="R62" s="573" t="n"/>
      <c r="S62" s="573" t="n"/>
      <c r="T62" s="573" t="n"/>
      <c r="U62" s="573" t="n"/>
      <c r="V62" s="573" t="n"/>
      <c r="W62" s="573" t="n"/>
      <c r="X62" s="573" t="n"/>
      <c r="Y62" s="573" t="n"/>
      <c r="Z62" s="573" t="n"/>
      <c r="AA62" s="573" t="n"/>
      <c r="AB62" s="573" t="n"/>
      <c r="AC62" s="573" t="n"/>
      <c r="AD62" s="573" t="n"/>
      <c r="AE62" s="573" t="n"/>
      <c r="AF62" s="573" t="n"/>
      <c r="AG62" s="573" t="n"/>
      <c r="AH62" s="573" t="n"/>
      <c r="AI62" s="573" t="n"/>
      <c r="AJ62" s="573" t="n"/>
      <c r="AK62" s="573" t="n"/>
      <c r="AL62" s="573" t="n"/>
      <c r="AM62" s="573" t="n"/>
      <c r="AN62" s="573" t="n"/>
      <c r="AO62" s="573" t="n"/>
      <c r="AP62" s="573" t="n"/>
      <c r="AQ62" s="573" t="n"/>
      <c r="AR62" s="573" t="n"/>
      <c r="AS62" s="573" t="n"/>
      <c r="AT62" s="573" t="n"/>
      <c r="AU62" s="573" t="n"/>
      <c r="AV62" s="573" t="n"/>
      <c r="AW62" s="573" t="n"/>
      <c r="AX62" s="573" t="n"/>
      <c r="AY62" s="573" t="n"/>
      <c r="AZ62" s="573" t="n"/>
      <c r="BA62" s="573" t="n"/>
      <c r="BB62" s="573" t="n"/>
      <c r="BC62" s="573" t="n"/>
      <c r="BD62" s="573" t="n"/>
      <c r="BE62" s="573" t="n"/>
      <c r="BF62" s="573" t="n"/>
      <c r="BG62" s="573" t="n"/>
      <c r="BH62" s="573" t="n"/>
      <c r="BI62" s="573" t="n"/>
      <c r="BJ62" s="573" t="n"/>
      <c r="BK62" s="573" t="n"/>
      <c r="BL62" s="573" t="n"/>
      <c r="BM62" s="573" t="n"/>
      <c r="BN62" s="573" t="n"/>
      <c r="BO62" s="573" t="n"/>
      <c r="BP62" s="573" t="n"/>
      <c r="BQ62" s="573" t="n"/>
      <c r="BR62" s="573" t="n"/>
      <c r="BS62" s="573" t="n"/>
      <c r="BT62" s="573" t="n"/>
      <c r="BU62" s="573" t="n"/>
      <c r="BV62" s="573" t="n"/>
      <c r="BW62" s="573" t="n"/>
      <c r="BX62" s="573" t="n"/>
      <c r="BY62" s="573" t="n"/>
      <c r="CA62" s="50" t="n"/>
      <c r="CB62" s="5" t="n"/>
      <c r="CC62" s="2" t="n"/>
      <c r="CE62" s="573" t="n"/>
      <c r="CS62" s="573" t="n"/>
      <c r="CT62" s="573" t="n"/>
      <c r="CU62" s="573" t="n"/>
      <c r="DI62" s="5" t="n"/>
      <c r="DJ62" s="5" t="n"/>
      <c r="DL62" s="5" t="n"/>
      <c r="DY62" s="573" t="n"/>
      <c r="EG62" s="327" t="n"/>
      <c r="EH62" s="327" t="n"/>
      <c r="EJ62" s="5" t="n"/>
      <c r="EP62" s="327" t="n"/>
      <c r="ER62" s="327" t="n"/>
      <c r="FG62" s="573" t="n"/>
    </row>
    <row r="63" customFormat="1" s="29">
      <c r="A63" s="774" t="inlineStr">
        <is>
          <t>FLACONETES</t>
        </is>
      </c>
      <c r="B63" s="731" t="n"/>
      <c r="C63" s="731" t="n"/>
      <c r="D63" s="775" t="n"/>
      <c r="E63" s="573" t="n"/>
      <c r="F63" s="776" t="n">
        <v>45656</v>
      </c>
      <c r="G63" s="776" t="n">
        <v>45663</v>
      </c>
      <c r="H63" s="776" t="n">
        <v>45670</v>
      </c>
      <c r="I63" s="776" t="n">
        <v>45677</v>
      </c>
      <c r="J63" s="776" t="n">
        <v>45684</v>
      </c>
      <c r="K63" s="776" t="n">
        <v>45691</v>
      </c>
      <c r="L63" s="776" t="n">
        <v>45698</v>
      </c>
      <c r="M63" s="776" t="n">
        <v>45699</v>
      </c>
      <c r="N63" s="776" t="n">
        <v>45712</v>
      </c>
      <c r="O63" s="776" t="n">
        <v>45719</v>
      </c>
      <c r="P63" s="776" t="n">
        <v>45726</v>
      </c>
      <c r="Q63" s="776" t="n">
        <v>45733</v>
      </c>
      <c r="R63" s="776" t="n">
        <v>45740</v>
      </c>
      <c r="S63" s="776" t="n">
        <v>45747</v>
      </c>
      <c r="T63" s="776" t="n">
        <v>45754</v>
      </c>
      <c r="U63" s="776" t="n">
        <v>45761</v>
      </c>
      <c r="V63" s="776" t="n">
        <v>45768</v>
      </c>
      <c r="W63" s="776" t="n">
        <v>45775</v>
      </c>
      <c r="X63" s="776" t="n">
        <v>45782</v>
      </c>
      <c r="Y63" s="776" t="n">
        <v>45789</v>
      </c>
      <c r="Z63" s="776" t="n">
        <v>45796</v>
      </c>
      <c r="AA63" s="776" t="n">
        <v>45803</v>
      </c>
      <c r="AB63" s="776" t="n">
        <v>45810</v>
      </c>
      <c r="AC63" s="776" t="n">
        <v>45817</v>
      </c>
      <c r="AD63" s="776" t="n">
        <v>45824</v>
      </c>
      <c r="AE63" s="776" t="n">
        <v>45831</v>
      </c>
      <c r="AF63" s="776" t="n">
        <v>45838</v>
      </c>
      <c r="AG63" s="776" t="n">
        <v>45845</v>
      </c>
      <c r="AH63" s="776" t="n">
        <v>45852</v>
      </c>
      <c r="AI63" s="776" t="n">
        <v>45859</v>
      </c>
      <c r="AJ63" s="776" t="n">
        <v>45866</v>
      </c>
      <c r="AK63" s="776" t="n">
        <v>45873</v>
      </c>
      <c r="AL63" s="776" t="n">
        <v>45880</v>
      </c>
      <c r="AM63" s="776" t="n">
        <v>45887</v>
      </c>
      <c r="AN63" s="776" t="n">
        <v>45894</v>
      </c>
      <c r="AO63" s="776" t="n">
        <v>45901</v>
      </c>
      <c r="AP63" s="776" t="n">
        <v>45908</v>
      </c>
      <c r="AQ63" s="776" t="n">
        <v>45915</v>
      </c>
      <c r="AR63" s="776" t="n">
        <v>45922</v>
      </c>
      <c r="AS63" s="776" t="n">
        <v>45929</v>
      </c>
      <c r="AT63" s="776" t="n">
        <v>45936</v>
      </c>
      <c r="AU63" s="776" t="n">
        <v>45943</v>
      </c>
      <c r="AV63" s="776" t="n">
        <v>45950</v>
      </c>
      <c r="AW63" s="776" t="n">
        <v>45957</v>
      </c>
      <c r="AX63" s="776" t="n">
        <v>45964</v>
      </c>
      <c r="AY63" s="776" t="n">
        <v>45971</v>
      </c>
      <c r="AZ63" s="776" t="n">
        <v>45978</v>
      </c>
      <c r="BA63" s="776" t="n">
        <v>45985</v>
      </c>
      <c r="BB63" s="776" t="n">
        <v>45992</v>
      </c>
      <c r="BC63" s="776" t="n">
        <v>45999</v>
      </c>
      <c r="BD63" s="776" t="n">
        <v>46006</v>
      </c>
      <c r="BE63" s="776" t="n">
        <v>46013</v>
      </c>
      <c r="BF63" s="776" t="n">
        <v>46020</v>
      </c>
      <c r="BG63" s="776" t="n">
        <v>46027</v>
      </c>
      <c r="BH63" s="776" t="n">
        <v>46034</v>
      </c>
      <c r="BI63" s="776" t="n">
        <v>46041</v>
      </c>
      <c r="BJ63" s="776" t="n">
        <v>46048</v>
      </c>
      <c r="BK63" s="776" t="n">
        <v>46055</v>
      </c>
      <c r="BL63" s="776" t="n">
        <v>46062</v>
      </c>
      <c r="BM63" s="776" t="n">
        <v>46069</v>
      </c>
      <c r="BN63" s="776" t="n">
        <v>46076</v>
      </c>
      <c r="BO63" s="776" t="n">
        <v>46083</v>
      </c>
      <c r="BP63" s="776" t="n">
        <v>46090</v>
      </c>
      <c r="BQ63" s="776" t="n">
        <v>46097</v>
      </c>
      <c r="BR63" s="776" t="n">
        <v>46104</v>
      </c>
      <c r="BS63" s="776" t="n">
        <v>46111</v>
      </c>
      <c r="BT63" s="776" t="n">
        <v>46118</v>
      </c>
      <c r="BU63" s="776" t="n">
        <v>46125</v>
      </c>
      <c r="BV63" s="776" t="n">
        <v>46132</v>
      </c>
      <c r="BW63" s="776" t="n">
        <v>46139</v>
      </c>
      <c r="BX63" s="776" t="n">
        <v>46146</v>
      </c>
      <c r="BY63" s="776" t="n">
        <v>46154</v>
      </c>
      <c r="BZ63" s="573" t="n"/>
      <c r="CB63" s="5" t="n"/>
      <c r="CE63" s="573" t="n"/>
      <c r="CJ63" s="59" t="n"/>
      <c r="CS63" s="573" t="n"/>
      <c r="CT63" s="573" t="n"/>
      <c r="CU63" s="573" t="n"/>
      <c r="DI63" s="5" t="n"/>
      <c r="DJ63" s="5" t="n"/>
      <c r="DL63" s="5" t="n"/>
      <c r="DY63" s="573" t="n"/>
      <c r="EG63" s="327" t="n"/>
      <c r="EH63" s="327" t="n"/>
      <c r="EJ63" s="5" t="n"/>
      <c r="EP63" s="327" t="n"/>
      <c r="ER63" s="327" t="n"/>
      <c r="FG63" s="573" t="n"/>
      <c r="FJ63" s="5" t="n"/>
      <c r="FK63" s="5" t="n"/>
      <c r="FL63" s="5" t="n"/>
      <c r="FM63" s="5" t="n"/>
      <c r="FN63" s="5" t="n"/>
      <c r="FO63" s="5" t="n"/>
      <c r="FP63" s="5" t="n"/>
      <c r="FQ63" s="5" t="n"/>
      <c r="FR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697" t="n">
        <v>0</v>
      </c>
      <c r="G64" s="697" t="n">
        <v>0</v>
      </c>
      <c r="H64" s="697" t="n">
        <v>0</v>
      </c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573" t="n"/>
      <c r="CB64" s="5" t="n"/>
      <c r="CE64" s="573" t="n"/>
      <c r="CJ64" s="59" t="n"/>
      <c r="DI64" s="5" t="n"/>
      <c r="DJ64" s="5" t="n"/>
      <c r="DL64" s="5" t="n"/>
      <c r="DY64" s="5" t="n"/>
      <c r="EG64" s="327" t="n"/>
      <c r="EH64" s="327" t="n"/>
      <c r="EJ64" s="5" t="n"/>
      <c r="EP64" s="327" t="n"/>
      <c r="ER64" s="327" t="n"/>
      <c r="FG64" s="573" t="n"/>
      <c r="FJ64" s="5" t="n"/>
      <c r="FK64" s="5" t="n"/>
      <c r="FL64" s="5" t="n"/>
      <c r="FM64" s="5" t="n"/>
      <c r="FN64" s="5" t="n"/>
      <c r="FO64" s="5" t="n"/>
      <c r="FP64" s="5" t="n"/>
      <c r="FQ64" s="5" t="n"/>
      <c r="FR64" s="5" t="n"/>
    </row>
    <row r="65" hidden="1" ht="18.75" customHeight="1">
      <c r="A65" s="781" t="inlineStr">
        <is>
          <t>Malbec Club Antiqueda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A65" s="50" t="n"/>
      <c r="CC65" s="2" t="n"/>
      <c r="CD65" s="63" t="n"/>
      <c r="DI65" s="5" t="n"/>
      <c r="DJ65" s="5" t="n"/>
      <c r="DL65" s="5" t="n"/>
      <c r="DW65" s="5" t="n"/>
      <c r="DY65" s="5" t="n"/>
      <c r="EG65" s="327" t="n"/>
      <c r="EH65" s="327" t="n"/>
      <c r="EJ65" s="5" t="n"/>
      <c r="EP65" s="327" t="n"/>
      <c r="ER65" s="327" t="n"/>
      <c r="FG65" s="573" t="n"/>
    </row>
    <row r="66" hidden="1" ht="18.75" customHeight="1">
      <c r="A66" s="781" t="inlineStr">
        <is>
          <t xml:space="preserve">Malbec Club Anticaspa 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CA66" s="50" t="n"/>
      <c r="CC66" s="2" t="n"/>
      <c r="CD66" s="63" t="n"/>
      <c r="DC66" s="5" t="n"/>
      <c r="DI66" s="5" t="n"/>
      <c r="DJ66" s="5" t="n"/>
      <c r="DL66" s="5" t="n"/>
      <c r="DW66" s="5" t="n"/>
      <c r="DY66" s="41" t="n"/>
      <c r="EG66" s="327" t="n"/>
      <c r="EH66" s="327" t="n"/>
      <c r="EJ66" s="5" t="n"/>
      <c r="EP66" s="327" t="n"/>
      <c r="ER66" s="327" t="n"/>
      <c r="FG66" s="5" t="n"/>
    </row>
    <row r="67" hidden="1" ht="18.75" customHeight="1">
      <c r="A67" s="781" t="inlineStr">
        <is>
          <t xml:space="preserve">Poligutamico 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CA67" s="50" t="n"/>
      <c r="CC67" s="2" t="n"/>
      <c r="CD67" s="63" t="n"/>
      <c r="DC67" s="5" t="n"/>
      <c r="DI67" s="5" t="n"/>
      <c r="DJ67" s="5" t="n"/>
      <c r="DL67" s="5" t="n"/>
      <c r="DW67" s="5" t="n"/>
      <c r="DY67" s="41" t="n"/>
      <c r="EG67" s="327" t="n"/>
      <c r="EH67" s="327" t="n"/>
      <c r="EJ67" s="5" t="n"/>
      <c r="EP67" s="327" t="n"/>
      <c r="ER67" s="327" t="n"/>
      <c r="FG67" s="5" t="n"/>
    </row>
    <row r="68" hidden="1" ht="18.75" customFormat="1" customHeight="1" s="29">
      <c r="A68" s="781" t="inlineStr">
        <is>
          <t>Floratta F. Eclipes</t>
        </is>
      </c>
      <c r="B68" s="731" t="n"/>
      <c r="C68" s="731" t="n"/>
      <c r="D68" s="775" t="n"/>
      <c r="E68" s="5" t="n"/>
      <c r="F68" s="697" t="n">
        <v>0</v>
      </c>
      <c r="G68" s="697" t="n">
        <v>0</v>
      </c>
      <c r="H68" s="697" t="n">
        <v>0</v>
      </c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573" t="n"/>
      <c r="CE68" s="573" t="n"/>
      <c r="CJ68" s="59" t="n"/>
      <c r="DC68" s="5" t="n"/>
      <c r="DI68" s="5" t="n"/>
      <c r="DJ68" s="5" t="n"/>
      <c r="DL68" s="5" t="n"/>
      <c r="DW68" s="5" t="n"/>
      <c r="DY68" s="41" t="n"/>
      <c r="EG68" s="328" t="n"/>
      <c r="EH68" s="328" t="n"/>
      <c r="EJ68" s="5" t="n"/>
      <c r="EP68" s="327" t="n"/>
      <c r="ER68" s="327" t="n"/>
      <c r="FG68" s="41" t="n"/>
      <c r="FJ68" s="5" t="n"/>
      <c r="FK68" s="5" t="n"/>
      <c r="FL68" s="5" t="n"/>
      <c r="FM68" s="5" t="n"/>
      <c r="FN68" s="5" t="n"/>
      <c r="FO68" s="5" t="n"/>
      <c r="FP68" s="5" t="n"/>
      <c r="FQ68" s="5" t="n"/>
      <c r="FR68" s="5" t="n"/>
    </row>
    <row r="69" hidden="1" ht="18.75" customFormat="1" customHeight="1" s="29">
      <c r="A69" s="781" t="inlineStr">
        <is>
          <t xml:space="preserve">Quasar Visison </t>
        </is>
      </c>
      <c r="B69" s="731" t="n"/>
      <c r="C69" s="731" t="n"/>
      <c r="D69" s="775" t="n"/>
      <c r="E69" s="5" t="n"/>
      <c r="F69" s="697" t="n">
        <v>0</v>
      </c>
      <c r="G69" s="697" t="n">
        <v>0</v>
      </c>
      <c r="H69" s="697" t="n">
        <v>0</v>
      </c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573" t="n"/>
      <c r="CE69" s="573" t="n"/>
      <c r="CJ69" s="59" t="n"/>
      <c r="DC69" s="59" t="n"/>
      <c r="DI69" s="5" t="n"/>
      <c r="DJ69" s="5" t="n"/>
      <c r="DL69" s="5" t="n"/>
      <c r="DW69" s="5" t="n"/>
      <c r="EG69" s="328" t="n"/>
      <c r="EH69" s="328" t="n"/>
      <c r="EJ69" s="5" t="n"/>
      <c r="EP69" s="328" t="n"/>
      <c r="ER69" s="328" t="n"/>
      <c r="FG69" s="41" t="n"/>
      <c r="FJ69" s="5" t="n"/>
      <c r="FK69" s="5" t="n"/>
      <c r="FL69" s="5" t="n"/>
      <c r="FM69" s="5" t="n"/>
      <c r="FN69" s="5" t="n"/>
      <c r="FO69" s="5" t="n"/>
      <c r="FP69" s="5" t="n"/>
      <c r="FQ69" s="5" t="n"/>
      <c r="FR69" s="5" t="n"/>
    </row>
    <row r="70" hidden="1" ht="18.75" customFormat="1" customHeight="1" s="29">
      <c r="A70" s="781" t="inlineStr">
        <is>
          <t xml:space="preserve">Lily Soleil </t>
        </is>
      </c>
      <c r="B70" s="731" t="n"/>
      <c r="C70" s="731" t="n"/>
      <c r="D70" s="775" t="n"/>
      <c r="E70" s="5" t="n"/>
      <c r="F70" s="697" t="n">
        <v>0</v>
      </c>
      <c r="G70" s="697" t="n">
        <v>0</v>
      </c>
      <c r="H70" s="697" t="n">
        <v>0</v>
      </c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573" t="n"/>
      <c r="CE70" s="5" t="n"/>
      <c r="CJ70" s="59" t="n"/>
      <c r="DC70" s="59" t="n"/>
      <c r="DI70" s="5" t="n"/>
      <c r="DJ70" s="5" t="n"/>
      <c r="DL70" s="5" t="n"/>
      <c r="DW70" s="5" t="n"/>
      <c r="EG70" s="329" t="n"/>
      <c r="EH70" s="329" t="n"/>
      <c r="EP70" s="328" t="n"/>
      <c r="ER70" s="328" t="n"/>
      <c r="FJ70" s="5" t="n"/>
      <c r="FK70" s="5" t="n"/>
      <c r="FL70" s="5" t="n"/>
      <c r="FM70" s="5" t="n"/>
      <c r="FN70" s="5" t="n"/>
      <c r="FO70" s="5" t="n"/>
      <c r="FP70" s="5" t="n"/>
      <c r="FQ70" s="5" t="n"/>
      <c r="FR70" s="5" t="n"/>
    </row>
    <row r="71" hidden="1" ht="18.75" customHeight="1">
      <c r="A71" s="781" t="inlineStr">
        <is>
          <t xml:space="preserve">Portinari Absoluto 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DI71" s="5" t="n"/>
      <c r="DJ71" s="5" t="n"/>
      <c r="DL71" s="5" t="n"/>
      <c r="DW71" s="5" t="n"/>
      <c r="EG71" s="329" t="n"/>
      <c r="EH71" s="329" t="n"/>
      <c r="EJ71" s="5" t="n"/>
      <c r="EP71" s="329" t="n"/>
      <c r="ER71" s="329" t="n"/>
    </row>
    <row r="72" hidden="1" ht="18.75" customHeight="1">
      <c r="A72" s="781" t="inlineStr">
        <is>
          <t>Boti Baby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DW72" s="5" t="n"/>
      <c r="EG72" s="329" t="n"/>
      <c r="EH72" s="329" t="n"/>
      <c r="EP72" s="329" t="n"/>
      <c r="ER72" s="329" t="n"/>
    </row>
    <row r="73" hidden="1" ht="18.75" customHeight="1">
      <c r="A73" s="781" t="inlineStr">
        <is>
          <t>Base Acido Salicilico cor 200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I73" s="5" t="n"/>
      <c r="DJ73" s="5" t="n"/>
      <c r="DL73" s="5" t="n"/>
      <c r="EG73" s="329" t="n"/>
      <c r="EH73" s="329" t="n"/>
      <c r="EP73" s="329" t="n"/>
      <c r="ER73" s="329" t="n"/>
    </row>
    <row r="74" hidden="1" ht="18.75" customHeight="1">
      <c r="A74" s="781" t="n">
        <v>45271</v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EG74" s="329" t="n"/>
      <c r="EH74" s="329" t="n"/>
      <c r="EJ74" s="173" t="n"/>
      <c r="EP74" s="329" t="n"/>
      <c r="ER74" s="329" t="n"/>
    </row>
    <row r="75" hidden="1" ht="18.75" customHeight="1">
      <c r="A75" s="781" t="inlineStr">
        <is>
          <t>ARBO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Y75" s="5" t="n"/>
      <c r="EG75" s="329" t="n"/>
      <c r="EH75" s="329" t="n"/>
      <c r="EJ75" s="173" t="n"/>
      <c r="EP75" s="329" t="n"/>
      <c r="ER75" s="329" t="n"/>
    </row>
    <row r="76" hidden="1" ht="18.75" customHeight="1">
      <c r="A76" s="781" t="inlineStr">
        <is>
          <t>CUIDE-SE BEM NOVA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DI76" s="173" t="n"/>
      <c r="DJ76" s="173" t="n"/>
      <c r="DL76" s="173" t="n"/>
      <c r="DY76" s="5" t="n"/>
      <c r="EG76" s="327" t="n"/>
      <c r="EH76" s="327" t="n"/>
      <c r="EJ76" s="173" t="n"/>
      <c r="EP76" s="329" t="n"/>
      <c r="ER76" s="329" t="n"/>
      <c r="FG76" s="5" t="n"/>
    </row>
    <row r="77" hidden="1" ht="18.75" customHeight="1">
      <c r="A77" s="781" t="inlineStr">
        <is>
          <t>quasar blue</t>
        </is>
      </c>
      <c r="B77" s="731" t="n"/>
      <c r="C77" s="731" t="n"/>
      <c r="D77" s="775" t="n"/>
      <c r="F77" s="697" t="n">
        <v>0</v>
      </c>
      <c r="G77" s="697" t="n">
        <v>0</v>
      </c>
      <c r="H77" s="697" t="n">
        <v>0</v>
      </c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DI77" s="173" t="n"/>
      <c r="DJ77" s="173" t="n"/>
      <c r="DL77" s="173" t="n"/>
      <c r="DY77" s="5" t="n"/>
      <c r="EG77" s="327" t="n"/>
      <c r="EH77" s="327" t="n"/>
      <c r="EP77" s="327" t="n"/>
      <c r="ER77" s="327" t="n"/>
      <c r="FG77" s="5" t="n"/>
    </row>
    <row r="78" hidden="1" ht="18.75" customHeight="1">
      <c r="A78" s="781" t="inlineStr">
        <is>
          <t>ZAAD VENTURE</t>
        </is>
      </c>
      <c r="B78" s="731" t="n"/>
      <c r="C78" s="731" t="n"/>
      <c r="D78" s="775" t="n"/>
      <c r="F78" s="697" t="n">
        <v>0</v>
      </c>
      <c r="G78" s="697" t="n">
        <v>0</v>
      </c>
      <c r="H78" s="697" t="n">
        <v>0</v>
      </c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DI78" s="173" t="n"/>
      <c r="DJ78" s="173" t="n"/>
      <c r="DL78" s="173" t="n"/>
      <c r="EG78" s="327" t="n"/>
      <c r="EH78" s="327" t="n"/>
      <c r="EP78" s="327" t="n"/>
      <c r="ER78" s="327" t="n"/>
      <c r="FG78" s="5" t="n"/>
    </row>
    <row r="79" hidden="1" ht="18.75" customHeight="1">
      <c r="A79" s="781" t="inlineStr">
        <is>
          <t>MALBEC 20 ANOS</t>
        </is>
      </c>
      <c r="B79" s="731" t="n"/>
      <c r="C79" s="731" t="n"/>
      <c r="D79" s="775" t="n"/>
      <c r="F79" s="697" t="n">
        <v>0</v>
      </c>
      <c r="G79" s="697" t="n">
        <v>0</v>
      </c>
      <c r="H79" s="697" t="n">
        <v>0</v>
      </c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EP79" s="327" t="n"/>
      <c r="ER79" s="327" t="n"/>
    </row>
    <row r="80" hidden="1" ht="18.75" customHeight="1">
      <c r="A80" s="781" t="inlineStr">
        <is>
          <t>FLORATTA RED PASSION</t>
        </is>
      </c>
      <c r="B80" s="731" t="n"/>
      <c r="C80" s="731" t="n"/>
      <c r="D80" s="775" t="n"/>
      <c r="G80" s="697" t="n">
        <v>0</v>
      </c>
      <c r="H80" s="697" t="n">
        <v>105</v>
      </c>
      <c r="I80" s="697" t="n">
        <v>105</v>
      </c>
      <c r="J80" s="697" t="n">
        <v>90</v>
      </c>
      <c r="K80" s="697" t="n">
        <v>55</v>
      </c>
      <c r="L80" s="697" t="n">
        <v>0</v>
      </c>
      <c r="M80" s="697" t="n">
        <v>0</v>
      </c>
      <c r="N80" s="697" t="n">
        <v>0</v>
      </c>
      <c r="O80" s="697" t="n">
        <v>0</v>
      </c>
      <c r="P80" s="697" t="n">
        <v>0</v>
      </c>
      <c r="Q80" s="697" t="n">
        <v>0</v>
      </c>
      <c r="R80" s="697" t="n">
        <v>0</v>
      </c>
      <c r="S80" s="697" t="n">
        <v>0</v>
      </c>
      <c r="T80" s="697" t="n">
        <v>0</v>
      </c>
      <c r="U80" s="697" t="n">
        <v>0</v>
      </c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</row>
    <row r="81" hidden="1" ht="18.75" customHeight="1">
      <c r="A81" s="781" t="inlineStr">
        <is>
          <t>MALBEC ICON</t>
        </is>
      </c>
      <c r="B81" s="731" t="n"/>
      <c r="C81" s="731" t="n"/>
      <c r="D81" s="775" t="n"/>
      <c r="G81" s="697" t="n">
        <v>0</v>
      </c>
      <c r="H81" s="697" t="n">
        <v>95</v>
      </c>
      <c r="I81" s="697" t="n">
        <v>95</v>
      </c>
      <c r="J81" s="697" t="n">
        <v>90</v>
      </c>
      <c r="K81" s="697" t="n">
        <v>50</v>
      </c>
      <c r="L81" s="697" t="n">
        <v>0</v>
      </c>
      <c r="M81" s="697" t="n">
        <v>0</v>
      </c>
      <c r="N81" s="697" t="n">
        <v>0</v>
      </c>
      <c r="O81" s="697" t="n">
        <v>0</v>
      </c>
      <c r="P81" s="697" t="n">
        <v>0</v>
      </c>
      <c r="Q81" s="697" t="n">
        <v>0</v>
      </c>
      <c r="R81" s="697" t="n">
        <v>0</v>
      </c>
      <c r="S81" s="697" t="n">
        <v>0</v>
      </c>
      <c r="T81" s="697" t="n">
        <v>0</v>
      </c>
      <c r="U81" s="697" t="n">
        <v>0</v>
      </c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</row>
    <row r="82">
      <c r="A82" s="781" t="inlineStr">
        <is>
          <t>CBEM HIDR. DOCURA NA PESSEGURA</t>
        </is>
      </c>
      <c r="B82" s="731" t="n"/>
      <c r="C82" s="731" t="n"/>
      <c r="D82" s="775" t="n"/>
      <c r="J82" s="697" t="n">
        <v>0</v>
      </c>
      <c r="K82" s="697" t="n">
        <v>335</v>
      </c>
      <c r="L82" s="697" t="n">
        <v>285</v>
      </c>
      <c r="M82" s="697" t="n">
        <v>279</v>
      </c>
      <c r="N82" s="697" t="n">
        <v>270</v>
      </c>
      <c r="O82" s="697" t="n">
        <v>270</v>
      </c>
      <c r="P82" s="697" t="n">
        <v>160</v>
      </c>
      <c r="Q82" s="697" t="n">
        <v>156</v>
      </c>
      <c r="R82" s="697" t="n">
        <v>156</v>
      </c>
      <c r="S82" s="697" t="n">
        <v>120</v>
      </c>
      <c r="T82" s="697" t="n">
        <v>120</v>
      </c>
      <c r="U82" s="697" t="n">
        <v>120</v>
      </c>
      <c r="V82" s="697" t="n">
        <v>72</v>
      </c>
      <c r="W82" s="697" t="n">
        <v>72</v>
      </c>
      <c r="X82" s="697" t="n">
        <v>40</v>
      </c>
      <c r="Y82" s="697" t="n">
        <v>40</v>
      </c>
      <c r="Z82" s="697" t="n">
        <v>20</v>
      </c>
      <c r="AA82" s="697" t="n">
        <v>0</v>
      </c>
      <c r="AB82" s="697" t="n">
        <v>0</v>
      </c>
      <c r="AC82" s="697" t="n">
        <v>0</v>
      </c>
      <c r="AD82" s="697" t="n">
        <v>0</v>
      </c>
      <c r="AE82" s="697" t="n">
        <v>0</v>
      </c>
      <c r="AF82" s="697" t="n">
        <v>0</v>
      </c>
      <c r="AG82" s="697" t="n">
        <v>0</v>
      </c>
      <c r="AH82" s="697" t="n">
        <v>0</v>
      </c>
      <c r="AI82" s="697" t="n">
        <v>0</v>
      </c>
      <c r="AJ82" s="697" t="n">
        <v>0</v>
      </c>
      <c r="AK82" s="697" t="n">
        <v>0</v>
      </c>
      <c r="AL82" s="697" t="n">
        <v>0</v>
      </c>
      <c r="AM82" s="697" t="n">
        <v>0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</row>
    <row r="83">
      <c r="A83" s="781" t="inlineStr">
        <is>
          <t>LILY BLANCHE</t>
        </is>
      </c>
      <c r="B83" s="731" t="n"/>
      <c r="C83" s="731" t="n"/>
      <c r="D83" s="775" t="n"/>
      <c r="L83" s="697" t="n">
        <v>0</v>
      </c>
      <c r="M83" s="697" t="n">
        <v>135</v>
      </c>
      <c r="N83" s="697" t="n">
        <v>135</v>
      </c>
      <c r="O83" s="697" t="n">
        <v>135</v>
      </c>
      <c r="P83" s="697" t="n">
        <v>120</v>
      </c>
      <c r="Q83" s="697" t="n">
        <v>105</v>
      </c>
      <c r="R83" s="697" t="n">
        <v>105</v>
      </c>
      <c r="S83" s="697" t="n">
        <v>55</v>
      </c>
      <c r="T83" s="697" t="n">
        <v>55</v>
      </c>
      <c r="U83" s="697" t="n">
        <v>55</v>
      </c>
      <c r="V83" s="697" t="n">
        <v>15</v>
      </c>
      <c r="W83" s="697" t="n">
        <v>15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inlineStr">
        <is>
          <t>MEN NBA</t>
        </is>
      </c>
      <c r="B84" s="731" t="n"/>
      <c r="C84" s="731" t="n"/>
      <c r="D84" s="775" t="n"/>
      <c r="O84" s="697" t="n">
        <v>0</v>
      </c>
      <c r="P84" s="697" t="n">
        <v>210</v>
      </c>
      <c r="Q84" s="697" t="n">
        <v>255</v>
      </c>
      <c r="R84" s="697" t="n">
        <v>255</v>
      </c>
      <c r="S84" s="697" t="n">
        <v>175</v>
      </c>
      <c r="T84" s="697" t="n">
        <v>175</v>
      </c>
      <c r="U84" s="697" t="n">
        <v>175</v>
      </c>
      <c r="V84" s="697" t="n">
        <v>140</v>
      </c>
      <c r="W84" s="697" t="n">
        <v>140</v>
      </c>
      <c r="X84" s="697" t="n">
        <v>120</v>
      </c>
      <c r="Y84" s="697" t="n">
        <v>120</v>
      </c>
      <c r="Z84" s="697" t="n">
        <v>100</v>
      </c>
      <c r="AA84" s="697" t="n">
        <v>100</v>
      </c>
      <c r="AB84" s="697" t="n">
        <v>90</v>
      </c>
      <c r="AC84" s="697" t="n">
        <v>25</v>
      </c>
      <c r="AD84" s="697" t="n">
        <v>25</v>
      </c>
      <c r="AE84" s="697" t="n">
        <v>15</v>
      </c>
      <c r="AF84" s="697" t="n">
        <v>15</v>
      </c>
      <c r="AG84" s="697" t="n">
        <v>9</v>
      </c>
      <c r="AH84" s="697" t="n">
        <v>8</v>
      </c>
      <c r="AI84" s="697" t="n">
        <v>2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</row>
    <row r="85">
      <c r="A85" s="781" t="inlineStr">
        <is>
          <t>QUASAR DEEP BLUE</t>
        </is>
      </c>
      <c r="B85" s="731" t="n"/>
      <c r="C85" s="731" t="n"/>
      <c r="D85" s="775" t="n"/>
      <c r="S85" s="697" t="n">
        <v>0</v>
      </c>
      <c r="T85" s="697" t="n">
        <v>175</v>
      </c>
      <c r="U85" s="697" t="n">
        <v>175</v>
      </c>
      <c r="V85" s="697" t="n">
        <v>100</v>
      </c>
      <c r="W85" s="697" t="n">
        <v>100</v>
      </c>
      <c r="X85" s="697" t="n">
        <v>80</v>
      </c>
      <c r="Y85" s="697" t="n">
        <v>80</v>
      </c>
      <c r="Z85" s="697" t="n">
        <v>70</v>
      </c>
      <c r="AA85" s="697" t="n">
        <v>70</v>
      </c>
      <c r="AB85" s="697" t="n">
        <v>55</v>
      </c>
      <c r="AC85" s="697" t="n">
        <v>10</v>
      </c>
      <c r="AD85" s="697" t="n">
        <v>10</v>
      </c>
      <c r="AE85" s="697" t="n">
        <v>10</v>
      </c>
      <c r="AF85" s="697" t="n">
        <v>10</v>
      </c>
      <c r="AG85" s="697" t="n">
        <v>9</v>
      </c>
      <c r="AH85" s="697" t="n">
        <v>9</v>
      </c>
      <c r="AI85" s="697" t="n">
        <v>9</v>
      </c>
      <c r="AJ85" s="697" t="n">
        <v>4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</row>
    <row r="86">
      <c r="A86" s="781" t="inlineStr">
        <is>
          <t>ARBO ATLANTICA</t>
        </is>
      </c>
      <c r="B86" s="731" t="n"/>
      <c r="C86" s="731" t="n"/>
      <c r="D86" s="775" t="n"/>
      <c r="S86" s="697" t="n">
        <v>0</v>
      </c>
      <c r="T86" s="697" t="n">
        <v>185</v>
      </c>
      <c r="U86" s="697" t="n">
        <v>185</v>
      </c>
      <c r="V86" s="697" t="n">
        <v>155</v>
      </c>
      <c r="W86" s="697" t="n">
        <v>155</v>
      </c>
      <c r="X86" s="697" t="n">
        <v>145</v>
      </c>
      <c r="Y86" s="697" t="n">
        <v>145</v>
      </c>
      <c r="Z86" s="697" t="n">
        <v>135</v>
      </c>
      <c r="AA86" s="697" t="n">
        <v>135</v>
      </c>
      <c r="AB86" s="697" t="n">
        <v>115</v>
      </c>
      <c r="AC86" s="697" t="n">
        <v>85</v>
      </c>
      <c r="AD86" s="697" t="n">
        <v>85</v>
      </c>
      <c r="AE86" s="697" t="n">
        <v>70</v>
      </c>
      <c r="AF86" s="697" t="n">
        <v>70</v>
      </c>
      <c r="AG86" s="697" t="n">
        <v>50</v>
      </c>
      <c r="AH86" s="697" t="n">
        <v>57</v>
      </c>
      <c r="AI86" s="697" t="n">
        <v>37</v>
      </c>
      <c r="AJ86" s="697" t="n">
        <v>17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</row>
    <row r="87">
      <c r="A87" s="781" t="inlineStr">
        <is>
          <t>BOTICA 214 SEVILLA DORADA</t>
        </is>
      </c>
      <c r="B87" s="731" t="n"/>
      <c r="C87" s="731" t="n"/>
      <c r="D87" s="775" t="n"/>
      <c r="W87" s="697" t="n">
        <v>0</v>
      </c>
      <c r="X87" s="697" t="n">
        <v>20</v>
      </c>
      <c r="Y87" s="697" t="n">
        <v>20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</row>
    <row r="88">
      <c r="A88" s="781" t="inlineStr">
        <is>
          <t>BOTIK FPS 70</t>
        </is>
      </c>
      <c r="B88" s="731" t="n"/>
      <c r="C88" s="731" t="n"/>
      <c r="D88" s="775" t="n"/>
      <c r="W88" s="697" t="n"/>
      <c r="X88" s="697" t="n"/>
      <c r="Y88" s="697" t="n"/>
      <c r="Z88" s="697" t="n">
        <v>0</v>
      </c>
      <c r="AA88" s="697" t="n">
        <v>33</v>
      </c>
      <c r="AB88" s="697" t="n">
        <v>36</v>
      </c>
      <c r="AC88" s="697" t="n">
        <v>27</v>
      </c>
      <c r="AD88" s="697" t="n">
        <v>27</v>
      </c>
      <c r="AE88" s="697" t="n">
        <v>12</v>
      </c>
      <c r="AF88" s="697" t="n">
        <v>12</v>
      </c>
      <c r="AG88" s="697" t="n">
        <v>9</v>
      </c>
      <c r="AH88" s="697" t="n">
        <v>9</v>
      </c>
      <c r="AI88" s="697" t="n">
        <v>19</v>
      </c>
      <c r="AJ88" s="697" t="n">
        <v>13</v>
      </c>
      <c r="AK88" s="697" t="n">
        <v>11</v>
      </c>
      <c r="AL88" s="697" t="n">
        <v>5</v>
      </c>
      <c r="AM88" s="697" t="n">
        <v>0</v>
      </c>
      <c r="AN88" s="697" t="n">
        <v>0</v>
      </c>
      <c r="AO88" s="697" t="n">
        <v>0</v>
      </c>
      <c r="AP88" s="697" t="n">
        <v>0</v>
      </c>
      <c r="AQ88" s="697" t="n">
        <v>0</v>
      </c>
      <c r="AR88" s="697" t="n">
        <v>0</v>
      </c>
      <c r="AS88" s="697" t="n">
        <v>0</v>
      </c>
      <c r="AT88" s="697" t="n">
        <v>0</v>
      </c>
      <c r="AU88" s="697" t="n">
        <v>0</v>
      </c>
      <c r="AV88" s="697" t="n">
        <v>0</v>
      </c>
      <c r="AW88" s="697" t="n">
        <v>0</v>
      </c>
      <c r="AX88" s="697" t="n">
        <v>0</v>
      </c>
      <c r="AY88" s="697" t="n">
        <v>0</v>
      </c>
      <c r="AZ88" s="697" t="n">
        <v>0</v>
      </c>
      <c r="BA88" s="697" t="n">
        <v>0</v>
      </c>
      <c r="BB88" s="697" t="n">
        <v>0</v>
      </c>
      <c r="BC88" s="697" t="n">
        <v>0</v>
      </c>
      <c r="BD88" s="697" t="n">
        <v>0</v>
      </c>
      <c r="BE88" s="697" t="n">
        <v>0</v>
      </c>
      <c r="BF88" s="697" t="n">
        <v>0</v>
      </c>
      <c r="BG88" s="697" t="n">
        <v>0</v>
      </c>
      <c r="BH88" s="697" t="n">
        <v>0</v>
      </c>
      <c r="BI88" s="697" t="n">
        <v>0</v>
      </c>
      <c r="BJ88" s="697" t="n">
        <v>0</v>
      </c>
      <c r="BK88" s="697" t="n">
        <v>0</v>
      </c>
      <c r="BL88" s="697" t="n">
        <v>0</v>
      </c>
      <c r="BM88" s="697" t="n">
        <v>0</v>
      </c>
      <c r="BN88" s="697" t="n">
        <v>0</v>
      </c>
      <c r="BO88" s="697" t="n">
        <v>0</v>
      </c>
      <c r="BP88" s="697" t="n">
        <v>0</v>
      </c>
      <c r="BQ88" s="697" t="n">
        <v>0</v>
      </c>
      <c r="BR88" s="697" t="n">
        <v>0</v>
      </c>
      <c r="BS88" s="697" t="n">
        <v>0</v>
      </c>
      <c r="BT88" s="697" t="n">
        <v>0</v>
      </c>
      <c r="BU88" s="697" t="n">
        <v>0</v>
      </c>
      <c r="BV88" s="697" t="n">
        <v>0</v>
      </c>
      <c r="BW88" s="697" t="n">
        <v>0</v>
      </c>
      <c r="BX88" s="697" t="n">
        <v>0</v>
      </c>
      <c r="BY88" s="697" t="n">
        <v>0</v>
      </c>
    </row>
    <row r="89">
      <c r="A89" s="781" t="inlineStr">
        <is>
          <t>EGEO COGU</t>
        </is>
      </c>
      <c r="B89" s="731" t="n"/>
      <c r="C89" s="731" t="n"/>
      <c r="D89" s="775" t="n"/>
      <c r="AG89" s="697" t="n">
        <v>0</v>
      </c>
      <c r="AH89" s="697" t="n">
        <v>100</v>
      </c>
      <c r="AI89" s="697" t="n">
        <v>100</v>
      </c>
      <c r="AJ89" s="697" t="n">
        <v>67</v>
      </c>
      <c r="AK89" s="697" t="n">
        <v>37</v>
      </c>
      <c r="AL89" s="697" t="n">
        <v>15</v>
      </c>
      <c r="AM89" s="697" t="n">
        <v>0</v>
      </c>
      <c r="AN89" s="697" t="n">
        <v>0</v>
      </c>
      <c r="AO89" s="697" t="n">
        <v>0</v>
      </c>
      <c r="AP89" s="697" t="n">
        <v>0</v>
      </c>
      <c r="AQ89" s="697" t="n">
        <v>0</v>
      </c>
      <c r="AR89" s="697" t="n">
        <v>0</v>
      </c>
      <c r="AS89" s="697" t="n">
        <v>0</v>
      </c>
      <c r="AT89" s="697" t="n">
        <v>0</v>
      </c>
      <c r="AU89" s="697" t="n">
        <v>0</v>
      </c>
      <c r="AV89" s="697" t="n">
        <v>0</v>
      </c>
      <c r="AW89" s="697" t="n">
        <v>0</v>
      </c>
      <c r="AX89" s="697" t="n">
        <v>0</v>
      </c>
      <c r="AY89" s="697" t="n">
        <v>0</v>
      </c>
      <c r="AZ89" s="697" t="n">
        <v>0</v>
      </c>
      <c r="BA89" s="697" t="n">
        <v>0</v>
      </c>
      <c r="BB89" s="697" t="n">
        <v>0</v>
      </c>
      <c r="BC89" s="697" t="n">
        <v>0</v>
      </c>
      <c r="BD89" s="697" t="n">
        <v>0</v>
      </c>
      <c r="BE89" s="697" t="n">
        <v>0</v>
      </c>
      <c r="BF89" s="697" t="n">
        <v>0</v>
      </c>
      <c r="BG89" s="697" t="n">
        <v>0</v>
      </c>
      <c r="BH89" s="697" t="n">
        <v>0</v>
      </c>
      <c r="BI89" s="697" t="n">
        <v>0</v>
      </c>
      <c r="BJ89" s="697" t="n">
        <v>0</v>
      </c>
      <c r="BK89" s="697" t="n">
        <v>0</v>
      </c>
      <c r="BL89" s="697" t="n">
        <v>0</v>
      </c>
      <c r="BM89" s="697" t="n">
        <v>0</v>
      </c>
      <c r="BN89" s="697" t="n">
        <v>0</v>
      </c>
      <c r="BO89" s="697" t="n">
        <v>0</v>
      </c>
      <c r="BP89" s="697" t="n">
        <v>0</v>
      </c>
      <c r="BQ89" s="697" t="n">
        <v>0</v>
      </c>
      <c r="BR89" s="697" t="n">
        <v>0</v>
      </c>
      <c r="BS89" s="697" t="n">
        <v>0</v>
      </c>
      <c r="BT89" s="697" t="n">
        <v>0</v>
      </c>
      <c r="BU89" s="697" t="n">
        <v>0</v>
      </c>
      <c r="BV89" s="697" t="n">
        <v>0</v>
      </c>
      <c r="BW89" s="697" t="n">
        <v>0</v>
      </c>
      <c r="BX89" s="697" t="n">
        <v>0</v>
      </c>
      <c r="BY89" s="697" t="n">
        <v>0</v>
      </c>
    </row>
    <row r="90">
      <c r="A90" s="781" t="inlineStr">
        <is>
          <t>HER CODE CLIMAX</t>
        </is>
      </c>
      <c r="B90" s="731" t="n"/>
      <c r="C90" s="731" t="n"/>
      <c r="D90" s="775" t="n"/>
      <c r="AJ90" s="697" t="n">
        <v>0</v>
      </c>
      <c r="AK90" s="697" t="n">
        <v>30</v>
      </c>
      <c r="AL90" s="697" t="n">
        <v>20</v>
      </c>
      <c r="AM90" s="697" t="n">
        <v>0</v>
      </c>
      <c r="AN90" s="697" t="n">
        <v>0</v>
      </c>
      <c r="AO90" s="697" t="n">
        <v>0</v>
      </c>
      <c r="AP90" s="697" t="n">
        <v>0</v>
      </c>
      <c r="AQ90" s="697" t="n">
        <v>0</v>
      </c>
      <c r="AR90" s="697" t="n">
        <v>0</v>
      </c>
      <c r="AS90" s="697" t="n">
        <v>0</v>
      </c>
      <c r="AT90" s="697" t="n">
        <v>0</v>
      </c>
      <c r="AU90" s="697" t="n">
        <v>0</v>
      </c>
      <c r="AV90" s="697" t="n">
        <v>0</v>
      </c>
      <c r="AW90" s="697" t="n">
        <v>0</v>
      </c>
      <c r="AX90" s="697" t="n">
        <v>0</v>
      </c>
      <c r="AY90" s="697" t="n">
        <v>0</v>
      </c>
      <c r="AZ90" s="697" t="n">
        <v>0</v>
      </c>
      <c r="BA90" s="697" t="n">
        <v>0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0</v>
      </c>
      <c r="BG90" s="697" t="n">
        <v>0</v>
      </c>
      <c r="BH90" s="697" t="n">
        <v>0</v>
      </c>
      <c r="BI90" s="697" t="n">
        <v>0</v>
      </c>
      <c r="BJ90" s="697" t="n">
        <v>0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</row>
    <row r="91">
      <c r="A91" s="781" t="inlineStr">
        <is>
          <t>FLORATTA BOUQUET</t>
        </is>
      </c>
      <c r="B91" s="731" t="n"/>
      <c r="C91" s="731" t="n"/>
      <c r="D91" s="775" t="n"/>
      <c r="AP91" s="697" t="n">
        <v>0</v>
      </c>
      <c r="AQ91" s="697" t="n">
        <v>25</v>
      </c>
      <c r="AR91" s="697" t="n">
        <v>0</v>
      </c>
      <c r="AS91" s="697" t="n">
        <v>0</v>
      </c>
      <c r="AT91" s="697" t="n">
        <v>0</v>
      </c>
      <c r="AU91" s="697" t="n">
        <v>0</v>
      </c>
      <c r="AV91" s="697" t="n">
        <v>0</v>
      </c>
      <c r="AW91" s="697" t="n">
        <v>0</v>
      </c>
      <c r="AX91" s="697" t="n">
        <v>0</v>
      </c>
      <c r="AY91" s="697" t="n">
        <v>0</v>
      </c>
      <c r="AZ91" s="697" t="n">
        <v>0</v>
      </c>
      <c r="BA91" s="697" t="n">
        <v>0</v>
      </c>
      <c r="BB91" s="697" t="n">
        <v>0</v>
      </c>
      <c r="BC91" s="697" t="n">
        <v>0</v>
      </c>
      <c r="BD91" s="697" t="n">
        <v>0</v>
      </c>
      <c r="BE91" s="697" t="n">
        <v>0</v>
      </c>
      <c r="BF91" s="697" t="n">
        <v>0</v>
      </c>
      <c r="BG91" s="697" t="n">
        <v>0</v>
      </c>
      <c r="BH91" s="697" t="n">
        <v>0</v>
      </c>
      <c r="BI91" s="697" t="n">
        <v>0</v>
      </c>
      <c r="BJ91" s="697" t="n">
        <v>0</v>
      </c>
      <c r="BK91" s="697" t="n">
        <v>0</v>
      </c>
      <c r="BL91" s="697" t="n">
        <v>0</v>
      </c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0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</row>
    <row r="92">
      <c r="A92" s="781" t="n"/>
      <c r="B92" s="731" t="n"/>
      <c r="C92" s="731" t="n"/>
      <c r="D92" s="775" t="n"/>
      <c r="AP92" s="697" t="n"/>
      <c r="AQ92" s="697" t="n"/>
      <c r="AR92" s="697" t="n"/>
      <c r="AS92" s="697" t="n"/>
      <c r="AT92" s="697" t="n"/>
      <c r="AU92" s="697" t="n"/>
      <c r="AV92" s="697" t="n"/>
      <c r="AW92" s="697" t="n"/>
      <c r="AX92" s="697" t="n"/>
      <c r="AY92" s="697" t="n"/>
      <c r="AZ92" s="697" t="n"/>
      <c r="BA92" s="697" t="n"/>
      <c r="BB92" s="697" t="n"/>
      <c r="BC92" s="697" t="n"/>
      <c r="BD92" s="697" t="n"/>
      <c r="BE92" s="697" t="n"/>
      <c r="BF92" s="697" t="n"/>
      <c r="BG92" s="697" t="n"/>
      <c r="BH92" s="697" t="n"/>
      <c r="BI92" s="697" t="n"/>
      <c r="BJ92" s="697" t="n"/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</row>
  </sheetData>
  <mergeCells count="39">
    <mergeCell ref="A91:D91"/>
    <mergeCell ref="F5:BZ5"/>
    <mergeCell ref="A72:D72"/>
    <mergeCell ref="A81:D81"/>
    <mergeCell ref="A63:D63"/>
    <mergeCell ref="A68:D68"/>
    <mergeCell ref="A1:BZ1"/>
    <mergeCell ref="A67:D67"/>
    <mergeCell ref="A77:D77"/>
    <mergeCell ref="A83:D83"/>
    <mergeCell ref="A92:D92"/>
    <mergeCell ref="A64:D64"/>
    <mergeCell ref="A82:D82"/>
    <mergeCell ref="A73:D73"/>
    <mergeCell ref="A5:A6"/>
    <mergeCell ref="A70:D70"/>
    <mergeCell ref="A79:D79"/>
    <mergeCell ref="A88:D88"/>
    <mergeCell ref="A69:D69"/>
    <mergeCell ref="A78:D78"/>
    <mergeCell ref="A87:D87"/>
    <mergeCell ref="A65:D65"/>
    <mergeCell ref="A84:D84"/>
    <mergeCell ref="A90:D90"/>
    <mergeCell ref="A66:D66"/>
    <mergeCell ref="B5:B6"/>
    <mergeCell ref="D5:D6"/>
    <mergeCell ref="A80:D80"/>
    <mergeCell ref="A75:D75"/>
    <mergeCell ref="B3:D3"/>
    <mergeCell ref="A89:D89"/>
    <mergeCell ref="A74:D74"/>
    <mergeCell ref="A86:D86"/>
    <mergeCell ref="FJ7:FR7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Planilha8">
    <tabColor theme="9"/>
    <outlinePr summaryBelow="1" summaryRight="1"/>
    <pageSetUpPr/>
  </sheetPr>
  <dimension ref="A1:JS86"/>
  <sheetViews>
    <sheetView showGridLines="0" topLeftCell="A4" zoomScale="80" zoomScaleNormal="80" workbookViewId="0">
      <selection activeCell="CG4" sqref="CG1:CG1048576"/>
    </sheetView>
  </sheetViews>
  <sheetFormatPr baseColWidth="8" defaultColWidth="9.140625" defaultRowHeight="18.75"/>
  <cols>
    <col width="27.28515625" customWidth="1" min="1" max="1"/>
    <col width="10.42578125" customWidth="1" min="2" max="2"/>
    <col width="14.42578125" customWidth="1" min="3" max="3"/>
    <col width="2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width="13" customWidth="1" min="79" max="79"/>
    <col width="13" customWidth="1" min="80" max="80"/>
    <col width="9.28515625" customWidth="1" min="81" max="81"/>
    <col width="1.140625" customWidth="1" min="82" max="82"/>
    <col width="15.7109375" customWidth="1" min="83" max="83"/>
    <col width="1.7109375" customWidth="1" min="84" max="84"/>
    <col width="16" customWidth="1" min="85" max="85"/>
    <col width="1.5703125" customWidth="1" min="86" max="86"/>
    <col width="9.28515625" customWidth="1" min="87" max="87"/>
    <col width="13" customWidth="1" min="88" max="88"/>
    <col hidden="1" width="13" customWidth="1" min="89" max="89"/>
    <col hidden="1" width="8.7109375" customWidth="1" min="90" max="90"/>
    <col hidden="1" width="9.28515625" customWidth="1" min="91" max="91"/>
    <col hidden="1" width="13" customWidth="1" min="92" max="92"/>
    <col hidden="1" width="13" customWidth="1" min="93" max="93"/>
    <col hidden="1" width="9.28515625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9.42578125" customWidth="1" min="106" max="106"/>
    <col hidden="1" width="9.28515625" customWidth="1" min="107" max="107"/>
    <col hidden="1" width="13" customWidth="1" min="108" max="108"/>
    <col hidden="1" width="13" customWidth="1" min="109" max="109"/>
    <col hidden="1" width="9.28515625" customWidth="1" min="110" max="110"/>
    <col hidden="1" width="13" customWidth="1" min="111" max="111"/>
    <col hidden="1" width="13" customWidth="1" min="112" max="112"/>
    <col hidden="1" width="14.42578125" customWidth="1" min="113" max="113"/>
    <col hidden="1" width="9.28515625" customWidth="1" min="114" max="114"/>
    <col hidden="1" width="11.5703125" customWidth="1" min="115" max="115"/>
    <col hidden="1" width="9.7109375" customWidth="1" min="116" max="116"/>
    <col hidden="1" width="9.28515625" customWidth="1" min="117" max="117"/>
    <col hidden="1" width="13" customWidth="1" min="118" max="118"/>
    <col hidden="1" width="13" customWidth="1" min="119" max="119"/>
    <col hidden="1" width="13" customWidth="1" min="120" max="120"/>
    <col hidden="1" width="13" customWidth="1" min="121" max="121"/>
    <col hidden="1" width="13" customWidth="1" min="122" max="122"/>
    <col hidden="1" width="13" customWidth="1" min="123" max="123"/>
    <col hidden="1" width="13" customWidth="1" min="124" max="124"/>
    <col hidden="1" width="12" customWidth="1" min="125" max="125"/>
    <col hidden="1" width="9.28515625" customWidth="1" min="126" max="126"/>
    <col hidden="1" width="12" customWidth="1" min="127" max="127"/>
    <col hidden="1" width="8.7109375" customWidth="1" min="128" max="128"/>
    <col hidden="1" width="17.5703125" customWidth="1" min="129" max="129"/>
    <col hidden="1" width="12" customWidth="1" min="130" max="130"/>
    <col hidden="1" width="12.85546875" customWidth="1" min="131" max="131"/>
    <col hidden="1" width="9.28515625" customWidth="1" min="132" max="132"/>
    <col hidden="1" width="13" customWidth="1" min="133" max="133"/>
    <col hidden="1" width="13" customWidth="1" min="134" max="134"/>
    <col hidden="1" width="13" customWidth="1" min="135" max="135"/>
    <col hidden="1" width="13" customWidth="1" min="136" max="136"/>
    <col hidden="1" width="14.7109375" customWidth="1" min="137" max="137"/>
    <col hidden="1" width="13.5703125" customWidth="1" min="138" max="138"/>
    <col hidden="1" width="14.28515625" customWidth="1" min="139" max="139"/>
    <col hidden="1" width="9.28515625" customWidth="1" min="140" max="140"/>
    <col hidden="1" width="9.7109375" customWidth="1" min="141" max="141"/>
    <col hidden="1" width="9.28515625" customWidth="1" min="142" max="142"/>
    <col hidden="1" width="13" customWidth="1" min="143" max="143"/>
    <col hidden="1" width="13" customWidth="1" min="144" max="144"/>
    <col hidden="1" width="13" customWidth="1" min="145" max="145"/>
    <col hidden="1" width="14.85546875" customWidth="1" min="146" max="146"/>
    <col hidden="1" width="9.28515625" customWidth="1" min="147" max="147"/>
    <col hidden="1" width="13" customWidth="1" min="148" max="148"/>
    <col hidden="1" width="12" customWidth="1" min="149" max="149"/>
    <col hidden="1" width="9.28515625" customWidth="1" min="150" max="150"/>
    <col hidden="1" width="13" customWidth="1" min="151" max="151"/>
    <col hidden="1" width="13" customWidth="1" min="152" max="152"/>
    <col hidden="1" width="13" customWidth="1" min="153" max="153"/>
    <col hidden="1" width="13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hidden="1" width="13" customWidth="1" min="160" max="160"/>
    <col width="4.42578125" customWidth="1" min="161" max="161"/>
    <col width="21.85546875" customWidth="1" min="162" max="162"/>
    <col width="9.140625" customWidth="1" min="163" max="163"/>
    <col hidden="1" width="13" customWidth="1" min="164" max="164"/>
    <col hidden="1" width="13" customWidth="1" min="165" max="165"/>
    <col hidden="1" width="13" customWidth="1" min="166" max="166"/>
    <col hidden="1" width="13" customWidth="1" min="167" max="167"/>
    <col hidden="1" width="13" customWidth="1" min="168" max="168"/>
    <col hidden="1" width="9.140625" customWidth="1" min="169" max="169"/>
    <col hidden="1" width="13" customWidth="1" min="170" max="170"/>
    <col width="13" customWidth="1" min="171" max="171"/>
    <col width="13" customWidth="1" min="172" max="172"/>
  </cols>
  <sheetData>
    <row r="1" ht="23.25" customHeight="1">
      <c r="A1" s="488" t="inlineStr">
        <is>
          <t>Controle de Contagem Semanal - Antilhas</t>
        </is>
      </c>
      <c r="CC1" s="488" t="n"/>
      <c r="CD1" s="132" t="n"/>
      <c r="CE1" s="132" t="n"/>
      <c r="CF1" s="132" t="n"/>
      <c r="CG1" s="132" t="n"/>
      <c r="CH1" s="132" t="n"/>
      <c r="CI1" s="132" t="n"/>
      <c r="CJ1" s="132" t="n"/>
      <c r="CK1" s="132" t="n"/>
      <c r="CL1" s="149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49" t="n"/>
      <c r="DC1" s="132" t="n"/>
      <c r="DD1" s="132" t="n"/>
      <c r="DE1" s="132" t="n"/>
      <c r="DF1" s="132" t="n"/>
      <c r="DG1" s="132" t="n"/>
      <c r="DH1" s="132" t="n"/>
      <c r="DI1" s="149" t="n"/>
      <c r="DJ1" s="132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49" t="n"/>
      <c r="DV1" s="132" t="n"/>
      <c r="DW1" s="132" t="n"/>
      <c r="DX1" s="149" t="n"/>
      <c r="DY1" s="149" t="n"/>
      <c r="DZ1" s="132" t="n"/>
      <c r="EA1" s="132" t="n"/>
      <c r="EB1" s="132" t="n"/>
      <c r="EC1" s="132" t="n"/>
      <c r="ED1" s="132" t="n"/>
      <c r="EE1" s="132" t="n"/>
      <c r="EF1" s="132" t="n"/>
      <c r="EG1" s="488" t="n"/>
      <c r="EH1" s="149" t="n"/>
      <c r="EI1" s="132" t="n"/>
      <c r="EJ1" s="132" t="n"/>
      <c r="EK1" s="149" t="n"/>
      <c r="EL1" s="132" t="n"/>
      <c r="EM1" s="132" t="n"/>
      <c r="EN1" s="132" t="n"/>
      <c r="EO1" s="132" t="n"/>
      <c r="EP1" s="488" t="n"/>
      <c r="EQ1" s="132" t="n"/>
      <c r="ER1" s="132" t="n"/>
      <c r="ES1" s="488" t="n"/>
      <c r="ET1" s="132" t="n"/>
      <c r="EU1" s="132" t="n"/>
      <c r="EV1" s="132" t="n"/>
      <c r="EW1" s="132" t="n"/>
      <c r="EX1" s="132" t="n"/>
      <c r="EY1" s="132" t="n"/>
      <c r="EZ1" s="132" t="n"/>
      <c r="FA1" s="132" t="n"/>
      <c r="FB1" s="132" t="n"/>
      <c r="FC1" s="132" t="n"/>
      <c r="FD1" s="132" t="n"/>
    </row>
    <row r="2">
      <c r="A2" s="43" t="inlineStr">
        <is>
          <t>LOJA:</t>
        </is>
      </c>
      <c r="B2" s="722" t="inlineStr">
        <is>
          <t>TRIO</t>
        </is>
      </c>
      <c r="C2" s="723" t="n"/>
      <c r="D2" s="724" t="n"/>
      <c r="CD2" s="5" t="n"/>
      <c r="CE2" s="5" t="n"/>
      <c r="CG2" s="5" t="n"/>
      <c r="DI2" s="5" t="n"/>
      <c r="DL2" s="5" t="n"/>
      <c r="EH2" s="5" t="n"/>
      <c r="EK2" s="5" t="n"/>
    </row>
    <row r="3">
      <c r="A3" s="43" t="inlineStr">
        <is>
          <t>Responsável:</t>
        </is>
      </c>
      <c r="B3" s="725" t="inlineStr">
        <is>
          <t>NAYANI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6" t="n"/>
      <c r="CD3" s="726" t="n"/>
      <c r="CE3" s="5" t="n"/>
      <c r="CF3" s="726" t="n"/>
      <c r="DI3" s="726" t="n"/>
      <c r="DL3" s="726" t="n"/>
      <c r="EH3" s="726" t="n"/>
      <c r="EK3" s="726" t="n"/>
    </row>
    <row r="4" ht="15.75" customHeight="1">
      <c r="CD4" s="133" t="n"/>
      <c r="CG4" s="5" t="n"/>
      <c r="CL4" s="249" t="n"/>
      <c r="DB4" s="249" t="n"/>
      <c r="DI4" s="5" t="n"/>
      <c r="DL4" s="5" t="n"/>
      <c r="DU4" s="249" t="n"/>
      <c r="DX4" s="249" t="n"/>
      <c r="DY4" s="249" t="n"/>
      <c r="EG4" s="324" t="n"/>
      <c r="EH4" s="5" t="n"/>
      <c r="EK4" s="5" t="n"/>
      <c r="EP4" s="324" t="n"/>
      <c r="ES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89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31" t="n"/>
      <c r="CA5" s="732" t="n"/>
      <c r="CB5" s="732" t="n"/>
      <c r="CC5" s="490" t="n"/>
      <c r="CD5" s="60" t="n"/>
      <c r="CE5" s="44" t="inlineStr">
        <is>
          <t>Pendências</t>
        </is>
      </c>
      <c r="CG5" s="12" t="inlineStr">
        <is>
          <t>Novo Pedido</t>
        </is>
      </c>
      <c r="CH5" s="733" t="n">
        <v>46161.48088618093</v>
      </c>
      <c r="CI5" s="734" t="n">
        <v>46156</v>
      </c>
      <c r="CJ5" s="734" t="n">
        <v>46142</v>
      </c>
      <c r="CK5" s="734" t="n">
        <v>46114</v>
      </c>
      <c r="CL5" s="735" t="n">
        <v>46065</v>
      </c>
      <c r="CM5" s="734" t="n">
        <v>46099</v>
      </c>
      <c r="CN5" s="734" t="n">
        <v>46092</v>
      </c>
      <c r="CO5" s="734" t="n">
        <v>46084</v>
      </c>
      <c r="CP5" s="734" t="n">
        <v>46071</v>
      </c>
      <c r="CQ5" s="734" t="n">
        <v>46056</v>
      </c>
      <c r="CR5" s="734" t="n">
        <v>46048</v>
      </c>
      <c r="CS5" s="734" t="n">
        <v>46035</v>
      </c>
      <c r="CT5" s="734" t="n">
        <v>46029</v>
      </c>
      <c r="CU5" s="734" t="n">
        <v>46017</v>
      </c>
      <c r="CV5" s="734" t="n">
        <v>46007</v>
      </c>
      <c r="CW5" s="734" t="n">
        <v>46001</v>
      </c>
      <c r="CX5" s="734" t="n">
        <v>45994</v>
      </c>
      <c r="CY5" s="734" t="n">
        <v>45973</v>
      </c>
      <c r="CZ5" s="734" t="n">
        <v>45960</v>
      </c>
      <c r="DA5" s="734" t="n">
        <v>45951</v>
      </c>
      <c r="DB5" s="737" t="n">
        <v>45903</v>
      </c>
      <c r="DC5" s="734" t="n">
        <v>45945</v>
      </c>
      <c r="DD5" s="734" t="n">
        <v>45937</v>
      </c>
      <c r="DE5" s="736" t="inlineStr">
        <is>
          <t>TRANSF.</t>
        </is>
      </c>
      <c r="DF5" s="734" t="n">
        <v>45923</v>
      </c>
      <c r="DG5" s="734" t="n">
        <v>45931</v>
      </c>
      <c r="DH5" s="734" t="n">
        <v>45923</v>
      </c>
      <c r="DI5" s="738" t="inlineStr">
        <is>
          <t>TRANSF.</t>
        </is>
      </c>
      <c r="DJ5" s="734" t="n">
        <v>45915</v>
      </c>
      <c r="DK5" s="736" t="inlineStr">
        <is>
          <t>TRANSF.</t>
        </is>
      </c>
      <c r="DL5" s="738" t="n">
        <v>45863</v>
      </c>
      <c r="DM5" s="734" t="n">
        <v>45909</v>
      </c>
      <c r="DN5" s="734" t="n">
        <v>45903</v>
      </c>
      <c r="DO5" s="734" t="n">
        <v>45895</v>
      </c>
      <c r="DP5" s="734" t="n">
        <v>45888</v>
      </c>
      <c r="DQ5" s="734" t="n">
        <v>45881</v>
      </c>
      <c r="DR5" s="734" t="n">
        <v>45874</v>
      </c>
      <c r="DS5" s="734" t="n">
        <v>45867</v>
      </c>
      <c r="DT5" s="734" t="n">
        <v>45860</v>
      </c>
      <c r="DU5" s="739" t="inlineStr">
        <is>
          <t>TRANSF.</t>
        </is>
      </c>
      <c r="DV5" s="734" t="n">
        <v>45853</v>
      </c>
      <c r="DW5" s="736" t="inlineStr">
        <is>
          <t>TRANSF.</t>
        </is>
      </c>
      <c r="DX5" s="739" t="n">
        <v>45791</v>
      </c>
      <c r="DY5" s="739" t="inlineStr">
        <is>
          <t>AUTOMÁTICO</t>
        </is>
      </c>
      <c r="DZ5" s="736" t="inlineStr">
        <is>
          <t>TRANSF.</t>
        </is>
      </c>
      <c r="EA5" s="736" t="inlineStr">
        <is>
          <t>TRANSF.</t>
        </is>
      </c>
      <c r="EB5" s="734" t="n">
        <v>45832</v>
      </c>
      <c r="EC5" s="734" t="n">
        <v>45825</v>
      </c>
      <c r="ED5" s="734" t="n">
        <v>45819</v>
      </c>
      <c r="EE5" s="734" t="n">
        <v>45813</v>
      </c>
      <c r="EF5" s="734" t="n">
        <v>45805</v>
      </c>
      <c r="EG5" s="740" t="inlineStr">
        <is>
          <t>TRANSF.</t>
        </is>
      </c>
      <c r="EH5" s="742" t="inlineStr">
        <is>
          <t>TRANSF.</t>
        </is>
      </c>
      <c r="EI5" s="736" t="inlineStr">
        <is>
          <t>TRANSF.</t>
        </is>
      </c>
      <c r="EJ5" s="734" t="n">
        <v>45798</v>
      </c>
      <c r="EK5" s="742" t="n">
        <v>45735</v>
      </c>
      <c r="EL5" s="734" t="n">
        <v>45790</v>
      </c>
      <c r="EM5" s="734" t="n">
        <v>45783</v>
      </c>
      <c r="EN5" s="734" t="n">
        <v>45770</v>
      </c>
      <c r="EO5" s="734" t="n">
        <v>45756</v>
      </c>
      <c r="EP5" s="740" t="inlineStr">
        <is>
          <t>TRANSF.</t>
        </is>
      </c>
      <c r="EQ5" s="734" t="n">
        <v>45749</v>
      </c>
      <c r="ER5" s="734" t="n">
        <v>45734</v>
      </c>
      <c r="ES5" s="740" t="n">
        <v>45700</v>
      </c>
      <c r="ET5" s="734" t="n">
        <v>45728</v>
      </c>
      <c r="EU5" s="734" t="n">
        <v>45722</v>
      </c>
      <c r="EV5" s="734" t="n">
        <v>45714</v>
      </c>
      <c r="EW5" s="734" t="n">
        <v>45706</v>
      </c>
      <c r="EX5" s="734" t="n">
        <v>45699</v>
      </c>
      <c r="EY5" s="734" t="n">
        <v>45693</v>
      </c>
      <c r="EZ5" s="734" t="n">
        <v>45685</v>
      </c>
      <c r="FA5" s="734" t="n">
        <v>45674</v>
      </c>
      <c r="FB5" s="734" t="n">
        <v>45660</v>
      </c>
      <c r="FC5" s="734" t="n">
        <v>45652</v>
      </c>
      <c r="FD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46161.48022820602</v>
      </c>
      <c r="CB6" s="747" t="n">
        <v>46161.48088721248</v>
      </c>
      <c r="CC6" s="748" t="inlineStr">
        <is>
          <t>USOU</t>
        </is>
      </c>
      <c r="CD6" s="749" t="n"/>
      <c r="CE6" s="750" t="n">
        <v>46156</v>
      </c>
      <c r="CF6" s="45" t="n"/>
      <c r="CG6" s="752" t="n"/>
      <c r="CH6" s="734" t="n"/>
      <c r="CI6" s="734" t="n"/>
      <c r="CJ6" s="734" t="n">
        <v>46148</v>
      </c>
      <c r="CK6" s="734" t="n">
        <v>46125</v>
      </c>
      <c r="CL6" s="735" t="n">
        <v>46111</v>
      </c>
      <c r="CM6" s="734" t="n">
        <v>46105</v>
      </c>
      <c r="CN6" s="734" t="n">
        <v>46100</v>
      </c>
      <c r="CO6" s="734" t="n">
        <v>46086</v>
      </c>
      <c r="CP6" s="734" t="n">
        <v>46077</v>
      </c>
      <c r="CQ6" s="734" t="n">
        <v>46059</v>
      </c>
      <c r="CR6" s="734" t="n">
        <v>46055</v>
      </c>
      <c r="CS6" s="734" t="n">
        <v>46037</v>
      </c>
      <c r="CT6" s="734" t="n">
        <v>46035</v>
      </c>
      <c r="CU6" s="734" t="n">
        <v>46029</v>
      </c>
      <c r="CV6" s="734" t="n">
        <v>46013</v>
      </c>
      <c r="CW6" s="734" t="n">
        <v>46009</v>
      </c>
      <c r="CX6" s="734" t="n">
        <v>46000</v>
      </c>
      <c r="CY6" s="734" t="n">
        <v>45980</v>
      </c>
      <c r="CZ6" s="734" t="n">
        <v>45967</v>
      </c>
      <c r="DA6" s="734" t="n">
        <v>45958</v>
      </c>
      <c r="DB6" s="753" t="n">
        <v>45957</v>
      </c>
      <c r="DC6" s="734" t="n">
        <v>45954</v>
      </c>
      <c r="DD6" s="734" t="n">
        <v>45945</v>
      </c>
      <c r="DE6" s="736" t="n">
        <v>45939</v>
      </c>
      <c r="DF6" s="734" t="n">
        <v>45926</v>
      </c>
      <c r="DG6" s="734" t="n">
        <v>45938</v>
      </c>
      <c r="DH6" s="734" t="n">
        <v>45929</v>
      </c>
      <c r="DI6" s="754" t="n">
        <v>45923</v>
      </c>
      <c r="DJ6" s="734" t="n">
        <v>45919</v>
      </c>
      <c r="DK6" s="736" t="n">
        <v>45918</v>
      </c>
      <c r="DL6" s="754" t="n">
        <v>45917</v>
      </c>
      <c r="DM6" s="734" t="n">
        <v>45915</v>
      </c>
      <c r="DN6" s="734" t="n">
        <v>45908</v>
      </c>
      <c r="DO6" s="734" t="n">
        <v>45901</v>
      </c>
      <c r="DP6" s="734" t="n">
        <v>45891</v>
      </c>
      <c r="DQ6" s="734" t="n">
        <v>45888</v>
      </c>
      <c r="DR6" s="734" t="n">
        <v>45880</v>
      </c>
      <c r="DS6" s="734" t="n">
        <v>45873</v>
      </c>
      <c r="DT6" s="734" t="n">
        <v>45863</v>
      </c>
      <c r="DU6" s="739" t="n">
        <v>45861</v>
      </c>
      <c r="DV6" s="734" t="n">
        <v>45856</v>
      </c>
      <c r="DW6" s="736" t="n">
        <v>45852</v>
      </c>
      <c r="DX6" s="739" t="n">
        <v>45852</v>
      </c>
      <c r="DY6" s="739" t="n">
        <v>45852</v>
      </c>
      <c r="DZ6" s="736" t="n">
        <v>45842</v>
      </c>
      <c r="EA6" s="736" t="n">
        <v>45841</v>
      </c>
      <c r="EB6" s="734" t="n">
        <v>45839</v>
      </c>
      <c r="EC6" s="734" t="n">
        <v>45832</v>
      </c>
      <c r="ED6" s="734" t="n">
        <v>45824</v>
      </c>
      <c r="EE6" s="734" t="n">
        <v>45819</v>
      </c>
      <c r="EF6" s="734" t="n">
        <v>45810</v>
      </c>
      <c r="EG6" s="740" t="n">
        <v>45806</v>
      </c>
      <c r="EH6" s="755" t="n">
        <v>45805</v>
      </c>
      <c r="EI6" s="736" t="n">
        <v>45804</v>
      </c>
      <c r="EJ6" s="734" t="n">
        <v>45800</v>
      </c>
      <c r="EK6" s="755" t="n">
        <v>45797</v>
      </c>
      <c r="EL6" s="734" t="n">
        <v>45793</v>
      </c>
      <c r="EM6" s="734" t="n">
        <v>45785</v>
      </c>
      <c r="EN6" s="734" t="n">
        <v>45776</v>
      </c>
      <c r="EO6" s="734" t="n">
        <v>45775</v>
      </c>
      <c r="EP6" s="740" t="n">
        <v>45756</v>
      </c>
      <c r="EQ6" s="734" t="n">
        <v>45755</v>
      </c>
      <c r="ER6" s="734" t="n">
        <v>45743</v>
      </c>
      <c r="ES6" s="740" t="n">
        <v>45743</v>
      </c>
      <c r="ET6" s="734" t="n">
        <v>45733</v>
      </c>
      <c r="EU6" s="734" t="n">
        <v>45726</v>
      </c>
      <c r="EV6" s="734" t="n">
        <v>45721</v>
      </c>
      <c r="EW6" s="734" t="n">
        <v>45713</v>
      </c>
      <c r="EX6" s="734" t="n">
        <v>45706</v>
      </c>
      <c r="EY6" s="734" t="n">
        <v>45699</v>
      </c>
      <c r="EZ6" s="734" t="n">
        <v>45688</v>
      </c>
      <c r="FA6" s="734" t="n">
        <v>45678</v>
      </c>
      <c r="FB6" s="734" t="n">
        <v>45665</v>
      </c>
      <c r="FC6" s="734" t="n">
        <v>45659</v>
      </c>
      <c r="FD6" s="734" t="n">
        <v>45653</v>
      </c>
      <c r="FF6" s="5" t="n"/>
      <c r="FG6" s="5" t="n"/>
      <c r="FH6" s="5" t="n"/>
      <c r="FI6" s="5" t="n"/>
      <c r="FJ6" s="5" t="n"/>
      <c r="FK6" s="5" t="n"/>
      <c r="FL6" s="5" t="n"/>
      <c r="FM6" s="5" t="n"/>
      <c r="FN6" s="5" t="n"/>
      <c r="FO6" s="5" t="n"/>
      <c r="FP6" s="5" t="n"/>
      <c r="FQ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9" t="n"/>
      <c r="CE7" s="33" t="n"/>
      <c r="CF7" s="5" t="n"/>
      <c r="CG7" s="106" t="n"/>
      <c r="CH7" s="13" t="n"/>
      <c r="CI7" s="13" t="n"/>
      <c r="CJ7" s="13" t="n"/>
      <c r="CK7" s="13" t="n"/>
      <c r="CL7" s="13" t="inlineStr">
        <is>
          <t>MÃES</t>
        </is>
      </c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n"/>
      <c r="DR7" s="13" t="n"/>
      <c r="DS7" s="13" t="n"/>
      <c r="DT7" s="13" t="n"/>
      <c r="DU7" s="13" t="inlineStr">
        <is>
          <t>PAIS/25</t>
        </is>
      </c>
      <c r="DV7" s="13" t="n"/>
      <c r="DW7" s="13" t="n"/>
      <c r="DX7" s="13" t="n"/>
      <c r="DY7" s="13" t="n"/>
      <c r="DZ7" s="13" t="n"/>
      <c r="EA7" s="13" t="n"/>
      <c r="EB7" s="13" t="n"/>
      <c r="EC7" s="13" t="n"/>
      <c r="ED7" s="13" t="n"/>
      <c r="EE7" s="13" t="n"/>
      <c r="EF7" s="320" t="n"/>
      <c r="EG7" s="13" t="inlineStr">
        <is>
          <t>MÃES/25</t>
        </is>
      </c>
      <c r="EH7" s="13" t="inlineStr">
        <is>
          <t>NAMO/25</t>
        </is>
      </c>
      <c r="EI7" s="320" t="n"/>
      <c r="EJ7" s="320" t="n"/>
      <c r="EK7" s="320" t="n"/>
      <c r="EL7" s="320" t="n"/>
      <c r="EM7" s="320" t="n"/>
      <c r="EN7" s="320" t="n"/>
      <c r="EO7" s="320" t="n"/>
      <c r="EP7" s="13" t="inlineStr">
        <is>
          <t>MÃES/25</t>
        </is>
      </c>
      <c r="EQ7" s="320" t="n"/>
      <c r="ER7" s="320" t="n"/>
      <c r="ES7" s="13" t="inlineStr">
        <is>
          <t>MÃES/25</t>
        </is>
      </c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13" t="n"/>
      <c r="FE7" s="782" t="n"/>
      <c r="FF7" s="782" t="n"/>
      <c r="FG7" s="782" t="n"/>
      <c r="FH7" s="782" t="n"/>
      <c r="FI7" s="782" t="n"/>
      <c r="FJ7" s="782" t="n"/>
      <c r="FK7" s="782" t="n"/>
      <c r="FL7" s="782" t="n"/>
      <c r="FM7" s="782" t="n"/>
      <c r="FN7" s="731" t="n"/>
      <c r="FO7" s="732" t="n"/>
      <c r="FP7" s="732" t="n"/>
      <c r="FQ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5" t="n"/>
      <c r="F8" s="697" t="n">
        <v>820</v>
      </c>
      <c r="G8" s="697">
        <f>820+EZ8</f>
        <v/>
      </c>
      <c r="H8" s="697" t="n">
        <v>1260</v>
      </c>
      <c r="I8" s="697">
        <f>1160+EY8</f>
        <v/>
      </c>
      <c r="J8" s="697" t="n">
        <v>960</v>
      </c>
      <c r="K8" s="697" t="n">
        <v>1560</v>
      </c>
      <c r="L8" s="697" t="n">
        <v>1560</v>
      </c>
      <c r="M8" s="697" t="n">
        <v>1440</v>
      </c>
      <c r="N8" s="697" t="n">
        <v>1420</v>
      </c>
      <c r="O8" s="697" t="n">
        <v>1360</v>
      </c>
      <c r="P8" s="697" t="n">
        <v>1130</v>
      </c>
      <c r="Q8" s="697" t="n">
        <v>1020</v>
      </c>
      <c r="R8" s="697" t="n">
        <v>900</v>
      </c>
      <c r="S8" s="697" t="n">
        <v>760</v>
      </c>
      <c r="T8" s="697" t="n">
        <v>640</v>
      </c>
      <c r="U8" s="697" t="n">
        <v>300</v>
      </c>
      <c r="V8" s="697" t="n">
        <v>300</v>
      </c>
      <c r="W8" s="697">
        <f>320+EM8</f>
        <v/>
      </c>
      <c r="X8" s="697" t="n">
        <v>1220</v>
      </c>
      <c r="Y8" s="697" t="n">
        <v>900</v>
      </c>
      <c r="Z8" s="697" t="n">
        <v>2000</v>
      </c>
      <c r="AA8" s="697" t="n">
        <v>1840</v>
      </c>
      <c r="AB8" s="697" t="n">
        <v>1640</v>
      </c>
      <c r="AC8" s="697" t="n">
        <v>1560</v>
      </c>
      <c r="AD8" s="697" t="n">
        <v>1380</v>
      </c>
      <c r="AE8" s="697" t="n">
        <v>1200</v>
      </c>
      <c r="AF8" s="697" t="n">
        <v>1020</v>
      </c>
      <c r="AG8" s="697" t="n">
        <v>960</v>
      </c>
      <c r="AH8" s="697" t="n">
        <v>860</v>
      </c>
      <c r="AI8" s="697" t="n">
        <v>740</v>
      </c>
      <c r="AJ8" s="697" t="n">
        <v>700</v>
      </c>
      <c r="AK8" s="697" t="n">
        <v>680</v>
      </c>
      <c r="AL8" s="697" t="n">
        <v>360</v>
      </c>
      <c r="AM8" s="697">
        <f>220+DO8</f>
        <v/>
      </c>
      <c r="AN8" s="697">
        <f>480+DN8</f>
        <v/>
      </c>
      <c r="AO8" s="697" t="n">
        <v>680</v>
      </c>
      <c r="AP8" s="697" t="n">
        <v>560</v>
      </c>
      <c r="AQ8" s="697" t="n">
        <v>420</v>
      </c>
      <c r="AR8" s="697" t="n">
        <v>360</v>
      </c>
      <c r="AS8" s="697" t="n">
        <v>560</v>
      </c>
      <c r="AT8" s="697" t="n">
        <v>460</v>
      </c>
      <c r="AU8" s="697">
        <f>380+DB8</f>
        <v/>
      </c>
      <c r="AV8" s="697" t="n">
        <v>480</v>
      </c>
      <c r="AW8" s="697">
        <f>360+CY8</f>
        <v/>
      </c>
      <c r="AX8" s="697" t="n">
        <v>600</v>
      </c>
      <c r="AY8" s="697" t="n">
        <v>360</v>
      </c>
      <c r="AZ8" s="697">
        <f>360+CW8</f>
        <v/>
      </c>
      <c r="BA8" s="697" t="n">
        <v>960</v>
      </c>
      <c r="BB8" s="697" t="n">
        <v>600</v>
      </c>
      <c r="BC8" s="697">
        <f>600+CV8</f>
        <v/>
      </c>
      <c r="BD8" s="697">
        <f>700+CU8</f>
        <v/>
      </c>
      <c r="BE8" s="697">
        <f>940+CT8</f>
        <v/>
      </c>
      <c r="BF8" s="697" t="n">
        <v>930</v>
      </c>
      <c r="BG8" s="697" t="n">
        <v>900</v>
      </c>
      <c r="BH8" s="697" t="n">
        <v>900</v>
      </c>
      <c r="BI8" s="697" t="n">
        <v>700</v>
      </c>
      <c r="BJ8" s="697" t="n">
        <v>460</v>
      </c>
      <c r="BK8" s="697" t="n">
        <v>460</v>
      </c>
      <c r="BL8" s="697" t="n">
        <v>460</v>
      </c>
      <c r="BM8" s="697" t="n">
        <v>300</v>
      </c>
      <c r="BN8" s="697">
        <f>240+CN8</f>
        <v/>
      </c>
      <c r="BO8" s="697" t="n">
        <v>420</v>
      </c>
      <c r="BP8" s="697" t="n">
        <v>560</v>
      </c>
      <c r="BQ8" s="697">
        <f>520+CL8</f>
        <v/>
      </c>
      <c r="BR8" s="697" t="n">
        <v>400</v>
      </c>
      <c r="BS8" s="697" t="n">
        <v>400</v>
      </c>
      <c r="BT8" s="697" t="n">
        <v>380</v>
      </c>
      <c r="BU8" s="697">
        <f>313+CI8</f>
        <v/>
      </c>
      <c r="BV8" s="697" t="n">
        <v>160</v>
      </c>
      <c r="BW8" s="697" t="n">
        <v>35</v>
      </c>
      <c r="BX8" s="314">
        <f>240+CH8</f>
        <v/>
      </c>
      <c r="BY8" s="697" t="n">
        <v>140</v>
      </c>
      <c r="BZ8" s="697" t="n"/>
      <c r="CA8" s="699" t="n"/>
      <c r="CB8" s="699" t="n"/>
      <c r="CC8" s="192">
        <f>CA8+IF(NOT(ISBLANK(OFFSET(CC8,0,6))),N(OFFSET(CC8,0,6)),N(OFFSET(CC8,0,7)))-CB8</f>
        <v/>
      </c>
      <c r="CD8" s="129" t="n"/>
      <c r="CE8" s="22" t="n">
        <v>600</v>
      </c>
      <c r="CF8" s="5" t="n"/>
      <c r="CG8" s="27" t="n"/>
      <c r="CH8" s="757" t="n">
        <v>0</v>
      </c>
      <c r="CI8" s="23" t="n">
        <v>0</v>
      </c>
      <c r="CJ8" s="23" t="n">
        <v>600</v>
      </c>
      <c r="CK8" s="23" t="n">
        <v>300</v>
      </c>
      <c r="CL8" s="23" t="n"/>
      <c r="CM8" s="23" t="n"/>
      <c r="CN8" s="23" t="n">
        <v>300</v>
      </c>
      <c r="CO8" s="23" t="n">
        <v>300</v>
      </c>
      <c r="CP8" s="23" t="n">
        <v>300</v>
      </c>
      <c r="CQ8" s="23" t="n"/>
      <c r="CR8" s="23" t="n"/>
      <c r="CS8" s="23" t="n"/>
      <c r="CT8" s="23" t="n"/>
      <c r="CU8" s="23" t="n"/>
      <c r="CV8" s="23" t="n">
        <v>300</v>
      </c>
      <c r="CW8" s="23" t="n">
        <v>300</v>
      </c>
      <c r="CX8" s="23" t="n">
        <v>300</v>
      </c>
      <c r="CY8" s="23" t="n">
        <v>600</v>
      </c>
      <c r="CZ8" s="23" t="n"/>
      <c r="DA8" s="23" t="n">
        <v>300</v>
      </c>
      <c r="DB8" s="219" t="n"/>
      <c r="DC8" s="23" t="n"/>
      <c r="DD8" s="23" t="n">
        <v>300</v>
      </c>
      <c r="DE8" s="23" t="n"/>
      <c r="DF8" s="23" t="n"/>
      <c r="DG8" s="23" t="n"/>
      <c r="DH8" s="23" t="n">
        <v>300</v>
      </c>
      <c r="DI8" s="219" t="n"/>
      <c r="DJ8" s="23" t="n"/>
      <c r="DK8" s="23" t="n"/>
      <c r="DL8" s="219" t="n"/>
      <c r="DM8" s="23" t="n"/>
      <c r="DN8" s="23" t="n"/>
      <c r="DO8" s="23" t="n"/>
      <c r="DP8" s="23" t="n">
        <v>300</v>
      </c>
      <c r="DQ8" s="23" t="n">
        <v>300</v>
      </c>
      <c r="DR8" s="23" t="n"/>
      <c r="DS8" s="23" t="n"/>
      <c r="DT8" s="23" t="n"/>
      <c r="DU8" s="219" t="n"/>
      <c r="DV8" s="23" t="n"/>
      <c r="DW8" s="23" t="n"/>
      <c r="DX8" s="219" t="n"/>
      <c r="DY8" s="219" t="n"/>
      <c r="DZ8" s="23" t="n"/>
      <c r="EA8" s="23" t="n"/>
      <c r="EB8" s="23" t="n"/>
      <c r="EC8" s="23" t="n"/>
      <c r="ED8" s="23" t="n"/>
      <c r="EE8" s="23" t="n"/>
      <c r="EF8" s="23" t="n"/>
      <c r="EG8" s="219" t="n"/>
      <c r="EH8" s="219" t="n"/>
      <c r="EI8" s="23" t="n"/>
      <c r="EJ8" s="23" t="n"/>
      <c r="EK8" s="219" t="n"/>
      <c r="EL8" s="23" t="n">
        <v>900</v>
      </c>
      <c r="EM8" s="23" t="n">
        <v>300</v>
      </c>
      <c r="EN8" s="23" t="n">
        <v>300</v>
      </c>
      <c r="EO8" s="23" t="n">
        <v>600</v>
      </c>
      <c r="EP8" s="219" t="n"/>
      <c r="EQ8" s="23" t="n"/>
      <c r="ER8" s="23" t="n"/>
      <c r="ES8" s="219" t="n"/>
      <c r="ET8" s="23" t="n"/>
      <c r="EU8" s="23" t="n"/>
      <c r="EV8" s="23" t="n"/>
      <c r="EW8" s="23" t="n"/>
      <c r="EX8" s="23" t="n"/>
      <c r="EY8" s="23" t="n"/>
      <c r="EZ8" s="23" t="n">
        <v>600</v>
      </c>
      <c r="FA8" s="23" t="n">
        <v>300</v>
      </c>
      <c r="FB8" s="23" t="n">
        <v>600</v>
      </c>
      <c r="FC8" s="23" t="n"/>
      <c r="FD8" s="23" t="n"/>
      <c r="FF8" s="304" t="inlineStr">
        <is>
          <t xml:space="preserve">SACOLAS </t>
        </is>
      </c>
      <c r="FG8" s="235" t="inlineStr">
        <is>
          <t>PCT</t>
        </is>
      </c>
      <c r="FH8" s="746" t="n">
        <v>46118</v>
      </c>
      <c r="FI8" s="746" t="n">
        <v>46125</v>
      </c>
      <c r="FJ8" s="746" t="n">
        <v>46132</v>
      </c>
      <c r="FK8" s="746" t="n">
        <v>46139</v>
      </c>
      <c r="FL8" s="746" t="n">
        <v>46146</v>
      </c>
      <c r="FM8" s="746" t="n">
        <v>46154</v>
      </c>
      <c r="FN8" s="746" t="n">
        <v>46160</v>
      </c>
      <c r="FO8" s="747" t="n">
        <v>46161.48022744213</v>
      </c>
      <c r="FP8" s="747" t="n">
        <v>46161.48088660395</v>
      </c>
      <c r="FQ8" s="758" t="inlineStr">
        <is>
          <t>USOU</t>
        </is>
      </c>
    </row>
    <row r="9" ht="18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 t="n">
        <v>2320</v>
      </c>
      <c r="G9" s="697">
        <f>2100+EZ9</f>
        <v/>
      </c>
      <c r="H9" s="697" t="n">
        <v>1980</v>
      </c>
      <c r="I9" s="697">
        <f>1800+EY9</f>
        <v/>
      </c>
      <c r="J9" s="697" t="n">
        <v>2020</v>
      </c>
      <c r="K9" s="697" t="n">
        <v>1935</v>
      </c>
      <c r="L9" s="697">
        <f>1815+EW9</f>
        <v/>
      </c>
      <c r="M9" s="697" t="n">
        <v>2120</v>
      </c>
      <c r="N9" s="697" t="n">
        <v>1720</v>
      </c>
      <c r="O9" s="697" t="n">
        <v>1540</v>
      </c>
      <c r="P9" s="697" t="n">
        <v>1100</v>
      </c>
      <c r="Q9" s="697">
        <f>800+ER9</f>
        <v/>
      </c>
      <c r="R9" s="697" t="n">
        <v>900</v>
      </c>
      <c r="S9" s="697" t="n">
        <v>600</v>
      </c>
      <c r="T9" s="697">
        <f>560+EO9</f>
        <v/>
      </c>
      <c r="U9" s="697" t="n">
        <v>1200</v>
      </c>
      <c r="V9" s="697" t="n">
        <v>1200</v>
      </c>
      <c r="W9" s="697" t="n">
        <v>1200</v>
      </c>
      <c r="X9" s="697" t="n">
        <v>1200</v>
      </c>
      <c r="Y9" s="697" t="n">
        <v>1200</v>
      </c>
      <c r="Z9" s="697" t="n">
        <v>920</v>
      </c>
      <c r="AA9" s="697">
        <f>420+200</f>
        <v/>
      </c>
      <c r="AB9" s="697">
        <f>400+ED9</f>
        <v/>
      </c>
      <c r="AC9" s="697">
        <f>1100+EC9</f>
        <v/>
      </c>
      <c r="AD9" s="697">
        <f>980+EB9</f>
        <v/>
      </c>
      <c r="AE9" s="697" t="n">
        <v>680</v>
      </c>
      <c r="AF9" s="697" t="n">
        <v>520</v>
      </c>
      <c r="AG9" s="697" t="n">
        <v>1100</v>
      </c>
      <c r="AH9" s="697" t="n">
        <v>1360</v>
      </c>
      <c r="AI9" s="697" t="n">
        <v>1000</v>
      </c>
      <c r="AJ9" s="697" t="n">
        <v>800</v>
      </c>
      <c r="AK9" s="697">
        <f>600+DQ9</f>
        <v/>
      </c>
      <c r="AL9" s="697" t="n">
        <v>400</v>
      </c>
      <c r="AM9" s="697">
        <f>20+DO9</f>
        <v/>
      </c>
      <c r="AN9" s="697" t="n">
        <v>1020</v>
      </c>
      <c r="AO9" s="697">
        <f>800+DM9</f>
        <v/>
      </c>
      <c r="AP9" s="697" t="n">
        <v>720</v>
      </c>
      <c r="AQ9" s="697">
        <f>280+DK9</f>
        <v/>
      </c>
      <c r="AR9" s="697" t="n">
        <v>840</v>
      </c>
      <c r="AS9" s="697" t="n">
        <v>720</v>
      </c>
      <c r="AT9" s="697">
        <f>340+DE9</f>
        <v/>
      </c>
      <c r="AU9" s="697">
        <f>240+DB9</f>
        <v/>
      </c>
      <c r="AV9" s="697" t="n">
        <v>800</v>
      </c>
      <c r="AW9" s="697">
        <f>440+CY9</f>
        <v/>
      </c>
      <c r="AX9" s="697" t="n">
        <v>640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520+CV9</f>
        <v/>
      </c>
      <c r="BD9" s="697">
        <f>200+CU9</f>
        <v/>
      </c>
      <c r="BE9" s="697">
        <f>220+CT9</f>
        <v/>
      </c>
      <c r="BF9" s="697" t="n">
        <v>120</v>
      </c>
      <c r="BG9" s="697" t="n">
        <v>120</v>
      </c>
      <c r="BH9" s="697">
        <f>200+CR9</f>
        <v/>
      </c>
      <c r="BI9" s="697" t="n">
        <v>1600</v>
      </c>
      <c r="BJ9" s="697" t="n">
        <v>1400</v>
      </c>
      <c r="BK9" s="697" t="n">
        <v>1020</v>
      </c>
      <c r="BL9" s="697" t="n">
        <v>1400</v>
      </c>
      <c r="BM9" s="697" t="n">
        <v>900</v>
      </c>
      <c r="BN9" s="697">
        <f>620+CN9</f>
        <v/>
      </c>
      <c r="BO9" s="697" t="n">
        <v>820</v>
      </c>
      <c r="BP9" s="697" t="n">
        <v>1220</v>
      </c>
      <c r="BQ9" s="697">
        <f>860+CL9</f>
        <v/>
      </c>
      <c r="BR9" s="697" t="n">
        <v>960</v>
      </c>
      <c r="BS9" s="697" t="n">
        <v>560</v>
      </c>
      <c r="BT9" s="697" t="n">
        <v>140</v>
      </c>
      <c r="BU9" s="697">
        <f>0+CI9</f>
        <v/>
      </c>
      <c r="BV9" s="697" t="n">
        <v>600</v>
      </c>
      <c r="BW9" s="697" t="n">
        <v>600</v>
      </c>
      <c r="BX9" s="314" t="n">
        <v>1400</v>
      </c>
      <c r="BY9" s="697" t="n">
        <v>206</v>
      </c>
      <c r="BZ9" s="697" t="n"/>
      <c r="CA9" s="699" t="n"/>
      <c r="CB9" s="699" t="n"/>
      <c r="CC9" s="192">
        <f>CA9+IF(NOT(ISBLANK(OFFSET(CC9,0,6))),N(OFFSET(CC9,0,6)),N(OFFSET(CC9,0,7)))-CB9</f>
        <v/>
      </c>
      <c r="CD9" s="129" t="n"/>
      <c r="CE9" s="22" t="n">
        <v>1000</v>
      </c>
      <c r="CF9" s="5" t="n"/>
      <c r="CG9" s="27" t="n"/>
      <c r="CH9" s="757" t="n">
        <v>0</v>
      </c>
      <c r="CI9" s="23" t="n">
        <v>0</v>
      </c>
      <c r="CJ9" s="23" t="n">
        <v>0</v>
      </c>
      <c r="CK9" s="23" t="n">
        <v>600</v>
      </c>
      <c r="CL9" s="219" t="n">
        <v>2200</v>
      </c>
      <c r="CM9" s="23" t="n"/>
      <c r="CN9" s="23" t="n">
        <v>400</v>
      </c>
      <c r="CO9" s="23" t="n">
        <v>800</v>
      </c>
      <c r="CP9" s="23" t="n">
        <v>600</v>
      </c>
      <c r="CQ9" s="23" t="n">
        <v>600</v>
      </c>
      <c r="CR9" s="23" t="n"/>
      <c r="CS9" s="23" t="n">
        <v>800</v>
      </c>
      <c r="CT9" s="23" t="n">
        <v>1000</v>
      </c>
      <c r="CU9" s="23" t="n">
        <v>800</v>
      </c>
      <c r="CV9" s="23" t="n">
        <v>1000</v>
      </c>
      <c r="CW9" s="23" t="n">
        <v>800</v>
      </c>
      <c r="CX9" s="23" t="n">
        <v>200</v>
      </c>
      <c r="CY9" s="23" t="n"/>
      <c r="CZ9" s="23" t="n">
        <v>200</v>
      </c>
      <c r="DA9" s="23" t="n">
        <v>400</v>
      </c>
      <c r="DB9" s="219" t="n">
        <v>2000</v>
      </c>
      <c r="DC9" s="23" t="n"/>
      <c r="DD9" s="23" t="n">
        <v>1000</v>
      </c>
      <c r="DE9" s="23" t="n"/>
      <c r="DF9" s="23" t="n"/>
      <c r="DG9" s="23" t="n">
        <v>200</v>
      </c>
      <c r="DH9" s="23" t="n">
        <v>200</v>
      </c>
      <c r="DI9" s="219" t="n"/>
      <c r="DJ9" s="23" t="n">
        <v>400</v>
      </c>
      <c r="DK9" s="23" t="n"/>
      <c r="DL9" s="219" t="n"/>
      <c r="DM9" s="23" t="n">
        <v>400</v>
      </c>
      <c r="DN9" s="23" t="n"/>
      <c r="DO9" s="23" t="n">
        <v>400</v>
      </c>
      <c r="DP9" s="23" t="n">
        <v>400</v>
      </c>
      <c r="DQ9" s="23" t="n">
        <v>800</v>
      </c>
      <c r="DR9" s="23" t="n"/>
      <c r="DS9" s="23" t="n">
        <v>400</v>
      </c>
      <c r="DT9" s="23" t="n"/>
      <c r="DU9" s="219" t="n"/>
      <c r="DV9" s="23" t="n">
        <v>600</v>
      </c>
      <c r="DW9" s="23" t="n"/>
      <c r="DX9" s="219" t="n"/>
      <c r="DY9" s="219" t="n"/>
      <c r="DZ9" s="23" t="n"/>
      <c r="EA9" s="23" t="n"/>
      <c r="EB9" s="23" t="n">
        <v>1000</v>
      </c>
      <c r="EC9" s="23" t="n"/>
      <c r="ED9" s="23" t="n">
        <v>200</v>
      </c>
      <c r="EE9" s="23" t="n">
        <v>200</v>
      </c>
      <c r="EF9" s="23" t="n">
        <v>1000</v>
      </c>
      <c r="EG9" s="219" t="n"/>
      <c r="EH9" s="219" t="n"/>
      <c r="EI9" s="282" t="inlineStr">
        <is>
          <t>200 DE Q2</t>
        </is>
      </c>
      <c r="EJ9" s="23" t="n"/>
      <c r="EK9" s="219" t="n"/>
      <c r="EL9" s="23" t="n"/>
      <c r="EM9" s="23" t="n"/>
      <c r="EN9" s="23" t="n"/>
      <c r="EO9" s="23" t="n"/>
      <c r="EP9" s="219" t="n"/>
      <c r="EQ9" s="23" t="n">
        <v>1000</v>
      </c>
      <c r="ER9" s="23" t="n">
        <v>400</v>
      </c>
      <c r="ES9" s="219" t="n">
        <v>1800</v>
      </c>
      <c r="ET9" s="23" t="n">
        <v>600</v>
      </c>
      <c r="EU9" s="23" t="n"/>
      <c r="EV9" s="23" t="n"/>
      <c r="EW9" s="23" t="n"/>
      <c r="EX9" s="23" t="n"/>
      <c r="EY9" s="23" t="n">
        <v>600</v>
      </c>
      <c r="EZ9" s="23" t="n">
        <v>400</v>
      </c>
      <c r="FA9" s="23" t="n">
        <v>600</v>
      </c>
      <c r="FB9" s="23" t="n">
        <v>400</v>
      </c>
      <c r="FC9" s="23" t="n"/>
      <c r="FD9" s="23" t="n">
        <v>2000</v>
      </c>
      <c r="FF9" s="300" t="inlineStr">
        <is>
          <t xml:space="preserve">SACOLA P </t>
        </is>
      </c>
      <c r="FG9" s="162" t="n">
        <v>200</v>
      </c>
      <c r="FH9" s="697">
        <f>CJ9</f>
        <v/>
      </c>
      <c r="FI9" s="697" t="n">
        <v>2000</v>
      </c>
      <c r="FJ9" s="697" t="n">
        <v>1400</v>
      </c>
      <c r="FK9" s="697" t="n">
        <v>1200</v>
      </c>
      <c r="FL9" s="697" t="n">
        <v>800</v>
      </c>
      <c r="FM9" s="697" t="n">
        <v>0</v>
      </c>
      <c r="FN9" s="697" t="n"/>
      <c r="FO9" s="699" t="n"/>
      <c r="FP9" s="699" t="n"/>
      <c r="FQ9" s="431">
        <f>FO9+IF(NOT(ISBLANK(OFFSET(FQ9,0,6))),N(OFFSET(FQ9,0,6)),N(OFFSET(FQ9,0,7)))-FP9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500</v>
      </c>
      <c r="E10" s="5" t="n"/>
      <c r="F10" s="697" t="n">
        <v>840</v>
      </c>
      <c r="G10" s="697">
        <f>760+EZ10</f>
        <v/>
      </c>
      <c r="H10" s="697" t="n">
        <v>860</v>
      </c>
      <c r="I10" s="697">
        <f>800+EY10</f>
        <v/>
      </c>
      <c r="J10" s="697" t="n">
        <v>920</v>
      </c>
      <c r="K10" s="697" t="n">
        <v>855</v>
      </c>
      <c r="L10" s="697" t="n">
        <v>795</v>
      </c>
      <c r="M10" s="697" t="n">
        <v>640</v>
      </c>
      <c r="N10" s="697">
        <f>600+EU10</f>
        <v/>
      </c>
      <c r="O10" s="697">
        <f>620+ET10</f>
        <v/>
      </c>
      <c r="P10" s="697">
        <f>940+ES10</f>
        <v/>
      </c>
      <c r="Q10" s="697" t="n">
        <v>1440</v>
      </c>
      <c r="R10" s="697" t="n">
        <v>1360</v>
      </c>
      <c r="S10" s="697" t="n">
        <v>1200</v>
      </c>
      <c r="T10" s="697" t="n">
        <v>1080</v>
      </c>
      <c r="U10" s="697" t="n">
        <v>800</v>
      </c>
      <c r="V10" s="697" t="n">
        <v>800</v>
      </c>
      <c r="W10" s="697" t="n">
        <v>800</v>
      </c>
      <c r="X10" s="697" t="n">
        <v>800</v>
      </c>
      <c r="Y10" s="697" t="n">
        <v>800</v>
      </c>
      <c r="Z10" s="697" t="n">
        <v>600</v>
      </c>
      <c r="AA10" s="697" t="n">
        <v>760</v>
      </c>
      <c r="AB10" s="697" t="n">
        <v>800</v>
      </c>
      <c r="AC10" s="697" t="n">
        <v>900</v>
      </c>
      <c r="AD10" s="697" t="n">
        <v>900</v>
      </c>
      <c r="AE10" s="697" t="n">
        <v>860</v>
      </c>
      <c r="AF10" s="697" t="n">
        <v>860</v>
      </c>
      <c r="AG10" s="697" t="n">
        <v>700</v>
      </c>
      <c r="AH10" s="697" t="n">
        <v>600</v>
      </c>
      <c r="AI10" s="697" t="n">
        <v>400</v>
      </c>
      <c r="AJ10" s="697" t="n">
        <v>400</v>
      </c>
      <c r="AK10" s="697" t="n">
        <v>600</v>
      </c>
      <c r="AL10" s="697">
        <f>480+DP10</f>
        <v/>
      </c>
      <c r="AM10" s="697" t="n">
        <v>480</v>
      </c>
      <c r="AN10" s="697" t="n">
        <v>600</v>
      </c>
      <c r="AO10" s="697" t="n">
        <v>500</v>
      </c>
      <c r="AP10" s="697">
        <f>500+DL10</f>
        <v/>
      </c>
      <c r="AQ10" s="697" t="n">
        <v>600</v>
      </c>
      <c r="AR10" s="697" t="n">
        <v>500</v>
      </c>
      <c r="AS10" s="697" t="n">
        <v>500</v>
      </c>
      <c r="AT10" s="697" t="n">
        <v>400</v>
      </c>
      <c r="AU10" s="697" t="n">
        <v>380</v>
      </c>
      <c r="AV10" s="697">
        <f>220+DA10</f>
        <v/>
      </c>
      <c r="AW10" s="697">
        <f>300+CY10</f>
        <v/>
      </c>
      <c r="AX10" s="697" t="n">
        <v>460</v>
      </c>
      <c r="AY10" s="697" t="n">
        <v>460</v>
      </c>
      <c r="AZ10" s="697" t="n">
        <v>460</v>
      </c>
      <c r="BA10" s="697" t="n">
        <v>460</v>
      </c>
      <c r="BB10" s="697" t="n">
        <v>400</v>
      </c>
      <c r="BC10" s="697" t="n">
        <v>400</v>
      </c>
      <c r="BD10" s="697">
        <f>400+CU10</f>
        <v/>
      </c>
      <c r="BE10" s="697">
        <f>500+CT10</f>
        <v/>
      </c>
      <c r="BF10" s="697" t="n">
        <v>240</v>
      </c>
      <c r="BG10" s="697" t="n">
        <v>200</v>
      </c>
      <c r="BH10" s="697">
        <f>400+CR10</f>
        <v/>
      </c>
      <c r="BI10" s="697" t="n">
        <v>1200</v>
      </c>
      <c r="BJ10" s="697" t="n">
        <v>1200</v>
      </c>
      <c r="BK10" s="697" t="n">
        <v>1200</v>
      </c>
      <c r="BL10" s="697" t="n">
        <v>1200</v>
      </c>
      <c r="BM10" s="697" t="n">
        <v>980</v>
      </c>
      <c r="BN10" s="697" t="n">
        <v>900</v>
      </c>
      <c r="BO10" s="697" t="n">
        <v>860</v>
      </c>
      <c r="BP10" s="697" t="n">
        <v>840</v>
      </c>
      <c r="BQ10" s="697" t="n">
        <v>520</v>
      </c>
      <c r="BR10" s="697" t="n">
        <v>440</v>
      </c>
      <c r="BS10" s="697" t="n">
        <v>340</v>
      </c>
      <c r="BT10" s="697" t="n">
        <v>180</v>
      </c>
      <c r="BU10" s="697">
        <f>120+CI10</f>
        <v/>
      </c>
      <c r="BV10" s="697" t="n">
        <v>320</v>
      </c>
      <c r="BW10" s="697" t="n">
        <v>320</v>
      </c>
      <c r="BX10" s="314" t="n">
        <v>1462</v>
      </c>
      <c r="BY10" s="697" t="n">
        <v>740</v>
      </c>
      <c r="BZ10" s="697" t="n"/>
      <c r="CA10" s="699" t="n"/>
      <c r="CB10" s="699" t="n"/>
      <c r="CC10" s="192">
        <f>CA10+IF(NOT(ISBLANK(OFFSET(CC10,0,6))),N(OFFSET(CC10,0,6)),N(OFFSET(CC10,0,7)))-CB10</f>
        <v/>
      </c>
      <c r="CD10" s="129" t="n"/>
      <c r="CE10" s="22" t="n"/>
      <c r="CF10" s="5" t="n"/>
      <c r="CG10" s="27" t="n"/>
      <c r="CH10" s="757" t="n">
        <v>0</v>
      </c>
      <c r="CI10" s="23" t="n">
        <v>0</v>
      </c>
      <c r="CJ10" s="23" t="n">
        <v>0</v>
      </c>
      <c r="CK10" s="23" t="n">
        <v>200</v>
      </c>
      <c r="CL10" s="219" t="n">
        <v>1400</v>
      </c>
      <c r="CM10" s="23" t="n"/>
      <c r="CN10" s="23" t="n"/>
      <c r="CO10" s="23" t="n"/>
      <c r="CP10" s="23" t="n"/>
      <c r="CQ10" s="23" t="n"/>
      <c r="CR10" s="23" t="n"/>
      <c r="CS10" s="23" t="n">
        <v>600</v>
      </c>
      <c r="CT10" s="23" t="n">
        <v>200</v>
      </c>
      <c r="CU10" s="23" t="n">
        <v>400</v>
      </c>
      <c r="CV10" s="23" t="n">
        <v>200</v>
      </c>
      <c r="CW10" s="23" t="n">
        <v>200</v>
      </c>
      <c r="CX10" s="23" t="n"/>
      <c r="CY10" s="23" t="n"/>
      <c r="CZ10" s="23" t="n"/>
      <c r="DA10" s="23" t="n">
        <v>200</v>
      </c>
      <c r="DB10" s="219" t="n">
        <v>1200</v>
      </c>
      <c r="DC10" s="23" t="n">
        <v>200</v>
      </c>
      <c r="DD10" s="23" t="n"/>
      <c r="DE10" s="23" t="n"/>
      <c r="DF10" s="23" t="n">
        <v>200</v>
      </c>
      <c r="DG10" s="23" t="n"/>
      <c r="DH10" s="23" t="n"/>
      <c r="DI10" s="219" t="n"/>
      <c r="DJ10" s="23" t="n"/>
      <c r="DK10" s="23" t="n"/>
      <c r="DL10" s="219" t="n">
        <v>200</v>
      </c>
      <c r="DM10" s="23" t="n"/>
      <c r="DN10" s="23" t="n">
        <v>200</v>
      </c>
      <c r="DO10" s="23" t="n"/>
      <c r="DP10" s="23" t="n">
        <v>200</v>
      </c>
      <c r="DQ10" s="23" t="n"/>
      <c r="DR10" s="23" t="n">
        <v>200</v>
      </c>
      <c r="DS10" s="23" t="n"/>
      <c r="DT10" s="23" t="n"/>
      <c r="DU10" s="219" t="n"/>
      <c r="DV10" s="23" t="n"/>
      <c r="DW10" s="23" t="n"/>
      <c r="DX10" s="219" t="n">
        <v>400</v>
      </c>
      <c r="DY10" s="219" t="n"/>
      <c r="DZ10" s="23" t="n"/>
      <c r="EA10" s="23" t="n"/>
      <c r="EB10" s="23" t="n"/>
      <c r="EC10" s="23" t="n"/>
      <c r="ED10" s="23" t="n"/>
      <c r="EE10" s="23" t="n"/>
      <c r="EF10" s="23" t="n"/>
      <c r="EG10" s="219" t="n"/>
      <c r="EH10" s="219" t="n"/>
      <c r="EI10" s="23" t="n"/>
      <c r="EJ10" s="23" t="n">
        <v>200</v>
      </c>
      <c r="EK10" s="219" t="n">
        <v>600</v>
      </c>
      <c r="EL10" s="23" t="n"/>
      <c r="EM10" s="23" t="n"/>
      <c r="EN10" s="23" t="n"/>
      <c r="EO10" s="23" t="n"/>
      <c r="EP10" s="219" t="n"/>
      <c r="EQ10" s="23" t="n"/>
      <c r="ER10" s="23" t="n"/>
      <c r="ES10" s="219" t="n">
        <v>1000</v>
      </c>
      <c r="ET10" s="23" t="n"/>
      <c r="EU10" s="23" t="n">
        <v>600</v>
      </c>
      <c r="EV10" s="23" t="n">
        <v>400</v>
      </c>
      <c r="EW10" s="23" t="n">
        <v>200</v>
      </c>
      <c r="EX10" s="23" t="n"/>
      <c r="EY10" s="23" t="n"/>
      <c r="EZ10" s="23" t="n"/>
      <c r="FA10" s="23" t="n">
        <v>200</v>
      </c>
      <c r="FB10" s="23" t="n">
        <v>200</v>
      </c>
      <c r="FC10" s="23" t="n"/>
      <c r="FD10" s="23" t="n">
        <v>200</v>
      </c>
      <c r="FF10" s="65" t="inlineStr">
        <is>
          <t xml:space="preserve">SACOLA M </t>
        </is>
      </c>
      <c r="FG10" s="699" t="n">
        <v>200</v>
      </c>
      <c r="FH10" s="697">
        <f>CJ10</f>
        <v/>
      </c>
      <c r="FI10" s="697" t="n">
        <v>1200</v>
      </c>
      <c r="FJ10" s="697" t="n">
        <v>1000</v>
      </c>
      <c r="FK10" s="697" t="n">
        <v>800</v>
      </c>
      <c r="FL10" s="697" t="n">
        <v>600</v>
      </c>
      <c r="FM10" s="697" t="n">
        <v>600</v>
      </c>
      <c r="FN10" s="697" t="n"/>
      <c r="FO10" s="699" t="n"/>
      <c r="FP10" s="699" t="n"/>
      <c r="FQ10" s="431">
        <f>FO10+IF(NOT(ISBLANK(OFFSET(FQ10,0,6))),N(OFFSET(FQ10,0,6)),N(OFFSET(FQ10,0,7)))-FP10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140</v>
      </c>
      <c r="G11" s="697">
        <f>120+EZ11</f>
        <v/>
      </c>
      <c r="H11" s="697" t="n">
        <v>200</v>
      </c>
      <c r="I11" s="697" t="n">
        <v>200</v>
      </c>
      <c r="J11" s="697" t="n">
        <v>200</v>
      </c>
      <c r="K11" s="697" t="n">
        <v>200</v>
      </c>
      <c r="L11" s="697" t="n">
        <v>200</v>
      </c>
      <c r="M11" s="697" t="n">
        <v>180</v>
      </c>
      <c r="N11" s="697" t="n">
        <v>180</v>
      </c>
      <c r="O11" s="697" t="n">
        <v>160</v>
      </c>
      <c r="P11" s="697" t="n">
        <v>180</v>
      </c>
      <c r="Q11" s="697" t="n">
        <v>180</v>
      </c>
      <c r="R11" s="697" t="n">
        <v>180</v>
      </c>
      <c r="S11" s="697" t="n">
        <v>150</v>
      </c>
      <c r="T11" s="697" t="n">
        <v>60</v>
      </c>
      <c r="U11" s="697" t="n">
        <v>0</v>
      </c>
      <c r="V11" s="697" t="n">
        <v>0</v>
      </c>
      <c r="W11" s="697">
        <f>0+EM11</f>
        <v/>
      </c>
      <c r="X11" s="697" t="n">
        <v>0</v>
      </c>
      <c r="Y11" s="697" t="n">
        <v>200</v>
      </c>
      <c r="Z11" s="697" t="n">
        <v>240</v>
      </c>
      <c r="AA11" s="697" t="n">
        <v>300</v>
      </c>
      <c r="AB11" s="697" t="n">
        <v>340</v>
      </c>
      <c r="AC11" s="697" t="n">
        <v>340</v>
      </c>
      <c r="AD11" s="697" t="n">
        <v>320</v>
      </c>
      <c r="AE11" s="697" t="n">
        <v>320</v>
      </c>
      <c r="AF11" s="697" t="n">
        <v>320</v>
      </c>
      <c r="AG11" s="697" t="n">
        <v>300</v>
      </c>
      <c r="AH11" s="697">
        <f>300-100</f>
        <v/>
      </c>
      <c r="AI11" s="697" t="n">
        <v>200</v>
      </c>
      <c r="AJ11" s="697" t="n">
        <v>200</v>
      </c>
      <c r="AK11" s="697" t="n">
        <v>200</v>
      </c>
      <c r="AL11" s="697" t="n">
        <v>200</v>
      </c>
      <c r="AM11" s="697" t="n">
        <v>200</v>
      </c>
      <c r="AN11" s="697" t="n">
        <v>200</v>
      </c>
      <c r="AO11" s="697" t="n">
        <v>200</v>
      </c>
      <c r="AP11" s="697" t="n">
        <v>200</v>
      </c>
      <c r="AQ11" s="697" t="n">
        <v>200</v>
      </c>
      <c r="AR11" s="697" t="n">
        <v>200</v>
      </c>
      <c r="AS11" s="697" t="n">
        <v>200</v>
      </c>
      <c r="AT11" s="697">
        <f>200-90</f>
        <v/>
      </c>
      <c r="AU11" s="697" t="n">
        <v>93</v>
      </c>
      <c r="AV11" s="697" t="n">
        <v>93</v>
      </c>
      <c r="AW11" s="697" t="n">
        <v>92</v>
      </c>
      <c r="AX11" s="697" t="n">
        <v>92</v>
      </c>
      <c r="AY11" s="697" t="n">
        <v>92</v>
      </c>
      <c r="AZ11" s="697" t="n">
        <v>92</v>
      </c>
      <c r="BA11" s="697" t="n">
        <v>92</v>
      </c>
      <c r="BB11" s="697" t="n">
        <v>92</v>
      </c>
      <c r="BC11" s="697" t="n">
        <v>92</v>
      </c>
      <c r="BD11" s="697" t="n">
        <v>92</v>
      </c>
      <c r="BE11" s="697" t="n">
        <v>92</v>
      </c>
      <c r="BF11" s="697" t="n">
        <v>92</v>
      </c>
      <c r="BG11" s="697" t="n">
        <v>92</v>
      </c>
      <c r="BH11" s="697" t="n">
        <v>92</v>
      </c>
      <c r="BI11" s="697" t="n">
        <v>92</v>
      </c>
      <c r="BJ11" s="697" t="n">
        <v>92</v>
      </c>
      <c r="BK11" s="697" t="n">
        <v>20</v>
      </c>
      <c r="BL11" s="697" t="n">
        <v>100</v>
      </c>
      <c r="BM11" s="697" t="n">
        <v>92</v>
      </c>
      <c r="BN11" s="697" t="n">
        <v>92</v>
      </c>
      <c r="BO11" s="697" t="n">
        <v>92</v>
      </c>
      <c r="BP11" s="697" t="n">
        <v>92</v>
      </c>
      <c r="BQ11" s="697" t="n">
        <v>92</v>
      </c>
      <c r="BR11" s="697" t="n">
        <v>92</v>
      </c>
      <c r="BS11" s="697" t="n">
        <v>92</v>
      </c>
      <c r="BT11" s="697" t="n">
        <v>50</v>
      </c>
      <c r="BU11" s="697" t="n">
        <v>50</v>
      </c>
      <c r="BV11" s="697" t="n">
        <v>50</v>
      </c>
      <c r="BW11" s="697" t="n">
        <v>50</v>
      </c>
      <c r="BX11" s="697" t="n">
        <v>43</v>
      </c>
      <c r="BY11" s="697" t="n">
        <v>43</v>
      </c>
      <c r="BZ11" s="697" t="n"/>
      <c r="CA11" s="699" t="n"/>
      <c r="CB11" s="699" t="n"/>
      <c r="CC11" s="192">
        <f>CA11+IF(NOT(ISBLANK(OFFSET(CC11,0,6))),N(OFFSET(CC11,0,6)),N(OFFSET(CC11,0,7)))-CB11</f>
        <v/>
      </c>
      <c r="CD11" s="129" t="n"/>
      <c r="CE11" s="22" t="n"/>
      <c r="CF11" s="5" t="n"/>
      <c r="CG11" s="27" t="n"/>
      <c r="CH11" s="757" t="n">
        <v>0</v>
      </c>
      <c r="CI11" s="23" t="n">
        <v>0</v>
      </c>
      <c r="CJ11" s="23" t="n">
        <v>0</v>
      </c>
      <c r="CK11" s="23" t="n"/>
      <c r="CL11" s="219" t="n">
        <v>100</v>
      </c>
      <c r="CM11" s="23" t="n"/>
      <c r="CN11" s="23" t="n"/>
      <c r="CO11" s="23" t="n"/>
      <c r="CP11" s="23" t="n"/>
      <c r="CQ11" s="23" t="n">
        <v>100</v>
      </c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/>
      <c r="DA11" s="23" t="n"/>
      <c r="DB11" s="219" t="n">
        <v>300</v>
      </c>
      <c r="DC11" s="23" t="n"/>
      <c r="DD11" s="23" t="n"/>
      <c r="DE11" s="192" t="inlineStr">
        <is>
          <t>90 P/ TDQ</t>
        </is>
      </c>
      <c r="DF11" s="23" t="n"/>
      <c r="DG11" s="23" t="n"/>
      <c r="DH11" s="23" t="n"/>
      <c r="DI11" s="219" t="n"/>
      <c r="DJ11" s="23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19" t="n"/>
      <c r="DV11" s="23" t="n"/>
      <c r="DW11" s="282" t="inlineStr">
        <is>
          <t>100 P/ Q7</t>
        </is>
      </c>
      <c r="DX11" s="219" t="n"/>
      <c r="DY11" s="219" t="n"/>
      <c r="DZ11" s="23" t="n"/>
      <c r="EA11" s="23" t="n"/>
      <c r="EB11" s="23" t="n"/>
      <c r="EC11" s="23" t="n"/>
      <c r="ED11" s="23" t="n"/>
      <c r="EE11" s="23" t="n"/>
      <c r="EF11" s="23" t="n"/>
      <c r="EG11" s="219" t="n"/>
      <c r="EH11" s="219" t="n"/>
      <c r="EI11" s="23" t="n"/>
      <c r="EJ11" s="23" t="n"/>
      <c r="EK11" s="219" t="n"/>
      <c r="EL11" s="23" t="n"/>
      <c r="EM11" s="23" t="n">
        <v>200</v>
      </c>
      <c r="EN11" s="23" t="n"/>
      <c r="EO11" s="23" t="n">
        <v>100</v>
      </c>
      <c r="EP11" s="219" t="n"/>
      <c r="EQ11" s="23" t="n"/>
      <c r="ER11" s="23" t="n"/>
      <c r="ES11" s="219" t="n">
        <v>100</v>
      </c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>
        <v>100</v>
      </c>
      <c r="FC11" s="23" t="n"/>
      <c r="FD11" s="23" t="n"/>
      <c r="FF11" s="66" t="inlineStr">
        <is>
          <t xml:space="preserve">SACOLA G </t>
        </is>
      </c>
      <c r="FG11" s="699" t="n">
        <v>100</v>
      </c>
      <c r="FH11" s="697">
        <f>CJ11</f>
        <v/>
      </c>
      <c r="FI11" s="697" t="n">
        <v>100</v>
      </c>
      <c r="FJ11" s="697" t="n">
        <v>44</v>
      </c>
      <c r="FK11" s="697" t="n">
        <v>44</v>
      </c>
      <c r="FL11" s="697" t="n">
        <v>0</v>
      </c>
      <c r="FM11" s="697" t="n">
        <v>0</v>
      </c>
      <c r="FN11" s="697" t="n"/>
      <c r="FO11" s="699" t="n"/>
      <c r="FP11" s="699" t="n"/>
      <c r="FQ11" s="431">
        <f>FO11+IF(NOT(ISBLANK(OFFSET(FQ11,0,6))),N(OFFSET(FQ11,0,6)),N(OFFSET(FQ11,0,7)))-FP11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E12" s="16" t="n"/>
      <c r="CF12" s="5" t="n"/>
      <c r="CG12" s="18" t="n"/>
      <c r="CH12" s="5" t="n"/>
      <c r="CL12" s="47" t="n"/>
      <c r="DB12" s="47" t="n"/>
      <c r="DI12" s="64" t="n"/>
      <c r="DL12" s="64" t="n"/>
      <c r="DU12" s="47" t="n"/>
      <c r="DX12" s="47" t="n"/>
      <c r="DY12" s="47" t="n"/>
      <c r="EG12" s="308" t="n"/>
      <c r="EH12" s="64" t="n"/>
      <c r="EK12" s="64" t="n"/>
      <c r="EP12" s="308" t="n"/>
      <c r="ES12" s="308" t="n"/>
      <c r="FF12" s="35" t="n"/>
      <c r="FG12" s="2" t="n"/>
      <c r="FH12" s="4" t="n"/>
      <c r="FI12" s="4" t="n"/>
      <c r="FJ12" s="4" t="n"/>
      <c r="FK12" s="4" t="n"/>
      <c r="FL12" s="4" t="n"/>
      <c r="FM12" s="4" t="n"/>
      <c r="FN12" s="4" t="n"/>
      <c r="FO12" s="2" t="n"/>
      <c r="FP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46161.48022820602</v>
      </c>
      <c r="CB13" s="747" t="n">
        <v>46161.48088721273</v>
      </c>
      <c r="CC13" s="748" t="inlineStr">
        <is>
          <t>USOU</t>
        </is>
      </c>
      <c r="CE13" s="44" t="inlineStr">
        <is>
          <t>Pendências</t>
        </is>
      </c>
      <c r="CF13" s="5" t="n"/>
      <c r="CG13" s="12" t="inlineStr">
        <is>
          <t>Novo Pedido</t>
        </is>
      </c>
      <c r="CH13" s="785" t="n">
        <v>46161.48088618133</v>
      </c>
      <c r="CI13" s="734" t="n">
        <v>46156</v>
      </c>
      <c r="CJ13" s="734" t="n">
        <v>46142</v>
      </c>
      <c r="CK13" s="734" t="n">
        <v>46114</v>
      </c>
      <c r="CL13" s="735" t="n">
        <v>46065</v>
      </c>
      <c r="CM13" s="734" t="n">
        <v>46099</v>
      </c>
      <c r="CN13" s="734" t="n">
        <v>46092</v>
      </c>
      <c r="CO13" s="734" t="n">
        <v>46084</v>
      </c>
      <c r="CP13" s="734" t="n">
        <v>46071</v>
      </c>
      <c r="CQ13" s="734" t="n">
        <v>46056</v>
      </c>
      <c r="CR13" s="734" t="n">
        <v>46048</v>
      </c>
      <c r="CS13" s="734" t="n">
        <v>46035</v>
      </c>
      <c r="CT13" s="734" t="n">
        <v>46029</v>
      </c>
      <c r="CU13" s="734" t="n">
        <v>46017</v>
      </c>
      <c r="CV13" s="734" t="n">
        <v>46007</v>
      </c>
      <c r="CW13" s="734" t="n">
        <v>46001</v>
      </c>
      <c r="CX13" s="734" t="n">
        <v>45994</v>
      </c>
      <c r="CY13" s="734" t="n">
        <v>45973</v>
      </c>
      <c r="CZ13" s="734" t="n">
        <v>45960</v>
      </c>
      <c r="DA13" s="734" t="n">
        <v>45951</v>
      </c>
      <c r="DB13" s="737" t="n">
        <v>45903</v>
      </c>
      <c r="DC13" s="734" t="n">
        <v>45945</v>
      </c>
      <c r="DD13" s="734" t="n">
        <v>45937</v>
      </c>
      <c r="DE13" s="736" t="n">
        <v>45939</v>
      </c>
      <c r="DF13" s="734" t="n">
        <v>45923</v>
      </c>
      <c r="DG13" s="734" t="n">
        <v>45931</v>
      </c>
      <c r="DH13" s="734" t="n">
        <v>45923</v>
      </c>
      <c r="DI13" s="754" t="n">
        <v>45923</v>
      </c>
      <c r="DJ13" s="734" t="n">
        <v>45915</v>
      </c>
      <c r="DK13" s="736" t="n">
        <v>45918</v>
      </c>
      <c r="DL13" s="738" t="n">
        <v>45863</v>
      </c>
      <c r="DM13" s="734" t="n">
        <v>45909</v>
      </c>
      <c r="DN13" s="734" t="n">
        <v>45903</v>
      </c>
      <c r="DO13" s="734" t="n">
        <v>45895</v>
      </c>
      <c r="DP13" s="734" t="n">
        <v>45888</v>
      </c>
      <c r="DQ13" s="734" t="n">
        <v>45881</v>
      </c>
      <c r="DR13" s="734" t="n">
        <v>45874</v>
      </c>
      <c r="DS13" s="734" t="n">
        <v>45867</v>
      </c>
      <c r="DT13" s="734" t="n">
        <v>45860</v>
      </c>
      <c r="DU13" s="739" t="n">
        <v>45861</v>
      </c>
      <c r="DV13" s="734" t="n">
        <v>45853</v>
      </c>
      <c r="DW13" s="736" t="n">
        <v>45852</v>
      </c>
      <c r="DX13" s="739" t="n">
        <v>45791</v>
      </c>
      <c r="DY13" s="739" t="n">
        <v>45852</v>
      </c>
      <c r="DZ13" s="736" t="n">
        <v>45842</v>
      </c>
      <c r="EA13" s="736" t="n">
        <v>45841</v>
      </c>
      <c r="EB13" s="734" t="n">
        <v>45832</v>
      </c>
      <c r="EC13" s="734" t="n">
        <v>45825</v>
      </c>
      <c r="ED13" s="734" t="n">
        <v>45819</v>
      </c>
      <c r="EE13" s="734" t="n">
        <v>45813</v>
      </c>
      <c r="EF13" s="734" t="n">
        <v>45805</v>
      </c>
      <c r="EG13" s="740" t="n">
        <v>45806</v>
      </c>
      <c r="EH13" s="755" t="n">
        <v>45805</v>
      </c>
      <c r="EI13" s="736" t="n">
        <v>45804</v>
      </c>
      <c r="EJ13" s="734" t="n">
        <v>45798</v>
      </c>
      <c r="EK13" s="742" t="n">
        <v>45735</v>
      </c>
      <c r="EL13" s="734" t="n">
        <v>45790</v>
      </c>
      <c r="EM13" s="734" t="n">
        <v>45783</v>
      </c>
      <c r="EN13" s="734" t="n">
        <v>45770</v>
      </c>
      <c r="EO13" s="734" t="n">
        <v>45756</v>
      </c>
      <c r="EP13" s="740" t="n">
        <v>45756</v>
      </c>
      <c r="EQ13" s="734" t="n">
        <v>45749</v>
      </c>
      <c r="ER13" s="734" t="n">
        <v>45734</v>
      </c>
      <c r="ES13" s="740" t="n">
        <v>45700</v>
      </c>
      <c r="ET13" s="734" t="n">
        <v>45728</v>
      </c>
      <c r="EU13" s="734" t="n">
        <v>45722</v>
      </c>
      <c r="EV13" s="734" t="n">
        <v>45714</v>
      </c>
      <c r="EW13" s="734" t="n">
        <v>45706</v>
      </c>
      <c r="EX13" s="734" t="n">
        <v>45699</v>
      </c>
      <c r="EY13" s="734" t="n">
        <v>45693</v>
      </c>
      <c r="EZ13" s="734" t="n">
        <v>45685</v>
      </c>
      <c r="FA13" s="734" t="n">
        <v>45674</v>
      </c>
      <c r="FB13" s="734" t="n">
        <v>45660</v>
      </c>
      <c r="FC13" s="734" t="n">
        <v>45652</v>
      </c>
      <c r="FD13" s="734" t="n">
        <v>45643</v>
      </c>
      <c r="FF13" s="304" t="inlineStr">
        <is>
          <t>DIVERSOS</t>
        </is>
      </c>
      <c r="FG13" s="235" t="inlineStr">
        <is>
          <t>PCT</t>
        </is>
      </c>
      <c r="FH13" s="746" t="n">
        <v>46118</v>
      </c>
      <c r="FI13" s="746" t="n">
        <v>46125</v>
      </c>
      <c r="FJ13" s="746" t="n">
        <v>46132</v>
      </c>
      <c r="FK13" s="746" t="n">
        <v>46139</v>
      </c>
      <c r="FL13" s="746" t="n">
        <v>46146</v>
      </c>
      <c r="FM13" s="746" t="n">
        <v>46154</v>
      </c>
      <c r="FN13" s="746" t="n">
        <v>46160</v>
      </c>
      <c r="FO13" s="747" t="n">
        <v>46161.48022744213</v>
      </c>
      <c r="FP13" s="747" t="n">
        <v>46161.48088660418</v>
      </c>
      <c r="FQ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>
        <f>4+FA14</f>
        <v/>
      </c>
      <c r="G14" s="697" t="n">
        <v>5</v>
      </c>
      <c r="H14" s="697" t="n">
        <v>5</v>
      </c>
      <c r="I14" s="697" t="n">
        <v>5</v>
      </c>
      <c r="J14" s="697" t="n">
        <v>3</v>
      </c>
      <c r="K14" s="697" t="n">
        <v>6</v>
      </c>
      <c r="L14" s="697" t="n">
        <v>6</v>
      </c>
      <c r="M14" s="697" t="n">
        <v>6</v>
      </c>
      <c r="N14" s="697" t="n">
        <v>5</v>
      </c>
      <c r="O14" s="697" t="n">
        <v>4</v>
      </c>
      <c r="P14" s="697">
        <f>3+ES14</f>
        <v/>
      </c>
      <c r="Q14" s="697">
        <f>5+ER14</f>
        <v/>
      </c>
      <c r="R14" s="697" t="n">
        <v>7</v>
      </c>
      <c r="S14" s="697" t="n">
        <v>6</v>
      </c>
      <c r="T14" s="697" t="n">
        <v>6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4</v>
      </c>
      <c r="Z14" s="697" t="n">
        <v>4</v>
      </c>
      <c r="AA14" s="697" t="n">
        <v>4</v>
      </c>
      <c r="AB14" s="697" t="n">
        <v>2</v>
      </c>
      <c r="AC14" s="697">
        <f>2+EC14</f>
        <v/>
      </c>
      <c r="AD14" s="697" t="n">
        <v>4</v>
      </c>
      <c r="AE14" s="697">
        <f>3+EA14</f>
        <v/>
      </c>
      <c r="AF14" s="697" t="n">
        <v>3</v>
      </c>
      <c r="AG14" s="697" t="n">
        <v>4</v>
      </c>
      <c r="AH14" s="697" t="n">
        <v>4</v>
      </c>
      <c r="AI14" s="697" t="n">
        <v>3</v>
      </c>
      <c r="AJ14" s="697" t="n">
        <v>3</v>
      </c>
      <c r="AK14" s="697">
        <f>4+DQ14</f>
        <v/>
      </c>
      <c r="AL14" s="697" t="n">
        <v>5</v>
      </c>
      <c r="AM14" s="697" t="n">
        <v>3</v>
      </c>
      <c r="AN14" s="697" t="n">
        <v>5</v>
      </c>
      <c r="AO14" s="697" t="n">
        <v>5</v>
      </c>
      <c r="AP14" s="697" t="n">
        <v>4</v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3+DB14</f>
        <v/>
      </c>
      <c r="AV14" s="697" t="n">
        <v>3</v>
      </c>
      <c r="AW14" s="697">
        <f>2+CY14</f>
        <v/>
      </c>
      <c r="AX14" s="697" t="n">
        <v>3</v>
      </c>
      <c r="AY14" s="697" t="n">
        <v>0</v>
      </c>
      <c r="AZ14" s="697">
        <f>0+CW14</f>
        <v/>
      </c>
      <c r="BA14" s="697" t="n">
        <v>4</v>
      </c>
      <c r="BB14" s="697" t="n">
        <v>4</v>
      </c>
      <c r="BC14" s="697" t="n">
        <v>4</v>
      </c>
      <c r="BD14" s="697" t="n">
        <v>5</v>
      </c>
      <c r="BE14" s="697" t="n">
        <v>5</v>
      </c>
      <c r="BF14" s="697" t="n">
        <v>0</v>
      </c>
      <c r="BG14" s="697" t="n">
        <v>0</v>
      </c>
      <c r="BH14" s="697">
        <f>3+CR14</f>
        <v/>
      </c>
      <c r="BI14" s="697" t="n">
        <v>15</v>
      </c>
      <c r="BJ14" s="697" t="n">
        <v>14</v>
      </c>
      <c r="BK14" s="697" t="n">
        <v>12</v>
      </c>
      <c r="BL14" s="697" t="n">
        <v>14</v>
      </c>
      <c r="BM14" s="697" t="n">
        <v>12</v>
      </c>
      <c r="BN14" s="697" t="n">
        <v>11</v>
      </c>
      <c r="BO14" s="697" t="n">
        <v>9</v>
      </c>
      <c r="BP14" s="697" t="n">
        <v>6</v>
      </c>
      <c r="BQ14" s="697">
        <f>5+CL14</f>
        <v/>
      </c>
      <c r="BR14" s="697" t="n">
        <v>6</v>
      </c>
      <c r="BS14" s="697" t="n">
        <v>5</v>
      </c>
      <c r="BT14" s="697" t="n">
        <v>3</v>
      </c>
      <c r="BU14" s="697">
        <f>2+CI14</f>
        <v/>
      </c>
      <c r="BV14" s="697" t="n">
        <v>5</v>
      </c>
      <c r="BW14" s="697" t="n">
        <v>5</v>
      </c>
      <c r="BX14" s="697">
        <f>5+CH14</f>
        <v/>
      </c>
      <c r="BY14" s="697" t="n">
        <v>1</v>
      </c>
      <c r="BZ14" s="697" t="n"/>
      <c r="CA14" s="699" t="n"/>
      <c r="CB14" s="699" t="n"/>
      <c r="CC14" s="192">
        <f>CA14+IF(NOT(ISBLANK(OFFSET(CC14,0,6))),N(OFFSET(CC14,0,6)),N(OFFSET(CC14,0,7)))-CB14</f>
        <v/>
      </c>
      <c r="CE14" s="22" t="n">
        <v>6</v>
      </c>
      <c r="CF14" s="726" t="n"/>
      <c r="CG14" s="27" t="n"/>
      <c r="CH14" s="433" t="n">
        <v>0</v>
      </c>
      <c r="CI14" s="23" t="n">
        <v>0</v>
      </c>
      <c r="CJ14" s="23" t="n">
        <v>2</v>
      </c>
      <c r="CK14" s="23" t="n">
        <v>3</v>
      </c>
      <c r="CL14" s="219" t="n">
        <v>9</v>
      </c>
      <c r="CM14" s="23" t="n"/>
      <c r="CN14" s="23" t="n">
        <v>3</v>
      </c>
      <c r="CO14" s="23" t="n"/>
      <c r="CP14" s="23" t="n"/>
      <c r="CQ14" s="23" t="n">
        <v>4</v>
      </c>
      <c r="CR14" s="23" t="n"/>
      <c r="CS14" s="23" t="n">
        <v>5</v>
      </c>
      <c r="CT14" s="23" t="n">
        <v>10</v>
      </c>
      <c r="CU14" s="23" t="n">
        <v>3</v>
      </c>
      <c r="CV14" s="23" t="n"/>
      <c r="CW14" s="23" t="n"/>
      <c r="CX14" s="23" t="n"/>
      <c r="CY14" s="23" t="n">
        <v>4</v>
      </c>
      <c r="CZ14" s="23" t="n"/>
      <c r="DA14" s="23" t="n">
        <v>1</v>
      </c>
      <c r="DB14" s="219" t="n">
        <v>20</v>
      </c>
      <c r="DC14" s="23" t="n"/>
      <c r="DD14" s="23" t="n">
        <v>1</v>
      </c>
      <c r="DE14" s="23" t="n"/>
      <c r="DF14" s="23" t="n">
        <v>1</v>
      </c>
      <c r="DG14" s="23" t="n"/>
      <c r="DH14" s="23" t="n"/>
      <c r="DI14" s="219" t="n"/>
      <c r="DJ14" s="23" t="n"/>
      <c r="DK14" s="23" t="n"/>
      <c r="DL14" s="219" t="n">
        <v>200</v>
      </c>
      <c r="DM14" s="23" t="n"/>
      <c r="DN14" s="23" t="n"/>
      <c r="DO14" s="23" t="n"/>
      <c r="DP14" s="23" t="n">
        <v>2</v>
      </c>
      <c r="DQ14" s="23" t="n"/>
      <c r="DR14" s="23" t="n"/>
      <c r="DS14" s="23" t="n">
        <v>1</v>
      </c>
      <c r="DT14" s="23" t="n">
        <v>1</v>
      </c>
      <c r="DU14" s="219" t="n"/>
      <c r="DV14" s="23" t="n"/>
      <c r="DW14" s="23" t="n"/>
      <c r="DX14" s="219" t="n">
        <v>3</v>
      </c>
      <c r="DY14" s="219" t="n"/>
      <c r="DZ14" s="23" t="n"/>
      <c r="EA14" s="23" t="n"/>
      <c r="EB14" s="23" t="n">
        <v>1</v>
      </c>
      <c r="EC14" s="23" t="n">
        <v>1</v>
      </c>
      <c r="ED14" s="23" t="n"/>
      <c r="EE14" s="23" t="n">
        <v>3</v>
      </c>
      <c r="EF14" s="23" t="n"/>
      <c r="EG14" s="219" t="n"/>
      <c r="EH14" s="219" t="n"/>
      <c r="EI14" s="23" t="n"/>
      <c r="EJ14" s="23" t="n"/>
      <c r="EK14" s="219" t="n">
        <v>2</v>
      </c>
      <c r="EL14" s="23" t="n"/>
      <c r="EM14" s="23" t="n"/>
      <c r="EN14" s="23" t="n"/>
      <c r="EO14" s="23" t="n"/>
      <c r="EP14" s="219" t="n"/>
      <c r="EQ14" s="23" t="n"/>
      <c r="ER14" s="23" t="n"/>
      <c r="ES14" s="219" t="n">
        <v>8</v>
      </c>
      <c r="ET14" s="23" t="n">
        <v>3</v>
      </c>
      <c r="EU14" s="23" t="n">
        <v>2</v>
      </c>
      <c r="EV14" s="23" t="n"/>
      <c r="EW14" s="23" t="n"/>
      <c r="EX14" s="23" t="n"/>
      <c r="EY14" s="23" t="n"/>
      <c r="EZ14" s="23" t="n">
        <v>3</v>
      </c>
      <c r="FA14" s="23" t="n"/>
      <c r="FB14" s="23" t="n"/>
      <c r="FC14" s="23" t="n">
        <v>1</v>
      </c>
      <c r="FD14" s="23" t="n"/>
      <c r="FF14" s="300" t="inlineStr">
        <is>
          <t>PAPEL DE SEDA</t>
        </is>
      </c>
      <c r="FG14" s="162" t="n">
        <v>200</v>
      </c>
      <c r="FH14" s="697">
        <f>CJ14</f>
        <v/>
      </c>
      <c r="FI14" s="697" t="n">
        <v>8</v>
      </c>
      <c r="FJ14" s="697" t="n">
        <v>6</v>
      </c>
      <c r="FK14" s="697" t="n">
        <v>5</v>
      </c>
      <c r="FL14" s="697" t="n">
        <v>2</v>
      </c>
      <c r="FM14" s="697" t="n">
        <v>0</v>
      </c>
      <c r="FN14" s="697" t="n"/>
      <c r="FO14" s="699" t="n"/>
      <c r="FP14" s="699" t="n"/>
      <c r="FQ14" s="431">
        <f>FO14+IF(NOT(ISBLANK(OFFSET(FQ14,0,6))),N(OFFSET(FQ14,0,6)),N(OFFSET(FQ14,0,7)))-FP14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>
        <f>1+FA15</f>
        <v/>
      </c>
      <c r="G15" s="697">
        <f>2+EZ15</f>
        <v/>
      </c>
      <c r="H15" s="697" t="n">
        <v>4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3</v>
      </c>
      <c r="O15" s="697" t="n">
        <v>3</v>
      </c>
      <c r="P15" s="697" t="n">
        <v>2</v>
      </c>
      <c r="Q15" s="697">
        <f>2+ER15</f>
        <v/>
      </c>
      <c r="R15" s="697" t="n">
        <v>5</v>
      </c>
      <c r="S15" s="697" t="n">
        <v>5</v>
      </c>
      <c r="T15" s="697" t="n">
        <v>5</v>
      </c>
      <c r="U15" s="697" t="n">
        <v>5</v>
      </c>
      <c r="V15" s="697" t="n">
        <v>5</v>
      </c>
      <c r="W15" s="697" t="n">
        <v>4</v>
      </c>
      <c r="X15" s="697" t="n">
        <v>4</v>
      </c>
      <c r="Y15" s="697" t="n">
        <v>4</v>
      </c>
      <c r="Z15" s="697" t="n">
        <v>4</v>
      </c>
      <c r="AA15" s="697" t="n">
        <v>4</v>
      </c>
      <c r="AB15" s="697" t="n">
        <v>3</v>
      </c>
      <c r="AC15" s="697" t="n">
        <v>3</v>
      </c>
      <c r="AD15" s="697" t="n">
        <v>3</v>
      </c>
      <c r="AE15" s="697" t="n">
        <v>2</v>
      </c>
      <c r="AF15" s="697" t="n">
        <v>2</v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1</v>
      </c>
      <c r="AL15" s="697">
        <f>1+DP15</f>
        <v/>
      </c>
      <c r="AM15" s="697" t="n">
        <v>2</v>
      </c>
      <c r="AN15" s="697" t="n">
        <v>2</v>
      </c>
      <c r="AO15" s="697" t="n">
        <v>1</v>
      </c>
      <c r="AP15" s="697">
        <f>1+DL15</f>
        <v/>
      </c>
      <c r="AQ15" s="697" t="n">
        <v>2</v>
      </c>
      <c r="AR15" s="697" t="n">
        <v>2</v>
      </c>
      <c r="AS15" s="697" t="n">
        <v>1</v>
      </c>
      <c r="AT15" s="697">
        <f>1+DE15</f>
        <v/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1</v>
      </c>
      <c r="BD15" s="697">
        <f>1+CU15</f>
        <v/>
      </c>
      <c r="BE15" s="697" t="n">
        <v>6</v>
      </c>
      <c r="BF15" s="697" t="n">
        <v>4</v>
      </c>
      <c r="BG15" s="697" t="n">
        <v>1</v>
      </c>
      <c r="BH15" s="697">
        <f>3+CR15</f>
        <v/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7</v>
      </c>
      <c r="BQ15" s="697" t="n">
        <v>6</v>
      </c>
      <c r="BR15" s="697" t="n">
        <v>6</v>
      </c>
      <c r="BS15" s="697" t="n">
        <v>5</v>
      </c>
      <c r="BT15" s="697" t="n">
        <v>5</v>
      </c>
      <c r="BU15" s="697" t="n">
        <v>5</v>
      </c>
      <c r="BV15" s="697" t="n">
        <v>5</v>
      </c>
      <c r="BW15" s="697" t="n">
        <v>3</v>
      </c>
      <c r="BX15" s="697" t="n">
        <v>3</v>
      </c>
      <c r="BY15" s="697" t="n">
        <v>2</v>
      </c>
      <c r="BZ15" s="697" t="n"/>
      <c r="CA15" s="699" t="n"/>
      <c r="CB15" s="699" t="n"/>
      <c r="CC15" s="192">
        <f>CA15+IF(NOT(ISBLANK(OFFSET(CC15,0,6))),N(OFFSET(CC15,0,6)),N(OFFSET(CC15,0,7)))-CB15</f>
        <v/>
      </c>
      <c r="CE15" s="22" t="n"/>
      <c r="CF15" s="726" t="n"/>
      <c r="CG15" s="27" t="n"/>
      <c r="CH15" s="433" t="n">
        <v>0</v>
      </c>
      <c r="CI15" s="23" t="n">
        <v>0</v>
      </c>
      <c r="CJ15" s="23" t="n">
        <v>0</v>
      </c>
      <c r="CK15" s="23" t="n"/>
      <c r="CL15" s="219" t="n">
        <v>3</v>
      </c>
      <c r="CM15" s="23" t="n"/>
      <c r="CN15" s="23" t="n"/>
      <c r="CO15" s="23" t="n"/>
      <c r="CP15" s="23" t="n"/>
      <c r="CQ15" s="23" t="n"/>
      <c r="CR15" s="23" t="n"/>
      <c r="CS15" s="23" t="n"/>
      <c r="CT15" s="23" t="n">
        <v>5</v>
      </c>
      <c r="CU15" s="23" t="n"/>
      <c r="CV15" s="23" t="n"/>
      <c r="CW15" s="23" t="n">
        <v>5</v>
      </c>
      <c r="CX15" s="23" t="n"/>
      <c r="CY15" s="23" t="n"/>
      <c r="CZ15" s="23" t="n"/>
      <c r="DA15" s="23" t="n"/>
      <c r="DB15" s="219" t="n">
        <v>7</v>
      </c>
      <c r="DC15" s="23" t="n"/>
      <c r="DD15" s="23" t="n"/>
      <c r="DE15" s="23" t="n"/>
      <c r="DF15" s="23" t="n"/>
      <c r="DG15" s="23" t="n">
        <v>1</v>
      </c>
      <c r="DH15" s="23" t="n"/>
      <c r="DI15" s="219" t="n"/>
      <c r="DJ15" s="23" t="n"/>
      <c r="DK15" s="23" t="n"/>
      <c r="DL15" s="219" t="n">
        <v>200</v>
      </c>
      <c r="DM15" s="23" t="n"/>
      <c r="DN15" s="23" t="n">
        <v>1</v>
      </c>
      <c r="DO15" s="23" t="n"/>
      <c r="DP15" s="23" t="n"/>
      <c r="DQ15" s="23" t="n"/>
      <c r="DR15" s="23" t="n">
        <v>1</v>
      </c>
      <c r="DS15" s="23" t="n"/>
      <c r="DT15" s="23" t="n"/>
      <c r="DU15" s="219" t="n"/>
      <c r="DV15" s="23" t="n"/>
      <c r="DW15" s="23" t="n"/>
      <c r="DX15" s="219" t="n"/>
      <c r="DY15" s="219" t="n"/>
      <c r="DZ15" s="23" t="n"/>
      <c r="EA15" s="23" t="n"/>
      <c r="EB15" s="23" t="n"/>
      <c r="EC15" s="23" t="n"/>
      <c r="ED15" s="23" t="n"/>
      <c r="EE15" s="23" t="n"/>
      <c r="EF15" s="23" t="n"/>
      <c r="EG15" s="219" t="n"/>
      <c r="EH15" s="219" t="n"/>
      <c r="EI15" s="23" t="n"/>
      <c r="EJ15" s="23" t="n"/>
      <c r="EK15" s="219" t="n">
        <v>2</v>
      </c>
      <c r="EL15" s="23" t="n"/>
      <c r="EM15" s="23" t="n"/>
      <c r="EN15" s="23" t="n"/>
      <c r="EO15" s="23" t="n"/>
      <c r="EP15" s="219" t="n"/>
      <c r="EQ15" s="23" t="n"/>
      <c r="ER15" s="23" t="n"/>
      <c r="ES15" s="219" t="n"/>
      <c r="ET15" s="23" t="n">
        <v>3</v>
      </c>
      <c r="EU15" s="23" t="n"/>
      <c r="EV15" s="23" t="n"/>
      <c r="EW15" s="23" t="n"/>
      <c r="EX15" s="23" t="n"/>
      <c r="EY15" s="23" t="n"/>
      <c r="EZ15" s="23" t="n"/>
      <c r="FA15" s="23" t="n"/>
      <c r="FB15" s="23" t="n">
        <v>2</v>
      </c>
      <c r="FC15" s="23" t="n">
        <v>1</v>
      </c>
      <c r="FD15" s="23" t="n"/>
      <c r="FF15" s="65" t="inlineStr">
        <is>
          <t>ADESIVOS</t>
        </is>
      </c>
      <c r="FG15" s="699" t="n">
        <v>200</v>
      </c>
      <c r="FH15" s="697">
        <f>CJ15</f>
        <v/>
      </c>
      <c r="FI15" s="697" t="n">
        <v>3</v>
      </c>
      <c r="FJ15" s="697" t="n">
        <v>2</v>
      </c>
      <c r="FK15" s="697" t="n">
        <v>2</v>
      </c>
      <c r="FL15" s="697" t="n">
        <v>2</v>
      </c>
      <c r="FM15" s="697" t="n">
        <v>0</v>
      </c>
      <c r="FN15" s="697" t="n"/>
      <c r="FO15" s="699" t="n"/>
      <c r="FP15" s="699" t="n"/>
      <c r="FQ15" s="431">
        <f>FO15+IF(NOT(ISBLANK(OFFSET(FQ15,0,6))),N(OFFSET(FQ15,0,6)),N(OFFSET(FQ15,0,7)))-FP15</f>
        <v/>
      </c>
    </row>
    <row r="16" ht="18.6" customFormat="1" customHeigh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0+FA16</f>
        <v/>
      </c>
      <c r="G16" s="697">
        <f>3+EZ16</f>
        <v/>
      </c>
      <c r="H16" s="697" t="n">
        <v>4</v>
      </c>
      <c r="I16" s="697" t="n">
        <v>4</v>
      </c>
      <c r="J16" s="697" t="n">
        <v>1</v>
      </c>
      <c r="K16" s="697" t="n">
        <v>4</v>
      </c>
      <c r="L16" s="697" t="n">
        <v>3</v>
      </c>
      <c r="M16" s="697">
        <f>2+EV16</f>
        <v/>
      </c>
      <c r="N16" s="697">
        <f>2+EU16</f>
        <v/>
      </c>
      <c r="O16" s="697">
        <f>2+ET16</f>
        <v/>
      </c>
      <c r="P16" s="697">
        <f>3+ES16</f>
        <v/>
      </c>
      <c r="Q16" s="697" t="n">
        <v>6</v>
      </c>
      <c r="R16" s="697" t="n">
        <v>4</v>
      </c>
      <c r="S16" s="697" t="n">
        <v>5</v>
      </c>
      <c r="T16" s="697">
        <f>4+EO16</f>
        <v/>
      </c>
      <c r="U16" s="697" t="n">
        <v>4</v>
      </c>
      <c r="V16" s="697" t="n">
        <v>4</v>
      </c>
      <c r="W16" s="697" t="n">
        <v>3</v>
      </c>
      <c r="X16" s="697" t="n">
        <v>2</v>
      </c>
      <c r="Y16" s="697" t="n">
        <v>4</v>
      </c>
      <c r="Z16" s="697" t="n">
        <v>3</v>
      </c>
      <c r="AA16" s="697" t="n">
        <v>7</v>
      </c>
      <c r="AB16" s="697" t="n">
        <v>7</v>
      </c>
      <c r="AC16" s="697" t="n">
        <v>6</v>
      </c>
      <c r="AD16" s="697" t="n">
        <v>5</v>
      </c>
      <c r="AE16" s="697">
        <f>3+EA16</f>
        <v/>
      </c>
      <c r="AF16" s="697" t="n">
        <v>3</v>
      </c>
      <c r="AG16" s="697" t="n">
        <v>4</v>
      </c>
      <c r="AH16" s="697" t="n">
        <v>3</v>
      </c>
      <c r="AI16" s="697" t="n">
        <v>4</v>
      </c>
      <c r="AJ16" s="697" t="n">
        <v>3</v>
      </c>
      <c r="AK16" s="697">
        <f>3+DQ16</f>
        <v/>
      </c>
      <c r="AL16" s="697" t="n">
        <v>5</v>
      </c>
      <c r="AM16" s="697">
        <f>5+DO16</f>
        <v/>
      </c>
      <c r="AN16" s="697" t="n">
        <v>5</v>
      </c>
      <c r="AO16" s="697">
        <f>5+DM16</f>
        <v/>
      </c>
      <c r="AP16" s="697" t="n">
        <v>4</v>
      </c>
      <c r="AQ16" s="697">
        <f>1+DK16</f>
        <v/>
      </c>
      <c r="AR16" s="697" t="n">
        <v>5</v>
      </c>
      <c r="AS16" s="697" t="n">
        <v>4</v>
      </c>
      <c r="AT16" s="697">
        <f>4+DE16</f>
        <v/>
      </c>
      <c r="AU16" s="697" t="n">
        <v>4</v>
      </c>
      <c r="AV16" s="697" t="n">
        <v>3</v>
      </c>
      <c r="AW16" s="697" t="n">
        <v>2</v>
      </c>
      <c r="AX16" s="697" t="n">
        <v>2</v>
      </c>
      <c r="AY16" s="697" t="n">
        <v>2</v>
      </c>
      <c r="AZ16" s="697">
        <f>2+CW16</f>
        <v/>
      </c>
      <c r="BA16" s="697" t="n">
        <v>5</v>
      </c>
      <c r="BB16" s="697" t="n">
        <v>4</v>
      </c>
      <c r="BC16" s="697">
        <f>2+CV16</f>
        <v/>
      </c>
      <c r="BD16" s="697">
        <f>2+CU16</f>
        <v/>
      </c>
      <c r="BE16" s="697" t="n">
        <v>3</v>
      </c>
      <c r="BF16" s="697" t="n">
        <v>0</v>
      </c>
      <c r="BG16" s="697" t="n">
        <v>0</v>
      </c>
      <c r="BH16" s="697">
        <f>4+CR16</f>
        <v/>
      </c>
      <c r="BI16" s="697" t="n">
        <v>12</v>
      </c>
      <c r="BJ16" s="697" t="n">
        <v>10</v>
      </c>
      <c r="BK16" s="697" t="n">
        <v>8</v>
      </c>
      <c r="BL16" s="697" t="n">
        <v>9</v>
      </c>
      <c r="BM16" s="697" t="n">
        <v>9</v>
      </c>
      <c r="BN16" s="697" t="n">
        <v>7</v>
      </c>
      <c r="BO16" s="697" t="n">
        <v>5</v>
      </c>
      <c r="BP16" s="697" t="n">
        <v>4</v>
      </c>
      <c r="BQ16" s="697">
        <f>3+CL16</f>
        <v/>
      </c>
      <c r="BR16" s="697" t="n">
        <v>4</v>
      </c>
      <c r="BS16" s="697" t="n">
        <v>4</v>
      </c>
      <c r="BT16" s="697" t="n">
        <v>1</v>
      </c>
      <c r="BU16" s="697" t="n">
        <v>2</v>
      </c>
      <c r="BV16" s="697" t="n">
        <v>0</v>
      </c>
      <c r="BW16" s="697" t="n">
        <v>0</v>
      </c>
      <c r="BX16" s="697">
        <f>0+CH16</f>
        <v/>
      </c>
      <c r="BY16" s="697" t="n">
        <v>3</v>
      </c>
      <c r="BZ16" s="697" t="n"/>
      <c r="CA16" s="699" t="n"/>
      <c r="CB16" s="699" t="n"/>
      <c r="CC16" s="192">
        <f>CA16+IF(NOT(ISBLANK(OFFSET(CC16,0,6))),N(OFFSET(CC16,0,6)),N(OFFSET(CC16,0,7)))-CB16</f>
        <v/>
      </c>
      <c r="CE16" s="22" t="n">
        <v>2</v>
      </c>
      <c r="CF16" s="2" t="n"/>
      <c r="CG16" s="27" t="n"/>
      <c r="CH16" s="757" t="n">
        <v>0</v>
      </c>
      <c r="CI16" s="23" t="n">
        <v>0</v>
      </c>
      <c r="CJ16" s="23" t="n">
        <v>5</v>
      </c>
      <c r="CK16" s="23" t="n"/>
      <c r="CL16" s="23" t="n"/>
      <c r="CM16" s="23" t="n"/>
      <c r="CN16" s="23" t="n">
        <v>2</v>
      </c>
      <c r="CO16" s="23" t="n">
        <v>2</v>
      </c>
      <c r="CP16" s="23" t="n"/>
      <c r="CQ16" s="23" t="n">
        <v>2</v>
      </c>
      <c r="CR16" s="23" t="n"/>
      <c r="CS16" s="23" t="n">
        <v>6</v>
      </c>
      <c r="CT16" s="23" t="n">
        <v>2</v>
      </c>
      <c r="CU16" s="23" t="n">
        <v>6</v>
      </c>
      <c r="CV16" s="23" t="n"/>
      <c r="CW16" s="23" t="n">
        <v>6</v>
      </c>
      <c r="CX16" s="23" t="n">
        <v>2</v>
      </c>
      <c r="CY16" s="23" t="n">
        <v>6</v>
      </c>
      <c r="CZ16" s="23" t="n">
        <v>2</v>
      </c>
      <c r="DA16" s="23" t="n"/>
      <c r="DB16" s="219" t="n"/>
      <c r="DC16" s="23" t="n"/>
      <c r="DD16" s="23" t="n"/>
      <c r="DE16" s="23" t="n"/>
      <c r="DF16" s="23" t="n">
        <v>1</v>
      </c>
      <c r="DG16" s="23" t="n">
        <v>1</v>
      </c>
      <c r="DH16" s="23" t="n"/>
      <c r="DI16" s="219" t="n"/>
      <c r="DJ16" s="23" t="n">
        <v>4</v>
      </c>
      <c r="DK16" s="23" t="n"/>
      <c r="DL16" s="219" t="n"/>
      <c r="DM16" s="23" t="n">
        <v>2</v>
      </c>
      <c r="DN16" s="23" t="n"/>
      <c r="DO16" s="23" t="n">
        <v>1</v>
      </c>
      <c r="DP16" s="23" t="n"/>
      <c r="DQ16" s="23" t="n">
        <v>1</v>
      </c>
      <c r="DR16" s="23" t="n"/>
      <c r="DS16" s="23" t="n">
        <v>4</v>
      </c>
      <c r="DT16" s="23" t="n">
        <v>2</v>
      </c>
      <c r="DU16" s="219" t="n"/>
      <c r="DV16" s="23" t="n">
        <v>3</v>
      </c>
      <c r="DW16" s="23" t="n"/>
      <c r="DX16" s="219" t="n"/>
      <c r="DY16" s="219" t="n"/>
      <c r="DZ16" s="23" t="n"/>
      <c r="EA16" s="23" t="n"/>
      <c r="EB16" s="23" t="n">
        <v>2</v>
      </c>
      <c r="EC16" s="23" t="n">
        <v>1</v>
      </c>
      <c r="ED16" s="23" t="n"/>
      <c r="EE16" s="23" t="n"/>
      <c r="EF16" s="23" t="n"/>
      <c r="EG16" s="219" t="n"/>
      <c r="EH16" s="219" t="n"/>
      <c r="EI16" s="23" t="n"/>
      <c r="EJ16" s="23" t="n">
        <v>5</v>
      </c>
      <c r="EK16" s="219" t="n"/>
      <c r="EL16" s="23" t="n">
        <v>3</v>
      </c>
      <c r="EM16" s="23" t="n">
        <v>5</v>
      </c>
      <c r="EN16" s="23" t="n"/>
      <c r="EO16" s="23" t="n"/>
      <c r="EP16" s="219" t="n"/>
      <c r="EQ16" s="23" t="n">
        <v>3</v>
      </c>
      <c r="ER16" s="23" t="n">
        <v>3</v>
      </c>
      <c r="ES16" s="219" t="n">
        <v>2</v>
      </c>
      <c r="ET16" s="23" t="n"/>
      <c r="EU16" s="23" t="n">
        <v>4</v>
      </c>
      <c r="EV16" s="23" t="n">
        <v>2</v>
      </c>
      <c r="EW16" s="23" t="n">
        <v>2</v>
      </c>
      <c r="EX16" s="23" t="n">
        <v>1</v>
      </c>
      <c r="EY16" s="23" t="n"/>
      <c r="EZ16" s="23" t="n">
        <v>4</v>
      </c>
      <c r="FA16" s="23" t="n"/>
      <c r="FB16" s="23" t="n">
        <v>2</v>
      </c>
      <c r="FC16" s="23" t="n">
        <v>4</v>
      </c>
      <c r="FD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4</v>
      </c>
      <c r="E17" s="2" t="n"/>
      <c r="F17" s="697">
        <f>4+FA17</f>
        <v/>
      </c>
      <c r="G17" s="697">
        <f>4+EZ17</f>
        <v/>
      </c>
      <c r="H17" s="697" t="n">
        <v>5</v>
      </c>
      <c r="I17" s="697" t="n">
        <v>5</v>
      </c>
      <c r="J17" s="697" t="n">
        <v>4</v>
      </c>
      <c r="K17" s="697" t="n">
        <v>5</v>
      </c>
      <c r="L17" s="697" t="n">
        <v>5</v>
      </c>
      <c r="M17" s="697" t="n">
        <v>4</v>
      </c>
      <c r="N17" s="697" t="n">
        <v>4</v>
      </c>
      <c r="O17" s="697" t="n">
        <v>3</v>
      </c>
      <c r="P17" s="697">
        <f>3+ES17</f>
        <v/>
      </c>
      <c r="Q17" s="697" t="n">
        <v>3</v>
      </c>
      <c r="R17" s="697" t="n">
        <v>3</v>
      </c>
      <c r="S17" s="697" t="n">
        <v>6</v>
      </c>
      <c r="T17" s="697" t="n">
        <v>6</v>
      </c>
      <c r="U17" s="697" t="n">
        <v>6</v>
      </c>
      <c r="V17" s="697" t="n">
        <v>6</v>
      </c>
      <c r="W17" s="697" t="n">
        <v>6</v>
      </c>
      <c r="X17" s="697" t="n">
        <v>6</v>
      </c>
      <c r="Y17" s="697" t="n">
        <v>5</v>
      </c>
      <c r="Z17" s="697" t="n">
        <v>5</v>
      </c>
      <c r="AA17" s="697" t="n">
        <v>5</v>
      </c>
      <c r="AB17" s="697" t="n">
        <v>4</v>
      </c>
      <c r="AC17" s="697" t="n">
        <v>2</v>
      </c>
      <c r="AD17" s="697">
        <f>2+EB17</f>
        <v/>
      </c>
      <c r="AE17" s="697" t="n">
        <v>5</v>
      </c>
      <c r="AF17" s="697" t="n">
        <v>5</v>
      </c>
      <c r="AG17" s="697" t="n">
        <v>4</v>
      </c>
      <c r="AH17" s="697" t="n">
        <v>4</v>
      </c>
      <c r="AI17" s="697" t="n">
        <v>4</v>
      </c>
      <c r="AJ17" s="697" t="n">
        <v>4</v>
      </c>
      <c r="AK17" s="697" t="n">
        <v>4</v>
      </c>
      <c r="AL17" s="697">
        <f>4+DP17</f>
        <v/>
      </c>
      <c r="AM17" s="697" t="n">
        <v>3</v>
      </c>
      <c r="AN17" s="697" t="n">
        <v>4</v>
      </c>
      <c r="AO17" s="697" t="n">
        <v>4</v>
      </c>
      <c r="AP17" s="697" t="n">
        <v>4</v>
      </c>
      <c r="AQ17" s="697" t="n">
        <v>3</v>
      </c>
      <c r="AR17" s="697" t="n">
        <v>4</v>
      </c>
      <c r="AS17" s="697" t="n">
        <v>4</v>
      </c>
      <c r="AT17" s="697" t="n">
        <v>4</v>
      </c>
      <c r="AU17" s="697" t="n">
        <v>3</v>
      </c>
      <c r="AV17" s="697">
        <f>3+DA17</f>
        <v/>
      </c>
      <c r="AW17" s="697" t="n">
        <v>3</v>
      </c>
      <c r="AX17" s="697" t="n">
        <v>3</v>
      </c>
      <c r="AY17" s="697" t="n">
        <v>4</v>
      </c>
      <c r="AZ17" s="697" t="n">
        <v>4</v>
      </c>
      <c r="BA17" s="697" t="n">
        <v>3</v>
      </c>
      <c r="BB17" s="697" t="n">
        <v>2</v>
      </c>
      <c r="BC17" s="697">
        <f>2+CV17</f>
        <v/>
      </c>
      <c r="BD17" s="697">
        <f>4+CU17</f>
        <v/>
      </c>
      <c r="BE17" s="697" t="n">
        <v>6</v>
      </c>
      <c r="BF17" s="697" t="n">
        <v>4</v>
      </c>
      <c r="BG17" s="697" t="n">
        <v>4</v>
      </c>
      <c r="BH17" s="697" t="n">
        <v>4</v>
      </c>
      <c r="BI17" s="697" t="n">
        <v>4</v>
      </c>
      <c r="BJ17" s="697" t="n">
        <v>4</v>
      </c>
      <c r="BK17" s="697" t="n">
        <v>2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5</v>
      </c>
      <c r="BR17" s="697" t="n">
        <v>5</v>
      </c>
      <c r="BS17" s="697" t="n">
        <v>4</v>
      </c>
      <c r="BT17" s="697" t="n">
        <v>5</v>
      </c>
      <c r="BU17" s="697">
        <f>2+CI17</f>
        <v/>
      </c>
      <c r="BV17" s="697" t="n">
        <v>4</v>
      </c>
      <c r="BW17" s="697" t="n">
        <v>4</v>
      </c>
      <c r="BX17" s="697" t="n">
        <v>3</v>
      </c>
      <c r="BY17" s="697" t="n">
        <v>3</v>
      </c>
      <c r="BZ17" s="697" t="n"/>
      <c r="CA17" s="699" t="n"/>
      <c r="CB17" s="699" t="n"/>
      <c r="CC17" s="192">
        <f>CA17+IF(NOT(ISBLANK(OFFSET(CC17,0,6))),N(OFFSET(CC17,0,6)),N(OFFSET(CC17,0,7)))-CB17</f>
        <v/>
      </c>
      <c r="CE17" s="22" t="n"/>
      <c r="CF17" s="2" t="n"/>
      <c r="CG17" s="27" t="n"/>
      <c r="CH17" s="757" t="n">
        <v>0</v>
      </c>
      <c r="CI17" s="23" t="n">
        <v>0</v>
      </c>
      <c r="CJ17" s="23" t="n">
        <v>0</v>
      </c>
      <c r="CK17" s="23" t="n">
        <v>2</v>
      </c>
      <c r="CL17" s="23" t="n"/>
      <c r="CM17" s="23" t="n"/>
      <c r="CN17" s="23" t="n"/>
      <c r="CO17" s="23" t="n">
        <v>1</v>
      </c>
      <c r="CP17" s="23" t="n"/>
      <c r="CQ17" s="23" t="n">
        <v>4</v>
      </c>
      <c r="CR17" s="23" t="n"/>
      <c r="CS17" s="23" t="n"/>
      <c r="CT17" s="23" t="n"/>
      <c r="CU17" s="23" t="n"/>
      <c r="CV17" s="23" t="n"/>
      <c r="CW17" s="23" t="n">
        <v>2</v>
      </c>
      <c r="CX17" s="23" t="n">
        <v>3</v>
      </c>
      <c r="CY17" s="23" t="n"/>
      <c r="CZ17" s="23" t="n">
        <v>1</v>
      </c>
      <c r="DA17" s="23" t="n"/>
      <c r="DB17" s="219" t="n"/>
      <c r="DC17" s="23" t="n">
        <v>1</v>
      </c>
      <c r="DD17" s="23" t="n"/>
      <c r="DE17" s="23" t="n"/>
      <c r="DF17" s="23" t="n"/>
      <c r="DG17" s="23" t="n"/>
      <c r="DH17" s="23" t="n"/>
      <c r="DI17" s="219" t="n"/>
      <c r="DJ17" s="23" t="n">
        <v>1</v>
      </c>
      <c r="DK17" s="23" t="n"/>
      <c r="DL17" s="219" t="n"/>
      <c r="DM17" s="23" t="n"/>
      <c r="DN17" s="23" t="n"/>
      <c r="DO17" s="23" t="n"/>
      <c r="DP17" s="23" t="n">
        <v>1</v>
      </c>
      <c r="DQ17" s="23" t="n"/>
      <c r="DR17" s="23" t="n">
        <v>1</v>
      </c>
      <c r="DS17" s="23" t="n"/>
      <c r="DT17" s="23" t="n"/>
      <c r="DU17" s="219" t="n"/>
      <c r="DV17" s="23" t="n"/>
      <c r="DW17" s="23" t="n"/>
      <c r="DX17" s="219" t="n"/>
      <c r="DY17" s="219" t="n"/>
      <c r="DZ17" s="23" t="n"/>
      <c r="EA17" s="23" t="n"/>
      <c r="EB17" s="23" t="n"/>
      <c r="EC17" s="23" t="n"/>
      <c r="ED17" s="23" t="n">
        <v>4</v>
      </c>
      <c r="EE17" s="23" t="n"/>
      <c r="EF17" s="23" t="n"/>
      <c r="EG17" s="219" t="n"/>
      <c r="EH17" s="219" t="n"/>
      <c r="EI17" s="23" t="n"/>
      <c r="EJ17" s="23" t="n"/>
      <c r="EK17" s="219" t="n"/>
      <c r="EL17" s="23" t="n"/>
      <c r="EM17" s="23" t="n"/>
      <c r="EN17" s="23" t="n"/>
      <c r="EO17" s="23" t="n"/>
      <c r="EP17" s="219" t="n"/>
      <c r="EQ17" s="23" t="n"/>
      <c r="ER17" s="23" t="n">
        <v>4</v>
      </c>
      <c r="ES17" s="219" t="n"/>
      <c r="ET17" s="23" t="n"/>
      <c r="EU17" s="23" t="n">
        <v>2</v>
      </c>
      <c r="EV17" s="23" t="n"/>
      <c r="EW17" s="23" t="n"/>
      <c r="EX17" s="23" t="n"/>
      <c r="EY17" s="23" t="n"/>
      <c r="EZ17" s="23" t="n">
        <v>1</v>
      </c>
      <c r="FA17" s="23" t="n"/>
      <c r="FB17" s="23" t="n">
        <v>1</v>
      </c>
      <c r="FC17" s="23" t="n">
        <v>1</v>
      </c>
      <c r="FD17" s="23" t="n"/>
    </row>
    <row r="18" ht="14.25" customFormat="1" customHeight="1" s="3">
      <c r="A18" s="35" t="n"/>
      <c r="C18" s="763" t="n"/>
      <c r="D18" s="450" t="n"/>
      <c r="CE18" s="48" t="n"/>
      <c r="CG18" s="28" t="n"/>
      <c r="CL18" s="250" t="n"/>
      <c r="DI18" s="372" t="n"/>
      <c r="DL18" s="372" t="n"/>
      <c r="DU18" s="250" t="n"/>
      <c r="DX18" s="250" t="n"/>
      <c r="DY18" s="250" t="n"/>
      <c r="EG18" s="19" t="n"/>
      <c r="EH18" s="372" t="n"/>
      <c r="EK18" s="372" t="n"/>
      <c r="EP18" s="19" t="n"/>
      <c r="ES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46161.48022820602</v>
      </c>
      <c r="CB19" s="747" t="n">
        <v>46161.48088721286</v>
      </c>
      <c r="CC19" s="748" t="inlineStr">
        <is>
          <t>USOU</t>
        </is>
      </c>
      <c r="CE19" s="44" t="inlineStr">
        <is>
          <t>Pendências</t>
        </is>
      </c>
      <c r="CF19" s="5" t="n"/>
      <c r="CG19" s="12" t="inlineStr">
        <is>
          <t>Novo Pedido</t>
        </is>
      </c>
      <c r="CH19" s="733" t="n">
        <v>46161.48088618158</v>
      </c>
      <c r="CI19" s="734" t="n">
        <v>46156</v>
      </c>
      <c r="CJ19" s="734" t="n">
        <v>46142</v>
      </c>
      <c r="CK19" s="734" t="n">
        <v>46114</v>
      </c>
      <c r="CL19" s="735" t="n">
        <v>46065</v>
      </c>
      <c r="CM19" s="734" t="n">
        <v>46099</v>
      </c>
      <c r="CN19" s="734" t="n">
        <v>46092</v>
      </c>
      <c r="CO19" s="734" t="n">
        <v>46084</v>
      </c>
      <c r="CP19" s="734" t="n">
        <v>46071</v>
      </c>
      <c r="CQ19" s="734" t="n">
        <v>46056</v>
      </c>
      <c r="CR19" s="734" t="n">
        <v>46048</v>
      </c>
      <c r="CS19" s="734" t="n">
        <v>46035</v>
      </c>
      <c r="CT19" s="734" t="n">
        <v>46029</v>
      </c>
      <c r="CU19" s="734" t="n">
        <v>46017</v>
      </c>
      <c r="CV19" s="734" t="n">
        <v>46007</v>
      </c>
      <c r="CW19" s="734" t="n">
        <v>46001</v>
      </c>
      <c r="CX19" s="734" t="n">
        <v>45994</v>
      </c>
      <c r="CY19" s="734" t="n">
        <v>45973</v>
      </c>
      <c r="CZ19" s="734" t="n">
        <v>45960</v>
      </c>
      <c r="DA19" s="734" t="n">
        <v>45951</v>
      </c>
      <c r="DB19" s="737" t="n">
        <v>45903</v>
      </c>
      <c r="DC19" s="734" t="n">
        <v>45945</v>
      </c>
      <c r="DD19" s="734" t="n">
        <v>45937</v>
      </c>
      <c r="DE19" s="736" t="n">
        <v>45939</v>
      </c>
      <c r="DF19" s="734" t="n">
        <v>45923</v>
      </c>
      <c r="DG19" s="734" t="n">
        <v>45931</v>
      </c>
      <c r="DH19" s="734" t="n">
        <v>45923</v>
      </c>
      <c r="DI19" s="754" t="n">
        <v>45923</v>
      </c>
      <c r="DJ19" s="734" t="n">
        <v>45915</v>
      </c>
      <c r="DK19" s="736" t="n">
        <v>45918</v>
      </c>
      <c r="DL19" s="738" t="n">
        <v>45863</v>
      </c>
      <c r="DM19" s="734" t="n">
        <v>45909</v>
      </c>
      <c r="DN19" s="734" t="n">
        <v>45903</v>
      </c>
      <c r="DO19" s="734" t="n">
        <v>45895</v>
      </c>
      <c r="DP19" s="734" t="n">
        <v>45888</v>
      </c>
      <c r="DQ19" s="734" t="n">
        <v>45881</v>
      </c>
      <c r="DR19" s="734" t="n">
        <v>45874</v>
      </c>
      <c r="DS19" s="734" t="n">
        <v>45867</v>
      </c>
      <c r="DT19" s="734" t="n">
        <v>45860</v>
      </c>
      <c r="DU19" s="739" t="n">
        <v>45861</v>
      </c>
      <c r="DV19" s="734" t="n">
        <v>45853</v>
      </c>
      <c r="DW19" s="736" t="n">
        <v>45852</v>
      </c>
      <c r="DX19" s="739" t="n">
        <v>45791</v>
      </c>
      <c r="DY19" s="739" t="n">
        <v>45852</v>
      </c>
      <c r="DZ19" s="736" t="n">
        <v>45842</v>
      </c>
      <c r="EA19" s="736" t="n">
        <v>45841</v>
      </c>
      <c r="EB19" s="734" t="n">
        <v>45832</v>
      </c>
      <c r="EC19" s="734" t="n">
        <v>45825</v>
      </c>
      <c r="ED19" s="734" t="n">
        <v>45819</v>
      </c>
      <c r="EE19" s="734" t="n">
        <v>45813</v>
      </c>
      <c r="EF19" s="734" t="n">
        <v>45805</v>
      </c>
      <c r="EG19" s="740" t="n">
        <v>45806</v>
      </c>
      <c r="EH19" s="755" t="n">
        <v>45805</v>
      </c>
      <c r="EI19" s="736" t="n">
        <v>45804</v>
      </c>
      <c r="EJ19" s="734" t="n">
        <v>45798</v>
      </c>
      <c r="EK19" s="742" t="n">
        <v>45735</v>
      </c>
      <c r="EL19" s="734" t="n">
        <v>45790</v>
      </c>
      <c r="EM19" s="734" t="n">
        <v>45783</v>
      </c>
      <c r="EN19" s="734" t="n">
        <v>45770</v>
      </c>
      <c r="EO19" s="734" t="n">
        <v>45756</v>
      </c>
      <c r="EP19" s="740" t="n">
        <v>45756</v>
      </c>
      <c r="EQ19" s="734" t="n">
        <v>45749</v>
      </c>
      <c r="ER19" s="734" t="n">
        <v>45734</v>
      </c>
      <c r="ES19" s="740" t="n">
        <v>45700</v>
      </c>
      <c r="ET19" s="734" t="n">
        <v>45728</v>
      </c>
      <c r="EU19" s="734" t="n">
        <v>45722</v>
      </c>
      <c r="EV19" s="734" t="n">
        <v>45714</v>
      </c>
      <c r="EW19" s="734" t="n">
        <v>45706</v>
      </c>
      <c r="EX19" s="734" t="n">
        <v>45699</v>
      </c>
      <c r="EY19" s="734" t="n">
        <v>45693</v>
      </c>
      <c r="EZ19" s="734" t="n">
        <v>45685</v>
      </c>
      <c r="FA19" s="734" t="n">
        <v>45674</v>
      </c>
      <c r="FB19" s="734" t="n">
        <v>45660</v>
      </c>
      <c r="FC19" s="734" t="n">
        <v>45652</v>
      </c>
      <c r="FD19" s="734" t="n">
        <v>45643</v>
      </c>
      <c r="FF19" s="304" t="inlineStr">
        <is>
          <t>CAIXAS</t>
        </is>
      </c>
      <c r="FG19" s="235" t="inlineStr">
        <is>
          <t>PCT</t>
        </is>
      </c>
      <c r="FH19" s="746" t="n">
        <v>46118</v>
      </c>
      <c r="FI19" s="746" t="n">
        <v>46125</v>
      </c>
      <c r="FJ19" s="746" t="n">
        <v>46132</v>
      </c>
      <c r="FK19" s="746" t="n">
        <v>46139</v>
      </c>
      <c r="FL19" s="746" t="n">
        <v>46146</v>
      </c>
      <c r="FM19" s="746" t="n">
        <v>46154</v>
      </c>
      <c r="FN19" s="746" t="n">
        <v>46160</v>
      </c>
      <c r="FO19" s="747" t="n">
        <v>46161.48022744213</v>
      </c>
      <c r="FP19" s="747" t="n">
        <v>46161.4808866043</v>
      </c>
      <c r="FQ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115</v>
      </c>
      <c r="G20" s="697" t="n">
        <v>115</v>
      </c>
      <c r="H20" s="697" t="n">
        <v>95</v>
      </c>
      <c r="I20" s="697">
        <f>74+EY20</f>
        <v/>
      </c>
      <c r="J20" s="697" t="n">
        <v>205</v>
      </c>
      <c r="K20" s="697" t="n">
        <v>189</v>
      </c>
      <c r="L20" s="697" t="n">
        <v>152</v>
      </c>
      <c r="M20" s="697">
        <f>131+EV20</f>
        <v/>
      </c>
      <c r="N20" s="697" t="n">
        <v>248</v>
      </c>
      <c r="O20" s="697" t="n">
        <v>218</v>
      </c>
      <c r="P20" s="697" t="n">
        <v>173</v>
      </c>
      <c r="Q20" s="697">
        <f>137+ER20</f>
        <v/>
      </c>
      <c r="R20" s="697" t="n">
        <v>267</v>
      </c>
      <c r="S20" s="697" t="n">
        <v>224</v>
      </c>
      <c r="T20" s="697" t="n">
        <v>200</v>
      </c>
      <c r="U20" s="697" t="n">
        <v>165</v>
      </c>
      <c r="V20" s="697" t="n">
        <v>153</v>
      </c>
      <c r="W20" s="697" t="n">
        <v>148</v>
      </c>
      <c r="X20" s="697" t="n">
        <v>145</v>
      </c>
      <c r="Y20" s="697" t="n">
        <v>153</v>
      </c>
      <c r="Z20" s="697" t="n">
        <v>151</v>
      </c>
      <c r="AA20" s="697" t="n">
        <v>149</v>
      </c>
      <c r="AB20" s="697" t="n">
        <v>148</v>
      </c>
      <c r="AC20" s="697" t="n">
        <v>146</v>
      </c>
      <c r="AD20" s="697" t="n">
        <v>136</v>
      </c>
      <c r="AE20" s="697">
        <f>109+EA20</f>
        <v/>
      </c>
      <c r="AF20" s="697" t="n">
        <v>240</v>
      </c>
      <c r="AG20" s="697" t="n">
        <v>211</v>
      </c>
      <c r="AH20" s="697" t="n">
        <v>186</v>
      </c>
      <c r="AI20" s="697" t="n">
        <v>156</v>
      </c>
      <c r="AJ20" s="697" t="n">
        <v>294</v>
      </c>
      <c r="AK20" s="697" t="n">
        <v>265</v>
      </c>
      <c r="AL20" s="697" t="n">
        <v>200</v>
      </c>
      <c r="AM20" s="697" t="n">
        <v>178</v>
      </c>
      <c r="AN20" s="697" t="n">
        <v>305</v>
      </c>
      <c r="AO20" s="697" t="n">
        <v>281</v>
      </c>
      <c r="AP20" s="697" t="n">
        <v>260</v>
      </c>
      <c r="AQ20" s="697" t="n">
        <v>226</v>
      </c>
      <c r="AR20" s="697" t="n">
        <v>346</v>
      </c>
      <c r="AS20" s="697" t="n">
        <v>303</v>
      </c>
      <c r="AT20" s="697" t="n">
        <v>269</v>
      </c>
      <c r="AU20" s="697" t="n">
        <v>222</v>
      </c>
      <c r="AV20" s="697" t="n">
        <v>203</v>
      </c>
      <c r="AW20" s="697" t="n">
        <v>173</v>
      </c>
      <c r="AX20" s="697" t="n">
        <v>152</v>
      </c>
      <c r="AY20" s="697" t="n">
        <v>280</v>
      </c>
      <c r="AZ20" s="697" t="n">
        <v>278</v>
      </c>
      <c r="BA20" s="697" t="n">
        <v>277</v>
      </c>
      <c r="BB20" s="697" t="n">
        <v>276</v>
      </c>
      <c r="BC20" s="697" t="n">
        <v>275</v>
      </c>
      <c r="BD20" s="697" t="n">
        <v>295</v>
      </c>
      <c r="BE20" s="697" t="n">
        <v>295</v>
      </c>
      <c r="BF20" s="697" t="n">
        <v>295</v>
      </c>
      <c r="BG20" s="697" t="n">
        <v>295</v>
      </c>
      <c r="BH20" s="697" t="n">
        <v>295</v>
      </c>
      <c r="BI20" s="697" t="n">
        <v>295</v>
      </c>
      <c r="BJ20" s="697" t="n">
        <v>295</v>
      </c>
      <c r="BK20" s="697" t="n">
        <v>295</v>
      </c>
      <c r="BL20" s="697" t="n">
        <v>283</v>
      </c>
      <c r="BM20" s="697" t="n">
        <v>275</v>
      </c>
      <c r="BN20" s="697" t="n">
        <v>267</v>
      </c>
      <c r="BO20" s="697" t="n">
        <v>244</v>
      </c>
      <c r="BP20" s="697" t="n">
        <v>228</v>
      </c>
      <c r="BQ20" s="697" t="n">
        <v>208</v>
      </c>
      <c r="BR20" s="697" t="n">
        <v>188</v>
      </c>
      <c r="BS20" s="697" t="n">
        <v>182</v>
      </c>
      <c r="BT20" s="697" t="n"/>
      <c r="BU20" s="697" t="n"/>
      <c r="BV20" s="697" t="n"/>
      <c r="BW20" s="697" t="n">
        <v>157</v>
      </c>
      <c r="BX20" s="314" t="n">
        <v>165</v>
      </c>
      <c r="BY20" s="697" t="n">
        <v>165</v>
      </c>
      <c r="BZ20" s="697" t="n">
        <v>165</v>
      </c>
      <c r="CA20" s="699" t="n">
        <v>165</v>
      </c>
      <c r="CB20" s="699" t="n">
        <v>165</v>
      </c>
      <c r="CC20" s="192">
        <f>CA20+IF(NOT(ISBLANK(OFFSET(CC20,0,6))),N(OFFSET(CC20,0,6)),N(OFFSET(CC20,0,7)))-CB20</f>
        <v/>
      </c>
      <c r="CD20" s="50" t="n"/>
      <c r="CE20" s="22" t="n"/>
      <c r="CF20" s="2" t="n"/>
      <c r="CG20" s="27" t="n"/>
      <c r="CH20" s="757" t="n">
        <v>0</v>
      </c>
      <c r="CI20" s="23" t="n">
        <v>0</v>
      </c>
      <c r="CJ20" s="23" t="n">
        <v>0</v>
      </c>
      <c r="CK20" s="23" t="n"/>
      <c r="CL20" s="219" t="n">
        <v>150</v>
      </c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>
        <v>150</v>
      </c>
      <c r="DA20" s="23" t="n"/>
      <c r="DB20" s="219" t="n">
        <v>150</v>
      </c>
      <c r="DC20" s="23" t="n"/>
      <c r="DD20" s="23" t="n"/>
      <c r="DE20" s="23" t="n"/>
      <c r="DF20" s="23" t="n"/>
      <c r="DG20" s="23" t="n"/>
      <c r="DH20" s="23" t="n"/>
      <c r="DI20" s="219" t="n"/>
      <c r="DJ20" s="23" t="n">
        <v>150</v>
      </c>
      <c r="DK20" s="23" t="n"/>
      <c r="DL20" s="219" t="n"/>
      <c r="DM20" s="23" t="n"/>
      <c r="DN20" s="23" t="n"/>
      <c r="DO20" s="23" t="n"/>
      <c r="DP20" s="23" t="n">
        <v>150</v>
      </c>
      <c r="DQ20" s="23" t="n"/>
      <c r="DR20" s="23" t="n"/>
      <c r="DS20" s="23" t="n"/>
      <c r="DT20" s="23" t="n">
        <v>150</v>
      </c>
      <c r="DU20" s="219" t="n"/>
      <c r="DV20" s="23" t="n"/>
      <c r="DW20" s="23" t="n"/>
      <c r="DX20" s="219" t="n"/>
      <c r="DY20" s="219" t="n"/>
      <c r="DZ20" s="23" t="n"/>
      <c r="EA20" s="23" t="n"/>
      <c r="EB20" s="23" t="n"/>
      <c r="EC20" s="23" t="n">
        <v>150</v>
      </c>
      <c r="ED20" s="23" t="n"/>
      <c r="EE20" s="23" t="n"/>
      <c r="EF20" s="23" t="n"/>
      <c r="EG20" s="219" t="n"/>
      <c r="EH20" s="219" t="n"/>
      <c r="EI20" s="23" t="n"/>
      <c r="EJ20" s="23" t="n"/>
      <c r="EK20" s="219" t="n"/>
      <c r="EL20" s="23" t="n"/>
      <c r="EM20" s="23" t="n"/>
      <c r="EN20" s="23" t="n"/>
      <c r="EO20" s="23" t="n"/>
      <c r="EP20" s="292" t="inlineStr">
        <is>
          <t>100 P/ GV</t>
        </is>
      </c>
      <c r="EQ20" s="23" t="n"/>
      <c r="ER20" s="23" t="n"/>
      <c r="ES20" s="219" t="n">
        <v>300</v>
      </c>
      <c r="ET20" s="23" t="n">
        <v>150</v>
      </c>
      <c r="EU20" s="23" t="n"/>
      <c r="EV20" s="23" t="n"/>
      <c r="EW20" s="23" t="n"/>
      <c r="EX20" s="23" t="n">
        <v>150</v>
      </c>
      <c r="EY20" s="23" t="n"/>
      <c r="EZ20" s="23" t="n"/>
      <c r="FA20" s="23" t="n">
        <v>150</v>
      </c>
      <c r="FB20" s="23" t="n"/>
      <c r="FC20" s="23" t="n"/>
      <c r="FD20" s="23" t="n"/>
      <c r="FF20" s="300" t="inlineStr">
        <is>
          <t>CAIXA P</t>
        </is>
      </c>
      <c r="FG20" s="162" t="n">
        <v>150</v>
      </c>
      <c r="FH20" s="697">
        <f>CJ20</f>
        <v/>
      </c>
      <c r="FI20" s="697" t="n"/>
      <c r="FJ20" s="697" t="n"/>
      <c r="FK20" s="697" t="n">
        <v>104</v>
      </c>
      <c r="FL20" s="697" t="n">
        <v>44</v>
      </c>
      <c r="FM20" s="697" t="n">
        <v>54</v>
      </c>
      <c r="FN20" s="697" t="n">
        <v>50</v>
      </c>
      <c r="FO20" s="699" t="n"/>
      <c r="FP20" s="699" t="n"/>
      <c r="FQ20" s="431">
        <f>FO20+IF(NOT(ISBLANK(OFFSET(FQ20,0,6))),N(OFFSET(FQ20,0,6)),N(OFFSET(FQ20,0,7)))-FP20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97</v>
      </c>
      <c r="G21" s="697" t="n">
        <v>97</v>
      </c>
      <c r="H21" s="697" t="n">
        <v>97</v>
      </c>
      <c r="I21" s="697" t="n">
        <v>97</v>
      </c>
      <c r="J21" s="697" t="n">
        <v>96</v>
      </c>
      <c r="K21" s="697" t="n">
        <v>96</v>
      </c>
      <c r="L21" s="697" t="n">
        <v>74</v>
      </c>
      <c r="M21" s="697">
        <f>31+EV21</f>
        <v/>
      </c>
      <c r="N21" s="697">
        <f>193+EU21</f>
        <v/>
      </c>
      <c r="O21" s="697">
        <f>257+ET21</f>
        <v/>
      </c>
      <c r="P21" s="697" t="n">
        <v>285</v>
      </c>
      <c r="Q21" s="697">
        <f>242+ER21</f>
        <v/>
      </c>
      <c r="R21" s="697" t="n">
        <v>301</v>
      </c>
      <c r="S21" s="697" t="n">
        <v>269</v>
      </c>
      <c r="T21" s="697" t="n">
        <v>249</v>
      </c>
      <c r="U21" s="697" t="n">
        <v>226</v>
      </c>
      <c r="V21" s="697" t="n">
        <v>209</v>
      </c>
      <c r="W21" s="697" t="n">
        <v>207</v>
      </c>
      <c r="X21" s="697" t="n">
        <v>206</v>
      </c>
      <c r="Y21" s="697" t="n">
        <v>210</v>
      </c>
      <c r="Z21" s="697" t="n">
        <v>208</v>
      </c>
      <c r="AA21" s="697" t="n">
        <v>207</v>
      </c>
      <c r="AB21" s="697" t="n">
        <v>206</v>
      </c>
      <c r="AC21" s="697" t="n">
        <v>204</v>
      </c>
      <c r="AD21" s="697" t="n">
        <v>146</v>
      </c>
      <c r="AE21" s="697">
        <f>86+EA21</f>
        <v/>
      </c>
      <c r="AF21" s="697" t="n">
        <v>142</v>
      </c>
      <c r="AG21" s="697" t="n">
        <v>205</v>
      </c>
      <c r="AH21" s="697" t="n">
        <v>170</v>
      </c>
      <c r="AI21" s="697" t="n">
        <v>140</v>
      </c>
      <c r="AJ21" s="697" t="n">
        <v>124</v>
      </c>
      <c r="AK21" s="697" t="n">
        <v>99</v>
      </c>
      <c r="AL21" s="697">
        <f>70+DP21</f>
        <v/>
      </c>
      <c r="AM21" s="697">
        <f>129+DO21</f>
        <v/>
      </c>
      <c r="AN21" s="697" t="n">
        <v>205</v>
      </c>
      <c r="AO21" s="697">
        <f>172+DM21</f>
        <v/>
      </c>
      <c r="AP21" s="697" t="n">
        <v>223</v>
      </c>
      <c r="AQ21" s="697" t="n">
        <v>184</v>
      </c>
      <c r="AR21" s="697" t="n">
        <v>241</v>
      </c>
      <c r="AS21" s="697" t="n">
        <v>200</v>
      </c>
      <c r="AT21" s="697">
        <f>161+DE21</f>
        <v/>
      </c>
      <c r="AU21" s="697" t="n">
        <v>318</v>
      </c>
      <c r="AV21" s="697" t="n">
        <v>292</v>
      </c>
      <c r="AW21" s="697" t="n">
        <v>250</v>
      </c>
      <c r="AX21" s="697" t="n">
        <v>220</v>
      </c>
      <c r="AY21" s="697" t="n">
        <v>198</v>
      </c>
      <c r="AZ21" s="697" t="n">
        <v>184</v>
      </c>
      <c r="BA21" s="697" t="n">
        <v>171</v>
      </c>
      <c r="BB21" s="697" t="n">
        <v>169</v>
      </c>
      <c r="BC21" s="697" t="n">
        <v>168</v>
      </c>
      <c r="BD21" s="697" t="n">
        <v>166</v>
      </c>
      <c r="BE21" s="697" t="n">
        <v>166</v>
      </c>
      <c r="BF21" s="697" t="n">
        <v>106</v>
      </c>
      <c r="BG21" s="697" t="n">
        <v>105</v>
      </c>
      <c r="BH21" s="697">
        <f>101+CR21</f>
        <v/>
      </c>
      <c r="BI21" s="697" t="n">
        <v>200</v>
      </c>
      <c r="BJ21" s="697" t="n">
        <v>187</v>
      </c>
      <c r="BK21" s="697">
        <f>181+CP21</f>
        <v/>
      </c>
      <c r="BL21" s="697" t="n">
        <v>254</v>
      </c>
      <c r="BM21" s="697" t="n">
        <v>241</v>
      </c>
      <c r="BN21" s="697" t="n">
        <v>236</v>
      </c>
      <c r="BO21" s="697" t="n">
        <v>231</v>
      </c>
      <c r="BP21" s="697" t="n">
        <v>213</v>
      </c>
      <c r="BQ21" s="314" t="n">
        <v>113</v>
      </c>
      <c r="BR21" s="697" t="n">
        <v>211</v>
      </c>
      <c r="BS21" s="697" t="n">
        <v>206</v>
      </c>
      <c r="BT21" s="697" t="n"/>
      <c r="BU21" s="697" t="n"/>
      <c r="BV21" s="697" t="n"/>
      <c r="BW21" s="697" t="n">
        <v>189</v>
      </c>
      <c r="BX21" s="697" t="n">
        <v>189</v>
      </c>
      <c r="BY21" s="697" t="n">
        <v>188</v>
      </c>
      <c r="BZ21" s="697" t="n">
        <v>185</v>
      </c>
      <c r="CA21" s="699" t="n">
        <v>185</v>
      </c>
      <c r="CB21" s="699" t="n">
        <v>185</v>
      </c>
      <c r="CC21" s="192">
        <f>CA21+IF(NOT(ISBLANK(OFFSET(CC21,0,6))),N(OFFSET(CC21,0,6)),N(OFFSET(CC21,0,7)))-CB21</f>
        <v/>
      </c>
      <c r="CD21" s="50" t="n"/>
      <c r="CE21" s="22" t="n"/>
      <c r="CF21" s="2" t="n"/>
      <c r="CG21" s="27" t="n"/>
      <c r="CH21" s="757" t="n">
        <v>0</v>
      </c>
      <c r="CI21" s="23" t="n">
        <v>0</v>
      </c>
      <c r="CJ21" s="23" t="n">
        <v>0</v>
      </c>
      <c r="CK21" s="23" t="n"/>
      <c r="CL21" s="219" t="n">
        <v>200</v>
      </c>
      <c r="CM21" s="23" t="n">
        <v>100</v>
      </c>
      <c r="CN21" s="23" t="n"/>
      <c r="CO21" s="23" t="n"/>
      <c r="CP21" s="23" t="n"/>
      <c r="CQ21" s="23" t="n"/>
      <c r="CR21" s="23" t="n">
        <v>100</v>
      </c>
      <c r="CS21" s="23" t="n"/>
      <c r="CT21" s="23" t="n">
        <v>100</v>
      </c>
      <c r="CU21" s="23" t="n"/>
      <c r="CV21" s="23" t="n"/>
      <c r="CW21" s="23" t="n"/>
      <c r="CX21" s="23" t="n"/>
      <c r="CY21" s="23" t="n"/>
      <c r="CZ21" s="23" t="n"/>
      <c r="DA21" s="23" t="n"/>
      <c r="DB21" s="219" t="n">
        <v>300</v>
      </c>
      <c r="DC21" s="23" t="n"/>
      <c r="DD21" s="23" t="n"/>
      <c r="DE21" s="23" t="n"/>
      <c r="DF21" s="23" t="n"/>
      <c r="DG21" s="23" t="n">
        <v>100</v>
      </c>
      <c r="DH21" s="23" t="n"/>
      <c r="DI21" s="437" t="inlineStr">
        <is>
          <t>10 DE SHN</t>
        </is>
      </c>
      <c r="DJ21" s="23" t="n">
        <v>100</v>
      </c>
      <c r="DK21" s="23" t="n"/>
      <c r="DL21" s="219" t="n"/>
      <c r="DM21" s="23" t="n"/>
      <c r="DN21" s="23" t="n"/>
      <c r="DO21" s="23" t="n">
        <v>100</v>
      </c>
      <c r="DP21" s="23" t="n"/>
      <c r="DQ21" s="23" t="n">
        <v>100</v>
      </c>
      <c r="DR21" s="23" t="n">
        <v>100</v>
      </c>
      <c r="DS21" s="23" t="n"/>
      <c r="DT21" s="23" t="n"/>
      <c r="DU21" s="292" t="inlineStr">
        <is>
          <t>20 P/ MD</t>
        </is>
      </c>
      <c r="DV21" s="23" t="n"/>
      <c r="DW21" s="23" t="n"/>
      <c r="DX21" s="219" t="n">
        <v>100</v>
      </c>
      <c r="DY21" s="219" t="n"/>
      <c r="DZ21" s="23" t="n"/>
      <c r="EA21" s="23" t="n"/>
      <c r="EB21" s="23" t="n">
        <v>100</v>
      </c>
      <c r="EC21" s="23" t="n">
        <v>100</v>
      </c>
      <c r="ED21" s="23" t="n"/>
      <c r="EE21" s="23" t="n"/>
      <c r="EF21" s="23" t="n"/>
      <c r="EG21" s="219" t="n"/>
      <c r="EH21" s="376" t="inlineStr">
        <is>
          <t>25 P/ MD</t>
        </is>
      </c>
      <c r="EI21" s="23" t="n"/>
      <c r="EJ21" s="23" t="n"/>
      <c r="EK21" s="219" t="n">
        <v>100</v>
      </c>
      <c r="EL21" s="23" t="n"/>
      <c r="EM21" s="23" t="n"/>
      <c r="EN21" s="23" t="n"/>
      <c r="EO21" s="23" t="n"/>
      <c r="EP21" s="219" t="n"/>
      <c r="EQ21" s="23" t="n"/>
      <c r="ER21" s="23" t="n"/>
      <c r="ES21" s="219" t="n">
        <v>200</v>
      </c>
      <c r="ET21" s="23" t="n">
        <v>100</v>
      </c>
      <c r="EU21" s="23" t="n"/>
      <c r="EV21" s="23" t="n">
        <v>100</v>
      </c>
      <c r="EW21" s="23" t="n">
        <v>100</v>
      </c>
      <c r="EX21" s="23" t="n">
        <v>200</v>
      </c>
      <c r="EY21" s="23" t="n"/>
      <c r="EZ21" s="23" t="n"/>
      <c r="FA21" s="23" t="n"/>
      <c r="FB21" s="23" t="n"/>
      <c r="FC21" s="23" t="n"/>
      <c r="FD21" s="23" t="n"/>
      <c r="FF21" s="65" t="inlineStr">
        <is>
          <t>CAIXA M</t>
        </is>
      </c>
      <c r="FG21" s="699" t="n">
        <v>100</v>
      </c>
      <c r="FH21" s="697">
        <f>CJ21</f>
        <v/>
      </c>
      <c r="FI21" s="697" t="n"/>
      <c r="FJ21" s="697" t="n"/>
      <c r="FK21" s="697" t="n">
        <v>135</v>
      </c>
      <c r="FL21" s="697" t="n">
        <v>113</v>
      </c>
      <c r="FM21" s="697" t="n">
        <v>56</v>
      </c>
      <c r="FN21" s="697" t="n">
        <v>53</v>
      </c>
      <c r="FO21" s="699" t="n"/>
      <c r="FP21" s="699" t="n"/>
      <c r="FQ21" s="431">
        <f>FO21+IF(NOT(ISBLANK(OFFSET(FQ21,0,6))),N(OFFSET(FQ21,0,6)),N(OFFSET(FQ21,0,7)))-FP21</f>
        <v/>
      </c>
    </row>
    <row r="22" ht="18" customFormat="1" customHeigh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16</v>
      </c>
      <c r="G22" s="697" t="n">
        <v>32</v>
      </c>
      <c r="H22" s="697" t="n">
        <v>32</v>
      </c>
      <c r="I22" s="697" t="n">
        <v>29</v>
      </c>
      <c r="J22" s="697" t="n">
        <v>26</v>
      </c>
      <c r="K22" s="697" t="n">
        <v>24</v>
      </c>
      <c r="L22" s="697" t="n">
        <v>29</v>
      </c>
      <c r="M22" s="697" t="n">
        <v>25</v>
      </c>
      <c r="N22" s="697" t="n">
        <v>25</v>
      </c>
      <c r="O22" s="697" t="n">
        <v>25</v>
      </c>
      <c r="P22" s="697" t="n">
        <v>25</v>
      </c>
      <c r="Q22" s="697" t="n">
        <v>25</v>
      </c>
      <c r="R22" s="697" t="n">
        <v>25</v>
      </c>
      <c r="S22" s="697" t="n">
        <v>25</v>
      </c>
      <c r="T22" s="697" t="n">
        <v>24</v>
      </c>
      <c r="U22" s="697" t="n">
        <v>24</v>
      </c>
      <c r="V22" s="697" t="n">
        <v>24</v>
      </c>
      <c r="W22" s="697" t="n">
        <v>24</v>
      </c>
      <c r="X22" s="697" t="n">
        <v>24</v>
      </c>
      <c r="Y22" s="697" t="n">
        <v>24</v>
      </c>
      <c r="Z22" s="697" t="n">
        <v>24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0</v>
      </c>
      <c r="AF22" s="697">
        <f>0+20-15</f>
        <v/>
      </c>
      <c r="AG22" s="697" t="n">
        <v>4</v>
      </c>
      <c r="AH22" s="697" t="n">
        <v>0</v>
      </c>
      <c r="AI22" s="697" t="n">
        <v>2</v>
      </c>
      <c r="AJ22" s="697" t="n">
        <v>2</v>
      </c>
      <c r="AK22" s="697">
        <f>2+DQ22</f>
        <v/>
      </c>
      <c r="AL22" s="697" t="n">
        <v>69</v>
      </c>
      <c r="AM22" s="314" t="n">
        <v>110</v>
      </c>
      <c r="AN22" s="697" t="n">
        <v>110</v>
      </c>
      <c r="AO22" s="697" t="n">
        <v>109</v>
      </c>
      <c r="AP22" s="697" t="n">
        <v>109</v>
      </c>
      <c r="AQ22" s="697">
        <f>109-30</f>
        <v/>
      </c>
      <c r="AR22" s="697" t="n">
        <v>79</v>
      </c>
      <c r="AS22" s="314" t="n">
        <v>84</v>
      </c>
      <c r="AT22" s="314" t="n">
        <v>84</v>
      </c>
      <c r="AU22" s="697" t="n">
        <v>79</v>
      </c>
      <c r="AV22" s="697" t="n">
        <v>73</v>
      </c>
      <c r="AW22" s="697" t="n">
        <v>74</v>
      </c>
      <c r="AX22" s="697" t="n">
        <v>74</v>
      </c>
      <c r="AY22" s="697" t="n">
        <v>74</v>
      </c>
      <c r="AZ22" s="697" t="n">
        <v>74</v>
      </c>
      <c r="BA22" s="697" t="n">
        <v>76</v>
      </c>
      <c r="BB22" s="697" t="n">
        <v>76</v>
      </c>
      <c r="BC22" s="697" t="n">
        <v>76</v>
      </c>
      <c r="BD22" s="697" t="n">
        <v>74</v>
      </c>
      <c r="BE22" s="697" t="n">
        <v>74</v>
      </c>
      <c r="BF22" s="697" t="n">
        <v>74</v>
      </c>
      <c r="BG22" s="697" t="n">
        <v>74</v>
      </c>
      <c r="BH22" s="697" t="n">
        <v>74</v>
      </c>
      <c r="BI22" s="697" t="n">
        <v>74</v>
      </c>
      <c r="BJ22" s="697" t="n">
        <v>74</v>
      </c>
      <c r="BK22" s="697" t="n">
        <v>71</v>
      </c>
      <c r="BL22" s="697" t="n">
        <v>71</v>
      </c>
      <c r="BM22" s="697" t="n">
        <v>71</v>
      </c>
      <c r="BN22" s="697" t="n">
        <v>71</v>
      </c>
      <c r="BO22" s="697" t="n">
        <v>69</v>
      </c>
      <c r="BP22" s="697" t="n">
        <v>69</v>
      </c>
      <c r="BQ22" s="697" t="n">
        <v>64</v>
      </c>
      <c r="BR22" s="697" t="n">
        <v>64</v>
      </c>
      <c r="BS22" s="697" t="n">
        <v>60</v>
      </c>
      <c r="BT22" s="697" t="n">
        <v>60</v>
      </c>
      <c r="BU22" s="697" t="n">
        <v>60</v>
      </c>
      <c r="BV22" s="697" t="n">
        <v>60</v>
      </c>
      <c r="BW22" s="697" t="n">
        <v>60</v>
      </c>
      <c r="BX22" s="697" t="n">
        <v>60</v>
      </c>
      <c r="BY22" s="697" t="n">
        <v>68</v>
      </c>
      <c r="BZ22" s="697" t="n">
        <v>68</v>
      </c>
      <c r="CA22" s="699" t="n">
        <v>68</v>
      </c>
      <c r="CB22" s="699" t="n">
        <v>68</v>
      </c>
      <c r="CC22" s="192">
        <f>CA22+IF(NOT(ISBLANK(OFFSET(CC22,0,6))),N(OFFSET(CC22,0,6)),N(OFFSET(CC22,0,7)))-CB22</f>
        <v/>
      </c>
      <c r="CD22" s="50" t="n"/>
      <c r="CE22" s="22" t="n"/>
      <c r="CF22" s="726" t="n"/>
      <c r="CG22" s="27" t="n"/>
      <c r="CH22" s="433" t="n">
        <v>0</v>
      </c>
      <c r="CI22" s="23" t="n">
        <v>0</v>
      </c>
      <c r="CJ22" s="23" t="n">
        <v>0</v>
      </c>
      <c r="CK22" s="23" t="n"/>
      <c r="CL22" s="219" t="n">
        <v>200</v>
      </c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443" t="n">
        <v>400</v>
      </c>
      <c r="DC22" s="23" t="n"/>
      <c r="DD22" s="23" t="n"/>
      <c r="DE22" s="23" t="n"/>
      <c r="DF22" s="23" t="n"/>
      <c r="DG22" s="23" t="n"/>
      <c r="DH22" s="23" t="n"/>
      <c r="DI22" s="219" t="n"/>
      <c r="DJ22" s="23" t="n"/>
      <c r="DK22" s="192" t="inlineStr">
        <is>
          <t>30 P/ TDQ</t>
        </is>
      </c>
      <c r="DL22" s="219" t="n"/>
      <c r="DM22" s="23" t="n"/>
      <c r="DN22" s="23" t="n"/>
      <c r="DO22" s="23" t="n"/>
      <c r="DP22" s="23" t="n"/>
      <c r="DQ22" s="23" t="n"/>
      <c r="DR22" s="23" t="n"/>
      <c r="DS22" s="23" t="n">
        <v>75</v>
      </c>
      <c r="DT22" s="23" t="n"/>
      <c r="DU22" s="219" t="n"/>
      <c r="DV22" s="23" t="n"/>
      <c r="DW22" s="23" t="n"/>
      <c r="DX22" s="219" t="n">
        <v>150</v>
      </c>
      <c r="DY22" s="219" t="n"/>
      <c r="DZ22" s="282" t="inlineStr">
        <is>
          <t>15 P/ MD</t>
        </is>
      </c>
      <c r="EA22" s="282" t="inlineStr">
        <is>
          <t>20 DE BSH</t>
        </is>
      </c>
      <c r="EB22" s="23" t="n"/>
      <c r="EC22" s="23" t="n"/>
      <c r="ED22" s="23" t="n"/>
      <c r="EE22" s="23" t="n"/>
      <c r="EF22" s="23" t="n"/>
      <c r="EG22" s="219" t="n"/>
      <c r="EH22" s="376" t="inlineStr">
        <is>
          <t>50 P/ MD</t>
        </is>
      </c>
      <c r="EI22" s="23" t="n"/>
      <c r="EJ22" s="23" t="n"/>
      <c r="EK22" s="219" t="n">
        <v>100</v>
      </c>
      <c r="EL22" s="23" t="n"/>
      <c r="EM22" s="23" t="n"/>
      <c r="EN22" s="23" t="n"/>
      <c r="EO22" s="23" t="n"/>
      <c r="EP22" s="219" t="n"/>
      <c r="EQ22" s="23" t="n"/>
      <c r="ER22" s="23" t="n"/>
      <c r="ES22" s="219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F22" s="66" t="inlineStr">
        <is>
          <t>CARTUCHO P</t>
        </is>
      </c>
      <c r="FG22" s="699" t="n">
        <v>200</v>
      </c>
      <c r="FH22" s="697">
        <f>CJ22</f>
        <v/>
      </c>
      <c r="FI22" s="697" t="n"/>
      <c r="FJ22" s="697" t="n"/>
      <c r="FK22" s="697" t="n">
        <v>138</v>
      </c>
      <c r="FL22" s="697" t="n">
        <v>102</v>
      </c>
      <c r="FM22" s="697" t="n">
        <v>53</v>
      </c>
      <c r="FN22" s="697" t="n">
        <v>49</v>
      </c>
      <c r="FO22" s="699" t="n"/>
      <c r="FP22" s="699" t="n"/>
      <c r="FQ22" s="431">
        <f>FO22+IF(NOT(ISBLANK(OFFSET(FQ22,0,6))),N(OFFSET(FQ22,0,6)),N(OFFSET(FQ22,0,7)))-FP22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0+CP23</f>
        <v/>
      </c>
      <c r="BL23" s="697" t="n">
        <v>144</v>
      </c>
      <c r="BM23" s="697" t="n">
        <v>127</v>
      </c>
      <c r="BN23" s="697" t="n">
        <v>107</v>
      </c>
      <c r="BO23" s="697" t="n">
        <v>72</v>
      </c>
      <c r="BP23" s="697" t="n">
        <v>41</v>
      </c>
      <c r="BQ23" s="697">
        <f>22+CL23</f>
        <v/>
      </c>
      <c r="BR23" s="697" t="n">
        <v>144</v>
      </c>
      <c r="BS23" s="697" t="n">
        <v>134</v>
      </c>
      <c r="BT23" s="697" t="n"/>
      <c r="BU23" s="697" t="n"/>
      <c r="BV23" s="697" t="n"/>
      <c r="BW23" s="697" t="n">
        <v>90</v>
      </c>
      <c r="BX23" s="697" t="n">
        <v>87</v>
      </c>
      <c r="BY23" s="697" t="n">
        <v>86</v>
      </c>
      <c r="BZ23" s="697" t="n">
        <v>85</v>
      </c>
      <c r="CA23" s="699" t="n">
        <v>85</v>
      </c>
      <c r="CB23" s="699" t="n">
        <v>85</v>
      </c>
      <c r="CC23" s="192">
        <f>CA23+IF(NOT(ISBLANK(OFFSET(CC23,0,6))),N(OFFSET(CC23,0,6)),N(OFFSET(CC23,0,7)))-CB23</f>
        <v/>
      </c>
      <c r="CD23" s="50" t="n"/>
      <c r="CE23" s="22" t="n"/>
      <c r="CG23" s="27" t="n"/>
      <c r="CH23" s="23" t="n">
        <v>0</v>
      </c>
      <c r="CI23" s="23" t="n">
        <v>0</v>
      </c>
      <c r="CJ23" s="23" t="n">
        <v>0</v>
      </c>
      <c r="CK23" s="23" t="n"/>
      <c r="CL23" s="219" t="n">
        <v>150</v>
      </c>
      <c r="CM23" s="23" t="n"/>
      <c r="CN23" s="23" t="n">
        <v>150</v>
      </c>
      <c r="CO23" s="23" t="n"/>
      <c r="CP23" s="23" t="n"/>
      <c r="CQ23" s="23" t="n"/>
      <c r="CR23" s="23" t="n">
        <v>150</v>
      </c>
      <c r="CS23" s="23" t="n"/>
      <c r="CT23" s="23" t="n"/>
      <c r="CU23" s="23" t="n"/>
      <c r="CV23" s="23" t="n"/>
      <c r="CW23" s="23" t="n"/>
      <c r="CX23" s="23" t="n"/>
      <c r="DB23" s="326" t="n">
        <v>150</v>
      </c>
      <c r="DI23" s="5" t="n"/>
      <c r="DL23" s="5" t="n"/>
      <c r="DU23" s="5" t="n"/>
      <c r="DX23" s="5" t="n"/>
      <c r="DY23" s="219" t="n">
        <v>25</v>
      </c>
      <c r="EG23" s="292" t="inlineStr">
        <is>
          <t>71 DE MD</t>
        </is>
      </c>
      <c r="EH23" s="5" t="n"/>
      <c r="EK23" s="5" t="n"/>
      <c r="ES23" s="326" t="n">
        <v>200</v>
      </c>
      <c r="FF23" s="66" t="inlineStr">
        <is>
          <t>CARTUCHO M</t>
        </is>
      </c>
      <c r="FG23" s="699" t="n">
        <v>150</v>
      </c>
      <c r="FH23" s="697">
        <f>CJ23</f>
        <v/>
      </c>
      <c r="FI23" s="697" t="n"/>
      <c r="FJ23" s="697" t="n"/>
      <c r="FK23" s="697" t="n">
        <v>119</v>
      </c>
      <c r="FL23" s="697" t="n">
        <v>104</v>
      </c>
      <c r="FM23" s="697" t="n">
        <v>56</v>
      </c>
      <c r="FN23" s="697" t="n">
        <v>54</v>
      </c>
      <c r="FO23" s="699" t="n"/>
      <c r="FP23" s="699" t="n"/>
      <c r="FQ23" s="431">
        <f>FO23+IF(NOT(ISBLANK(OFFSET(FQ23,0,6))),N(OFFSET(FQ23,0,6)),N(OFFSET(FQ23,0,7)))-FP23</f>
        <v/>
      </c>
    </row>
    <row r="24">
      <c r="C24" s="726" t="n"/>
      <c r="D24" s="726" t="n"/>
      <c r="CC24" s="573" t="n"/>
      <c r="CD24" s="50" t="n"/>
      <c r="CH24" s="29" t="n"/>
      <c r="CL24" s="5" t="n"/>
      <c r="DB24" s="327" t="n"/>
      <c r="DI24" s="5" t="n"/>
      <c r="DL24" s="5" t="n"/>
      <c r="DU24" s="5" t="n"/>
      <c r="DX24" s="5" t="n"/>
      <c r="DY24" s="219" t="n"/>
      <c r="EG24" s="292" t="n"/>
      <c r="EH24" s="5" t="n"/>
      <c r="EK24" s="5" t="n"/>
      <c r="ES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46161.48022820602</v>
      </c>
      <c r="CB25" s="747" t="n">
        <v>46161.4808872131</v>
      </c>
      <c r="CC25" s="758" t="inlineStr">
        <is>
          <t>USOU</t>
        </is>
      </c>
      <c r="CD25" s="50" t="n"/>
      <c r="CH25" s="29" t="n"/>
      <c r="CL25" s="5" t="n"/>
      <c r="DB25" s="5" t="n"/>
      <c r="DI25" s="5" t="n"/>
      <c r="DL25" s="5" t="n"/>
      <c r="DU25" s="5" t="n"/>
      <c r="DX25" s="5" t="n"/>
      <c r="DY25" s="219" t="n">
        <v>25</v>
      </c>
      <c r="EG25" s="292" t="inlineStr">
        <is>
          <t>31 DE MD</t>
        </is>
      </c>
      <c r="EH25" s="5" t="n"/>
      <c r="EK25" s="5" t="n"/>
      <c r="ES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27</v>
      </c>
      <c r="G26" s="697" t="n">
        <v>27</v>
      </c>
      <c r="H26" s="697" t="n">
        <v>26</v>
      </c>
      <c r="I26" s="697" t="n">
        <v>24</v>
      </c>
      <c r="J26" s="697" t="n">
        <v>21</v>
      </c>
      <c r="K26" s="697" t="n">
        <v>13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1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192">
        <f>CA26+IF(NOT(ISBLANK(OFFSET(CC26,0,6))),N(OFFSET(CC26,0,6)),N(OFFSET(CC26,0,7)))-CB26</f>
        <v/>
      </c>
      <c r="CD26" s="50" t="n"/>
      <c r="CH26" s="29" t="n"/>
      <c r="CL26" s="5" t="n"/>
      <c r="DB26" s="5" t="n"/>
      <c r="DI26" s="5" t="n"/>
      <c r="DL26" s="5" t="n"/>
      <c r="DU26" s="5" t="n"/>
      <c r="DX26" s="5" t="n"/>
      <c r="DY26" s="219" t="n">
        <v>25</v>
      </c>
      <c r="EG26" s="327" t="n"/>
      <c r="EH26" s="5" t="n"/>
      <c r="EK26" s="5" t="n"/>
      <c r="EP26" s="327" t="n"/>
      <c r="ES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220</v>
      </c>
      <c r="G27" s="697" t="n">
        <v>220</v>
      </c>
      <c r="H27" s="697" t="n">
        <v>174</v>
      </c>
      <c r="I27" s="697" t="n">
        <v>174</v>
      </c>
      <c r="J27" s="697" t="n">
        <v>174</v>
      </c>
      <c r="K27" s="697" t="n">
        <v>174</v>
      </c>
      <c r="L27" s="697" t="n">
        <v>168</v>
      </c>
      <c r="M27" s="697" t="n">
        <v>161</v>
      </c>
      <c r="N27" s="697" t="n">
        <v>161</v>
      </c>
      <c r="O27" s="697" t="n">
        <v>160</v>
      </c>
      <c r="P27" s="697" t="n">
        <v>156</v>
      </c>
      <c r="Q27" s="697" t="n">
        <v>155</v>
      </c>
      <c r="R27" s="697" t="n">
        <v>154</v>
      </c>
      <c r="S27" s="697" t="n">
        <v>154</v>
      </c>
      <c r="T27" s="697" t="n">
        <v>151</v>
      </c>
      <c r="U27" s="697" t="n">
        <v>53</v>
      </c>
      <c r="V27" s="697" t="n">
        <v>53</v>
      </c>
      <c r="W27" s="697" t="n">
        <v>53</v>
      </c>
      <c r="X27" s="697" t="n">
        <v>53</v>
      </c>
      <c r="Y27" s="697" t="n">
        <v>53</v>
      </c>
      <c r="Z27" s="697" t="n">
        <v>108</v>
      </c>
      <c r="AA27" s="697" t="n">
        <v>148</v>
      </c>
      <c r="AB27" s="697" t="n">
        <v>147</v>
      </c>
      <c r="AC27" s="697" t="n">
        <v>147</v>
      </c>
      <c r="AD27" s="697" t="n">
        <v>139</v>
      </c>
      <c r="AE27" s="697" t="n">
        <v>135</v>
      </c>
      <c r="AF27" s="697" t="n">
        <v>135</v>
      </c>
      <c r="AG27" s="697" t="n">
        <v>126</v>
      </c>
      <c r="AH27" s="697" t="n">
        <v>130</v>
      </c>
      <c r="AI27" s="697" t="n">
        <v>130</v>
      </c>
      <c r="AJ27" s="697" t="n">
        <v>118</v>
      </c>
      <c r="AK27" s="697" t="n">
        <v>117</v>
      </c>
      <c r="AL27" s="697" t="n">
        <v>117</v>
      </c>
      <c r="AM27" s="697" t="n">
        <v>117</v>
      </c>
      <c r="AN27" s="697" t="n">
        <v>97</v>
      </c>
      <c r="AO27" s="314" t="n">
        <v>105</v>
      </c>
      <c r="AP27" s="697" t="n">
        <v>100</v>
      </c>
      <c r="AQ27" s="697" t="n">
        <v>100</v>
      </c>
      <c r="AR27" s="697" t="n">
        <v>100</v>
      </c>
      <c r="AS27" s="697" t="n">
        <v>100</v>
      </c>
      <c r="AT27" s="697" t="n">
        <v>79</v>
      </c>
      <c r="AU27" s="697" t="n">
        <v>76</v>
      </c>
      <c r="AV27" s="697" t="n">
        <v>73</v>
      </c>
      <c r="AW27" s="697" t="n">
        <v>79</v>
      </c>
      <c r="AX27" s="697" t="n">
        <v>66</v>
      </c>
      <c r="AY27" s="697" t="n">
        <v>66</v>
      </c>
      <c r="AZ27" s="697" t="n">
        <v>66</v>
      </c>
      <c r="BA27" s="697" t="n">
        <v>68</v>
      </c>
      <c r="BB27" s="697" t="n">
        <v>68</v>
      </c>
      <c r="BC27" s="697" t="n">
        <v>68</v>
      </c>
      <c r="BD27" s="697" t="n">
        <v>68</v>
      </c>
      <c r="BE27" s="697" t="n">
        <v>68</v>
      </c>
      <c r="BF27" s="697" t="n">
        <v>68</v>
      </c>
      <c r="BG27" s="697" t="n">
        <v>68</v>
      </c>
      <c r="BH27" s="697" t="n">
        <v>68</v>
      </c>
      <c r="BI27" s="697" t="n">
        <v>68</v>
      </c>
      <c r="BJ27" s="697" t="n">
        <v>68</v>
      </c>
      <c r="BK27" s="697" t="n">
        <v>100</v>
      </c>
      <c r="BL27" s="697" t="n">
        <v>100</v>
      </c>
      <c r="BM27" s="697" t="n">
        <v>64</v>
      </c>
      <c r="BN27" s="697" t="n">
        <v>63</v>
      </c>
      <c r="BO27" s="697" t="n">
        <v>63</v>
      </c>
      <c r="BP27" s="697" t="n">
        <v>63</v>
      </c>
      <c r="BQ27" s="697" t="n">
        <v>62</v>
      </c>
      <c r="BR27" s="697" t="n">
        <v>62</v>
      </c>
      <c r="BS27" s="697" t="n">
        <v>60</v>
      </c>
      <c r="BT27" s="697" t="n">
        <v>60</v>
      </c>
      <c r="BU27" s="697" t="n">
        <v>60</v>
      </c>
      <c r="BV27" s="697" t="n">
        <v>60</v>
      </c>
      <c r="BW27" s="697" t="n">
        <v>60</v>
      </c>
      <c r="BX27" s="697" t="n">
        <v>60</v>
      </c>
      <c r="BY27" s="697" t="n">
        <v>66</v>
      </c>
      <c r="BZ27" s="697" t="n">
        <v>66</v>
      </c>
      <c r="CA27" s="699" t="n">
        <v>66</v>
      </c>
      <c r="CB27" s="699" t="n">
        <v>66</v>
      </c>
      <c r="CC27" s="192">
        <f>CA27+IF(NOT(ISBLANK(OFFSET(CC27,0,6))),N(OFFSET(CC27,0,6)),N(OFFSET(CC27,0,7)))-CB27</f>
        <v/>
      </c>
      <c r="CD27" s="50" t="n"/>
      <c r="CH27" s="29" t="n"/>
      <c r="CL27" s="5" t="n"/>
      <c r="DB27" s="5" t="n"/>
      <c r="DI27" s="5" t="n"/>
      <c r="DL27" s="5" t="n"/>
      <c r="DU27" s="5" t="n"/>
      <c r="DX27" s="5" t="n"/>
      <c r="DY27" s="5" t="n"/>
      <c r="EG27" s="327" t="n"/>
      <c r="EH27" s="5" t="n"/>
      <c r="EK27" s="5" t="n"/>
      <c r="EP27" s="327" t="n"/>
      <c r="ES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17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192">
        <f>CA28+IF(NOT(ISBLANK(OFFSET(CC28,0,6))),N(OFFSET(CC28,0,6)),N(OFFSET(CC28,0,7)))-CB28</f>
        <v/>
      </c>
      <c r="CD28" s="50" t="n"/>
      <c r="CH28" s="29" t="n"/>
      <c r="CL28" s="5" t="n"/>
      <c r="DB28" s="5" t="n"/>
      <c r="DI28" s="5" t="n"/>
      <c r="DL28" s="5" t="n"/>
      <c r="DU28" s="5" t="n"/>
      <c r="DX28" s="5" t="n"/>
      <c r="DY28" s="5" t="n"/>
      <c r="EG28" s="327" t="n"/>
      <c r="EH28" s="5" t="n"/>
      <c r="EK28" s="5" t="n"/>
      <c r="EP28" s="327" t="n"/>
      <c r="ES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87</v>
      </c>
      <c r="G29" s="699" t="n">
        <v>64</v>
      </c>
      <c r="H29" s="697" t="n">
        <v>50</v>
      </c>
      <c r="I29" s="697" t="n">
        <v>36</v>
      </c>
      <c r="J29" s="697" t="n">
        <v>23</v>
      </c>
      <c r="K29" s="697" t="n">
        <v>13</v>
      </c>
      <c r="L29" s="697" t="n">
        <v>5</v>
      </c>
      <c r="M29" s="697" t="n">
        <v>1</v>
      </c>
      <c r="N29" s="697" t="n">
        <v>1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192">
        <f>CA29+IF(NOT(ISBLANK(OFFSET(CC29,0,6))),N(OFFSET(CC29,0,6)),N(OFFSET(CC29,0,7)))-CB29</f>
        <v/>
      </c>
      <c r="CD29" s="50" t="n"/>
      <c r="CH29" s="29" t="n"/>
      <c r="CL29" s="5" t="n"/>
      <c r="DB29" s="5" t="n"/>
      <c r="DI29" s="5" t="n"/>
      <c r="DL29" s="5" t="n"/>
      <c r="DU29" s="5" t="n"/>
      <c r="DX29" s="5" t="n"/>
      <c r="DY29" s="5" t="n"/>
      <c r="EG29" s="327" t="n"/>
      <c r="EH29" s="5" t="n"/>
      <c r="EK29" s="5" t="n"/>
      <c r="EP29" s="327" t="n"/>
      <c r="ES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192">
        <f>CA30+IF(NOT(ISBLANK(OFFSET(CC30,0,6))),N(OFFSET(CC30,0,6)),N(OFFSET(CC30,0,7)))-CB30</f>
        <v/>
      </c>
      <c r="CD30" s="50" t="n"/>
      <c r="CH30" s="29" t="n"/>
      <c r="CL30" s="5" t="n"/>
      <c r="DB30" s="5" t="n"/>
      <c r="DU30" s="5" t="n"/>
      <c r="DX30" s="5" t="n"/>
      <c r="DY30" s="5" t="n"/>
      <c r="EG30" s="327" t="n"/>
      <c r="EP30" s="327" t="n"/>
      <c r="ES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3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192">
        <f>CA31+IF(NOT(ISBLANK(OFFSET(CC31,0,6))),N(OFFSET(CC31,0,6)),N(OFFSET(CC31,0,7)))-CB31</f>
        <v/>
      </c>
      <c r="CD31" s="50" t="n"/>
      <c r="CH31" s="29" t="n"/>
      <c r="CL31" s="5" t="n"/>
      <c r="DB31" s="5" t="n"/>
      <c r="DU31" s="5" t="n"/>
      <c r="DX31" s="5" t="n"/>
      <c r="DY31" s="5" t="n"/>
      <c r="EG31" s="327" t="n"/>
      <c r="EP31" s="327" t="n"/>
      <c r="ES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</v>
      </c>
      <c r="G32" s="699" t="n">
        <v>1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192">
        <f>CA32+IF(NOT(ISBLANK(OFFSET(CC32,0,6))),N(OFFSET(CC32,0,6)),N(OFFSET(CC32,0,7)))-CB32</f>
        <v/>
      </c>
      <c r="CD32" s="50" t="n"/>
      <c r="CH32" s="29" t="n"/>
      <c r="CL32" s="5" t="n"/>
      <c r="DB32" s="5" t="n"/>
      <c r="DU32" s="5" t="n"/>
      <c r="DX32" s="5" t="n"/>
      <c r="DY32" s="5" t="n"/>
      <c r="EG32" s="327" t="n"/>
      <c r="EP32" s="327" t="n"/>
      <c r="ES32" s="327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697" t="n"/>
      <c r="CA33" s="699" t="n"/>
      <c r="CB33" s="699" t="n"/>
      <c r="CC33" s="192">
        <f>CA33+IF(NOT(ISBLANK(OFFSET(CC33,0,6))),N(OFFSET(CC33,0,6)),N(OFFSET(CC33,0,7)))-CB33</f>
        <v/>
      </c>
      <c r="CD33" s="50" t="n"/>
      <c r="CH33" s="29" t="n"/>
      <c r="CL33" s="5" t="n"/>
      <c r="DB33" s="5" t="n"/>
      <c r="DU33" s="5" t="n"/>
      <c r="DX33" s="5" t="n"/>
      <c r="DY33" s="5" t="n"/>
      <c r="EG33" s="327" t="n"/>
      <c r="EP33" s="327" t="n"/>
      <c r="ES33" s="327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192">
        <f>CA34+IF(NOT(ISBLANK(OFFSET(CC34,0,6))),N(OFFSET(CC34,0,6)),N(OFFSET(CC34,0,7)))-CB34</f>
        <v/>
      </c>
      <c r="CD34" s="50" t="n"/>
      <c r="CH34" s="29" t="n"/>
      <c r="CL34" s="5" t="n"/>
      <c r="DB34" s="5" t="n"/>
      <c r="DU34" s="5" t="n"/>
      <c r="DX34" s="5" t="n"/>
      <c r="DY34" s="5" t="n"/>
      <c r="EG34" s="327" t="n"/>
      <c r="EP34" s="327" t="n"/>
      <c r="ES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80</v>
      </c>
      <c r="AA35" s="699" t="n">
        <v>65</v>
      </c>
      <c r="AB35" s="699" t="n">
        <v>46</v>
      </c>
      <c r="AC35" s="699" t="n">
        <v>34</v>
      </c>
      <c r="AD35" s="699" t="n">
        <v>6</v>
      </c>
      <c r="AE35" s="699" t="n">
        <v>0</v>
      </c>
      <c r="AF35" s="699" t="n">
        <v>0</v>
      </c>
      <c r="AG35" s="699" t="n">
        <v>0</v>
      </c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192">
        <f>CA35+IF(NOT(ISBLANK(OFFSET(CC35,0,6))),N(OFFSET(CC35,0,6)),N(OFFSET(CC35,0,7)))-CB35</f>
        <v/>
      </c>
      <c r="CD35" s="50" t="n"/>
      <c r="CH35" s="29" t="n"/>
      <c r="CL35" s="5" t="n"/>
      <c r="DB35" s="5" t="n"/>
      <c r="DU35" s="5" t="n"/>
      <c r="DX35" s="5" t="n"/>
      <c r="DY35" s="5" t="n"/>
      <c r="EG35" s="327" t="n"/>
      <c r="EP35" s="327" t="n"/>
      <c r="ES35" s="327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36</v>
      </c>
      <c r="AA36" s="699" t="n">
        <v>25</v>
      </c>
      <c r="AB36" s="699" t="n">
        <v>20</v>
      </c>
      <c r="AC36" s="699" t="n">
        <v>16</v>
      </c>
      <c r="AD36" s="699" t="n">
        <v>5</v>
      </c>
      <c r="AE36" s="699" t="n">
        <v>1</v>
      </c>
      <c r="AF36" s="699" t="n">
        <v>2</v>
      </c>
      <c r="AG36" s="699" t="n">
        <v>2</v>
      </c>
      <c r="AH36" s="699" t="n">
        <v>2</v>
      </c>
      <c r="AI36" s="699" t="n">
        <v>2</v>
      </c>
      <c r="AJ36" s="699" t="n">
        <v>1</v>
      </c>
      <c r="AK36" s="699" t="n">
        <v>0</v>
      </c>
      <c r="AL36" s="699" t="n">
        <v>0</v>
      </c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192">
        <f>CA36+IF(NOT(ISBLANK(OFFSET(CC36,0,6))),N(OFFSET(CC36,0,6)),N(OFFSET(CC36,0,7)))-CB36</f>
        <v/>
      </c>
      <c r="CD36" s="50" t="n"/>
      <c r="CH36" s="29" t="n"/>
      <c r="CL36" s="5" t="n"/>
      <c r="DB36" s="5" t="n"/>
      <c r="DU36" s="5" t="n"/>
      <c r="DX36" s="5" t="n"/>
      <c r="DY36" s="5" t="n"/>
      <c r="EG36" s="327" t="n"/>
      <c r="EP36" s="327" t="n"/>
      <c r="ES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192">
        <f>CA37+IF(NOT(ISBLANK(OFFSET(CC37,0,6))),N(OFFSET(CC37,0,6)),N(OFFSET(CC37,0,7)))-CB37</f>
        <v/>
      </c>
      <c r="CD37" s="50" t="n"/>
      <c r="CH37" s="29" t="n"/>
      <c r="CL37" s="5" t="n"/>
      <c r="DB37" s="5" t="n"/>
      <c r="DU37" s="5" t="n"/>
      <c r="DX37" s="5" t="n"/>
      <c r="DY37" s="5" t="n"/>
      <c r="EG37" s="327" t="n"/>
      <c r="EP37" s="327" t="n"/>
      <c r="ES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18" t="n">
        <v>-5</v>
      </c>
      <c r="AA38" s="699">
        <f>0+71</f>
        <v/>
      </c>
      <c r="AB38" s="699" t="n">
        <v>63</v>
      </c>
      <c r="AC38" s="699" t="n">
        <v>38</v>
      </c>
      <c r="AD38" s="218" t="n">
        <v>-1</v>
      </c>
      <c r="AE38" s="218" t="n">
        <v>-2</v>
      </c>
      <c r="AF38" s="699" t="n">
        <v>0</v>
      </c>
      <c r="AG38" s="699" t="n">
        <v>0</v>
      </c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192">
        <f>CA38+IF(NOT(ISBLANK(OFFSET(CC38,0,6))),N(OFFSET(CC38,0,6)),N(OFFSET(CC38,0,7)))-CB38</f>
        <v/>
      </c>
      <c r="CD38" s="50" t="n"/>
      <c r="CH38" s="29" t="n"/>
      <c r="CL38" s="5" t="n"/>
      <c r="DB38" s="5" t="n"/>
      <c r="DU38" s="5" t="n"/>
      <c r="DX38" s="5" t="n"/>
      <c r="DY38" s="5" t="n"/>
      <c r="EG38" s="327" t="n"/>
      <c r="EP38" s="327" t="n"/>
      <c r="ES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>
        <f>1+31</f>
        <v/>
      </c>
      <c r="AB39" s="699" t="n">
        <v>23</v>
      </c>
      <c r="AC39" s="699" t="n">
        <v>9</v>
      </c>
      <c r="AD39" s="218" t="n">
        <v>-2</v>
      </c>
      <c r="AE39" s="218" t="n">
        <v>-2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192">
        <f>CA39+IF(NOT(ISBLANK(OFFSET(CC39,0,6))),N(OFFSET(CC39,0,6)),N(OFFSET(CC39,0,7)))-CB39</f>
        <v/>
      </c>
      <c r="CD39" s="50" t="n"/>
      <c r="CH39" s="29" t="n"/>
      <c r="CL39" s="51" t="n"/>
      <c r="DB39" s="5" t="n"/>
      <c r="DU39" s="5" t="n"/>
      <c r="DX39" s="5" t="n"/>
      <c r="DY39" s="5" t="n"/>
      <c r="EG39" s="327" t="n"/>
      <c r="EP39" s="327" t="n"/>
      <c r="ES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699" t="n"/>
      <c r="AC40" s="699" t="n"/>
      <c r="AD40" s="218" t="n"/>
      <c r="AE40" s="218" t="n"/>
      <c r="AF40" s="699" t="n">
        <v>1</v>
      </c>
      <c r="AG40" s="699" t="n">
        <v>0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192">
        <f>CA40+IF(NOT(ISBLANK(OFFSET(CC40,0,6))),N(OFFSET(CC40,0,6)),N(OFFSET(CC40,0,7)))-CB40</f>
        <v/>
      </c>
      <c r="CD40" s="50" t="n"/>
      <c r="CH40" s="29" t="n"/>
      <c r="CL40" s="51" t="n"/>
      <c r="DB40" s="5" t="n"/>
      <c r="DU40" s="5" t="n"/>
      <c r="DX40" s="5" t="n"/>
      <c r="DY40" s="5" t="n"/>
      <c r="EG40" s="327" t="n"/>
      <c r="EP40" s="327" t="n"/>
      <c r="ES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428" t="n"/>
      <c r="AE41" s="428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11</v>
      </c>
      <c r="AP41" s="699" t="n">
        <v>9</v>
      </c>
      <c r="AQ41" s="699" t="n">
        <v>8</v>
      </c>
      <c r="AR41" s="699" t="n">
        <v>7</v>
      </c>
      <c r="AS41" s="699" t="n">
        <v>6</v>
      </c>
      <c r="AT41" s="699" t="n">
        <v>5</v>
      </c>
      <c r="AU41" s="699" t="n">
        <v>5</v>
      </c>
      <c r="AV41" s="699" t="n">
        <v>5</v>
      </c>
      <c r="AW41" s="699" t="n">
        <v>5</v>
      </c>
      <c r="AX41" s="699" t="n">
        <v>3</v>
      </c>
      <c r="AY41" s="699" t="n">
        <v>2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0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192">
        <f>CA41+IF(NOT(ISBLANK(OFFSET(CC41,0,6))),N(OFFSET(CC41,0,6)),N(OFFSET(CC41,0,7)))-CB41</f>
        <v/>
      </c>
      <c r="CD41" s="50" t="n"/>
      <c r="CH41" s="29" t="n"/>
      <c r="CL41" s="573" t="n"/>
      <c r="DB41" s="5" t="n"/>
      <c r="DU41" s="5" t="n"/>
      <c r="DX41" s="5" t="n"/>
      <c r="DY41" s="5" t="n"/>
      <c r="EG41" s="327" t="n"/>
      <c r="EP41" s="327" t="n"/>
      <c r="ES41" s="327" t="n"/>
      <c r="FF41" s="573" t="n"/>
      <c r="FG41" s="573" t="n"/>
      <c r="FH41" s="573" t="n"/>
      <c r="FI41" s="573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428" t="n"/>
      <c r="AE42" s="428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6</v>
      </c>
      <c r="AP42" s="699" t="n">
        <v>2</v>
      </c>
      <c r="AQ42" s="699" t="n">
        <v>0</v>
      </c>
      <c r="AR42" s="699" t="n">
        <v>-3</v>
      </c>
      <c r="AS42" s="699" t="n">
        <v>-3</v>
      </c>
      <c r="AT42" s="699" t="n">
        <v>-4</v>
      </c>
      <c r="AU42" s="699" t="n">
        <v>7</v>
      </c>
      <c r="AV42" s="699" t="n">
        <v>7</v>
      </c>
      <c r="AW42" s="699" t="n">
        <v>7</v>
      </c>
      <c r="AX42" s="699" t="n">
        <v>7</v>
      </c>
      <c r="AY42" s="699" t="n">
        <v>2</v>
      </c>
      <c r="AZ42" s="699" t="n">
        <v>1</v>
      </c>
      <c r="BA42" s="699" t="n">
        <v>1</v>
      </c>
      <c r="BB42" s="699" t="n">
        <v>1</v>
      </c>
      <c r="BC42" s="699" t="n">
        <v>1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192">
        <f>CA42+IF(NOT(ISBLANK(OFFSET(CC42,0,6))),N(OFFSET(CC42,0,6)),N(OFFSET(CC42,0,7)))-CB42</f>
        <v/>
      </c>
      <c r="CD42" s="50" t="n"/>
      <c r="CH42" s="29" t="n"/>
      <c r="CL42" s="573" t="n"/>
      <c r="DB42" s="5" t="n"/>
      <c r="DU42" s="5" t="n"/>
      <c r="DX42" s="5" t="n"/>
      <c r="DY42" s="5" t="n"/>
      <c r="EG42" s="327" t="n"/>
      <c r="EP42" s="327" t="n"/>
      <c r="ES42" s="327" t="n"/>
      <c r="FF42" s="573" t="n"/>
      <c r="FG42" s="573" t="n"/>
      <c r="FH42" s="573" t="n"/>
      <c r="FI42" s="573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428" t="n"/>
      <c r="AE43" s="428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7</v>
      </c>
      <c r="AP43" s="699" t="n">
        <v>7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192">
        <f>CA43+IF(NOT(ISBLANK(OFFSET(CC43,0,6))),N(OFFSET(CC43,0,6)),N(OFFSET(CC43,0,7)))-CB43</f>
        <v/>
      </c>
      <c r="CD43" s="50" t="n"/>
      <c r="CH43" s="29" t="n"/>
      <c r="CL43" s="573" t="n"/>
      <c r="DB43" s="5" t="n"/>
      <c r="DU43" s="5" t="n"/>
      <c r="DX43" s="5" t="n"/>
      <c r="DY43" s="5" t="n"/>
      <c r="EG43" s="327" t="n"/>
      <c r="EP43" s="327" t="n"/>
      <c r="ES43" s="327" t="n"/>
      <c r="FF43" s="573" t="n"/>
      <c r="FG43" s="573" t="n"/>
      <c r="FH43" s="573" t="n"/>
      <c r="FI43" s="573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428" t="n"/>
      <c r="AE44" s="428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8</v>
      </c>
      <c r="AP44" s="699" t="n">
        <v>8</v>
      </c>
      <c r="AQ44" s="699" t="n">
        <v>2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192">
        <f>CA44+IF(NOT(ISBLANK(OFFSET(CC44,0,6))),N(OFFSET(CC44,0,6)),N(OFFSET(CC44,0,7)))-CB44</f>
        <v/>
      </c>
      <c r="CD44" s="50" t="n"/>
      <c r="CH44" s="29" t="n"/>
      <c r="CL44" s="573" t="n"/>
      <c r="DB44" s="5" t="n"/>
      <c r="DU44" s="5" t="n"/>
      <c r="DX44" s="5" t="n"/>
      <c r="DY44" s="5" t="n"/>
      <c r="EG44" s="327" t="n"/>
      <c r="EP44" s="327" t="n"/>
      <c r="ES44" s="327" t="n"/>
      <c r="FF44" s="573" t="n"/>
      <c r="FG44" s="573" t="n"/>
      <c r="FH44" s="573" t="n"/>
      <c r="FI44" s="573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428" t="n"/>
      <c r="AE45" s="428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2</v>
      </c>
      <c r="AR45" s="699" t="n">
        <v>1</v>
      </c>
      <c r="AS45" s="699" t="n">
        <v>1</v>
      </c>
      <c r="AT45" s="699" t="n">
        <v>1</v>
      </c>
      <c r="AU45" s="699" t="n">
        <v>0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192">
        <f>CA45+IF(NOT(ISBLANK(OFFSET(CC45,0,6))),N(OFFSET(CC45,0,6)),N(OFFSET(CC45,0,7)))-CB45</f>
        <v/>
      </c>
      <c r="CD45" s="50" t="n"/>
      <c r="CH45" s="29" t="n"/>
      <c r="DB45" s="51" t="n"/>
      <c r="DU45" s="5" t="n"/>
      <c r="DX45" s="5" t="n"/>
      <c r="DY45" s="5" t="n"/>
      <c r="EG45" s="327" t="n"/>
      <c r="EP45" s="327" t="n"/>
      <c r="ES45" s="327" t="n"/>
    </row>
    <row r="46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78</v>
      </c>
      <c r="BE46" s="699" t="n">
        <v>59</v>
      </c>
      <c r="BF46" s="699" t="n">
        <v>27</v>
      </c>
      <c r="BG46" s="699" t="n">
        <v>15</v>
      </c>
      <c r="BH46" s="699" t="n">
        <v>5</v>
      </c>
      <c r="BI46" s="699" t="n">
        <v>2</v>
      </c>
      <c r="BJ46" s="699" t="n">
        <v>-2</v>
      </c>
      <c r="BK46" s="699" t="n">
        <v>-4</v>
      </c>
      <c r="BL46" s="699" t="n">
        <v>-4</v>
      </c>
      <c r="BM46" s="699" t="n">
        <v>-4</v>
      </c>
      <c r="BN46" s="699" t="n">
        <v>-4</v>
      </c>
      <c r="BO46" s="699" t="n">
        <v>-4</v>
      </c>
      <c r="BP46" s="699" t="n">
        <v>-5</v>
      </c>
      <c r="BQ46" s="699" t="n">
        <v>2</v>
      </c>
      <c r="BR46" s="699" t="n">
        <v>2</v>
      </c>
      <c r="BS46" s="699" t="n">
        <v>2</v>
      </c>
      <c r="BT46" s="699" t="n"/>
      <c r="BU46" s="699" t="n"/>
      <c r="BV46" s="699" t="n"/>
      <c r="BW46" s="699" t="n">
        <v>0</v>
      </c>
      <c r="BX46" s="218" t="n">
        <v>4</v>
      </c>
      <c r="BY46" s="699" t="n">
        <v>7</v>
      </c>
      <c r="BZ46" s="699" t="n">
        <v>4</v>
      </c>
      <c r="CA46" s="699" t="n">
        <v>4</v>
      </c>
      <c r="CB46" s="699" t="n">
        <v>4</v>
      </c>
      <c r="CC46" s="192">
        <f>CA46+IF(NOT(ISBLANK(OFFSET(CC46,0,6))),N(OFFSET(CC46,0,6)),N(OFFSET(CC46,0,7)))-CB46</f>
        <v/>
      </c>
      <c r="CD46" s="50" t="n"/>
      <c r="CG46" s="51" t="n"/>
      <c r="CH46" s="29" t="n"/>
      <c r="DB46" s="51" t="n"/>
      <c r="DU46" s="5" t="n"/>
      <c r="DX46" s="5" t="n"/>
      <c r="DY46" s="51" t="n"/>
      <c r="EG46" s="327" t="n"/>
      <c r="EH46" s="173" t="n"/>
      <c r="EK46" s="173" t="n"/>
      <c r="EP46" s="327" t="n"/>
      <c r="ES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221</v>
      </c>
      <c r="BE47" s="699" t="n">
        <v>172</v>
      </c>
      <c r="BF47" s="699" t="n">
        <v>85</v>
      </c>
      <c r="BG47" s="699" t="n">
        <v>76</v>
      </c>
      <c r="BH47" s="699" t="n">
        <v>69</v>
      </c>
      <c r="BI47" s="699" t="n">
        <v>59</v>
      </c>
      <c r="BJ47" s="699" t="n">
        <v>56</v>
      </c>
      <c r="BK47" s="699" t="n">
        <v>50</v>
      </c>
      <c r="BL47" s="699" t="n">
        <v>-9</v>
      </c>
      <c r="BM47" s="699" t="n">
        <v>-9</v>
      </c>
      <c r="BN47" s="699" t="n">
        <v>-9</v>
      </c>
      <c r="BO47" s="699" t="n">
        <v>-9</v>
      </c>
      <c r="BP47" s="699" t="n">
        <v>-9</v>
      </c>
      <c r="BQ47" s="699" t="n">
        <v>10</v>
      </c>
      <c r="BR47" s="699" t="n">
        <v>10</v>
      </c>
      <c r="BS47" s="699" t="n">
        <v>9</v>
      </c>
      <c r="BT47" s="699" t="n"/>
      <c r="BU47" s="699" t="n"/>
      <c r="BV47" s="699" t="n"/>
      <c r="BW47" s="699" t="n">
        <v>7</v>
      </c>
      <c r="BX47" s="699" t="n">
        <v>7</v>
      </c>
      <c r="BY47" s="699" t="n">
        <v>0</v>
      </c>
      <c r="BZ47" s="699" t="n">
        <v>7</v>
      </c>
      <c r="CA47" s="699" t="n">
        <v>7</v>
      </c>
      <c r="CB47" s="699" t="n">
        <v>7</v>
      </c>
      <c r="CC47" s="192">
        <f>CA47+IF(NOT(ISBLANK(OFFSET(CC47,0,6))),N(OFFSET(CC47,0,6)),N(OFFSET(CC47,0,7)))-CB47</f>
        <v/>
      </c>
      <c r="CD47" s="50" t="n"/>
      <c r="CG47" s="51" t="n"/>
      <c r="CH47" s="29" t="n"/>
      <c r="CL47" s="5" t="n"/>
      <c r="DB47" s="51" t="n"/>
      <c r="DU47" s="5" t="n"/>
      <c r="DX47" s="5" t="n"/>
      <c r="DY47" s="51" t="n"/>
      <c r="EG47" s="327" t="n"/>
      <c r="EH47" s="173" t="n"/>
      <c r="EK47" s="173" t="n"/>
      <c r="EP47" s="327" t="n"/>
      <c r="ES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217</v>
      </c>
      <c r="BE48" s="699" t="n">
        <v>65</v>
      </c>
      <c r="BF48" s="699" t="n">
        <v>6</v>
      </c>
      <c r="BG48" s="699" t="n">
        <v>5</v>
      </c>
      <c r="BH48" s="699" t="n">
        <v>0</v>
      </c>
      <c r="BI48" s="699" t="n">
        <v>0</v>
      </c>
      <c r="BJ48" s="699" t="n">
        <v>0</v>
      </c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699" t="n"/>
      <c r="CB48" s="699" t="n"/>
      <c r="CC48" s="192">
        <f>CA48+IF(NOT(ISBLANK(OFFSET(CC48,0,6))),N(OFFSET(CC48,0,6)),N(OFFSET(CC48,0,7)))-CB48</f>
        <v/>
      </c>
      <c r="CD48" s="50" t="n"/>
      <c r="CG48" s="51" t="n"/>
      <c r="CH48" s="29" t="n"/>
      <c r="DB48" s="51" t="n"/>
      <c r="DU48" s="5" t="n"/>
      <c r="DX48" s="5" t="n"/>
      <c r="DY48" s="51" t="n"/>
      <c r="EG48" s="327" t="n"/>
      <c r="EH48" s="173" t="n"/>
      <c r="EK48" s="173" t="n"/>
      <c r="EP48" s="327" t="n"/>
      <c r="ES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74</v>
      </c>
      <c r="BE49" s="699" t="n">
        <v>20</v>
      </c>
      <c r="BF49" s="699" t="n">
        <v>-7</v>
      </c>
      <c r="BG49" s="699" t="n">
        <v>-8</v>
      </c>
      <c r="BH49" s="699" t="n">
        <v>0</v>
      </c>
      <c r="BI49" s="699" t="n">
        <v>0</v>
      </c>
      <c r="BJ49" s="699" t="n">
        <v>0</v>
      </c>
      <c r="BK49" s="699" t="n"/>
      <c r="BL49" s="699" t="n"/>
      <c r="BM49" s="699" t="n"/>
      <c r="BN49" s="699" t="n"/>
      <c r="BO49" s="699" t="n"/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192">
        <f>CA49+IF(NOT(ISBLANK(OFFSET(CC49,0,6))),N(OFFSET(CC49,0,6)),N(OFFSET(CC49,0,7)))-CB49</f>
        <v/>
      </c>
      <c r="CD49" s="50" t="n"/>
      <c r="CG49" s="51" t="n"/>
      <c r="CH49" s="29" t="n"/>
      <c r="DB49" s="51" t="n"/>
      <c r="DU49" s="5" t="n"/>
      <c r="DX49" s="5" t="n"/>
      <c r="DY49" s="51" t="n"/>
      <c r="EG49" s="327" t="n"/>
      <c r="EH49" s="173" t="n"/>
      <c r="EK49" s="173" t="n"/>
      <c r="EP49" s="327" t="n"/>
      <c r="ES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/>
      <c r="BG50" s="699" t="n">
        <v>0</v>
      </c>
      <c r="BH50" s="699" t="n">
        <v>0</v>
      </c>
      <c r="BI50" s="699" t="n">
        <v>0</v>
      </c>
      <c r="BJ50" s="699" t="n">
        <v>0</v>
      </c>
      <c r="BK50" s="699" t="n"/>
      <c r="BL50" s="699" t="n"/>
      <c r="BM50" s="699" t="n"/>
      <c r="BN50" s="699" t="n"/>
      <c r="BO50" s="699" t="n"/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192">
        <f>CA50+IF(NOT(ISBLANK(OFFSET(CC50,0,6))),N(OFFSET(CC50,0,6)),N(OFFSET(CC50,0,7)))-CB50</f>
        <v/>
      </c>
      <c r="CD50" s="50" t="n"/>
      <c r="CG50" s="51" t="n"/>
      <c r="CH50" s="29" t="n"/>
      <c r="DB50" s="51" t="n"/>
      <c r="DU50" s="5" t="n"/>
      <c r="DX50" s="5" t="n"/>
      <c r="DY50" s="51" t="n"/>
      <c r="EG50" s="327" t="n"/>
      <c r="EH50" s="173" t="n"/>
      <c r="EK50" s="173" t="n"/>
      <c r="EP50" s="327" t="n"/>
      <c r="ES50" s="327" t="n"/>
    </row>
    <row r="51">
      <c r="C51" s="726" t="n"/>
      <c r="D51" s="726" t="n"/>
      <c r="CC51" s="573" t="n"/>
      <c r="CD51" s="50" t="n"/>
      <c r="CG51" s="51" t="n"/>
      <c r="CH51" s="29" t="n"/>
      <c r="DB51" s="51" t="n"/>
      <c r="DU51" s="5" t="n"/>
      <c r="DX51" s="5" t="n"/>
      <c r="DY51" s="51" t="n"/>
      <c r="EG51" s="327" t="n"/>
      <c r="EH51" s="173" t="n"/>
      <c r="EK51" s="173" t="n"/>
      <c r="EP51" s="327" t="n"/>
      <c r="ES51" s="327" t="n"/>
    </row>
    <row r="52" ht="21" customHeight="1">
      <c r="A52" s="380" t="inlineStr">
        <is>
          <t>SOBRAS DATAS COMEMORATIVAS</t>
        </is>
      </c>
      <c r="B52" s="380" t="n"/>
      <c r="C52" s="380" t="n"/>
      <c r="CC52" s="573" t="n"/>
      <c r="CD52" s="50" t="n"/>
      <c r="CG52" s="51" t="n"/>
      <c r="CH52" s="29" t="n"/>
      <c r="DB52" s="573" t="n"/>
      <c r="DI52" s="173" t="n"/>
      <c r="DL52" s="173" t="n"/>
      <c r="DU52" s="51" t="n"/>
      <c r="DX52" s="51" t="n"/>
      <c r="DY52" s="51" t="n"/>
      <c r="EG52" s="327" t="n"/>
      <c r="EH52" s="174" t="n"/>
      <c r="EK52" s="174" t="n"/>
      <c r="EP52" s="327" t="n"/>
      <c r="ES52" s="327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0" t="n"/>
      <c r="CE53" s="51" t="n"/>
      <c r="CF53" s="573" t="n"/>
      <c r="CG53" s="51" t="n"/>
      <c r="CH53" s="29" t="n"/>
      <c r="DB53" s="573" t="n"/>
      <c r="DE53" s="59" t="n"/>
      <c r="DI53" s="174" t="n"/>
      <c r="DK53" s="59" t="n"/>
      <c r="DL53" s="174" t="n"/>
      <c r="DM53" s="59" t="n"/>
      <c r="DN53" s="59" t="n"/>
      <c r="DO53" s="59" t="n"/>
      <c r="DP53" s="59" t="n"/>
      <c r="DQ53" s="59" t="n"/>
      <c r="DR53" s="59" t="n"/>
      <c r="DS53" s="59" t="n"/>
      <c r="DT53" s="59" t="n"/>
      <c r="DU53" s="51" t="n"/>
      <c r="DV53" s="59" t="n"/>
      <c r="DW53" s="59" t="n"/>
      <c r="DX53" s="51" t="n"/>
      <c r="DY53" s="573" t="n"/>
      <c r="DZ53" s="59" t="n"/>
      <c r="EA53" s="59" t="n"/>
      <c r="EB53" s="59" t="n"/>
      <c r="EC53" s="59" t="n"/>
      <c r="ED53" s="59" t="n"/>
      <c r="EE53" s="59" t="n"/>
      <c r="EF53" s="59" t="n"/>
      <c r="EG53" s="327" t="n"/>
      <c r="EH53" s="174" t="n"/>
      <c r="EJ53" s="59" t="n"/>
      <c r="EK53" s="174" t="n"/>
      <c r="EL53" s="59" t="n"/>
      <c r="EM53" s="59" t="n"/>
      <c r="EN53" s="59" t="n"/>
      <c r="EO53" s="59" t="n"/>
      <c r="EP53" s="327" t="n"/>
      <c r="EQ53" s="59" t="n"/>
      <c r="ER53" s="59" t="n"/>
      <c r="ES53" s="327" t="n"/>
      <c r="ET53" s="59" t="n"/>
      <c r="EU53" s="59" t="n"/>
      <c r="EV53" s="59" t="n"/>
      <c r="EW53" s="59" t="n"/>
      <c r="EX53" s="59" t="n"/>
      <c r="EY53" s="59" t="n"/>
      <c r="EZ53" s="59" t="n"/>
      <c r="FA53" s="59" t="n"/>
      <c r="FB53" s="59" t="n"/>
      <c r="FC53" s="59" t="n"/>
      <c r="FD53" s="59" t="n"/>
    </row>
    <row r="54" customFormat="1" s="29">
      <c r="A54" s="179" t="inlineStr">
        <is>
          <t>TAG NAMORADOS/2023</t>
        </is>
      </c>
      <c r="B54" s="180" t="n"/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73" t="n"/>
      <c r="CG54" s="573" t="n"/>
      <c r="CH54" s="573" t="n"/>
      <c r="CI54" s="59" t="n"/>
      <c r="CJ54" s="59" t="n"/>
      <c r="CK54" s="59" t="n"/>
      <c r="CL54" s="59" t="n"/>
      <c r="CM54" s="59" t="n"/>
      <c r="CN54" s="59" t="n"/>
      <c r="CO54" s="59" t="n"/>
      <c r="CP54" s="59" t="n"/>
      <c r="CV54" s="59" t="n"/>
      <c r="CW54" s="59" t="n"/>
      <c r="CX54" s="59" t="n"/>
      <c r="CY54" s="59" t="n"/>
      <c r="CZ54" s="59" t="n"/>
      <c r="DA54" s="59" t="n"/>
      <c r="DB54" s="573" t="n"/>
      <c r="DC54" s="59" t="n"/>
      <c r="DD54" s="59" t="n"/>
      <c r="DE54" s="573" t="n"/>
      <c r="DF54" s="59" t="n"/>
      <c r="DG54" s="59" t="n"/>
      <c r="DH54" s="59" t="n"/>
      <c r="DI54" s="174" t="n"/>
      <c r="DJ54" s="59" t="n"/>
      <c r="DK54" s="573" t="n"/>
      <c r="DL54" s="174" t="n"/>
      <c r="DM54" s="573" t="n"/>
      <c r="DN54" s="573" t="n"/>
      <c r="DO54" s="573" t="n"/>
      <c r="DP54" s="573" t="n"/>
      <c r="DQ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A54" s="573" t="n"/>
      <c r="EB54" s="573" t="n"/>
      <c r="EC54" s="573" t="n"/>
      <c r="ED54" s="573" t="n"/>
      <c r="EE54" s="573" t="n"/>
      <c r="EF54" s="573" t="n"/>
      <c r="EG54" s="327" t="n"/>
      <c r="EI54" s="59" t="n"/>
      <c r="EJ54" s="573" t="n"/>
      <c r="EL54" s="573" t="n"/>
      <c r="EM54" s="573" t="n"/>
      <c r="EN54" s="573" t="n"/>
      <c r="EO54" s="573" t="n"/>
      <c r="EP54" s="327" t="n"/>
      <c r="EQ54" s="573" t="n"/>
      <c r="ER54" s="573" t="n"/>
      <c r="ES54" s="327" t="n"/>
      <c r="ET54" s="573" t="n"/>
      <c r="EU54" s="573" t="n"/>
      <c r="EV54" s="573" t="n"/>
      <c r="EW54" s="573" t="n"/>
      <c r="EX54" s="573" t="n"/>
      <c r="EY54" s="573" t="n"/>
      <c r="EZ54" s="573" t="n"/>
      <c r="FA54" s="573" t="n"/>
      <c r="FB54" s="573" t="n"/>
      <c r="FC54" s="573" t="n"/>
      <c r="FD54" s="573" t="n"/>
      <c r="FE54" s="573" t="n"/>
      <c r="FF54" s="5" t="n"/>
      <c r="FG54" s="5" t="n"/>
      <c r="FH54" s="5" t="n"/>
      <c r="FI54" s="5" t="n"/>
      <c r="FJ54" s="5" t="n"/>
      <c r="FK54" s="5" t="n"/>
      <c r="FL54" s="5" t="n"/>
      <c r="FM54" s="5" t="n"/>
      <c r="FN54" s="5" t="n"/>
      <c r="FO54" s="5" t="n"/>
      <c r="FP54" s="5" t="n"/>
      <c r="FQ54" s="5" t="n"/>
      <c r="FR54" s="2" t="n"/>
      <c r="FS54" s="2" t="n"/>
      <c r="FT54" s="2" t="n"/>
      <c r="FU54" s="2" t="n"/>
      <c r="FV54" s="2" t="n"/>
      <c r="HY54" s="59" t="n"/>
      <c r="HZ54" s="573" t="n"/>
      <c r="IB54" s="573" t="n"/>
      <c r="ID54" s="71" t="n"/>
      <c r="IF54" s="71" t="n"/>
      <c r="IH54" s="71" t="n"/>
      <c r="IK54" s="71" t="n"/>
      <c r="IP54" s="71" t="n"/>
      <c r="IW54" s="176" t="n"/>
      <c r="JA54" s="71" t="n"/>
      <c r="JB54" s="71" t="n"/>
      <c r="JF54" s="176" t="n"/>
      <c r="JL54" s="71" t="n"/>
      <c r="JS54" s="71" t="n"/>
    </row>
    <row r="55" customFormat="1" s="29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L55" s="59" t="n"/>
      <c r="CM55" s="573" t="n"/>
      <c r="CN55" s="573" t="n"/>
      <c r="CO55" s="573" t="n"/>
      <c r="CP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J55" s="573" t="n"/>
      <c r="DK55" s="573" t="n"/>
      <c r="DM55" s="573" t="n"/>
      <c r="DN55" s="573" t="n"/>
      <c r="DO55" s="573" t="n"/>
      <c r="DP55" s="573" t="n"/>
      <c r="DQ55" s="573" t="n"/>
      <c r="DR55" s="573" t="n"/>
      <c r="DS55" s="573" t="n"/>
      <c r="DT55" s="573" t="n"/>
      <c r="DU55" s="573" t="n"/>
      <c r="DV55" s="573" t="n"/>
      <c r="DW55" s="573" t="n"/>
      <c r="DX55" s="573" t="n"/>
      <c r="DY55" s="573" t="n"/>
      <c r="DZ55" s="573" t="n"/>
      <c r="EA55" s="573" t="n"/>
      <c r="EB55" s="573" t="n"/>
      <c r="EC55" s="573" t="n"/>
      <c r="ED55" s="573" t="n"/>
      <c r="EE55" s="573" t="n"/>
      <c r="EF55" s="573" t="n"/>
      <c r="EG55" s="327" t="n"/>
      <c r="EI55" s="573" t="n"/>
      <c r="EJ55" s="573" t="n"/>
      <c r="EL55" s="573" t="n"/>
      <c r="EM55" s="573" t="n"/>
      <c r="EN55" s="573" t="n"/>
      <c r="EO55" s="573" t="n"/>
      <c r="EP55" s="327" t="n"/>
      <c r="EQ55" s="573" t="n"/>
      <c r="ER55" s="573" t="n"/>
      <c r="ES55" s="327" t="n"/>
      <c r="ET55" s="573" t="n"/>
      <c r="EU55" s="573" t="n"/>
      <c r="EV55" s="573" t="n"/>
      <c r="EW55" s="573" t="n"/>
      <c r="EX55" s="573" t="n"/>
      <c r="EY55" s="573" t="n"/>
      <c r="EZ55" s="573" t="n"/>
      <c r="FA55" s="573" t="n"/>
      <c r="FB55" s="573" t="n"/>
      <c r="FC55" s="573" t="n"/>
      <c r="FD55" s="573" t="n"/>
      <c r="FE55" s="573" t="n"/>
      <c r="FF55" s="5" t="n"/>
      <c r="FG55" s="5" t="n"/>
      <c r="FH55" s="5" t="n"/>
      <c r="FI55" s="5" t="n"/>
      <c r="FJ55" s="5" t="n"/>
      <c r="FK55" s="5" t="n"/>
      <c r="FL55" s="5" t="n"/>
      <c r="FM55" s="5" t="n"/>
      <c r="FN55" s="5" t="n"/>
      <c r="FO55" s="5" t="n"/>
      <c r="FP55" s="5" t="n"/>
      <c r="FQ55" s="5" t="n"/>
      <c r="FR55" s="2" t="n"/>
      <c r="FS55" s="2" t="n"/>
      <c r="FT55" s="2" t="n"/>
      <c r="FU55" s="2" t="n"/>
      <c r="FV55" s="2" t="n"/>
      <c r="HY55" s="59" t="n"/>
      <c r="HZ55" s="573" t="n"/>
      <c r="IB55" s="573" t="n"/>
      <c r="ID55" s="71" t="n"/>
      <c r="IF55" s="71" t="n"/>
      <c r="IH55" s="71" t="n"/>
      <c r="IK55" s="71" t="n"/>
      <c r="IP55" s="71" t="n"/>
      <c r="IW55" s="176" t="n"/>
      <c r="JA55" s="71" t="n"/>
      <c r="JB55" s="71" t="n"/>
      <c r="JF55" s="176" t="n"/>
      <c r="JL55" s="71" t="n"/>
      <c r="JS55" s="71" t="n"/>
    </row>
    <row r="56" customFormat="1" s="29">
      <c r="A56" s="402" t="inlineStr">
        <is>
          <t>TAG PAIS/24</t>
        </is>
      </c>
      <c r="B56" s="403" t="n"/>
      <c r="C56" s="136" t="n">
        <v>600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L56" s="59" t="n"/>
      <c r="CM56" s="573" t="n"/>
      <c r="CN56" s="573" t="n"/>
      <c r="CO56" s="573" t="n"/>
      <c r="CP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F56" s="573" t="n"/>
      <c r="DG56" s="573" t="n"/>
      <c r="DH56" s="573" t="n"/>
      <c r="DJ56" s="573" t="n"/>
      <c r="DU56" s="573" t="n"/>
      <c r="DX56" s="573" t="n"/>
      <c r="DY56" s="573" t="n"/>
      <c r="EF56" s="573" t="n"/>
      <c r="EG56" s="327" t="n"/>
      <c r="EI56" s="573" t="n"/>
      <c r="EJ56" s="573" t="n"/>
      <c r="EL56" s="573" t="n"/>
      <c r="EM56" s="573" t="n"/>
      <c r="EN56" s="573" t="n"/>
      <c r="EO56" s="573" t="n"/>
      <c r="EP56" s="327" t="n"/>
      <c r="EQ56" s="573" t="n"/>
      <c r="ER56" s="573" t="n"/>
      <c r="ES56" s="327" t="n"/>
      <c r="ET56" s="573" t="n"/>
      <c r="EU56" s="573" t="n"/>
      <c r="EV56" s="573" t="n"/>
      <c r="EW56" s="573" t="n"/>
      <c r="EX56" s="573" t="n"/>
      <c r="EY56" s="573" t="n"/>
      <c r="EZ56" s="573" t="n"/>
      <c r="FA56" s="573" t="n"/>
      <c r="FB56" s="573" t="n"/>
      <c r="FC56" s="573" t="n"/>
      <c r="FD56" s="573" t="n"/>
      <c r="FE56" s="573" t="n"/>
      <c r="FF56" s="5" t="n"/>
      <c r="FG56" s="5" t="n"/>
      <c r="FH56" s="5" t="n"/>
      <c r="FI56" s="5" t="n"/>
      <c r="FJ56" s="5" t="n"/>
      <c r="FK56" s="5" t="n"/>
      <c r="FL56" s="5" t="n"/>
      <c r="FM56" s="5" t="n"/>
      <c r="FN56" s="5" t="n"/>
      <c r="FO56" s="5" t="n"/>
      <c r="FP56" s="5" t="n"/>
      <c r="FQ56" s="5" t="n"/>
      <c r="FR56" s="2" t="n"/>
      <c r="FS56" s="2" t="n"/>
      <c r="FT56" s="2" t="n"/>
      <c r="FU56" s="2" t="n"/>
      <c r="FV56" s="2" t="n"/>
      <c r="HY56" s="59" t="n"/>
      <c r="HZ56" s="573" t="n"/>
      <c r="IB56" s="573" t="n"/>
      <c r="ID56" s="71" t="n"/>
      <c r="IF56" s="71" t="n"/>
      <c r="IH56" s="71" t="n"/>
      <c r="IK56" s="71" t="n"/>
      <c r="IP56" s="71" t="n"/>
      <c r="IW56" s="176" t="n"/>
      <c r="JA56" s="71" t="n"/>
      <c r="JB56" s="71" t="n"/>
      <c r="JF56" s="176" t="n"/>
      <c r="JL56" s="71" t="n"/>
      <c r="JS56" s="71" t="n"/>
    </row>
    <row r="57" customFormat="1" s="29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G57" s="573" t="n"/>
      <c r="CH57" s="573" t="n"/>
      <c r="CL57" s="59" t="n"/>
      <c r="DB57" s="5" t="n"/>
      <c r="DU57" s="573" t="n"/>
      <c r="DX57" s="573" t="n"/>
      <c r="DY57" s="573" t="n"/>
      <c r="EF57" s="573" t="n"/>
      <c r="EG57" s="327" t="n"/>
      <c r="EI57" s="573" t="n"/>
      <c r="EJ57" s="573" t="n"/>
      <c r="EL57" s="573" t="n"/>
      <c r="EM57" s="573" t="n"/>
      <c r="EN57" s="573" t="n"/>
      <c r="EO57" s="573" t="n"/>
      <c r="EP57" s="327" t="n"/>
      <c r="EQ57" s="573" t="n"/>
      <c r="ER57" s="573" t="n"/>
      <c r="ES57" s="327" t="n"/>
      <c r="ET57" s="573" t="n"/>
      <c r="EU57" s="573" t="n"/>
      <c r="EV57" s="573" t="n"/>
      <c r="EW57" s="573" t="n"/>
      <c r="EX57" s="573" t="n"/>
      <c r="EY57" s="573" t="n"/>
      <c r="EZ57" s="573" t="n"/>
      <c r="FA57" s="573" t="n"/>
      <c r="FB57" s="573" t="n"/>
      <c r="FC57" s="573" t="n"/>
      <c r="FD57" s="573" t="n"/>
      <c r="FE57" s="573" t="n"/>
      <c r="FF57" s="5" t="n"/>
      <c r="FG57" s="5" t="n"/>
      <c r="FH57" s="5" t="n"/>
      <c r="FI57" s="5" t="n"/>
      <c r="FJ57" s="5" t="n"/>
      <c r="FK57" s="5" t="n"/>
      <c r="FL57" s="5" t="n"/>
      <c r="FM57" s="5" t="n"/>
      <c r="FN57" s="5" t="n"/>
      <c r="FO57" s="5" t="n"/>
      <c r="FP57" s="5" t="n"/>
      <c r="FQ57" s="5" t="n"/>
      <c r="FR57" s="2" t="n"/>
      <c r="FS57" s="2" t="n"/>
      <c r="FT57" s="2" t="n"/>
      <c r="FU57" s="2" t="n"/>
      <c r="FV57" s="2" t="n"/>
      <c r="HY57" s="59" t="n"/>
      <c r="HZ57" s="573" t="n"/>
      <c r="IB57" s="573" t="n"/>
      <c r="ID57" s="71" t="n"/>
      <c r="IF57" s="71" t="n"/>
      <c r="IH57" s="71" t="n"/>
      <c r="IK57" s="71" t="n"/>
      <c r="IP57" s="71" t="n"/>
      <c r="IW57" s="176" t="n"/>
      <c r="JA57" s="71" t="n"/>
      <c r="JB57" s="71" t="n"/>
      <c r="JF57" s="176" t="n"/>
      <c r="JL57" s="71" t="n"/>
      <c r="JS57" s="71" t="n"/>
    </row>
    <row r="58" customFormat="1" s="29">
      <c r="A58" s="404" t="inlineStr">
        <is>
          <t>TAG NATAL/24</t>
        </is>
      </c>
      <c r="B58" s="403" t="n"/>
      <c r="C58" s="136" t="n">
        <v>200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F58" s="573" t="n"/>
      <c r="CG58" s="573" t="n"/>
      <c r="CH58" s="573" t="n"/>
      <c r="CL58" s="59" t="n"/>
      <c r="DB58" s="41" t="n"/>
      <c r="DU58" s="573" t="n"/>
      <c r="DX58" s="573" t="n"/>
      <c r="DY58" s="573" t="n"/>
      <c r="EF58" s="573" t="n"/>
      <c r="EG58" s="327" t="n"/>
      <c r="EH58" s="5" t="n"/>
      <c r="EI58" s="573" t="n"/>
      <c r="EJ58" s="573" t="n"/>
      <c r="EK58" s="5" t="n"/>
      <c r="EL58" s="573" t="n"/>
      <c r="EM58" s="573" t="n"/>
      <c r="EN58" s="573" t="n"/>
      <c r="EO58" s="573" t="n"/>
      <c r="EP58" s="327" t="n"/>
      <c r="EQ58" s="573" t="n"/>
      <c r="ER58" s="573" t="n"/>
      <c r="ES58" s="327" t="n"/>
      <c r="ET58" s="573" t="n"/>
      <c r="EU58" s="573" t="n"/>
      <c r="EV58" s="573" t="n"/>
      <c r="EW58" s="573" t="n"/>
      <c r="EX58" s="573" t="n"/>
      <c r="EY58" s="573" t="n"/>
      <c r="EZ58" s="573" t="n"/>
      <c r="FA58" s="573" t="n"/>
      <c r="FB58" s="573" t="n"/>
      <c r="FC58" s="573" t="n"/>
      <c r="FD58" s="573" t="n"/>
      <c r="FE58" s="573" t="n"/>
      <c r="FF58" s="5" t="n"/>
      <c r="FG58" s="5" t="n"/>
      <c r="FH58" s="5" t="n"/>
      <c r="FI58" s="5" t="n"/>
      <c r="FJ58" s="5" t="n"/>
      <c r="FK58" s="5" t="n"/>
      <c r="FL58" s="5" t="n"/>
      <c r="FM58" s="5" t="n"/>
      <c r="FN58" s="5" t="n"/>
      <c r="FO58" s="5" t="n"/>
      <c r="FP58" s="5" t="n"/>
      <c r="FQ58" s="5" t="n"/>
      <c r="FR58" s="2" t="n"/>
      <c r="FS58" s="2" t="n"/>
      <c r="FT58" s="2" t="n"/>
      <c r="FU58" s="2" t="n"/>
      <c r="FV58" s="2" t="n"/>
      <c r="HY58" s="59" t="n"/>
      <c r="HZ58" s="573" t="n"/>
      <c r="IB58" s="573" t="n"/>
      <c r="ID58" s="71" t="n"/>
      <c r="IF58" s="71" t="n"/>
      <c r="IH58" s="71" t="n"/>
      <c r="IK58" s="71" t="n"/>
      <c r="IP58" s="71" t="n"/>
      <c r="IW58" s="176" t="n"/>
      <c r="JA58" s="71" t="n"/>
      <c r="JB58" s="71" t="n"/>
      <c r="JF58" s="176" t="n"/>
      <c r="JL58" s="71" t="n"/>
      <c r="JS58" s="71" t="n"/>
    </row>
    <row r="59" customFormat="1" s="29">
      <c r="A59" s="391" t="n"/>
      <c r="B59" s="391" t="n"/>
      <c r="C59" s="391" t="n"/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73" t="n"/>
      <c r="CD59" s="573" t="n"/>
      <c r="CE59" s="573" t="n"/>
      <c r="CF59" s="573" t="n"/>
      <c r="CG59" s="573" t="n"/>
      <c r="CH59" s="573" t="n"/>
      <c r="CL59" s="59" t="n"/>
      <c r="DB59" s="41" t="n"/>
      <c r="DI59" s="5" t="n"/>
      <c r="DL59" s="5" t="n"/>
      <c r="DU59" s="573" t="n"/>
      <c r="DX59" s="573" t="n"/>
      <c r="DY59" s="573" t="n"/>
      <c r="EF59" s="573" t="n"/>
      <c r="EG59" s="327" t="n"/>
      <c r="EH59" s="5" t="n"/>
      <c r="EI59" s="573" t="n"/>
      <c r="EJ59" s="573" t="n"/>
      <c r="EK59" s="5" t="n"/>
      <c r="EL59" s="573" t="n"/>
      <c r="EM59" s="573" t="n"/>
      <c r="EN59" s="573" t="n"/>
      <c r="EO59" s="573" t="n"/>
      <c r="EP59" s="327" t="n"/>
      <c r="EQ59" s="573" t="n"/>
      <c r="ER59" s="573" t="n"/>
      <c r="ES59" s="327" t="n"/>
      <c r="ET59" s="573" t="n"/>
      <c r="EU59" s="573" t="n"/>
      <c r="EV59" s="573" t="n"/>
      <c r="EW59" s="573" t="n"/>
      <c r="EX59" s="573" t="n"/>
      <c r="EY59" s="573" t="n"/>
      <c r="EZ59" s="573" t="n"/>
      <c r="FA59" s="573" t="n"/>
      <c r="FB59" s="573" t="n"/>
      <c r="FC59" s="573" t="n"/>
      <c r="FD59" s="573" t="n"/>
      <c r="FE59" s="573" t="n"/>
      <c r="FF59" s="5" t="n"/>
      <c r="FG59" s="5" t="n"/>
      <c r="FH59" s="5" t="n"/>
      <c r="FI59" s="5" t="n"/>
      <c r="FJ59" s="5" t="n"/>
      <c r="FK59" s="5" t="n"/>
      <c r="FL59" s="5" t="n"/>
      <c r="FM59" s="5" t="n"/>
      <c r="FN59" s="5" t="n"/>
      <c r="FO59" s="5" t="n"/>
      <c r="FP59" s="5" t="n"/>
      <c r="FQ59" s="5" t="n"/>
      <c r="FR59" s="2" t="n"/>
      <c r="FS59" s="2" t="n"/>
      <c r="FT59" s="2" t="n"/>
      <c r="FU59" s="2" t="n"/>
      <c r="FV59" s="2" t="n"/>
      <c r="HY59" s="59" t="n"/>
      <c r="HZ59" s="573" t="n"/>
      <c r="IB59" s="573" t="n"/>
      <c r="ID59" s="71" t="n"/>
      <c r="IF59" s="71" t="n"/>
      <c r="IH59" s="71" t="n"/>
      <c r="IK59" s="71" t="n"/>
      <c r="IP59" s="71" t="n"/>
      <c r="IW59" s="176" t="n"/>
      <c r="JA59" s="71" t="n"/>
      <c r="JB59" s="71" t="n"/>
      <c r="JF59" s="176" t="n"/>
      <c r="JL59" s="71" t="n"/>
      <c r="JS59" s="71" t="n"/>
    </row>
    <row r="60" customFormat="1" s="29">
      <c r="A60" s="405" t="inlineStr">
        <is>
          <t>TAG NAMO/25</t>
        </is>
      </c>
      <c r="B60" s="403" t="n"/>
      <c r="C60" s="136" t="n">
        <v>300</v>
      </c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CF60" s="573" t="n"/>
      <c r="CG60" s="573" t="n"/>
      <c r="CH60" s="573" t="n"/>
      <c r="CL60" s="59" t="n"/>
      <c r="DI60" s="5" t="n"/>
      <c r="DL60" s="5" t="n"/>
      <c r="DU60" s="573" t="n"/>
      <c r="DX60" s="573" t="n"/>
      <c r="DY60" s="573" t="n"/>
      <c r="EF60" s="573" t="n"/>
      <c r="EG60" s="327" t="n"/>
      <c r="EH60" s="5" t="n"/>
      <c r="EI60" s="573" t="n"/>
      <c r="EJ60" s="573" t="n"/>
      <c r="EK60" s="5" t="n"/>
      <c r="EL60" s="573" t="n"/>
      <c r="EM60" s="573" t="n"/>
      <c r="EN60" s="573" t="n"/>
      <c r="EO60" s="573" t="n"/>
      <c r="EP60" s="327" t="n"/>
      <c r="EQ60" s="573" t="n"/>
      <c r="ER60" s="573" t="n"/>
      <c r="ES60" s="327" t="n"/>
      <c r="ET60" s="573" t="n"/>
      <c r="EU60" s="573" t="n"/>
      <c r="EV60" s="573" t="n"/>
      <c r="EW60" s="573" t="n"/>
      <c r="EX60" s="573" t="n"/>
      <c r="EY60" s="573" t="n"/>
      <c r="EZ60" s="573" t="n"/>
      <c r="FA60" s="573" t="n"/>
      <c r="FB60" s="573" t="n"/>
      <c r="FC60" s="573" t="n"/>
      <c r="FD60" s="573" t="n"/>
      <c r="FE60" s="573" t="n"/>
      <c r="FF60" s="5" t="n"/>
      <c r="FG60" s="5" t="n"/>
      <c r="FH60" s="5" t="n"/>
      <c r="FI60" s="5" t="n"/>
      <c r="FJ60" s="5" t="n"/>
      <c r="FK60" s="5" t="n"/>
      <c r="FL60" s="5" t="n"/>
      <c r="FM60" s="5" t="n"/>
      <c r="FN60" s="5" t="n"/>
      <c r="FO60" s="5" t="n"/>
      <c r="FP60" s="5" t="n"/>
      <c r="FQ60" s="5" t="n"/>
      <c r="FR60" s="2" t="n"/>
      <c r="FS60" s="2" t="n"/>
      <c r="FT60" s="2" t="n"/>
      <c r="FU60" s="2" t="n"/>
      <c r="FV60" s="2" t="n"/>
      <c r="HY60" s="59" t="n"/>
      <c r="HZ60" s="573" t="n"/>
      <c r="IB60" s="573" t="n"/>
      <c r="ID60" s="71" t="n"/>
      <c r="IF60" s="71" t="n"/>
      <c r="IH60" s="71" t="n"/>
      <c r="IK60" s="71" t="n"/>
      <c r="IP60" s="71" t="n"/>
      <c r="IW60" s="176" t="n"/>
      <c r="JA60" s="71" t="n"/>
      <c r="JB60" s="71" t="n"/>
      <c r="JF60" s="176" t="n"/>
      <c r="JL60" s="71" t="n"/>
      <c r="JS60" s="71" t="n"/>
    </row>
    <row r="61" customFormat="1" s="29"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B61" s="573" t="n"/>
      <c r="CC61" s="573" t="n"/>
      <c r="CD61" s="573" t="n"/>
      <c r="CE61" s="51" t="n"/>
      <c r="CF61" s="573" t="n"/>
      <c r="CG61" s="573" t="n"/>
      <c r="CH61" s="573" t="n"/>
      <c r="CL61" s="59" t="n"/>
      <c r="CQ61" s="59" t="n"/>
      <c r="CR61" s="59" t="n"/>
      <c r="CS61" s="59" t="n"/>
      <c r="CT61" s="59" t="n"/>
      <c r="DI61" s="5" t="n"/>
      <c r="DL61" s="5" t="n"/>
      <c r="DU61" s="573" t="n"/>
      <c r="DX61" s="573" t="n"/>
      <c r="DY61" s="5" t="n"/>
      <c r="EG61" s="327" t="n"/>
      <c r="EH61" s="5" t="n"/>
      <c r="EK61" s="5" t="n"/>
      <c r="EP61" s="327" t="n"/>
      <c r="ES61" s="327" t="n"/>
      <c r="FE61" s="573" t="n"/>
      <c r="FF61" s="5" t="n"/>
      <c r="FG61" s="5" t="n"/>
      <c r="FH61" s="5" t="n"/>
      <c r="FI61" s="5" t="n"/>
      <c r="FJ61" s="5" t="n"/>
      <c r="FK61" s="5" t="n"/>
      <c r="FL61" s="5" t="n"/>
      <c r="FM61" s="5" t="n"/>
      <c r="FN61" s="5" t="n"/>
      <c r="FO61" s="5" t="n"/>
      <c r="FP61" s="5" t="n"/>
      <c r="FQ61" s="5" t="n"/>
      <c r="FR61" s="2" t="n"/>
      <c r="FS61" s="2" t="n"/>
      <c r="FT61" s="2" t="n"/>
      <c r="FU61" s="2" t="n"/>
      <c r="FV61" s="2" t="n"/>
      <c r="HY61" s="59" t="n"/>
      <c r="HZ61" s="573" t="n"/>
      <c r="IB61" s="573" t="n"/>
      <c r="ID61" s="71" t="n"/>
      <c r="IF61" s="71" t="n"/>
      <c r="IH61" s="71" t="n"/>
      <c r="IK61" s="71" t="n"/>
      <c r="IP61" s="71" t="n"/>
      <c r="IW61" s="173" t="n"/>
      <c r="JA61" s="71" t="n"/>
      <c r="JB61" s="71" t="n"/>
      <c r="JF61" s="173" t="n"/>
      <c r="JL61" s="71" t="n"/>
      <c r="JS61" s="71" t="n"/>
    </row>
    <row r="62">
      <c r="A62" s="774" t="inlineStr">
        <is>
          <t>FLACONETES</t>
        </is>
      </c>
      <c r="B62" s="731" t="n"/>
      <c r="C62" s="731" t="n"/>
      <c r="D62" s="775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46097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BZ62" s="776" t="n">
        <v>46160</v>
      </c>
      <c r="CA62" s="779" t="n">
        <v>46161.48022820602</v>
      </c>
      <c r="CB62" s="779" t="n">
        <v>46161.48088721348</v>
      </c>
      <c r="CD62" s="50" t="n"/>
      <c r="CF62" s="68" t="n"/>
      <c r="CG62" s="68" t="n"/>
      <c r="CH62" s="68" t="n"/>
      <c r="CQ62" s="573" t="n"/>
      <c r="CR62" s="573" t="n"/>
      <c r="CS62" s="573" t="n"/>
      <c r="CT62" s="573" t="n"/>
      <c r="DI62" s="5" t="n"/>
      <c r="DL62" s="5" t="n"/>
      <c r="DU62" s="5" t="n"/>
      <c r="DX62" s="5" t="n"/>
      <c r="DY62" s="5" t="n"/>
      <c r="EG62" s="327" t="n"/>
      <c r="EH62" s="5" t="n"/>
      <c r="EK62" s="5" t="n"/>
      <c r="EP62" s="327" t="n"/>
      <c r="ES62" s="327" t="n"/>
    </row>
    <row r="63" hidden="1" ht="18.75" customHeight="1">
      <c r="A63" s="781" t="inlineStr">
        <is>
          <t xml:space="preserve">MALCEC ANTICASPA </t>
        </is>
      </c>
      <c r="B63" s="731" t="n"/>
      <c r="C63" s="731" t="n"/>
      <c r="D63" s="775" t="n"/>
      <c r="F63" s="697" t="n">
        <v>0</v>
      </c>
      <c r="G63" s="697" t="n">
        <v>0</v>
      </c>
      <c r="H63" s="697" t="n">
        <v>0</v>
      </c>
      <c r="I63" s="697" t="n">
        <v>0</v>
      </c>
      <c r="J63" s="697" t="n">
        <v>0</v>
      </c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697" t="n"/>
      <c r="CA63" s="699" t="n"/>
      <c r="CB63" s="699" t="n"/>
      <c r="CD63" s="50" t="n"/>
      <c r="CF63" s="68" t="n"/>
      <c r="CG63" s="68" t="n"/>
      <c r="CH63" s="68" t="n"/>
      <c r="CQ63" s="573" t="n"/>
      <c r="CR63" s="573" t="n"/>
      <c r="CS63" s="573" t="n"/>
      <c r="CT63" s="573" t="n"/>
      <c r="DI63" s="5" t="n"/>
      <c r="DL63" s="5" t="n"/>
      <c r="DU63" s="5" t="n"/>
      <c r="DX63" s="5" t="n"/>
      <c r="DY63" s="41" t="n"/>
      <c r="EG63" s="327" t="n"/>
      <c r="EH63" s="5" t="n"/>
      <c r="EK63" s="5" t="n"/>
      <c r="EP63" s="327" t="n"/>
      <c r="ES63" s="327" t="n"/>
    </row>
    <row r="64" hidden="1" ht="18.75" customFormat="1" customHeight="1" s="29">
      <c r="A64" s="781" t="inlineStr">
        <is>
          <t xml:space="preserve">MALBEC ANTIQUEDA </t>
        </is>
      </c>
      <c r="B64" s="731" t="n"/>
      <c r="C64" s="731" t="n"/>
      <c r="D64" s="775" t="n"/>
      <c r="E64" s="5" t="n"/>
      <c r="F64" s="697" t="n">
        <v>0</v>
      </c>
      <c r="G64" s="697" t="n">
        <v>0</v>
      </c>
      <c r="H64" s="697" t="n">
        <v>0</v>
      </c>
      <c r="I64" s="697" t="n">
        <v>0</v>
      </c>
      <c r="J64" s="697" t="n">
        <v>0</v>
      </c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5" t="n"/>
      <c r="CE64" s="5" t="n"/>
      <c r="CF64" s="5" t="n"/>
      <c r="CH64" s="5" t="n"/>
      <c r="CL64" s="59" t="n"/>
      <c r="DB64" s="5" t="n"/>
      <c r="DI64" s="5" t="n"/>
      <c r="DL64" s="5" t="n"/>
      <c r="DU64" s="41" t="n"/>
      <c r="DX64" s="41" t="n"/>
      <c r="DY64" s="41" t="n"/>
      <c r="EG64" s="327" t="n"/>
      <c r="EH64" s="5" t="n"/>
      <c r="EK64" s="5" t="n"/>
      <c r="EP64" s="327" t="n"/>
      <c r="ES64" s="327" t="n"/>
      <c r="FF64" s="5" t="n"/>
      <c r="FG64" s="5" t="n"/>
      <c r="FH64" s="5" t="n"/>
      <c r="FI64" s="5" t="n"/>
      <c r="FJ64" s="5" t="n"/>
      <c r="FK64" s="5" t="n"/>
      <c r="FL64" s="5" t="n"/>
      <c r="FM64" s="5" t="n"/>
      <c r="FN64" s="5" t="n"/>
      <c r="FO64" s="5" t="n"/>
      <c r="FP64" s="5" t="n"/>
      <c r="FQ64" s="5" t="n"/>
    </row>
    <row r="65" hidden="1" ht="18.75" customHeight="1">
      <c r="A65" s="781" t="inlineStr">
        <is>
          <t>POLIGLUTÂMICO ALOE VERA+ ROSA MOSQUETA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>
        <v>0</v>
      </c>
      <c r="J65" s="697" t="n">
        <v>0</v>
      </c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E65" s="5" t="n"/>
      <c r="DB65" s="5" t="n"/>
      <c r="DI65" s="5" t="n"/>
      <c r="DL65" s="5" t="n"/>
      <c r="DU65" s="41" t="n"/>
      <c r="DX65" s="41" t="n"/>
      <c r="DY65" s="41" t="n"/>
      <c r="EG65" s="327" t="n"/>
      <c r="EH65" s="5" t="n"/>
      <c r="EK65" s="5" t="n"/>
      <c r="EP65" s="327" t="n"/>
      <c r="ES65" s="327" t="n"/>
    </row>
    <row r="66" hidden="1" ht="18.75" customHeight="1">
      <c r="A66" s="781" t="inlineStr">
        <is>
          <t>PORTINARI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>
        <v>0</v>
      </c>
      <c r="J66" s="697" t="n">
        <v>0</v>
      </c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E66" s="5" t="n"/>
      <c r="CU66" s="59" t="n"/>
      <c r="DB66" s="5" t="n"/>
      <c r="DI66" s="5" t="n"/>
      <c r="DL66" s="5" t="n"/>
      <c r="DU66" s="41" t="n"/>
      <c r="DX66" s="41" t="n"/>
      <c r="EG66" s="327" t="n"/>
      <c r="EH66" s="5" t="n"/>
      <c r="EK66" s="5" t="n"/>
      <c r="EP66" s="327" t="n"/>
      <c r="ES66" s="327" t="n"/>
    </row>
    <row r="67" hidden="1" ht="18.75" customHeight="1">
      <c r="A67" s="781" t="inlineStr">
        <is>
          <t>QUASAR VISION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>
        <v>0</v>
      </c>
      <c r="J67" s="697" t="n">
        <v>0</v>
      </c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U67" s="573" t="n"/>
      <c r="DI67" s="5" t="n"/>
      <c r="DL67" s="5" t="n"/>
      <c r="EG67" s="328" t="n"/>
      <c r="EH67" s="5" t="n"/>
      <c r="EK67" s="5" t="n"/>
      <c r="EP67" s="328" t="n"/>
      <c r="ES67" s="327" t="n"/>
    </row>
    <row r="68" hidden="1" ht="18.75" customHeight="1">
      <c r="A68" s="781" t="inlineStr">
        <is>
          <t>BOTI SUN</t>
        </is>
      </c>
      <c r="B68" s="731" t="n"/>
      <c r="C68" s="731" t="n"/>
      <c r="D68" s="775" t="n"/>
      <c r="F68" s="697" t="n">
        <v>0</v>
      </c>
      <c r="G68" s="697" t="n">
        <v>0</v>
      </c>
      <c r="H68" s="697" t="n">
        <v>0</v>
      </c>
      <c r="I68" s="697" t="n">
        <v>0</v>
      </c>
      <c r="J68" s="697" t="n">
        <v>0</v>
      </c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U68" s="573" t="n"/>
      <c r="DI68" s="5" t="n"/>
      <c r="DL68" s="5" t="n"/>
      <c r="EG68" s="328" t="n"/>
      <c r="EH68" s="5" t="n"/>
      <c r="EK68" s="5" t="n"/>
      <c r="EP68" s="328" t="n"/>
      <c r="ES68" s="327" t="n"/>
    </row>
    <row r="69" hidden="1" ht="18.75" customHeight="1">
      <c r="A69" s="781" t="inlineStr">
        <is>
          <t>FLORATTA ROMANCE DE VERÃ</t>
        </is>
      </c>
      <c r="B69" s="731" t="n"/>
      <c r="C69" s="731" t="n"/>
      <c r="D69" s="775" t="n"/>
      <c r="F69" s="697" t="n">
        <v>0</v>
      </c>
      <c r="G69" s="697" t="n">
        <v>0</v>
      </c>
      <c r="H69" s="697" t="n">
        <v>0</v>
      </c>
      <c r="I69" s="697" t="n">
        <v>0</v>
      </c>
      <c r="J69" s="697" t="n">
        <v>0</v>
      </c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DI69" s="5" t="n"/>
      <c r="DL69" s="5" t="n"/>
      <c r="EG69" s="329" t="n"/>
      <c r="EP69" s="329" t="n"/>
      <c r="ES69" s="328" t="n"/>
    </row>
    <row r="70" hidden="1" ht="18.75" customHeight="1">
      <c r="A70" s="781" t="inlineStr">
        <is>
          <t>QUASAR BLUE</t>
        </is>
      </c>
      <c r="B70" s="731" t="n"/>
      <c r="C70" s="731" t="n"/>
      <c r="D70" s="775" t="n"/>
      <c r="F70" s="697" t="n">
        <v>0</v>
      </c>
      <c r="G70" s="697" t="n">
        <v>0</v>
      </c>
      <c r="H70" s="697" t="n">
        <v>0</v>
      </c>
      <c r="I70" s="697" t="n">
        <v>0</v>
      </c>
      <c r="J70" s="697" t="n">
        <v>0</v>
      </c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EG70" s="329" t="n"/>
      <c r="EH70" s="5" t="n"/>
      <c r="EK70" s="5" t="n"/>
      <c r="EP70" s="329" t="n"/>
      <c r="ES70" s="328" t="n"/>
    </row>
    <row r="71" hidden="1" ht="18.75" customHeight="1">
      <c r="A71" s="781" t="inlineStr">
        <is>
          <t>HIDRATANTE ROSA E ALGODÃO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DI71" s="5" t="n"/>
      <c r="DL71" s="5" t="n"/>
      <c r="EG71" s="329" t="n"/>
      <c r="EP71" s="329" t="n"/>
      <c r="ES71" s="329" t="n"/>
    </row>
    <row r="72" hidden="1" ht="18.75" customHeight="1">
      <c r="A72" s="781" t="inlineStr">
        <is>
          <t>HIDRATANTE NUVEM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DY72" s="5" t="n"/>
      <c r="EG72" s="329" t="n"/>
      <c r="EP72" s="329" t="n"/>
      <c r="ES72" s="329" t="n"/>
    </row>
    <row r="73" hidden="1" ht="18.75" customHeight="1">
      <c r="A73" s="781" t="inlineStr">
        <is>
          <t>HIDRATANTE DELEITE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DU73" s="5" t="n"/>
      <c r="DX73" s="5" t="n"/>
      <c r="DY73" s="5" t="n"/>
      <c r="EG73" s="329" t="n"/>
      <c r="EH73" s="173" t="n"/>
      <c r="EK73" s="173" t="n"/>
      <c r="EP73" s="329" t="n"/>
      <c r="ES73" s="329" t="n"/>
    </row>
    <row r="74" hidden="1" ht="18.75" customHeight="1">
      <c r="A74" s="781" t="inlineStr">
        <is>
          <t>ARBO PURO</t>
        </is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>
        <v>0</v>
      </c>
      <c r="J74" s="697" t="n">
        <v>0</v>
      </c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BZ74" s="697" t="n"/>
      <c r="CA74" s="699" t="n"/>
      <c r="CB74" s="699" t="n"/>
      <c r="DI74" s="173" t="n"/>
      <c r="DL74" s="173" t="n"/>
      <c r="DU74" s="5" t="n"/>
      <c r="DX74" s="5" t="n"/>
      <c r="DY74" s="5" t="n"/>
      <c r="EG74" s="329" t="n"/>
      <c r="EH74" s="173" t="n"/>
      <c r="EK74" s="173" t="n"/>
      <c r="EP74" s="329" t="n"/>
      <c r="ES74" s="329" t="n"/>
    </row>
    <row r="75" hidden="1" ht="18.75" customHeight="1">
      <c r="A75" s="781" t="inlineStr">
        <is>
          <t>COFFEE ADCTIVE MAN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>
        <v>0</v>
      </c>
      <c r="J75" s="697" t="n">
        <v>1</v>
      </c>
      <c r="K75" s="697" t="n">
        <v>0</v>
      </c>
      <c r="L75" s="697" t="n">
        <v>0</v>
      </c>
      <c r="M75" s="697" t="n">
        <v>0</v>
      </c>
      <c r="N75" s="697" t="n">
        <v>0</v>
      </c>
      <c r="O75" s="697" t="n">
        <v>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>
        <v>0</v>
      </c>
      <c r="V75" s="697" t="n">
        <v>0</v>
      </c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DI75" s="173" t="n"/>
      <c r="DL75" s="173" t="n"/>
      <c r="DU75" s="5" t="n"/>
      <c r="DX75" s="5" t="n"/>
      <c r="EG75" s="327" t="n"/>
      <c r="EH75" s="173" t="n"/>
      <c r="EK75" s="173" t="n"/>
      <c r="EP75" s="327" t="n"/>
      <c r="ES75" s="329" t="n"/>
    </row>
    <row r="76" hidden="1" ht="18.75" customHeight="1">
      <c r="A76" s="781" t="inlineStr">
        <is>
          <t>HER CODE TOUCH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>
        <v>0</v>
      </c>
      <c r="J76" s="697" t="n">
        <v>0</v>
      </c>
      <c r="K76" s="697" t="n">
        <v>0</v>
      </c>
      <c r="L76" s="697" t="n">
        <v>0</v>
      </c>
      <c r="M76" s="697" t="n">
        <v>0</v>
      </c>
      <c r="N76" s="697" t="n">
        <v>0</v>
      </c>
      <c r="O76" s="697" t="n">
        <v>0</v>
      </c>
      <c r="P76" s="697" t="n">
        <v>0</v>
      </c>
      <c r="Q76" s="697" t="n">
        <v>0</v>
      </c>
      <c r="R76" s="697" t="n">
        <v>0</v>
      </c>
      <c r="S76" s="697" t="n">
        <v>0</v>
      </c>
      <c r="T76" s="697" t="n">
        <v>0</v>
      </c>
      <c r="U76" s="697" t="n">
        <v>0</v>
      </c>
      <c r="V76" s="697" t="n">
        <v>0</v>
      </c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BZ76" s="697" t="n"/>
      <c r="CA76" s="699" t="n"/>
      <c r="CB76" s="699" t="n"/>
      <c r="DI76" s="173" t="n"/>
      <c r="DL76" s="173" t="n"/>
      <c r="EG76" s="327" t="n"/>
      <c r="EP76" s="327" t="n"/>
      <c r="ES76" s="329" t="n"/>
    </row>
    <row r="77" hidden="1" ht="18.75" customHeight="1">
      <c r="A77" s="781" t="inlineStr">
        <is>
          <t>MALBEC ICON</t>
        </is>
      </c>
      <c r="B77" s="731" t="n"/>
      <c r="C77" s="731" t="n"/>
      <c r="D77" s="775" t="n"/>
      <c r="I77" s="697" t="n">
        <v>0</v>
      </c>
      <c r="J77" s="697" t="n">
        <v>50</v>
      </c>
      <c r="K77" s="697" t="n">
        <v>40</v>
      </c>
      <c r="L77" s="697" t="n">
        <v>35</v>
      </c>
      <c r="M77" s="697" t="n">
        <v>28</v>
      </c>
      <c r="N77" s="697" t="n">
        <v>16</v>
      </c>
      <c r="O77" s="697" t="n">
        <v>10</v>
      </c>
      <c r="P77" s="697" t="n">
        <v>0</v>
      </c>
      <c r="Q77" s="697" t="n">
        <v>23</v>
      </c>
      <c r="R77" s="697" t="n">
        <v>15</v>
      </c>
      <c r="S77" s="697" t="n">
        <v>10</v>
      </c>
      <c r="T77" s="697" t="n">
        <v>10</v>
      </c>
      <c r="U77" s="697" t="n">
        <v>5</v>
      </c>
      <c r="V77" s="697" t="n">
        <v>0</v>
      </c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EG77" s="327" t="n"/>
      <c r="EP77" s="327" t="n"/>
      <c r="ES77" s="327" t="n"/>
    </row>
    <row r="78">
      <c r="A78" s="781" t="inlineStr">
        <is>
          <t>FLORATTA RED PASSION</t>
        </is>
      </c>
      <c r="B78" s="731" t="n"/>
      <c r="C78" s="731" t="n"/>
      <c r="D78" s="775" t="n"/>
      <c r="I78" s="697" t="n">
        <v>0</v>
      </c>
      <c r="J78" s="697" t="n">
        <v>78</v>
      </c>
      <c r="K78" s="697" t="n">
        <v>60</v>
      </c>
      <c r="L78" s="697" t="n">
        <v>47</v>
      </c>
      <c r="M78" s="697" t="n">
        <v>42</v>
      </c>
      <c r="N78" s="697" t="n">
        <v>38</v>
      </c>
      <c r="O78" s="697" t="n">
        <v>26</v>
      </c>
      <c r="P78" s="697" t="n">
        <v>16</v>
      </c>
      <c r="Q78" s="697" t="n">
        <v>37</v>
      </c>
      <c r="R78" s="697" t="n">
        <v>29</v>
      </c>
      <c r="S78" s="697" t="n">
        <v>21</v>
      </c>
      <c r="T78" s="697" t="n">
        <v>26</v>
      </c>
      <c r="U78" s="697" t="n">
        <v>23</v>
      </c>
      <c r="V78" s="697" t="n">
        <v>20</v>
      </c>
      <c r="W78" s="697" t="n">
        <v>18</v>
      </c>
      <c r="X78" s="697" t="n">
        <v>14</v>
      </c>
      <c r="Y78" s="697" t="n">
        <v>0</v>
      </c>
      <c r="Z78" s="697" t="n">
        <v>0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69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  <c r="BZ78" s="697" t="n"/>
      <c r="CA78" s="699" t="n"/>
      <c r="CB78" s="699" t="n"/>
      <c r="ES78" s="327" t="n"/>
    </row>
    <row r="79" hidden="1" ht="18.75" customHeight="1">
      <c r="A79" s="781" t="inlineStr">
        <is>
          <t>EGEO CHOC HIGH</t>
        </is>
      </c>
      <c r="B79" s="731" t="n"/>
      <c r="C79" s="731" t="n"/>
      <c r="D79" s="775" t="n"/>
      <c r="I79" s="697" t="n">
        <v>0</v>
      </c>
      <c r="J79" s="697" t="n">
        <v>1</v>
      </c>
      <c r="K79" s="697" t="n">
        <v>0</v>
      </c>
      <c r="L79" s="697" t="n">
        <v>0</v>
      </c>
      <c r="M79" s="697" t="n">
        <v>0</v>
      </c>
      <c r="N79" s="697" t="n">
        <v>0</v>
      </c>
      <c r="O79" s="697" t="n">
        <v>0</v>
      </c>
      <c r="P79" s="697" t="n">
        <v>0</v>
      </c>
      <c r="Q79" s="697" t="n">
        <v>0</v>
      </c>
      <c r="R79" s="697" t="n">
        <v>0</v>
      </c>
      <c r="S79" s="697" t="n">
        <v>0</v>
      </c>
      <c r="T79" s="697" t="n">
        <v>0</v>
      </c>
      <c r="U79" s="697" t="n">
        <v>0</v>
      </c>
      <c r="V79" s="697" t="n">
        <v>0</v>
      </c>
      <c r="W79" s="697" t="n">
        <v>0</v>
      </c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BZ79" s="697" t="n"/>
      <c r="CA79" s="699" t="n"/>
      <c r="CB79" s="699" t="n"/>
      <c r="ES79" s="327" t="n"/>
    </row>
    <row r="80">
      <c r="A80" s="781" t="inlineStr">
        <is>
          <t>CBEM HIDR. DOCURA NA PESSEGURA</t>
        </is>
      </c>
      <c r="B80" s="731" t="n"/>
      <c r="C80" s="731" t="n"/>
      <c r="D80" s="775" t="n"/>
      <c r="J80" s="697" t="n">
        <v>0</v>
      </c>
      <c r="K80" s="697" t="n">
        <v>280</v>
      </c>
      <c r="L80" s="697" t="n">
        <v>259</v>
      </c>
      <c r="M80" s="697" t="n">
        <v>248</v>
      </c>
      <c r="N80" s="697" t="n">
        <v>232</v>
      </c>
      <c r="O80" s="697" t="n">
        <v>215</v>
      </c>
      <c r="P80" s="697" t="n">
        <v>190</v>
      </c>
      <c r="Q80" s="697" t="n">
        <v>200</v>
      </c>
      <c r="R80" s="697" t="n">
        <v>160</v>
      </c>
      <c r="S80" s="697" t="n">
        <v>119</v>
      </c>
      <c r="T80" s="697" t="n">
        <v>129</v>
      </c>
      <c r="U80" s="697" t="n">
        <v>115</v>
      </c>
      <c r="V80" s="697" t="n">
        <v>115</v>
      </c>
      <c r="W80" s="697" t="n">
        <v>100</v>
      </c>
      <c r="X80" s="697" t="n">
        <v>94</v>
      </c>
      <c r="Y80" s="697" t="n">
        <v>87</v>
      </c>
      <c r="Z80" s="697" t="n">
        <v>72</v>
      </c>
      <c r="AA80" s="697" t="n">
        <v>70</v>
      </c>
      <c r="AB80" s="697" t="n">
        <v>60</v>
      </c>
      <c r="AC80" s="697" t="n">
        <v>70</v>
      </c>
      <c r="AD80" s="697" t="n">
        <v>61</v>
      </c>
      <c r="AE80" s="697" t="n">
        <v>61</v>
      </c>
      <c r="AF80" s="697" t="n">
        <v>60</v>
      </c>
      <c r="AG80" s="697" t="n">
        <v>58</v>
      </c>
      <c r="AH80" s="697" t="n">
        <v>50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69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  <c r="BZ80" s="697" t="n"/>
      <c r="CA80" s="699" t="n"/>
      <c r="CB80" s="699" t="n"/>
    </row>
    <row r="81">
      <c r="A81" s="781" t="inlineStr">
        <is>
          <t>LILY BLANCHE</t>
        </is>
      </c>
      <c r="B81" s="731" t="n"/>
      <c r="C81" s="731" t="n"/>
      <c r="D81" s="775" t="n"/>
      <c r="M81" s="697" t="n">
        <v>0</v>
      </c>
      <c r="N81" s="697" t="n">
        <v>88</v>
      </c>
      <c r="O81" s="697" t="n">
        <v>80</v>
      </c>
      <c r="P81" s="697" t="n">
        <v>70</v>
      </c>
      <c r="Q81" s="697" t="n">
        <v>0</v>
      </c>
      <c r="R81" s="697" t="n">
        <v>0</v>
      </c>
      <c r="S81" s="697" t="n">
        <v>60</v>
      </c>
      <c r="T81" s="697" t="n">
        <v>78</v>
      </c>
      <c r="U81" s="697" t="n">
        <v>70</v>
      </c>
      <c r="V81" s="697" t="n">
        <v>60</v>
      </c>
      <c r="W81" s="697" t="n">
        <v>55</v>
      </c>
      <c r="X81" s="697" t="n">
        <v>54</v>
      </c>
      <c r="Y81" s="697" t="n">
        <v>32</v>
      </c>
      <c r="Z81" s="697" t="n">
        <v>21</v>
      </c>
      <c r="AA81" s="697" t="n">
        <v>18</v>
      </c>
      <c r="AB81" s="697" t="n">
        <v>18</v>
      </c>
      <c r="AC81" s="697" t="n">
        <v>18</v>
      </c>
      <c r="AD81" s="697" t="n">
        <v>10</v>
      </c>
      <c r="AE81" s="697" t="n">
        <v>10</v>
      </c>
      <c r="AF81" s="697" t="n">
        <v>7</v>
      </c>
      <c r="AG81" s="697" t="n">
        <v>0</v>
      </c>
      <c r="AH81" s="697" t="n">
        <v>0</v>
      </c>
      <c r="AI81" s="697" t="n">
        <v>0</v>
      </c>
      <c r="AJ81" s="697" t="n">
        <v>0</v>
      </c>
      <c r="AK81" s="697" t="n">
        <v>0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69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697" t="n"/>
      <c r="CA81" s="699" t="n"/>
      <c r="CB81" s="699" t="n"/>
    </row>
    <row r="82">
      <c r="A82" s="781" t="inlineStr">
        <is>
          <t>MEN NBA</t>
        </is>
      </c>
      <c r="B82" s="731" t="n"/>
      <c r="C82" s="731" t="n"/>
      <c r="D82" s="775" t="n"/>
      <c r="P82" s="32" t="n">
        <v>0</v>
      </c>
      <c r="Q82" s="32" t="n">
        <v>0</v>
      </c>
      <c r="R82" s="697" t="n">
        <v>0</v>
      </c>
      <c r="S82" s="697" t="n">
        <v>146</v>
      </c>
      <c r="T82" s="697" t="n">
        <v>146</v>
      </c>
      <c r="U82" s="697" t="n">
        <v>140</v>
      </c>
      <c r="V82" s="697" t="n">
        <v>140</v>
      </c>
      <c r="W82" s="697" t="n">
        <v>130</v>
      </c>
      <c r="X82" s="697" t="n">
        <v>123</v>
      </c>
      <c r="Y82" s="697" t="n">
        <v>123</v>
      </c>
      <c r="Z82" s="697" t="n">
        <v>100</v>
      </c>
      <c r="AA82" s="697" t="n">
        <v>98</v>
      </c>
      <c r="AB82" s="697" t="n">
        <v>98</v>
      </c>
      <c r="AC82" s="697" t="n">
        <v>98</v>
      </c>
      <c r="AD82" s="697" t="n">
        <v>90</v>
      </c>
      <c r="AE82" s="697" t="n">
        <v>87</v>
      </c>
      <c r="AF82" s="697" t="n">
        <v>80</v>
      </c>
      <c r="AG82" s="697" t="n">
        <v>75</v>
      </c>
      <c r="AH82" s="697" t="n">
        <v>61</v>
      </c>
      <c r="AI82" s="697" t="n">
        <v>40</v>
      </c>
      <c r="AJ82" s="697" t="n">
        <v>38</v>
      </c>
      <c r="AK82" s="697" t="n">
        <v>38</v>
      </c>
      <c r="AL82" s="697" t="n">
        <v>30</v>
      </c>
      <c r="AM82" s="697" t="n">
        <v>26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  <c r="BZ82" s="697" t="n"/>
      <c r="CA82" s="699" t="n"/>
      <c r="CB82" s="699" t="n"/>
    </row>
    <row r="83">
      <c r="A83" s="781" t="inlineStr">
        <is>
          <t>QUASAR DEEP BLUE</t>
        </is>
      </c>
      <c r="B83" s="731" t="n"/>
      <c r="C83" s="731" t="n"/>
      <c r="D83" s="775" t="n"/>
      <c r="S83" s="697" t="n">
        <v>0</v>
      </c>
      <c r="T83" s="697" t="n">
        <v>102</v>
      </c>
      <c r="U83" s="697" t="n">
        <v>100</v>
      </c>
      <c r="V83" s="697" t="n">
        <v>100</v>
      </c>
      <c r="W83" s="697" t="n">
        <v>95</v>
      </c>
      <c r="X83" s="697" t="n">
        <v>88</v>
      </c>
      <c r="Y83" s="697" t="n">
        <v>88</v>
      </c>
      <c r="Z83" s="697" t="n">
        <v>70</v>
      </c>
      <c r="AA83" s="697" t="n">
        <v>65</v>
      </c>
      <c r="AB83" s="697" t="n">
        <v>65</v>
      </c>
      <c r="AC83" s="697" t="n">
        <v>65</v>
      </c>
      <c r="AD83" s="697" t="n">
        <v>60</v>
      </c>
      <c r="AE83" s="697" t="n">
        <v>52</v>
      </c>
      <c r="AF83" s="697" t="n">
        <v>49</v>
      </c>
      <c r="AG83" s="697" t="n">
        <v>40</v>
      </c>
      <c r="AH83" s="697" t="n">
        <v>24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</row>
    <row r="84">
      <c r="A84" s="781" t="inlineStr">
        <is>
          <t>ARBO ATLANTICA</t>
        </is>
      </c>
      <c r="B84" s="731" t="n"/>
      <c r="C84" s="731" t="n"/>
      <c r="D84" s="775" t="n"/>
      <c r="S84" s="697" t="n">
        <v>0</v>
      </c>
      <c r="T84" s="697" t="n">
        <v>121</v>
      </c>
      <c r="U84" s="697" t="n">
        <v>118</v>
      </c>
      <c r="V84" s="697" t="n">
        <v>118</v>
      </c>
      <c r="W84" s="697" t="n">
        <v>98</v>
      </c>
      <c r="X84" s="697" t="n">
        <v>60</v>
      </c>
      <c r="Y84" s="697" t="n">
        <v>60</v>
      </c>
      <c r="Z84" s="697" t="n">
        <v>60</v>
      </c>
      <c r="AA84" s="697" t="n">
        <v>58</v>
      </c>
      <c r="AB84" s="697" t="n">
        <v>58</v>
      </c>
      <c r="AC84" s="697" t="n">
        <v>58</v>
      </c>
      <c r="AD84" s="697" t="n">
        <v>43</v>
      </c>
      <c r="AE84" s="697" t="n">
        <v>40</v>
      </c>
      <c r="AF84" s="697" t="n">
        <v>42</v>
      </c>
      <c r="AG84" s="697" t="n">
        <v>40</v>
      </c>
      <c r="AH84" s="697" t="n">
        <v>32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  <c r="BZ84" s="697" t="n"/>
      <c r="CA84" s="699" t="n"/>
      <c r="CB84" s="699" t="n"/>
    </row>
    <row r="85">
      <c r="A85" s="781" t="inlineStr">
        <is>
          <t>EGEO COGU</t>
        </is>
      </c>
      <c r="B85" s="731" t="n"/>
      <c r="C85" s="731" t="n"/>
      <c r="D85" s="775" t="n"/>
      <c r="AH85" s="697" t="n">
        <v>0</v>
      </c>
      <c r="AI85" s="697" t="n">
        <v>37</v>
      </c>
      <c r="AJ85" s="697" t="n">
        <v>30</v>
      </c>
      <c r="AK85" s="697" t="n">
        <v>30</v>
      </c>
      <c r="AL85" s="697" t="n">
        <v>20</v>
      </c>
      <c r="AM85" s="697" t="n">
        <v>18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697" t="n"/>
      <c r="CA85" s="699" t="n"/>
      <c r="CB85" s="699" t="n"/>
    </row>
    <row r="86">
      <c r="A86" s="781" t="inlineStr">
        <is>
          <t>EGEO DOLCE ILUSION</t>
        </is>
      </c>
      <c r="B86" s="731" t="n"/>
      <c r="C86" s="731" t="n"/>
      <c r="D86" s="775" t="n"/>
      <c r="AH86" s="697" t="n"/>
      <c r="AI86" s="697" t="n"/>
      <c r="AJ86" s="697" t="n"/>
      <c r="AK86" s="697" t="n"/>
      <c r="AL86" s="697" t="n"/>
      <c r="AM86" s="697" t="n"/>
      <c r="AN86" s="697" t="n"/>
      <c r="AO86" s="697" t="n"/>
      <c r="AP86" s="697" t="n"/>
      <c r="AQ86" s="697" t="n"/>
      <c r="AR86" s="697" t="n"/>
      <c r="AS86" s="697" t="n"/>
      <c r="AT86" s="697" t="n"/>
      <c r="AU86" s="697" t="n"/>
      <c r="AV86" s="697" t="n"/>
      <c r="AW86" s="697" t="n"/>
      <c r="AX86" s="697" t="n"/>
      <c r="AY86" s="697" t="n"/>
      <c r="AZ86" s="697" t="n"/>
      <c r="BA86" s="697" t="n"/>
      <c r="BB86" s="697" t="n"/>
      <c r="BC86" s="697" t="n"/>
      <c r="BD86" s="697" t="n"/>
      <c r="BE86" s="697" t="n"/>
      <c r="BF86" s="697" t="n"/>
      <c r="BG86" s="697" t="n"/>
      <c r="BH86" s="697" t="n"/>
      <c r="BI86" s="697" t="n"/>
      <c r="BJ86" s="697" t="n">
        <v>0</v>
      </c>
      <c r="BK86" s="697" t="n">
        <v>55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  <c r="BZ86" s="697" t="n"/>
      <c r="CA86" s="699" t="n"/>
      <c r="CB86" s="699" t="n"/>
    </row>
  </sheetData>
  <mergeCells count="34">
    <mergeCell ref="F5:BZ5"/>
    <mergeCell ref="A62:D62"/>
    <mergeCell ref="A72:D72"/>
    <mergeCell ref="A81:D81"/>
    <mergeCell ref="A63:D63"/>
    <mergeCell ref="A68:D68"/>
    <mergeCell ref="A1:BZ1"/>
    <mergeCell ref="A67:D67"/>
    <mergeCell ref="A77:D77"/>
    <mergeCell ref="A83:D83"/>
    <mergeCell ref="A64:D64"/>
    <mergeCell ref="A82:D82"/>
    <mergeCell ref="A73:D73"/>
    <mergeCell ref="A5:A6"/>
    <mergeCell ref="A70:D70"/>
    <mergeCell ref="A79:D79"/>
    <mergeCell ref="A69:D69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86:D86"/>
    <mergeCell ref="FD7:FL7"/>
    <mergeCell ref="A71:D71"/>
    <mergeCell ref="A85:D85"/>
    <mergeCell ref="A76:D76"/>
    <mergeCell ref="B2:D2"/>
    <mergeCell ref="C5:C6"/>
  </mergeCells>
  <conditionalFormatting sqref="CC8">
    <cfRule type="cellIs" priority="3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4" fitToHeight="0"/>
</worksheet>
</file>

<file path=xl/worksheets/sheet10.xml><?xml version="1.0" encoding="utf-8"?>
<worksheet xmlns="http://schemas.openxmlformats.org/spreadsheetml/2006/main">
  <sheetPr codeName="Planilha26">
    <tabColor theme="9"/>
    <outlinePr summaryBelow="1" summaryRight="1"/>
    <pageSetUpPr/>
  </sheetPr>
  <dimension ref="A1:JM86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7.28515625" bestFit="1" customWidth="1" style="42" min="1" max="1"/>
    <col width="10.42578125" customWidth="1" style="5" min="2" max="2"/>
    <col width="14.42578125" customWidth="1" style="5" min="3" max="4"/>
    <col width="2" customWidth="1" style="5" min="5" max="5"/>
    <col hidden="1" width="8.28515625" customWidth="1" style="5" min="6" max="75"/>
    <col width="8.28515625" customWidth="1" style="5" min="76" max="77"/>
    <col width="9.28515625" customWidth="1" style="5" min="78" max="78"/>
    <col width="1.140625" customWidth="1" style="29" min="79" max="79"/>
    <col width="15.7109375" bestFit="1" customWidth="1" style="29" min="80" max="80"/>
    <col width="1.7109375" customWidth="1" style="5" min="81" max="81"/>
    <col width="16" customWidth="1" style="29" min="82" max="82"/>
    <col width="1.5703125" customWidth="1" style="5" min="83" max="83"/>
    <col width="9.28515625" customWidth="1" style="29" min="84" max="86"/>
    <col width="8.7109375" customWidth="1" style="59" min="87" max="87"/>
    <col width="9.28515625" customWidth="1" style="29" min="88" max="90"/>
    <col hidden="1" width="9.28515625" customWidth="1" style="29" min="91" max="102"/>
    <col hidden="1" width="9.42578125" customWidth="1" style="59" min="103" max="103"/>
    <col hidden="1" width="9.28515625" customWidth="1" style="29" min="104" max="105"/>
    <col hidden="1" width="13" customWidth="1" style="29" min="106" max="106"/>
    <col hidden="1" width="9.28515625" customWidth="1" style="29" min="107" max="109"/>
    <col hidden="1" width="14.42578125" customWidth="1" style="29" min="110" max="110"/>
    <col hidden="1" width="9.28515625" customWidth="1" style="29" min="111" max="111"/>
    <col hidden="1" width="11.5703125" customWidth="1" style="29" min="112" max="112"/>
    <col hidden="1" width="9.7109375" customWidth="1" style="29" min="113" max="113"/>
    <col hidden="1" width="9.28515625" customWidth="1" style="29" min="114" max="121"/>
    <col hidden="1" width="12" customWidth="1" style="59" min="122" max="122"/>
    <col hidden="1" width="9.28515625" customWidth="1" style="29" min="123" max="123"/>
    <col hidden="1" width="12" customWidth="1" style="29" min="124" max="124"/>
    <col hidden="1" width="8.7109375" customWidth="1" style="59" min="125" max="125"/>
    <col hidden="1" width="17.5703125" customWidth="1" style="59" min="126" max="126"/>
    <col hidden="1" width="12" customWidth="1" style="29" min="127" max="127"/>
    <col hidden="1" width="12.85546875" customWidth="1" style="29" min="128" max="128"/>
    <col hidden="1" width="9.28515625" customWidth="1" style="29" min="129" max="133"/>
    <col hidden="1" width="14.7109375" customWidth="1" style="323" min="134" max="134"/>
    <col hidden="1" width="13.5703125" customWidth="1" style="29" min="135" max="135"/>
    <col hidden="1" width="14.28515625" customWidth="1" style="29" min="136" max="136"/>
    <col hidden="1" width="9.28515625" customWidth="1" style="29" min="137" max="137"/>
    <col hidden="1" width="9.7109375" customWidth="1" style="29" min="138" max="138"/>
    <col hidden="1" width="9.28515625" customWidth="1" style="29" min="139" max="142"/>
    <col hidden="1" width="14.85546875" customWidth="1" style="323" min="143" max="143"/>
    <col hidden="1" width="9.28515625" customWidth="1" style="29" min="144" max="145"/>
    <col hidden="1" width="12" customWidth="1" style="323" min="146" max="146"/>
    <col hidden="1" width="9.28515625" customWidth="1" style="29" min="147" max="157"/>
    <col width="4.42578125" customWidth="1" style="5" min="158" max="158"/>
    <col width="21.85546875" bestFit="1" customWidth="1" style="5" min="159" max="159"/>
    <col width="9.140625" customWidth="1" style="5" min="160" max="160"/>
    <col hidden="1" width="13" customWidth="1" style="5" min="161" max="164"/>
    <col width="9.140625" customWidth="1" style="5" min="165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49" t="n"/>
      <c r="CZ1" s="132" t="n"/>
      <c r="DA1" s="132" t="n"/>
      <c r="DB1" s="132" t="n"/>
      <c r="DC1" s="132" t="n"/>
      <c r="DD1" s="132" t="n"/>
      <c r="DE1" s="132" t="n"/>
      <c r="DF1" s="149" t="n"/>
      <c r="DG1" s="132" t="n"/>
      <c r="DH1" s="132" t="n"/>
      <c r="DI1" s="149" t="n"/>
      <c r="DJ1" s="132" t="n"/>
      <c r="DK1" s="132" t="n"/>
      <c r="DL1" s="132" t="n"/>
      <c r="DM1" s="132" t="n"/>
      <c r="DN1" s="132" t="n"/>
      <c r="DO1" s="132" t="n"/>
      <c r="DP1" s="132" t="n"/>
      <c r="DQ1" s="132" t="n"/>
      <c r="DR1" s="149" t="n"/>
      <c r="DS1" s="132" t="n"/>
      <c r="DT1" s="132" t="n"/>
      <c r="DU1" s="149" t="n"/>
      <c r="DV1" s="149" t="n"/>
      <c r="DW1" s="132" t="n"/>
      <c r="DX1" s="132" t="n"/>
      <c r="DY1" s="132" t="n"/>
      <c r="DZ1" s="132" t="n"/>
      <c r="EA1" s="132" t="n"/>
      <c r="EB1" s="132" t="n"/>
      <c r="EC1" s="132" t="n"/>
      <c r="ED1" s="488" t="n"/>
      <c r="EE1" s="149" t="n"/>
      <c r="EF1" s="132" t="n"/>
      <c r="EG1" s="132" t="n"/>
      <c r="EH1" s="149" t="n"/>
      <c r="EI1" s="132" t="n"/>
      <c r="EJ1" s="132" t="n"/>
      <c r="EK1" s="132" t="n"/>
      <c r="EL1" s="132" t="n"/>
      <c r="EM1" s="488" t="n"/>
      <c r="EN1" s="132" t="n"/>
      <c r="EO1" s="132" t="n"/>
      <c r="EP1" s="488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</row>
    <row r="2">
      <c r="A2" s="43" t="inlineStr">
        <is>
          <t>LOJA:</t>
        </is>
      </c>
      <c r="B2" s="722" t="inlineStr">
        <is>
          <t>TRIO</t>
        </is>
      </c>
      <c r="C2" s="723" t="n"/>
      <c r="D2" s="724" t="n"/>
      <c r="CA2" s="5" t="n"/>
      <c r="CB2" s="5" t="n"/>
      <c r="CD2" s="5" t="n"/>
      <c r="DF2" s="5" t="n"/>
      <c r="DI2" s="5" t="n"/>
      <c r="EE2" s="5" t="n"/>
      <c r="EH2" s="5" t="n"/>
    </row>
    <row r="3">
      <c r="A3" s="43" t="inlineStr">
        <is>
          <t>Responsável:</t>
        </is>
      </c>
      <c r="B3" s="725" t="inlineStr">
        <is>
          <t>NAYANI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DF3" s="726" t="n"/>
      <c r="DI3" s="726" t="n"/>
      <c r="EE3" s="726" t="n"/>
      <c r="EH3" s="726" t="n"/>
    </row>
    <row r="4" ht="15.75" customHeight="1">
      <c r="CA4" s="133" t="n"/>
      <c r="CD4" s="5" t="n"/>
      <c r="CI4" s="249" t="n"/>
      <c r="CY4" s="249" t="n"/>
      <c r="DF4" s="5" t="n"/>
      <c r="DI4" s="5" t="n"/>
      <c r="DR4" s="249" t="n"/>
      <c r="DU4" s="249" t="n"/>
      <c r="DV4" s="249" t="n"/>
      <c r="ED4" s="324" t="n"/>
      <c r="EE4" s="5" t="n"/>
      <c r="EH4" s="5" t="n"/>
      <c r="EM4" s="324" t="n"/>
      <c r="EP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90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75" t="n"/>
      <c r="CA5" s="60" t="n"/>
      <c r="CB5" s="44" t="inlineStr">
        <is>
          <t>Pendências</t>
        </is>
      </c>
      <c r="CD5" s="12" t="inlineStr">
        <is>
          <t>Novo Pedido</t>
        </is>
      </c>
      <c r="CF5" s="734" t="n"/>
      <c r="CG5" s="734" t="n">
        <v>46142</v>
      </c>
      <c r="CH5" s="734" t="n">
        <v>46114</v>
      </c>
      <c r="CI5" s="735" t="n">
        <v>46065</v>
      </c>
      <c r="CJ5" s="734" t="n">
        <v>46099</v>
      </c>
      <c r="CK5" s="734" t="n">
        <v>46092</v>
      </c>
      <c r="CL5" s="734" t="n">
        <v>46084</v>
      </c>
      <c r="CM5" s="734" t="n">
        <v>46071</v>
      </c>
      <c r="CN5" s="734" t="n">
        <v>46056</v>
      </c>
      <c r="CO5" s="734" t="n">
        <v>46048</v>
      </c>
      <c r="CP5" s="734" t="n">
        <v>46035</v>
      </c>
      <c r="CQ5" s="734" t="n">
        <v>46029</v>
      </c>
      <c r="CR5" s="734" t="n">
        <v>46017</v>
      </c>
      <c r="CS5" s="734" t="n">
        <v>46007</v>
      </c>
      <c r="CT5" s="734" t="n">
        <v>46001</v>
      </c>
      <c r="CU5" s="734" t="n">
        <v>45994</v>
      </c>
      <c r="CV5" s="734" t="n">
        <v>45973</v>
      </c>
      <c r="CW5" s="734" t="n">
        <v>45960</v>
      </c>
      <c r="CX5" s="734" t="n">
        <v>45951</v>
      </c>
      <c r="CY5" s="737" t="n">
        <v>45903</v>
      </c>
      <c r="CZ5" s="734" t="n">
        <v>45945</v>
      </c>
      <c r="DA5" s="734" t="n">
        <v>45937</v>
      </c>
      <c r="DB5" s="736" t="inlineStr">
        <is>
          <t>TRANSF.</t>
        </is>
      </c>
      <c r="DC5" s="734" t="n">
        <v>45923</v>
      </c>
      <c r="DD5" s="734" t="n">
        <v>45931</v>
      </c>
      <c r="DE5" s="734" t="n">
        <v>45923</v>
      </c>
      <c r="DF5" s="738" t="inlineStr">
        <is>
          <t>TRANSF.</t>
        </is>
      </c>
      <c r="DG5" s="734" t="n">
        <v>45915</v>
      </c>
      <c r="DH5" s="736" t="inlineStr">
        <is>
          <t>TRANSF.</t>
        </is>
      </c>
      <c r="DI5" s="738" t="n">
        <v>45863</v>
      </c>
      <c r="DJ5" s="734" t="n">
        <v>45909</v>
      </c>
      <c r="DK5" s="734" t="n">
        <v>45903</v>
      </c>
      <c r="DL5" s="734" t="n">
        <v>45895</v>
      </c>
      <c r="DM5" s="734" t="n">
        <v>45888</v>
      </c>
      <c r="DN5" s="734" t="n">
        <v>45881</v>
      </c>
      <c r="DO5" s="734" t="n">
        <v>45874</v>
      </c>
      <c r="DP5" s="734" t="n">
        <v>45867</v>
      </c>
      <c r="DQ5" s="734" t="n">
        <v>45860</v>
      </c>
      <c r="DR5" s="739" t="inlineStr">
        <is>
          <t>TRANSF.</t>
        </is>
      </c>
      <c r="DS5" s="734" t="n">
        <v>45853</v>
      </c>
      <c r="DT5" s="736" t="inlineStr">
        <is>
          <t>TRANSF.</t>
        </is>
      </c>
      <c r="DU5" s="739" t="n">
        <v>45791</v>
      </c>
      <c r="DV5" s="739" t="inlineStr">
        <is>
          <t>AUTOMÁTICO</t>
        </is>
      </c>
      <c r="DW5" s="736" t="inlineStr">
        <is>
          <t>TRANSF.</t>
        </is>
      </c>
      <c r="DX5" s="736" t="inlineStr">
        <is>
          <t>TRANSF.</t>
        </is>
      </c>
      <c r="DY5" s="734" t="n">
        <v>45832</v>
      </c>
      <c r="DZ5" s="734" t="n">
        <v>45825</v>
      </c>
      <c r="EA5" s="734" t="n">
        <v>45819</v>
      </c>
      <c r="EB5" s="734" t="n">
        <v>45813</v>
      </c>
      <c r="EC5" s="734" t="n">
        <v>45805</v>
      </c>
      <c r="ED5" s="740" t="inlineStr">
        <is>
          <t>TRANSF.</t>
        </is>
      </c>
      <c r="EE5" s="742" t="inlineStr">
        <is>
          <t>TRANSF.</t>
        </is>
      </c>
      <c r="EF5" s="736" t="inlineStr">
        <is>
          <t>TRANSF.</t>
        </is>
      </c>
      <c r="EG5" s="734" t="n">
        <v>45798</v>
      </c>
      <c r="EH5" s="742" t="n">
        <v>45735</v>
      </c>
      <c r="EI5" s="734" t="n">
        <v>45790</v>
      </c>
      <c r="EJ5" s="734" t="n">
        <v>45783</v>
      </c>
      <c r="EK5" s="734" t="n">
        <v>45770</v>
      </c>
      <c r="EL5" s="734" t="n">
        <v>45756</v>
      </c>
      <c r="EM5" s="740" t="inlineStr">
        <is>
          <t>TRANSF.</t>
        </is>
      </c>
      <c r="EN5" s="734" t="n">
        <v>45749</v>
      </c>
      <c r="EO5" s="734" t="n">
        <v>45734</v>
      </c>
      <c r="EP5" s="740" t="n">
        <v>45700</v>
      </c>
      <c r="EQ5" s="734" t="n">
        <v>45728</v>
      </c>
      <c r="ER5" s="734" t="n">
        <v>45722</v>
      </c>
      <c r="ES5" s="734" t="n">
        <v>45714</v>
      </c>
      <c r="ET5" s="734" t="n">
        <v>45706</v>
      </c>
      <c r="EU5" s="734" t="n">
        <v>45699</v>
      </c>
      <c r="EV5" s="734" t="n">
        <v>45693</v>
      </c>
      <c r="EW5" s="734" t="n">
        <v>45685</v>
      </c>
      <c r="EX5" s="734" t="n">
        <v>45674</v>
      </c>
      <c r="EY5" s="734" t="n">
        <v>45660</v>
      </c>
      <c r="EZ5" s="734" t="n">
        <v>45652</v>
      </c>
      <c r="FA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45" t="n"/>
      <c r="CD6" s="752" t="n">
        <v>46156</v>
      </c>
      <c r="CE6" s="751" t="n"/>
      <c r="CF6" s="734" t="n"/>
      <c r="CG6" s="734" t="n">
        <v>46148</v>
      </c>
      <c r="CH6" s="734" t="n">
        <v>46125</v>
      </c>
      <c r="CI6" s="735" t="n">
        <v>46111</v>
      </c>
      <c r="CJ6" s="734" t="n">
        <v>46105</v>
      </c>
      <c r="CK6" s="734" t="n">
        <v>46100</v>
      </c>
      <c r="CL6" s="734" t="n">
        <v>46086</v>
      </c>
      <c r="CM6" s="734" t="n">
        <v>46077</v>
      </c>
      <c r="CN6" s="734" t="n">
        <v>46059</v>
      </c>
      <c r="CO6" s="734" t="n">
        <v>46055</v>
      </c>
      <c r="CP6" s="734" t="n">
        <v>46037</v>
      </c>
      <c r="CQ6" s="734" t="n">
        <v>46035</v>
      </c>
      <c r="CR6" s="734" t="n">
        <v>46029</v>
      </c>
      <c r="CS6" s="734" t="n">
        <v>46013</v>
      </c>
      <c r="CT6" s="734" t="n">
        <v>46009</v>
      </c>
      <c r="CU6" s="734" t="n">
        <v>46000</v>
      </c>
      <c r="CV6" s="734" t="n">
        <v>45980</v>
      </c>
      <c r="CW6" s="734" t="n">
        <v>45967</v>
      </c>
      <c r="CX6" s="734" t="n">
        <v>45958</v>
      </c>
      <c r="CY6" s="753" t="n">
        <v>45957</v>
      </c>
      <c r="CZ6" s="734" t="n">
        <v>45954</v>
      </c>
      <c r="DA6" s="734" t="n">
        <v>45945</v>
      </c>
      <c r="DB6" s="736" t="n">
        <v>45939</v>
      </c>
      <c r="DC6" s="734" t="n">
        <v>45926</v>
      </c>
      <c r="DD6" s="734" t="n">
        <v>45938</v>
      </c>
      <c r="DE6" s="734" t="n">
        <v>45929</v>
      </c>
      <c r="DF6" s="754" t="n">
        <v>45923</v>
      </c>
      <c r="DG6" s="734" t="n">
        <v>45919</v>
      </c>
      <c r="DH6" s="736" t="n">
        <v>45918</v>
      </c>
      <c r="DI6" s="754" t="n">
        <v>45917</v>
      </c>
      <c r="DJ6" s="734" t="n">
        <v>45915</v>
      </c>
      <c r="DK6" s="734" t="n">
        <v>45908</v>
      </c>
      <c r="DL6" s="734" t="n">
        <v>45901</v>
      </c>
      <c r="DM6" s="734" t="n">
        <v>45891</v>
      </c>
      <c r="DN6" s="734" t="n">
        <v>45888</v>
      </c>
      <c r="DO6" s="734" t="n">
        <v>45880</v>
      </c>
      <c r="DP6" s="734" t="n">
        <v>45873</v>
      </c>
      <c r="DQ6" s="734" t="n">
        <v>45863</v>
      </c>
      <c r="DR6" s="739" t="n">
        <v>45861</v>
      </c>
      <c r="DS6" s="734" t="n">
        <v>45856</v>
      </c>
      <c r="DT6" s="736" t="n">
        <v>45852</v>
      </c>
      <c r="DU6" s="739" t="n">
        <v>45852</v>
      </c>
      <c r="DV6" s="739" t="n">
        <v>45852</v>
      </c>
      <c r="DW6" s="736" t="n">
        <v>45842</v>
      </c>
      <c r="DX6" s="736" t="n">
        <v>45841</v>
      </c>
      <c r="DY6" s="734" t="n">
        <v>45839</v>
      </c>
      <c r="DZ6" s="734" t="n">
        <v>45832</v>
      </c>
      <c r="EA6" s="734" t="n">
        <v>45824</v>
      </c>
      <c r="EB6" s="734" t="n">
        <v>45819</v>
      </c>
      <c r="EC6" s="734" t="n">
        <v>45810</v>
      </c>
      <c r="ED6" s="740" t="n">
        <v>45806</v>
      </c>
      <c r="EE6" s="755" t="n">
        <v>45805</v>
      </c>
      <c r="EF6" s="736" t="n">
        <v>45804</v>
      </c>
      <c r="EG6" s="734" t="n">
        <v>45800</v>
      </c>
      <c r="EH6" s="755" t="n">
        <v>45797</v>
      </c>
      <c r="EI6" s="734" t="n">
        <v>45793</v>
      </c>
      <c r="EJ6" s="734" t="n">
        <v>45785</v>
      </c>
      <c r="EK6" s="734" t="n">
        <v>45776</v>
      </c>
      <c r="EL6" s="734" t="n">
        <v>45775</v>
      </c>
      <c r="EM6" s="740" t="n">
        <v>45756</v>
      </c>
      <c r="EN6" s="734" t="n">
        <v>45755</v>
      </c>
      <c r="EO6" s="734" t="n">
        <v>45743</v>
      </c>
      <c r="EP6" s="740" t="n">
        <v>45743</v>
      </c>
      <c r="EQ6" s="734" t="n">
        <v>45733</v>
      </c>
      <c r="ER6" s="734" t="n">
        <v>45726</v>
      </c>
      <c r="ES6" s="734" t="n">
        <v>45721</v>
      </c>
      <c r="ET6" s="734" t="n">
        <v>45713</v>
      </c>
      <c r="EU6" s="734" t="n">
        <v>45706</v>
      </c>
      <c r="EV6" s="734" t="n">
        <v>45699</v>
      </c>
      <c r="EW6" s="734" t="n">
        <v>45688</v>
      </c>
      <c r="EX6" s="734" t="n">
        <v>45678</v>
      </c>
      <c r="EY6" s="734" t="n">
        <v>45665</v>
      </c>
      <c r="EZ6" s="734" t="n">
        <v>45659</v>
      </c>
      <c r="FA6" s="734" t="n">
        <v>45653</v>
      </c>
      <c r="FC6" s="5" t="n"/>
      <c r="FD6" s="5" t="n"/>
      <c r="FE6" s="5" t="n"/>
      <c r="FF6" s="5" t="n"/>
      <c r="FG6" s="5" t="n"/>
      <c r="FH6" s="5" t="n"/>
      <c r="FI6" s="5" t="n"/>
      <c r="FJ6" s="5" t="n"/>
      <c r="FK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C7" s="5" t="n"/>
      <c r="CD7" s="106" t="n"/>
      <c r="CE7" s="5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inlineStr">
        <is>
          <t>HA</t>
        </is>
      </c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inlineStr">
        <is>
          <t>PAIS/25</t>
        </is>
      </c>
      <c r="DS7" s="13" t="n"/>
      <c r="DT7" s="13" t="n"/>
      <c r="DU7" s="13" t="n"/>
      <c r="DV7" s="13" t="n"/>
      <c r="DW7" s="13" t="n"/>
      <c r="DX7" s="13" t="n"/>
      <c r="DY7" s="13" t="n"/>
      <c r="DZ7" s="13" t="n"/>
      <c r="EA7" s="13" t="n"/>
      <c r="EB7" s="13" t="n"/>
      <c r="EC7" s="320" t="n"/>
      <c r="ED7" s="13" t="inlineStr">
        <is>
          <t>MÃES/25</t>
        </is>
      </c>
      <c r="EE7" s="13" t="inlineStr">
        <is>
          <t>NAMO/25</t>
        </is>
      </c>
      <c r="EF7" s="320" t="n"/>
      <c r="EG7" s="320" t="n"/>
      <c r="EH7" s="320" t="n"/>
      <c r="EI7" s="320" t="n"/>
      <c r="EJ7" s="320" t="n"/>
      <c r="EK7" s="320" t="n"/>
      <c r="EL7" s="320" t="n"/>
      <c r="EM7" s="13" t="inlineStr">
        <is>
          <t>MÃES/25</t>
        </is>
      </c>
      <c r="EN7" s="320" t="n"/>
      <c r="EO7" s="320" t="n"/>
      <c r="EP7" s="13" t="inlineStr">
        <is>
          <t>MÃES/25</t>
        </is>
      </c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A7" s="13" t="n"/>
      <c r="FC7" s="235" t="inlineStr">
        <is>
          <t>MÃES 2026</t>
        </is>
      </c>
      <c r="FD7" s="731" t="n"/>
      <c r="FE7" s="731" t="n"/>
      <c r="FF7" s="731" t="n"/>
      <c r="FG7" s="731" t="n"/>
      <c r="FH7" s="731" t="n"/>
      <c r="FI7" s="731" t="n"/>
      <c r="FJ7" s="731" t="n"/>
      <c r="FK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5" t="n"/>
      <c r="F8" s="697" t="n">
        <v>820</v>
      </c>
      <c r="G8" s="697">
        <f>820+EY8</f>
        <v/>
      </c>
      <c r="H8" s="697" t="n">
        <v>1260</v>
      </c>
      <c r="I8" s="697">
        <f>1160+EX8</f>
        <v/>
      </c>
      <c r="J8" s="697" t="n">
        <v>960</v>
      </c>
      <c r="K8" s="697" t="n">
        <v>1560</v>
      </c>
      <c r="L8" s="697" t="n">
        <v>1560</v>
      </c>
      <c r="M8" s="697" t="n">
        <v>1440</v>
      </c>
      <c r="N8" s="697" t="n">
        <v>1420</v>
      </c>
      <c r="O8" s="697" t="n">
        <v>1360</v>
      </c>
      <c r="P8" s="697" t="n">
        <v>1130</v>
      </c>
      <c r="Q8" s="697" t="n">
        <v>1020</v>
      </c>
      <c r="R8" s="697" t="n">
        <v>900</v>
      </c>
      <c r="S8" s="697" t="n">
        <v>760</v>
      </c>
      <c r="T8" s="697" t="n">
        <v>640</v>
      </c>
      <c r="U8" s="697" t="n">
        <v>300</v>
      </c>
      <c r="V8" s="697" t="n">
        <v>300</v>
      </c>
      <c r="W8" s="697">
        <f>320+EL8</f>
        <v/>
      </c>
      <c r="X8" s="697" t="n">
        <v>1220</v>
      </c>
      <c r="Y8" s="697" t="n">
        <v>900</v>
      </c>
      <c r="Z8" s="697" t="n">
        <v>2000</v>
      </c>
      <c r="AA8" s="697" t="n">
        <v>1840</v>
      </c>
      <c r="AB8" s="697" t="n">
        <v>1640</v>
      </c>
      <c r="AC8" s="697" t="n">
        <v>1560</v>
      </c>
      <c r="AD8" s="697" t="n">
        <v>1380</v>
      </c>
      <c r="AE8" s="697" t="n">
        <v>1200</v>
      </c>
      <c r="AF8" s="697" t="n">
        <v>1020</v>
      </c>
      <c r="AG8" s="697" t="n">
        <v>960</v>
      </c>
      <c r="AH8" s="697" t="n">
        <v>860</v>
      </c>
      <c r="AI8" s="697" t="n">
        <v>740</v>
      </c>
      <c r="AJ8" s="697" t="n">
        <v>700</v>
      </c>
      <c r="AK8" s="697" t="n">
        <v>680</v>
      </c>
      <c r="AL8" s="697" t="n">
        <v>360</v>
      </c>
      <c r="AM8" s="697">
        <f>220+DN8</f>
        <v/>
      </c>
      <c r="AN8" s="697">
        <f>480+DM8</f>
        <v/>
      </c>
      <c r="AO8" s="697" t="n">
        <v>680</v>
      </c>
      <c r="AP8" s="697" t="n">
        <v>560</v>
      </c>
      <c r="AQ8" s="697" t="n">
        <v>420</v>
      </c>
      <c r="AR8" s="697" t="n">
        <v>360</v>
      </c>
      <c r="AS8" s="697" t="n">
        <v>560</v>
      </c>
      <c r="AT8" s="697" t="n">
        <v>460</v>
      </c>
      <c r="AU8" s="697">
        <f>380+DA8</f>
        <v/>
      </c>
      <c r="AV8" s="697" t="n">
        <v>480</v>
      </c>
      <c r="AW8" s="697">
        <f>360+CX8</f>
        <v/>
      </c>
      <c r="AX8" s="697" t="n">
        <v>600</v>
      </c>
      <c r="AY8" s="697" t="n">
        <v>360</v>
      </c>
      <c r="AZ8" s="697">
        <f>360+CV8</f>
        <v/>
      </c>
      <c r="BA8" s="697" t="n">
        <v>960</v>
      </c>
      <c r="BB8" s="697" t="n">
        <v>600</v>
      </c>
      <c r="BC8" s="697">
        <f>600+CU8</f>
        <v/>
      </c>
      <c r="BD8" s="697">
        <f>700+CT8</f>
        <v/>
      </c>
      <c r="BE8" s="697">
        <f>940+CS8</f>
        <v/>
      </c>
      <c r="BF8" s="697" t="n">
        <v>930</v>
      </c>
      <c r="BG8" s="697" t="n">
        <v>900</v>
      </c>
      <c r="BH8" s="697" t="n">
        <v>900</v>
      </c>
      <c r="BI8" s="697" t="n">
        <v>700</v>
      </c>
      <c r="BJ8" s="697" t="n">
        <v>460</v>
      </c>
      <c r="BK8" s="697" t="n">
        <v>460</v>
      </c>
      <c r="BL8" s="697" t="n">
        <v>460</v>
      </c>
      <c r="BM8" s="697" t="n">
        <v>300</v>
      </c>
      <c r="BN8" s="697">
        <f>240+CM8</f>
        <v/>
      </c>
      <c r="BO8" s="697" t="n">
        <v>420</v>
      </c>
      <c r="BP8" s="697" t="n">
        <v>560</v>
      </c>
      <c r="BQ8" s="697">
        <f>520+CK8</f>
        <v/>
      </c>
      <c r="BR8" s="697" t="n">
        <v>400</v>
      </c>
      <c r="BS8" s="697" t="n">
        <v>400</v>
      </c>
      <c r="BT8" s="697" t="n">
        <v>380</v>
      </c>
      <c r="BU8" s="697">
        <f>313+CH8</f>
        <v/>
      </c>
      <c r="BV8" s="697" t="n">
        <v>160</v>
      </c>
      <c r="BW8" s="697" t="n">
        <v>35</v>
      </c>
      <c r="BX8" s="314">
        <f>240+CG8</f>
        <v/>
      </c>
      <c r="BY8" s="697" t="n">
        <v>140</v>
      </c>
      <c r="BZ8" s="192">
        <f>BX8+IF(NOT(ISBLANK(OFFSET(BZ8,0,6))),N(OFFSET(BZ8,0,6)),N(OFFSET(BZ8,0,7)))-BY8</f>
        <v/>
      </c>
      <c r="CA8" s="129" t="n"/>
      <c r="CB8" s="22" t="n"/>
      <c r="CC8" s="5" t="n"/>
      <c r="CD8" s="27" t="n">
        <v>600</v>
      </c>
      <c r="CE8" s="5" t="n"/>
      <c r="CF8" s="23" t="n">
        <v>0</v>
      </c>
      <c r="CG8" s="23" t="n">
        <v>600</v>
      </c>
      <c r="CH8" s="23" t="n">
        <v>300</v>
      </c>
      <c r="CI8" s="23" t="n"/>
      <c r="CJ8" s="23" t="n"/>
      <c r="CK8" s="23" t="n">
        <v>300</v>
      </c>
      <c r="CL8" s="23" t="n">
        <v>300</v>
      </c>
      <c r="CM8" s="23" t="n">
        <v>300</v>
      </c>
      <c r="CN8" s="23" t="n"/>
      <c r="CO8" s="23" t="n"/>
      <c r="CP8" s="23" t="n"/>
      <c r="CQ8" s="23" t="n"/>
      <c r="CR8" s="23" t="n"/>
      <c r="CS8" s="23" t="n">
        <v>300</v>
      </c>
      <c r="CT8" s="23" t="n">
        <v>300</v>
      </c>
      <c r="CU8" s="23" t="n">
        <v>300</v>
      </c>
      <c r="CV8" s="23" t="n">
        <v>600</v>
      </c>
      <c r="CW8" s="23" t="n"/>
      <c r="CX8" s="23" t="n">
        <v>300</v>
      </c>
      <c r="CY8" s="219" t="n"/>
      <c r="CZ8" s="23" t="n"/>
      <c r="DA8" s="23" t="n">
        <v>300</v>
      </c>
      <c r="DB8" s="23" t="n"/>
      <c r="DC8" s="23" t="n"/>
      <c r="DD8" s="23" t="n"/>
      <c r="DE8" s="23" t="n">
        <v>300</v>
      </c>
      <c r="DF8" s="219" t="n"/>
      <c r="DG8" s="23" t="n"/>
      <c r="DH8" s="23" t="n"/>
      <c r="DI8" s="219" t="n"/>
      <c r="DJ8" s="23" t="n"/>
      <c r="DK8" s="23" t="n"/>
      <c r="DL8" s="23" t="n"/>
      <c r="DM8" s="23" t="n">
        <v>300</v>
      </c>
      <c r="DN8" s="23" t="n">
        <v>300</v>
      </c>
      <c r="DO8" s="23" t="n"/>
      <c r="DP8" s="23" t="n"/>
      <c r="DQ8" s="23" t="n"/>
      <c r="DR8" s="219" t="n"/>
      <c r="DS8" s="23" t="n"/>
      <c r="DT8" s="23" t="n"/>
      <c r="DU8" s="219" t="n"/>
      <c r="DV8" s="219" t="n"/>
      <c r="DW8" s="23" t="n"/>
      <c r="DX8" s="23" t="n"/>
      <c r="DY8" s="23" t="n"/>
      <c r="DZ8" s="23" t="n"/>
      <c r="EA8" s="23" t="n"/>
      <c r="EB8" s="23" t="n"/>
      <c r="EC8" s="23" t="n"/>
      <c r="ED8" s="219" t="n"/>
      <c r="EE8" s="219" t="n"/>
      <c r="EF8" s="23" t="n"/>
      <c r="EG8" s="23" t="n"/>
      <c r="EH8" s="219" t="n"/>
      <c r="EI8" s="23" t="n">
        <v>900</v>
      </c>
      <c r="EJ8" s="23" t="n">
        <v>300</v>
      </c>
      <c r="EK8" s="23" t="n">
        <v>300</v>
      </c>
      <c r="EL8" s="23" t="n">
        <v>600</v>
      </c>
      <c r="EM8" s="219" t="n"/>
      <c r="EN8" s="23" t="n"/>
      <c r="EO8" s="23" t="n"/>
      <c r="EP8" s="219" t="n"/>
      <c r="EQ8" s="23" t="n"/>
      <c r="ER8" s="23" t="n"/>
      <c r="ES8" s="23" t="n"/>
      <c r="ET8" s="23" t="n"/>
      <c r="EU8" s="23" t="n"/>
      <c r="EV8" s="23" t="n"/>
      <c r="EW8" s="23" t="n">
        <v>600</v>
      </c>
      <c r="EX8" s="23" t="n">
        <v>300</v>
      </c>
      <c r="EY8" s="23" t="n">
        <v>600</v>
      </c>
      <c r="EZ8" s="23" t="n"/>
      <c r="FA8" s="23" t="n"/>
      <c r="FC8" s="304" t="inlineStr">
        <is>
          <t xml:space="preserve">SACOLAS </t>
        </is>
      </c>
      <c r="FD8" s="235" t="inlineStr">
        <is>
          <t>PCT</t>
        </is>
      </c>
      <c r="FE8" s="746" t="n">
        <v>46118</v>
      </c>
      <c r="FF8" s="746" t="n">
        <v>46125</v>
      </c>
      <c r="FG8" s="746" t="n">
        <v>46132</v>
      </c>
      <c r="FH8" s="746" t="n">
        <v>46139</v>
      </c>
      <c r="FI8" s="746" t="n">
        <v>46146</v>
      </c>
      <c r="FJ8" s="746" t="n">
        <v>46154</v>
      </c>
      <c r="FK8" s="758" t="inlineStr">
        <is>
          <t>USOU</t>
        </is>
      </c>
    </row>
    <row r="9" ht="18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 t="n">
        <v>2320</v>
      </c>
      <c r="G9" s="697">
        <f>2100+EY9</f>
        <v/>
      </c>
      <c r="H9" s="697" t="n">
        <v>1980</v>
      </c>
      <c r="I9" s="697">
        <f>1800+EX9</f>
        <v/>
      </c>
      <c r="J9" s="697" t="n">
        <v>2020</v>
      </c>
      <c r="K9" s="697" t="n">
        <v>1935</v>
      </c>
      <c r="L9" s="697">
        <f>1815+EV9</f>
        <v/>
      </c>
      <c r="M9" s="697" t="n">
        <v>2120</v>
      </c>
      <c r="N9" s="697" t="n">
        <v>1720</v>
      </c>
      <c r="O9" s="697" t="n">
        <v>1540</v>
      </c>
      <c r="P9" s="697" t="n">
        <v>1100</v>
      </c>
      <c r="Q9" s="697">
        <f>800+EQ9</f>
        <v/>
      </c>
      <c r="R9" s="697" t="n">
        <v>900</v>
      </c>
      <c r="S9" s="697" t="n">
        <v>600</v>
      </c>
      <c r="T9" s="697">
        <f>560+EN9</f>
        <v/>
      </c>
      <c r="U9" s="697" t="n">
        <v>1200</v>
      </c>
      <c r="V9" s="697" t="n">
        <v>1200</v>
      </c>
      <c r="W9" s="697" t="n">
        <v>1200</v>
      </c>
      <c r="X9" s="697" t="n">
        <v>1200</v>
      </c>
      <c r="Y9" s="697" t="n">
        <v>1200</v>
      </c>
      <c r="Z9" s="697" t="n">
        <v>920</v>
      </c>
      <c r="AA9" s="697">
        <f>420+200</f>
        <v/>
      </c>
      <c r="AB9" s="697">
        <f>400+EC9</f>
        <v/>
      </c>
      <c r="AC9" s="697">
        <f>1100+EB9</f>
        <v/>
      </c>
      <c r="AD9" s="697">
        <f>980+EA9</f>
        <v/>
      </c>
      <c r="AE9" s="697" t="n">
        <v>680</v>
      </c>
      <c r="AF9" s="697" t="n">
        <v>520</v>
      </c>
      <c r="AG9" s="697" t="n">
        <v>1100</v>
      </c>
      <c r="AH9" s="697" t="n">
        <v>1360</v>
      </c>
      <c r="AI9" s="697" t="n">
        <v>1000</v>
      </c>
      <c r="AJ9" s="697" t="n">
        <v>800</v>
      </c>
      <c r="AK9" s="697">
        <f>600+DP9</f>
        <v/>
      </c>
      <c r="AL9" s="697" t="n">
        <v>400</v>
      </c>
      <c r="AM9" s="697">
        <f>20+DN9</f>
        <v/>
      </c>
      <c r="AN9" s="697" t="n">
        <v>1020</v>
      </c>
      <c r="AO9" s="697">
        <f>800+DL9</f>
        <v/>
      </c>
      <c r="AP9" s="697" t="n">
        <v>720</v>
      </c>
      <c r="AQ9" s="697">
        <f>280+DJ9</f>
        <v/>
      </c>
      <c r="AR9" s="697" t="n">
        <v>840</v>
      </c>
      <c r="AS9" s="697" t="n">
        <v>720</v>
      </c>
      <c r="AT9" s="697">
        <f>340+DD9</f>
        <v/>
      </c>
      <c r="AU9" s="697">
        <f>240+DA9</f>
        <v/>
      </c>
      <c r="AV9" s="697" t="n">
        <v>800</v>
      </c>
      <c r="AW9" s="697">
        <f>440+CX9</f>
        <v/>
      </c>
      <c r="AX9" s="697" t="n">
        <v>640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520+CU9</f>
        <v/>
      </c>
      <c r="BD9" s="697">
        <f>200+CT9</f>
        <v/>
      </c>
      <c r="BE9" s="697">
        <f>220+CS9</f>
        <v/>
      </c>
      <c r="BF9" s="697" t="n">
        <v>120</v>
      </c>
      <c r="BG9" s="697" t="n">
        <v>120</v>
      </c>
      <c r="BH9" s="697">
        <f>200+CQ9</f>
        <v/>
      </c>
      <c r="BI9" s="697" t="n">
        <v>1600</v>
      </c>
      <c r="BJ9" s="697" t="n">
        <v>1400</v>
      </c>
      <c r="BK9" s="697" t="n">
        <v>1020</v>
      </c>
      <c r="BL9" s="697" t="n">
        <v>1400</v>
      </c>
      <c r="BM9" s="697" t="n">
        <v>900</v>
      </c>
      <c r="BN9" s="697">
        <f>620+CM9</f>
        <v/>
      </c>
      <c r="BO9" s="697" t="n">
        <v>820</v>
      </c>
      <c r="BP9" s="697" t="n">
        <v>1220</v>
      </c>
      <c r="BQ9" s="697">
        <f>860+CK9</f>
        <v/>
      </c>
      <c r="BR9" s="697" t="n">
        <v>960</v>
      </c>
      <c r="BS9" s="697" t="n">
        <v>560</v>
      </c>
      <c r="BT9" s="697" t="n">
        <v>140</v>
      </c>
      <c r="BU9" s="697">
        <f>0+CH9</f>
        <v/>
      </c>
      <c r="BV9" s="697" t="n">
        <v>600</v>
      </c>
      <c r="BW9" s="697" t="n">
        <v>600</v>
      </c>
      <c r="BX9" s="314" t="n">
        <v>1400</v>
      </c>
      <c r="BY9" s="697" t="n">
        <v>206</v>
      </c>
      <c r="BZ9" s="192">
        <f>BX9+IF(NOT(ISBLANK(OFFSET(BZ9,0,6))),N(OFFSET(BZ9,0,6)),N(OFFSET(BZ9,0,7)))-BY9</f>
        <v/>
      </c>
      <c r="CA9" s="129" t="n"/>
      <c r="CB9" s="22" t="n"/>
      <c r="CC9" s="5" t="n"/>
      <c r="CD9" s="27" t="n">
        <v>1000</v>
      </c>
      <c r="CE9" s="5" t="n"/>
      <c r="CF9" s="23" t="n">
        <v>0</v>
      </c>
      <c r="CG9" s="23" t="n">
        <v>0</v>
      </c>
      <c r="CH9" s="23" t="n">
        <v>600</v>
      </c>
      <c r="CI9" s="219" t="n">
        <v>2200</v>
      </c>
      <c r="CJ9" s="23" t="n"/>
      <c r="CK9" s="23" t="n">
        <v>400</v>
      </c>
      <c r="CL9" s="23" t="n">
        <v>800</v>
      </c>
      <c r="CM9" s="23" t="n">
        <v>600</v>
      </c>
      <c r="CN9" s="23" t="n">
        <v>600</v>
      </c>
      <c r="CO9" s="23" t="n"/>
      <c r="CP9" s="23" t="n">
        <v>800</v>
      </c>
      <c r="CQ9" s="23" t="n">
        <v>1000</v>
      </c>
      <c r="CR9" s="23" t="n">
        <v>800</v>
      </c>
      <c r="CS9" s="23" t="n">
        <v>1000</v>
      </c>
      <c r="CT9" s="23" t="n">
        <v>800</v>
      </c>
      <c r="CU9" s="23" t="n">
        <v>200</v>
      </c>
      <c r="CV9" s="23" t="n"/>
      <c r="CW9" s="23" t="n">
        <v>200</v>
      </c>
      <c r="CX9" s="23" t="n">
        <v>400</v>
      </c>
      <c r="CY9" s="219" t="n">
        <v>2000</v>
      </c>
      <c r="CZ9" s="23" t="n"/>
      <c r="DA9" s="23" t="n">
        <v>1000</v>
      </c>
      <c r="DB9" s="23" t="n"/>
      <c r="DC9" s="23" t="n"/>
      <c r="DD9" s="23" t="n">
        <v>200</v>
      </c>
      <c r="DE9" s="23" t="n">
        <v>200</v>
      </c>
      <c r="DF9" s="219" t="n"/>
      <c r="DG9" s="23" t="n">
        <v>400</v>
      </c>
      <c r="DH9" s="23" t="n"/>
      <c r="DI9" s="219" t="n"/>
      <c r="DJ9" s="23" t="n">
        <v>400</v>
      </c>
      <c r="DK9" s="23" t="n"/>
      <c r="DL9" s="23" t="n">
        <v>400</v>
      </c>
      <c r="DM9" s="23" t="n">
        <v>400</v>
      </c>
      <c r="DN9" s="23" t="n">
        <v>800</v>
      </c>
      <c r="DO9" s="23" t="n"/>
      <c r="DP9" s="23" t="n">
        <v>400</v>
      </c>
      <c r="DQ9" s="23" t="n"/>
      <c r="DR9" s="219" t="n"/>
      <c r="DS9" s="23" t="n">
        <v>600</v>
      </c>
      <c r="DT9" s="23" t="n"/>
      <c r="DU9" s="219" t="n"/>
      <c r="DV9" s="219" t="n"/>
      <c r="DW9" s="23" t="n"/>
      <c r="DX9" s="23" t="n"/>
      <c r="DY9" s="23" t="n">
        <v>1000</v>
      </c>
      <c r="DZ9" s="23" t="n"/>
      <c r="EA9" s="23" t="n">
        <v>200</v>
      </c>
      <c r="EB9" s="23" t="n">
        <v>200</v>
      </c>
      <c r="EC9" s="23" t="n">
        <v>1000</v>
      </c>
      <c r="ED9" s="219" t="n"/>
      <c r="EE9" s="219" t="n"/>
      <c r="EF9" s="282" t="inlineStr">
        <is>
          <t>200 DE Q2</t>
        </is>
      </c>
      <c r="EG9" s="23" t="n"/>
      <c r="EH9" s="219" t="n"/>
      <c r="EI9" s="23" t="n"/>
      <c r="EJ9" s="23" t="n"/>
      <c r="EK9" s="23" t="n"/>
      <c r="EL9" s="23" t="n"/>
      <c r="EM9" s="219" t="n"/>
      <c r="EN9" s="23" t="n">
        <v>1000</v>
      </c>
      <c r="EO9" s="23" t="n">
        <v>400</v>
      </c>
      <c r="EP9" s="219" t="n">
        <v>1800</v>
      </c>
      <c r="EQ9" s="23" t="n">
        <v>600</v>
      </c>
      <c r="ER9" s="23" t="n"/>
      <c r="ES9" s="23" t="n"/>
      <c r="ET9" s="23" t="n"/>
      <c r="EU9" s="23" t="n"/>
      <c r="EV9" s="23" t="n">
        <v>600</v>
      </c>
      <c r="EW9" s="23" t="n">
        <v>400</v>
      </c>
      <c r="EX9" s="23" t="n">
        <v>600</v>
      </c>
      <c r="EY9" s="23" t="n">
        <v>400</v>
      </c>
      <c r="EZ9" s="23" t="n"/>
      <c r="FA9" s="23" t="n">
        <v>2000</v>
      </c>
      <c r="FC9" s="300" t="inlineStr">
        <is>
          <t xml:space="preserve">SACOLA P </t>
        </is>
      </c>
      <c r="FD9" s="162" t="n">
        <v>200</v>
      </c>
      <c r="FE9" s="697">
        <f>CI9</f>
        <v/>
      </c>
      <c r="FF9" s="697" t="n">
        <v>2000</v>
      </c>
      <c r="FG9" s="697" t="n">
        <v>1400</v>
      </c>
      <c r="FH9" s="697" t="n">
        <v>1200</v>
      </c>
      <c r="FI9" s="697" t="n">
        <v>800</v>
      </c>
      <c r="FJ9" s="697" t="n">
        <v>0</v>
      </c>
      <c r="FK9" s="431">
        <f>FI9+IF(NOT(ISBLANK(OFFSET(FK9,0,6))),N(OFFSET(FK9,0,6)),N(OFFSET(FK9,0,7)))-FJ9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500</v>
      </c>
      <c r="E10" s="5" t="n"/>
      <c r="F10" s="697" t="n">
        <v>840</v>
      </c>
      <c r="G10" s="697">
        <f>760+EY10</f>
        <v/>
      </c>
      <c r="H10" s="697" t="n">
        <v>860</v>
      </c>
      <c r="I10" s="697">
        <f>800+EX10</f>
        <v/>
      </c>
      <c r="J10" s="697" t="n">
        <v>920</v>
      </c>
      <c r="K10" s="697" t="n">
        <v>855</v>
      </c>
      <c r="L10" s="697" t="n">
        <v>795</v>
      </c>
      <c r="M10" s="697" t="n">
        <v>640</v>
      </c>
      <c r="N10" s="697">
        <f>600+ET10</f>
        <v/>
      </c>
      <c r="O10" s="697">
        <f>620+ES10</f>
        <v/>
      </c>
      <c r="P10" s="697">
        <f>940+ER10</f>
        <v/>
      </c>
      <c r="Q10" s="697" t="n">
        <v>1440</v>
      </c>
      <c r="R10" s="697" t="n">
        <v>1360</v>
      </c>
      <c r="S10" s="697" t="n">
        <v>1200</v>
      </c>
      <c r="T10" s="697" t="n">
        <v>1080</v>
      </c>
      <c r="U10" s="697" t="n">
        <v>800</v>
      </c>
      <c r="V10" s="697" t="n">
        <v>800</v>
      </c>
      <c r="W10" s="697" t="n">
        <v>800</v>
      </c>
      <c r="X10" s="697" t="n">
        <v>800</v>
      </c>
      <c r="Y10" s="697" t="n">
        <v>800</v>
      </c>
      <c r="Z10" s="697" t="n">
        <v>600</v>
      </c>
      <c r="AA10" s="697" t="n">
        <v>760</v>
      </c>
      <c r="AB10" s="697" t="n">
        <v>800</v>
      </c>
      <c r="AC10" s="697" t="n">
        <v>900</v>
      </c>
      <c r="AD10" s="697" t="n">
        <v>900</v>
      </c>
      <c r="AE10" s="697" t="n">
        <v>860</v>
      </c>
      <c r="AF10" s="697" t="n">
        <v>860</v>
      </c>
      <c r="AG10" s="697" t="n">
        <v>700</v>
      </c>
      <c r="AH10" s="697" t="n">
        <v>600</v>
      </c>
      <c r="AI10" s="697" t="n">
        <v>400</v>
      </c>
      <c r="AJ10" s="697" t="n">
        <v>400</v>
      </c>
      <c r="AK10" s="697" t="n">
        <v>600</v>
      </c>
      <c r="AL10" s="697">
        <f>480+DO10</f>
        <v/>
      </c>
      <c r="AM10" s="697" t="n">
        <v>480</v>
      </c>
      <c r="AN10" s="697" t="n">
        <v>600</v>
      </c>
      <c r="AO10" s="697" t="n">
        <v>500</v>
      </c>
      <c r="AP10" s="697">
        <f>500+DK10</f>
        <v/>
      </c>
      <c r="AQ10" s="697" t="n">
        <v>600</v>
      </c>
      <c r="AR10" s="697" t="n">
        <v>500</v>
      </c>
      <c r="AS10" s="697" t="n">
        <v>500</v>
      </c>
      <c r="AT10" s="697" t="n">
        <v>400</v>
      </c>
      <c r="AU10" s="697" t="n">
        <v>380</v>
      </c>
      <c r="AV10" s="697">
        <f>220+CZ10</f>
        <v/>
      </c>
      <c r="AW10" s="697">
        <f>300+CX10</f>
        <v/>
      </c>
      <c r="AX10" s="697" t="n">
        <v>460</v>
      </c>
      <c r="AY10" s="697" t="n">
        <v>460</v>
      </c>
      <c r="AZ10" s="697" t="n">
        <v>460</v>
      </c>
      <c r="BA10" s="697" t="n">
        <v>460</v>
      </c>
      <c r="BB10" s="697" t="n">
        <v>400</v>
      </c>
      <c r="BC10" s="697" t="n">
        <v>400</v>
      </c>
      <c r="BD10" s="697">
        <f>400+CT10</f>
        <v/>
      </c>
      <c r="BE10" s="697">
        <f>500+CS10</f>
        <v/>
      </c>
      <c r="BF10" s="697" t="n">
        <v>240</v>
      </c>
      <c r="BG10" s="697" t="n">
        <v>200</v>
      </c>
      <c r="BH10" s="697">
        <f>400+CQ10</f>
        <v/>
      </c>
      <c r="BI10" s="697" t="n">
        <v>1200</v>
      </c>
      <c r="BJ10" s="697" t="n">
        <v>1200</v>
      </c>
      <c r="BK10" s="697" t="n">
        <v>1200</v>
      </c>
      <c r="BL10" s="697" t="n">
        <v>1200</v>
      </c>
      <c r="BM10" s="697" t="n">
        <v>980</v>
      </c>
      <c r="BN10" s="697" t="n">
        <v>900</v>
      </c>
      <c r="BO10" s="697" t="n">
        <v>860</v>
      </c>
      <c r="BP10" s="697" t="n">
        <v>840</v>
      </c>
      <c r="BQ10" s="697" t="n">
        <v>520</v>
      </c>
      <c r="BR10" s="697" t="n">
        <v>440</v>
      </c>
      <c r="BS10" s="697" t="n">
        <v>340</v>
      </c>
      <c r="BT10" s="697" t="n">
        <v>180</v>
      </c>
      <c r="BU10" s="697">
        <f>120+CH10</f>
        <v/>
      </c>
      <c r="BV10" s="697" t="n">
        <v>320</v>
      </c>
      <c r="BW10" s="697" t="n">
        <v>320</v>
      </c>
      <c r="BX10" s="314" t="n">
        <v>1462</v>
      </c>
      <c r="BY10" s="697" t="n">
        <v>740</v>
      </c>
      <c r="BZ10" s="192">
        <f>BX10+IF(NOT(ISBLANK(OFFSET(BZ10,0,6))),N(OFFSET(BZ10,0,6)),N(OFFSET(BZ10,0,7)))-BY10</f>
        <v/>
      </c>
      <c r="CA10" s="129" t="n"/>
      <c r="CB10" s="22" t="n"/>
      <c r="CC10" s="5" t="n"/>
      <c r="CD10" s="27" t="n"/>
      <c r="CE10" s="5" t="n"/>
      <c r="CF10" s="23" t="n">
        <v>0</v>
      </c>
      <c r="CG10" s="23" t="n">
        <v>0</v>
      </c>
      <c r="CH10" s="23" t="n">
        <v>200</v>
      </c>
      <c r="CI10" s="219" t="n">
        <v>1400</v>
      </c>
      <c r="CJ10" s="23" t="n"/>
      <c r="CK10" s="23" t="n"/>
      <c r="CL10" s="23" t="n"/>
      <c r="CM10" s="23" t="n"/>
      <c r="CN10" s="23" t="n"/>
      <c r="CO10" s="23" t="n"/>
      <c r="CP10" s="23" t="n">
        <v>600</v>
      </c>
      <c r="CQ10" s="23" t="n">
        <v>200</v>
      </c>
      <c r="CR10" s="23" t="n">
        <v>400</v>
      </c>
      <c r="CS10" s="23" t="n">
        <v>200</v>
      </c>
      <c r="CT10" s="23" t="n">
        <v>200</v>
      </c>
      <c r="CU10" s="23" t="n"/>
      <c r="CV10" s="23" t="n"/>
      <c r="CW10" s="23" t="n"/>
      <c r="CX10" s="23" t="n">
        <v>200</v>
      </c>
      <c r="CY10" s="219" t="n">
        <v>1200</v>
      </c>
      <c r="CZ10" s="23" t="n">
        <v>200</v>
      </c>
      <c r="DA10" s="23" t="n"/>
      <c r="DB10" s="23" t="n"/>
      <c r="DC10" s="23" t="n">
        <v>200</v>
      </c>
      <c r="DD10" s="23" t="n"/>
      <c r="DE10" s="23" t="n"/>
      <c r="DF10" s="219" t="n"/>
      <c r="DG10" s="23" t="n"/>
      <c r="DH10" s="23" t="n"/>
      <c r="DI10" s="219" t="n">
        <v>200</v>
      </c>
      <c r="DJ10" s="23" t="n"/>
      <c r="DK10" s="23" t="n">
        <v>200</v>
      </c>
      <c r="DL10" s="23" t="n"/>
      <c r="DM10" s="23" t="n">
        <v>200</v>
      </c>
      <c r="DN10" s="23" t="n"/>
      <c r="DO10" s="23" t="n">
        <v>200</v>
      </c>
      <c r="DP10" s="23" t="n"/>
      <c r="DQ10" s="23" t="n"/>
      <c r="DR10" s="219" t="n"/>
      <c r="DS10" s="23" t="n"/>
      <c r="DT10" s="23" t="n"/>
      <c r="DU10" s="219" t="n">
        <v>400</v>
      </c>
      <c r="DV10" s="219" t="n"/>
      <c r="DW10" s="23" t="n"/>
      <c r="DX10" s="23" t="n"/>
      <c r="DY10" s="23" t="n"/>
      <c r="DZ10" s="23" t="n"/>
      <c r="EA10" s="23" t="n"/>
      <c r="EB10" s="23" t="n"/>
      <c r="EC10" s="23" t="n"/>
      <c r="ED10" s="219" t="n"/>
      <c r="EE10" s="219" t="n"/>
      <c r="EF10" s="23" t="n"/>
      <c r="EG10" s="23" t="n">
        <v>200</v>
      </c>
      <c r="EH10" s="219" t="n">
        <v>600</v>
      </c>
      <c r="EI10" s="23" t="n"/>
      <c r="EJ10" s="23" t="n"/>
      <c r="EK10" s="23" t="n"/>
      <c r="EL10" s="23" t="n"/>
      <c r="EM10" s="219" t="n"/>
      <c r="EN10" s="23" t="n"/>
      <c r="EO10" s="23" t="n"/>
      <c r="EP10" s="219" t="n">
        <v>1000</v>
      </c>
      <c r="EQ10" s="23" t="n"/>
      <c r="ER10" s="23" t="n">
        <v>600</v>
      </c>
      <c r="ES10" s="23" t="n">
        <v>400</v>
      </c>
      <c r="ET10" s="23" t="n">
        <v>200</v>
      </c>
      <c r="EU10" s="23" t="n"/>
      <c r="EV10" s="23" t="n"/>
      <c r="EW10" s="23" t="n"/>
      <c r="EX10" s="23" t="n">
        <v>200</v>
      </c>
      <c r="EY10" s="23" t="n">
        <v>200</v>
      </c>
      <c r="EZ10" s="23" t="n"/>
      <c r="FA10" s="23" t="n">
        <v>200</v>
      </c>
      <c r="FC10" s="65" t="inlineStr">
        <is>
          <t xml:space="preserve">SACOLA M </t>
        </is>
      </c>
      <c r="FD10" s="699" t="n">
        <v>200</v>
      </c>
      <c r="FE10" s="697">
        <f>CI10</f>
        <v/>
      </c>
      <c r="FF10" s="697" t="n">
        <v>1200</v>
      </c>
      <c r="FG10" s="697" t="n">
        <v>1000</v>
      </c>
      <c r="FH10" s="697" t="n">
        <v>800</v>
      </c>
      <c r="FI10" s="697" t="n">
        <v>600</v>
      </c>
      <c r="FJ10" s="697" t="n">
        <v>600</v>
      </c>
      <c r="FK10" s="431">
        <f>FI10+IF(NOT(ISBLANK(OFFSET(FK10,0,6))),N(OFFSET(FK10,0,6)),N(OFFSET(FK10,0,7)))-FJ10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140</v>
      </c>
      <c r="G11" s="697">
        <f>120+EY11</f>
        <v/>
      </c>
      <c r="H11" s="697" t="n">
        <v>200</v>
      </c>
      <c r="I11" s="697" t="n">
        <v>200</v>
      </c>
      <c r="J11" s="697" t="n">
        <v>200</v>
      </c>
      <c r="K11" s="697" t="n">
        <v>200</v>
      </c>
      <c r="L11" s="697" t="n">
        <v>200</v>
      </c>
      <c r="M11" s="697" t="n">
        <v>180</v>
      </c>
      <c r="N11" s="697" t="n">
        <v>180</v>
      </c>
      <c r="O11" s="697" t="n">
        <v>160</v>
      </c>
      <c r="P11" s="697" t="n">
        <v>180</v>
      </c>
      <c r="Q11" s="697" t="n">
        <v>180</v>
      </c>
      <c r="R11" s="697" t="n">
        <v>180</v>
      </c>
      <c r="S11" s="697" t="n">
        <v>150</v>
      </c>
      <c r="T11" s="697" t="n">
        <v>60</v>
      </c>
      <c r="U11" s="697" t="n">
        <v>0</v>
      </c>
      <c r="V11" s="697" t="n">
        <v>0</v>
      </c>
      <c r="W11" s="697">
        <f>0+EL11</f>
        <v/>
      </c>
      <c r="X11" s="697" t="n">
        <v>0</v>
      </c>
      <c r="Y11" s="697" t="n">
        <v>200</v>
      </c>
      <c r="Z11" s="697" t="n">
        <v>240</v>
      </c>
      <c r="AA11" s="697" t="n">
        <v>300</v>
      </c>
      <c r="AB11" s="697" t="n">
        <v>340</v>
      </c>
      <c r="AC11" s="697" t="n">
        <v>340</v>
      </c>
      <c r="AD11" s="697" t="n">
        <v>320</v>
      </c>
      <c r="AE11" s="697" t="n">
        <v>320</v>
      </c>
      <c r="AF11" s="697" t="n">
        <v>320</v>
      </c>
      <c r="AG11" s="697" t="n">
        <v>300</v>
      </c>
      <c r="AH11" s="697">
        <f>300-100</f>
        <v/>
      </c>
      <c r="AI11" s="697" t="n">
        <v>200</v>
      </c>
      <c r="AJ11" s="697" t="n">
        <v>200</v>
      </c>
      <c r="AK11" s="697" t="n">
        <v>200</v>
      </c>
      <c r="AL11" s="697" t="n">
        <v>200</v>
      </c>
      <c r="AM11" s="697" t="n">
        <v>200</v>
      </c>
      <c r="AN11" s="697" t="n">
        <v>200</v>
      </c>
      <c r="AO11" s="697" t="n">
        <v>200</v>
      </c>
      <c r="AP11" s="697" t="n">
        <v>200</v>
      </c>
      <c r="AQ11" s="697" t="n">
        <v>200</v>
      </c>
      <c r="AR11" s="697" t="n">
        <v>200</v>
      </c>
      <c r="AS11" s="697" t="n">
        <v>200</v>
      </c>
      <c r="AT11" s="697">
        <f>200-90</f>
        <v/>
      </c>
      <c r="AU11" s="697" t="n">
        <v>93</v>
      </c>
      <c r="AV11" s="697" t="n">
        <v>93</v>
      </c>
      <c r="AW11" s="697" t="n">
        <v>92</v>
      </c>
      <c r="AX11" s="697" t="n">
        <v>92</v>
      </c>
      <c r="AY11" s="697" t="n">
        <v>92</v>
      </c>
      <c r="AZ11" s="697" t="n">
        <v>92</v>
      </c>
      <c r="BA11" s="697" t="n">
        <v>92</v>
      </c>
      <c r="BB11" s="697" t="n">
        <v>92</v>
      </c>
      <c r="BC11" s="697" t="n">
        <v>92</v>
      </c>
      <c r="BD11" s="697" t="n">
        <v>92</v>
      </c>
      <c r="BE11" s="697" t="n">
        <v>92</v>
      </c>
      <c r="BF11" s="697" t="n">
        <v>92</v>
      </c>
      <c r="BG11" s="697" t="n">
        <v>92</v>
      </c>
      <c r="BH11" s="697" t="n">
        <v>92</v>
      </c>
      <c r="BI11" s="697" t="n">
        <v>92</v>
      </c>
      <c r="BJ11" s="697" t="n">
        <v>92</v>
      </c>
      <c r="BK11" s="697" t="n">
        <v>20</v>
      </c>
      <c r="BL11" s="697" t="n">
        <v>100</v>
      </c>
      <c r="BM11" s="697" t="n">
        <v>92</v>
      </c>
      <c r="BN11" s="697" t="n">
        <v>92</v>
      </c>
      <c r="BO11" s="697" t="n">
        <v>92</v>
      </c>
      <c r="BP11" s="697" t="n">
        <v>92</v>
      </c>
      <c r="BQ11" s="697" t="n">
        <v>92</v>
      </c>
      <c r="BR11" s="697" t="n">
        <v>92</v>
      </c>
      <c r="BS11" s="697" t="n">
        <v>92</v>
      </c>
      <c r="BT11" s="697" t="n">
        <v>50</v>
      </c>
      <c r="BU11" s="697" t="n">
        <v>50</v>
      </c>
      <c r="BV11" s="697" t="n">
        <v>50</v>
      </c>
      <c r="BW11" s="697" t="n">
        <v>50</v>
      </c>
      <c r="BX11" s="697" t="n">
        <v>43</v>
      </c>
      <c r="BY11" s="697" t="n">
        <v>43</v>
      </c>
      <c r="BZ11" s="192">
        <f>BX11+IF(NOT(ISBLANK(OFFSET(BZ11,0,6))),N(OFFSET(BZ11,0,6)),N(OFFSET(BZ11,0,7)))-BY11</f>
        <v/>
      </c>
      <c r="CA11" s="129" t="n"/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/>
      <c r="CN11" s="23" t="n">
        <v>100</v>
      </c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19" t="n">
        <v>300</v>
      </c>
      <c r="CZ11" s="23" t="n"/>
      <c r="DA11" s="23" t="n"/>
      <c r="DB11" s="192" t="inlineStr">
        <is>
          <t>90 P/ TDQ</t>
        </is>
      </c>
      <c r="DC11" s="23" t="n"/>
      <c r="DD11" s="23" t="n"/>
      <c r="DE11" s="23" t="n"/>
      <c r="DF11" s="219" t="n"/>
      <c r="DG11" s="23" t="n"/>
      <c r="DH11" s="23" t="n"/>
      <c r="DI11" s="219" t="n"/>
      <c r="DJ11" s="23" t="n"/>
      <c r="DK11" s="23" t="n"/>
      <c r="DL11" s="23" t="n"/>
      <c r="DM11" s="23" t="n"/>
      <c r="DN11" s="23" t="n"/>
      <c r="DO11" s="23" t="n"/>
      <c r="DP11" s="23" t="n"/>
      <c r="DQ11" s="23" t="n"/>
      <c r="DR11" s="219" t="n"/>
      <c r="DS11" s="23" t="n"/>
      <c r="DT11" s="282" t="inlineStr">
        <is>
          <t>100 P/ Q7</t>
        </is>
      </c>
      <c r="DU11" s="219" t="n"/>
      <c r="DV11" s="219" t="n"/>
      <c r="DW11" s="23" t="n"/>
      <c r="DX11" s="23" t="n"/>
      <c r="DY11" s="23" t="n"/>
      <c r="DZ11" s="23" t="n"/>
      <c r="EA11" s="23" t="n"/>
      <c r="EB11" s="23" t="n"/>
      <c r="EC11" s="23" t="n"/>
      <c r="ED11" s="219" t="n"/>
      <c r="EE11" s="219" t="n"/>
      <c r="EF11" s="23" t="n"/>
      <c r="EG11" s="23" t="n"/>
      <c r="EH11" s="219" t="n"/>
      <c r="EI11" s="23" t="n"/>
      <c r="EJ11" s="23" t="n">
        <v>200</v>
      </c>
      <c r="EK11" s="23" t="n"/>
      <c r="EL11" s="23" t="n">
        <v>100</v>
      </c>
      <c r="EM11" s="219" t="n"/>
      <c r="EN11" s="23" t="n"/>
      <c r="EO11" s="23" t="n"/>
      <c r="EP11" s="219" t="n">
        <v>100</v>
      </c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>
        <v>100</v>
      </c>
      <c r="EZ11" s="23" t="n"/>
      <c r="FA11" s="23" t="n"/>
      <c r="FC11" s="66" t="inlineStr">
        <is>
          <t xml:space="preserve">SACOLA G </t>
        </is>
      </c>
      <c r="FD11" s="699" t="n">
        <v>100</v>
      </c>
      <c r="FE11" s="697">
        <f>CI11</f>
        <v/>
      </c>
      <c r="FF11" s="697" t="n">
        <v>100</v>
      </c>
      <c r="FG11" s="697" t="n">
        <v>44</v>
      </c>
      <c r="FH11" s="697" t="n">
        <v>44</v>
      </c>
      <c r="FI11" s="697" t="n">
        <v>0</v>
      </c>
      <c r="FJ11" s="697" t="n">
        <v>0</v>
      </c>
      <c r="FK11" s="431">
        <f>FI11+IF(NOT(ISBLANK(OFFSET(FK11,0,6))),N(OFFSET(FK11,0,6)),N(OFFSET(FK11,0,7)))-FJ11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5" t="n"/>
      <c r="CD12" s="18" t="n"/>
      <c r="CE12" s="5" t="n"/>
      <c r="CI12" s="47" t="n"/>
      <c r="CY12" s="47" t="n"/>
      <c r="DF12" s="64" t="n"/>
      <c r="DI12" s="64" t="n"/>
      <c r="DR12" s="47" t="n"/>
      <c r="DU12" s="47" t="n"/>
      <c r="DV12" s="47" t="n"/>
      <c r="ED12" s="308" t="n"/>
      <c r="EE12" s="64" t="n"/>
      <c r="EH12" s="64" t="n"/>
      <c r="EM12" s="308" t="n"/>
      <c r="EP12" s="308" t="n"/>
      <c r="FC12" s="35" t="n"/>
      <c r="FD12" s="2" t="n"/>
      <c r="FE12" s="4" t="n"/>
      <c r="FF12" s="4" t="n"/>
      <c r="FG12" s="4" t="n"/>
      <c r="FH12" s="4" t="n"/>
      <c r="FI12" s="4" t="n"/>
      <c r="FJ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726" t="n"/>
      <c r="CF13" s="734" t="n"/>
      <c r="CG13" s="734" t="n">
        <v>46142</v>
      </c>
      <c r="CH13" s="734" t="n">
        <v>46114</v>
      </c>
      <c r="CI13" s="735" t="n">
        <v>46065</v>
      </c>
      <c r="CJ13" s="734" t="n">
        <v>46099</v>
      </c>
      <c r="CK13" s="734" t="n">
        <v>46092</v>
      </c>
      <c r="CL13" s="734" t="n">
        <v>46084</v>
      </c>
      <c r="CM13" s="734" t="n">
        <v>46071</v>
      </c>
      <c r="CN13" s="734" t="n">
        <v>46056</v>
      </c>
      <c r="CO13" s="734" t="n">
        <v>46048</v>
      </c>
      <c r="CP13" s="734" t="n">
        <v>46035</v>
      </c>
      <c r="CQ13" s="734" t="n">
        <v>46029</v>
      </c>
      <c r="CR13" s="734" t="n">
        <v>46017</v>
      </c>
      <c r="CS13" s="734" t="n">
        <v>46007</v>
      </c>
      <c r="CT13" s="734" t="n">
        <v>46001</v>
      </c>
      <c r="CU13" s="734" t="n">
        <v>45994</v>
      </c>
      <c r="CV13" s="734" t="n">
        <v>45973</v>
      </c>
      <c r="CW13" s="734" t="n">
        <v>45960</v>
      </c>
      <c r="CX13" s="734" t="n">
        <v>45951</v>
      </c>
      <c r="CY13" s="737" t="n">
        <v>45903</v>
      </c>
      <c r="CZ13" s="734" t="n">
        <v>45945</v>
      </c>
      <c r="DA13" s="734" t="n">
        <v>45937</v>
      </c>
      <c r="DB13" s="736" t="n">
        <v>45939</v>
      </c>
      <c r="DC13" s="734" t="n">
        <v>45923</v>
      </c>
      <c r="DD13" s="734" t="n">
        <v>45931</v>
      </c>
      <c r="DE13" s="734" t="n">
        <v>45923</v>
      </c>
      <c r="DF13" s="754" t="n">
        <v>45923</v>
      </c>
      <c r="DG13" s="734" t="n">
        <v>45915</v>
      </c>
      <c r="DH13" s="736" t="n">
        <v>45918</v>
      </c>
      <c r="DI13" s="738" t="n">
        <v>45863</v>
      </c>
      <c r="DJ13" s="734" t="n">
        <v>45909</v>
      </c>
      <c r="DK13" s="734" t="n">
        <v>45903</v>
      </c>
      <c r="DL13" s="734" t="n">
        <v>45895</v>
      </c>
      <c r="DM13" s="734" t="n">
        <v>45888</v>
      </c>
      <c r="DN13" s="734" t="n">
        <v>45881</v>
      </c>
      <c r="DO13" s="734" t="n">
        <v>45874</v>
      </c>
      <c r="DP13" s="734" t="n">
        <v>45867</v>
      </c>
      <c r="DQ13" s="734" t="n">
        <v>45860</v>
      </c>
      <c r="DR13" s="739" t="n">
        <v>45861</v>
      </c>
      <c r="DS13" s="734" t="n">
        <v>45853</v>
      </c>
      <c r="DT13" s="736" t="n">
        <v>45852</v>
      </c>
      <c r="DU13" s="739" t="n">
        <v>45791</v>
      </c>
      <c r="DV13" s="739" t="n">
        <v>45852</v>
      </c>
      <c r="DW13" s="736" t="n">
        <v>45842</v>
      </c>
      <c r="DX13" s="736" t="n">
        <v>45841</v>
      </c>
      <c r="DY13" s="734" t="n">
        <v>45832</v>
      </c>
      <c r="DZ13" s="734" t="n">
        <v>45825</v>
      </c>
      <c r="EA13" s="734" t="n">
        <v>45819</v>
      </c>
      <c r="EB13" s="734" t="n">
        <v>45813</v>
      </c>
      <c r="EC13" s="734" t="n">
        <v>45805</v>
      </c>
      <c r="ED13" s="740" t="n">
        <v>45806</v>
      </c>
      <c r="EE13" s="755" t="n">
        <v>45805</v>
      </c>
      <c r="EF13" s="736" t="n">
        <v>45804</v>
      </c>
      <c r="EG13" s="734" t="n">
        <v>45798</v>
      </c>
      <c r="EH13" s="742" t="n">
        <v>45735</v>
      </c>
      <c r="EI13" s="734" t="n">
        <v>45790</v>
      </c>
      <c r="EJ13" s="734" t="n">
        <v>45783</v>
      </c>
      <c r="EK13" s="734" t="n">
        <v>45770</v>
      </c>
      <c r="EL13" s="734" t="n">
        <v>45756</v>
      </c>
      <c r="EM13" s="740" t="n">
        <v>45756</v>
      </c>
      <c r="EN13" s="734" t="n">
        <v>45749</v>
      </c>
      <c r="EO13" s="734" t="n">
        <v>45734</v>
      </c>
      <c r="EP13" s="740" t="n">
        <v>45700</v>
      </c>
      <c r="EQ13" s="734" t="n">
        <v>45728</v>
      </c>
      <c r="ER13" s="734" t="n">
        <v>45722</v>
      </c>
      <c r="ES13" s="734" t="n">
        <v>45714</v>
      </c>
      <c r="ET13" s="734" t="n">
        <v>45706</v>
      </c>
      <c r="EU13" s="734" t="n">
        <v>45699</v>
      </c>
      <c r="EV13" s="734" t="n">
        <v>45693</v>
      </c>
      <c r="EW13" s="734" t="n">
        <v>45685</v>
      </c>
      <c r="EX13" s="734" t="n">
        <v>45674</v>
      </c>
      <c r="EY13" s="734" t="n">
        <v>45660</v>
      </c>
      <c r="EZ13" s="734" t="n">
        <v>45652</v>
      </c>
      <c r="FA13" s="734" t="n">
        <v>45643</v>
      </c>
      <c r="FC13" s="304" t="inlineStr">
        <is>
          <t>DIVERSOS</t>
        </is>
      </c>
      <c r="FD13" s="235" t="inlineStr">
        <is>
          <t>PCT</t>
        </is>
      </c>
      <c r="FE13" s="746" t="n">
        <v>46118</v>
      </c>
      <c r="FF13" s="746" t="n">
        <v>46125</v>
      </c>
      <c r="FG13" s="746" t="n">
        <v>46132</v>
      </c>
      <c r="FH13" s="746" t="n">
        <v>46139</v>
      </c>
      <c r="FI13" s="746" t="n">
        <v>46146</v>
      </c>
      <c r="FJ13" s="746" t="n">
        <v>46154</v>
      </c>
      <c r="FK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>
        <f>4+EZ14</f>
        <v/>
      </c>
      <c r="G14" s="697" t="n">
        <v>5</v>
      </c>
      <c r="H14" s="697" t="n">
        <v>5</v>
      </c>
      <c r="I14" s="697" t="n">
        <v>5</v>
      </c>
      <c r="J14" s="697" t="n">
        <v>3</v>
      </c>
      <c r="K14" s="697" t="n">
        <v>6</v>
      </c>
      <c r="L14" s="697" t="n">
        <v>6</v>
      </c>
      <c r="M14" s="697" t="n">
        <v>6</v>
      </c>
      <c r="N14" s="697" t="n">
        <v>5</v>
      </c>
      <c r="O14" s="697" t="n">
        <v>4</v>
      </c>
      <c r="P14" s="697">
        <f>3+ER14</f>
        <v/>
      </c>
      <c r="Q14" s="697">
        <f>5+EQ14</f>
        <v/>
      </c>
      <c r="R14" s="697" t="n">
        <v>7</v>
      </c>
      <c r="S14" s="697" t="n">
        <v>6</v>
      </c>
      <c r="T14" s="697" t="n">
        <v>6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4</v>
      </c>
      <c r="Z14" s="697" t="n">
        <v>4</v>
      </c>
      <c r="AA14" s="697" t="n">
        <v>4</v>
      </c>
      <c r="AB14" s="697" t="n">
        <v>2</v>
      </c>
      <c r="AC14" s="697">
        <f>2+EB14</f>
        <v/>
      </c>
      <c r="AD14" s="697" t="n">
        <v>4</v>
      </c>
      <c r="AE14" s="697">
        <f>3+DZ14</f>
        <v/>
      </c>
      <c r="AF14" s="697" t="n">
        <v>3</v>
      </c>
      <c r="AG14" s="697" t="n">
        <v>4</v>
      </c>
      <c r="AH14" s="697" t="n">
        <v>4</v>
      </c>
      <c r="AI14" s="697" t="n">
        <v>3</v>
      </c>
      <c r="AJ14" s="697" t="n">
        <v>3</v>
      </c>
      <c r="AK14" s="697">
        <f>4+DP14</f>
        <v/>
      </c>
      <c r="AL14" s="697" t="n">
        <v>5</v>
      </c>
      <c r="AM14" s="697" t="n">
        <v>3</v>
      </c>
      <c r="AN14" s="697" t="n">
        <v>5</v>
      </c>
      <c r="AO14" s="697" t="n">
        <v>5</v>
      </c>
      <c r="AP14" s="697" t="n">
        <v>4</v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3+DA14</f>
        <v/>
      </c>
      <c r="AV14" s="697" t="n">
        <v>3</v>
      </c>
      <c r="AW14" s="697">
        <f>2+CX14</f>
        <v/>
      </c>
      <c r="AX14" s="697" t="n">
        <v>3</v>
      </c>
      <c r="AY14" s="697" t="n">
        <v>0</v>
      </c>
      <c r="AZ14" s="697">
        <f>0+CV14</f>
        <v/>
      </c>
      <c r="BA14" s="697" t="n">
        <v>4</v>
      </c>
      <c r="BB14" s="697" t="n">
        <v>4</v>
      </c>
      <c r="BC14" s="697" t="n">
        <v>4</v>
      </c>
      <c r="BD14" s="697" t="n">
        <v>5</v>
      </c>
      <c r="BE14" s="697" t="n">
        <v>5</v>
      </c>
      <c r="BF14" s="697" t="n">
        <v>0</v>
      </c>
      <c r="BG14" s="697" t="n">
        <v>0</v>
      </c>
      <c r="BH14" s="697">
        <f>3+CQ14</f>
        <v/>
      </c>
      <c r="BI14" s="697" t="n">
        <v>15</v>
      </c>
      <c r="BJ14" s="697" t="n">
        <v>14</v>
      </c>
      <c r="BK14" s="697" t="n">
        <v>12</v>
      </c>
      <c r="BL14" s="697" t="n">
        <v>14</v>
      </c>
      <c r="BM14" s="697" t="n">
        <v>12</v>
      </c>
      <c r="BN14" s="697" t="n">
        <v>11</v>
      </c>
      <c r="BO14" s="697" t="n">
        <v>9</v>
      </c>
      <c r="BP14" s="697" t="n">
        <v>6</v>
      </c>
      <c r="BQ14" s="697">
        <f>5+CK14</f>
        <v/>
      </c>
      <c r="BR14" s="697" t="n">
        <v>6</v>
      </c>
      <c r="BS14" s="697" t="n">
        <v>5</v>
      </c>
      <c r="BT14" s="697" t="n">
        <v>3</v>
      </c>
      <c r="BU14" s="697">
        <f>2+CH14</f>
        <v/>
      </c>
      <c r="BV14" s="697" t="n">
        <v>5</v>
      </c>
      <c r="BW14" s="697" t="n">
        <v>5</v>
      </c>
      <c r="BX14" s="697">
        <f>5+CG14</f>
        <v/>
      </c>
      <c r="BY14" s="697" t="n">
        <v>1</v>
      </c>
      <c r="BZ14" s="192">
        <f>BX14+IF(NOT(ISBLANK(OFFSET(BZ14,0,6))),N(OFFSET(BZ14,0,6)),N(OFFSET(BZ14,0,7)))-BY14</f>
        <v/>
      </c>
      <c r="CB14" s="22" t="n"/>
      <c r="CC14" s="726" t="n"/>
      <c r="CD14" s="27" t="n">
        <v>6</v>
      </c>
      <c r="CE14" s="726" t="n"/>
      <c r="CF14" s="23" t="n">
        <v>0</v>
      </c>
      <c r="CG14" s="23" t="n">
        <v>2</v>
      </c>
      <c r="CH14" s="23" t="n">
        <v>3</v>
      </c>
      <c r="CI14" s="219" t="n">
        <v>9</v>
      </c>
      <c r="CJ14" s="23" t="n"/>
      <c r="CK14" s="23" t="n">
        <v>3</v>
      </c>
      <c r="CL14" s="23" t="n"/>
      <c r="CM14" s="23" t="n"/>
      <c r="CN14" s="23" t="n">
        <v>4</v>
      </c>
      <c r="CO14" s="23" t="n"/>
      <c r="CP14" s="23" t="n">
        <v>5</v>
      </c>
      <c r="CQ14" s="23" t="n">
        <v>10</v>
      </c>
      <c r="CR14" s="23" t="n">
        <v>3</v>
      </c>
      <c r="CS14" s="23" t="n"/>
      <c r="CT14" s="23" t="n"/>
      <c r="CU14" s="23" t="n"/>
      <c r="CV14" s="23" t="n">
        <v>4</v>
      </c>
      <c r="CW14" s="23" t="n"/>
      <c r="CX14" s="23" t="n">
        <v>1</v>
      </c>
      <c r="CY14" s="219" t="n">
        <v>20</v>
      </c>
      <c r="CZ14" s="23" t="n"/>
      <c r="DA14" s="23" t="n">
        <v>1</v>
      </c>
      <c r="DB14" s="23" t="n"/>
      <c r="DC14" s="23" t="n">
        <v>1</v>
      </c>
      <c r="DD14" s="23" t="n"/>
      <c r="DE14" s="23" t="n"/>
      <c r="DF14" s="219" t="n"/>
      <c r="DG14" s="23" t="n"/>
      <c r="DH14" s="23" t="n"/>
      <c r="DI14" s="219" t="n">
        <v>200</v>
      </c>
      <c r="DJ14" s="23" t="n"/>
      <c r="DK14" s="23" t="n"/>
      <c r="DL14" s="23" t="n"/>
      <c r="DM14" s="23" t="n">
        <v>2</v>
      </c>
      <c r="DN14" s="23" t="n"/>
      <c r="DO14" s="23" t="n"/>
      <c r="DP14" s="23" t="n">
        <v>1</v>
      </c>
      <c r="DQ14" s="23" t="n">
        <v>1</v>
      </c>
      <c r="DR14" s="219" t="n"/>
      <c r="DS14" s="23" t="n"/>
      <c r="DT14" s="23" t="n"/>
      <c r="DU14" s="219" t="n">
        <v>3</v>
      </c>
      <c r="DV14" s="219" t="n"/>
      <c r="DW14" s="23" t="n"/>
      <c r="DX14" s="23" t="n"/>
      <c r="DY14" s="23" t="n">
        <v>1</v>
      </c>
      <c r="DZ14" s="23" t="n">
        <v>1</v>
      </c>
      <c r="EA14" s="23" t="n"/>
      <c r="EB14" s="23" t="n">
        <v>3</v>
      </c>
      <c r="EC14" s="23" t="n"/>
      <c r="ED14" s="219" t="n"/>
      <c r="EE14" s="219" t="n"/>
      <c r="EF14" s="23" t="n"/>
      <c r="EG14" s="23" t="n"/>
      <c r="EH14" s="219" t="n">
        <v>2</v>
      </c>
      <c r="EI14" s="23" t="n"/>
      <c r="EJ14" s="23" t="n"/>
      <c r="EK14" s="23" t="n"/>
      <c r="EL14" s="23" t="n"/>
      <c r="EM14" s="219" t="n"/>
      <c r="EN14" s="23" t="n"/>
      <c r="EO14" s="23" t="n"/>
      <c r="EP14" s="219" t="n">
        <v>8</v>
      </c>
      <c r="EQ14" s="23" t="n">
        <v>3</v>
      </c>
      <c r="ER14" s="23" t="n">
        <v>2</v>
      </c>
      <c r="ES14" s="23" t="n"/>
      <c r="ET14" s="23" t="n"/>
      <c r="EU14" s="23" t="n"/>
      <c r="EV14" s="23" t="n"/>
      <c r="EW14" s="23" t="n">
        <v>3</v>
      </c>
      <c r="EX14" s="23" t="n"/>
      <c r="EY14" s="23" t="n"/>
      <c r="EZ14" s="23" t="n">
        <v>1</v>
      </c>
      <c r="FA14" s="23" t="n"/>
      <c r="FC14" s="300" t="inlineStr">
        <is>
          <t>PAPEL DE SEDA</t>
        </is>
      </c>
      <c r="FD14" s="162" t="n">
        <v>200</v>
      </c>
      <c r="FE14" s="697">
        <f>CI14</f>
        <v/>
      </c>
      <c r="FF14" s="697" t="n">
        <v>8</v>
      </c>
      <c r="FG14" s="697" t="n">
        <v>6</v>
      </c>
      <c r="FH14" s="697" t="n">
        <v>5</v>
      </c>
      <c r="FI14" s="697" t="n">
        <v>2</v>
      </c>
      <c r="FJ14" s="697" t="n">
        <v>0</v>
      </c>
      <c r="FK14" s="431">
        <f>FI14+IF(NOT(ISBLANK(OFFSET(FK14,0,6))),N(OFFSET(FK14,0,6)),N(OFFSET(FK14,0,7)))-FJ14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>
        <f>1+EZ15</f>
        <v/>
      </c>
      <c r="G15" s="697">
        <f>2+EY15</f>
        <v/>
      </c>
      <c r="H15" s="697" t="n">
        <v>4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3</v>
      </c>
      <c r="O15" s="697" t="n">
        <v>3</v>
      </c>
      <c r="P15" s="697" t="n">
        <v>2</v>
      </c>
      <c r="Q15" s="697">
        <f>2+EQ15</f>
        <v/>
      </c>
      <c r="R15" s="697" t="n">
        <v>5</v>
      </c>
      <c r="S15" s="697" t="n">
        <v>5</v>
      </c>
      <c r="T15" s="697" t="n">
        <v>5</v>
      </c>
      <c r="U15" s="697" t="n">
        <v>5</v>
      </c>
      <c r="V15" s="697" t="n">
        <v>5</v>
      </c>
      <c r="W15" s="697" t="n">
        <v>4</v>
      </c>
      <c r="X15" s="697" t="n">
        <v>4</v>
      </c>
      <c r="Y15" s="697" t="n">
        <v>4</v>
      </c>
      <c r="Z15" s="697" t="n">
        <v>4</v>
      </c>
      <c r="AA15" s="697" t="n">
        <v>4</v>
      </c>
      <c r="AB15" s="697" t="n">
        <v>3</v>
      </c>
      <c r="AC15" s="697" t="n">
        <v>3</v>
      </c>
      <c r="AD15" s="697" t="n">
        <v>3</v>
      </c>
      <c r="AE15" s="697" t="n">
        <v>2</v>
      </c>
      <c r="AF15" s="697" t="n">
        <v>2</v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1</v>
      </c>
      <c r="AL15" s="697">
        <f>1+DO15</f>
        <v/>
      </c>
      <c r="AM15" s="697" t="n">
        <v>2</v>
      </c>
      <c r="AN15" s="697" t="n">
        <v>2</v>
      </c>
      <c r="AO15" s="697" t="n">
        <v>1</v>
      </c>
      <c r="AP15" s="697">
        <f>1+DK15</f>
        <v/>
      </c>
      <c r="AQ15" s="697" t="n">
        <v>2</v>
      </c>
      <c r="AR15" s="697" t="n">
        <v>2</v>
      </c>
      <c r="AS15" s="697" t="n">
        <v>1</v>
      </c>
      <c r="AT15" s="697">
        <f>1+DD15</f>
        <v/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1</v>
      </c>
      <c r="BD15" s="697">
        <f>1+CT15</f>
        <v/>
      </c>
      <c r="BE15" s="697" t="n">
        <v>6</v>
      </c>
      <c r="BF15" s="697" t="n">
        <v>4</v>
      </c>
      <c r="BG15" s="697" t="n">
        <v>1</v>
      </c>
      <c r="BH15" s="697">
        <f>3+CQ15</f>
        <v/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7</v>
      </c>
      <c r="BQ15" s="697" t="n">
        <v>6</v>
      </c>
      <c r="BR15" s="697" t="n">
        <v>6</v>
      </c>
      <c r="BS15" s="697" t="n">
        <v>5</v>
      </c>
      <c r="BT15" s="697" t="n">
        <v>5</v>
      </c>
      <c r="BU15" s="697" t="n">
        <v>5</v>
      </c>
      <c r="BV15" s="697" t="n">
        <v>5</v>
      </c>
      <c r="BW15" s="697" t="n">
        <v>3</v>
      </c>
      <c r="BX15" s="697" t="n">
        <v>3</v>
      </c>
      <c r="BY15" s="697" t="n">
        <v>2</v>
      </c>
      <c r="BZ15" s="192">
        <f>BX15+IF(NOT(ISBLANK(OFFSET(BZ15,0,6))),N(OFFSET(BZ15,0,6)),N(OFFSET(BZ15,0,7)))-BY15</f>
        <v/>
      </c>
      <c r="CB15" s="22" t="n"/>
      <c r="CC15" s="726" t="n"/>
      <c r="CD15" s="27" t="n"/>
      <c r="CE15" s="726" t="n"/>
      <c r="CF15" s="23" t="n">
        <v>0</v>
      </c>
      <c r="CG15" s="23" t="n">
        <v>0</v>
      </c>
      <c r="CH15" s="23" t="n"/>
      <c r="CI15" s="219" t="n">
        <v>3</v>
      </c>
      <c r="CJ15" s="23" t="n"/>
      <c r="CK15" s="23" t="n"/>
      <c r="CL15" s="23" t="n"/>
      <c r="CM15" s="23" t="n"/>
      <c r="CN15" s="23" t="n"/>
      <c r="CO15" s="23" t="n"/>
      <c r="CP15" s="23" t="n"/>
      <c r="CQ15" s="23" t="n">
        <v>5</v>
      </c>
      <c r="CR15" s="23" t="n"/>
      <c r="CS15" s="23" t="n"/>
      <c r="CT15" s="23" t="n">
        <v>5</v>
      </c>
      <c r="CU15" s="23" t="n"/>
      <c r="CV15" s="23" t="n"/>
      <c r="CW15" s="23" t="n"/>
      <c r="CX15" s="23" t="n"/>
      <c r="CY15" s="219" t="n">
        <v>7</v>
      </c>
      <c r="CZ15" s="23" t="n"/>
      <c r="DA15" s="23" t="n"/>
      <c r="DB15" s="23" t="n"/>
      <c r="DC15" s="23" t="n"/>
      <c r="DD15" s="23" t="n">
        <v>1</v>
      </c>
      <c r="DE15" s="23" t="n"/>
      <c r="DF15" s="219" t="n"/>
      <c r="DG15" s="23" t="n"/>
      <c r="DH15" s="23" t="n"/>
      <c r="DI15" s="219" t="n">
        <v>200</v>
      </c>
      <c r="DJ15" s="23" t="n"/>
      <c r="DK15" s="23" t="n">
        <v>1</v>
      </c>
      <c r="DL15" s="23" t="n"/>
      <c r="DM15" s="23" t="n"/>
      <c r="DN15" s="23" t="n"/>
      <c r="DO15" s="23" t="n">
        <v>1</v>
      </c>
      <c r="DP15" s="23" t="n"/>
      <c r="DQ15" s="23" t="n"/>
      <c r="DR15" s="219" t="n"/>
      <c r="DS15" s="23" t="n"/>
      <c r="DT15" s="23" t="n"/>
      <c r="DU15" s="219" t="n"/>
      <c r="DV15" s="219" t="n"/>
      <c r="DW15" s="23" t="n"/>
      <c r="DX15" s="23" t="n"/>
      <c r="DY15" s="23" t="n"/>
      <c r="DZ15" s="23" t="n"/>
      <c r="EA15" s="23" t="n"/>
      <c r="EB15" s="23" t="n"/>
      <c r="EC15" s="23" t="n"/>
      <c r="ED15" s="219" t="n"/>
      <c r="EE15" s="219" t="n"/>
      <c r="EF15" s="23" t="n"/>
      <c r="EG15" s="23" t="n"/>
      <c r="EH15" s="219" t="n">
        <v>2</v>
      </c>
      <c r="EI15" s="23" t="n"/>
      <c r="EJ15" s="23" t="n"/>
      <c r="EK15" s="23" t="n"/>
      <c r="EL15" s="23" t="n"/>
      <c r="EM15" s="219" t="n"/>
      <c r="EN15" s="23" t="n"/>
      <c r="EO15" s="23" t="n"/>
      <c r="EP15" s="219" t="n"/>
      <c r="EQ15" s="23" t="n">
        <v>3</v>
      </c>
      <c r="ER15" s="23" t="n"/>
      <c r="ES15" s="23" t="n"/>
      <c r="ET15" s="23" t="n"/>
      <c r="EU15" s="23" t="n"/>
      <c r="EV15" s="23" t="n"/>
      <c r="EW15" s="23" t="n"/>
      <c r="EX15" s="23" t="n"/>
      <c r="EY15" s="23" t="n">
        <v>2</v>
      </c>
      <c r="EZ15" s="23" t="n">
        <v>1</v>
      </c>
      <c r="FA15" s="23" t="n"/>
      <c r="FC15" s="65" t="inlineStr">
        <is>
          <t>ADESIVOS</t>
        </is>
      </c>
      <c r="FD15" s="699" t="n">
        <v>200</v>
      </c>
      <c r="FE15" s="697">
        <f>CI15</f>
        <v/>
      </c>
      <c r="FF15" s="697" t="n">
        <v>3</v>
      </c>
      <c r="FG15" s="697" t="n">
        <v>2</v>
      </c>
      <c r="FH15" s="697" t="n">
        <v>2</v>
      </c>
      <c r="FI15" s="697" t="n">
        <v>2</v>
      </c>
      <c r="FJ15" s="697" t="n">
        <v>0</v>
      </c>
      <c r="FK15" s="431">
        <f>FI15+IF(NOT(ISBLANK(OFFSET(FK15,0,6))),N(OFFSET(FK15,0,6)),N(OFFSET(FK15,0,7)))-FJ15</f>
        <v/>
      </c>
    </row>
    <row r="16" ht="18.6" customFormat="1" customHeigh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0+EZ16</f>
        <v/>
      </c>
      <c r="G16" s="697">
        <f>3+EY16</f>
        <v/>
      </c>
      <c r="H16" s="697" t="n">
        <v>4</v>
      </c>
      <c r="I16" s="697" t="n">
        <v>4</v>
      </c>
      <c r="J16" s="697" t="n">
        <v>1</v>
      </c>
      <c r="K16" s="697" t="n">
        <v>4</v>
      </c>
      <c r="L16" s="697" t="n">
        <v>3</v>
      </c>
      <c r="M16" s="697">
        <f>2+EU16</f>
        <v/>
      </c>
      <c r="N16" s="697">
        <f>2+ET16</f>
        <v/>
      </c>
      <c r="O16" s="697">
        <f>2+ES16</f>
        <v/>
      </c>
      <c r="P16" s="697">
        <f>3+ER16</f>
        <v/>
      </c>
      <c r="Q16" s="697" t="n">
        <v>6</v>
      </c>
      <c r="R16" s="697" t="n">
        <v>4</v>
      </c>
      <c r="S16" s="697" t="n">
        <v>5</v>
      </c>
      <c r="T16" s="697">
        <f>4+EN16</f>
        <v/>
      </c>
      <c r="U16" s="697" t="n">
        <v>4</v>
      </c>
      <c r="V16" s="697" t="n">
        <v>4</v>
      </c>
      <c r="W16" s="697" t="n">
        <v>3</v>
      </c>
      <c r="X16" s="697" t="n">
        <v>2</v>
      </c>
      <c r="Y16" s="697" t="n">
        <v>4</v>
      </c>
      <c r="Z16" s="697" t="n">
        <v>3</v>
      </c>
      <c r="AA16" s="697" t="n">
        <v>7</v>
      </c>
      <c r="AB16" s="697" t="n">
        <v>7</v>
      </c>
      <c r="AC16" s="697" t="n">
        <v>6</v>
      </c>
      <c r="AD16" s="697" t="n">
        <v>5</v>
      </c>
      <c r="AE16" s="697">
        <f>3+DZ16</f>
        <v/>
      </c>
      <c r="AF16" s="697" t="n">
        <v>3</v>
      </c>
      <c r="AG16" s="697" t="n">
        <v>4</v>
      </c>
      <c r="AH16" s="697" t="n">
        <v>3</v>
      </c>
      <c r="AI16" s="697" t="n">
        <v>4</v>
      </c>
      <c r="AJ16" s="697" t="n">
        <v>3</v>
      </c>
      <c r="AK16" s="697">
        <f>3+DP16</f>
        <v/>
      </c>
      <c r="AL16" s="697" t="n">
        <v>5</v>
      </c>
      <c r="AM16" s="697">
        <f>5+DN16</f>
        <v/>
      </c>
      <c r="AN16" s="697" t="n">
        <v>5</v>
      </c>
      <c r="AO16" s="697">
        <f>5+DL16</f>
        <v/>
      </c>
      <c r="AP16" s="697" t="n">
        <v>4</v>
      </c>
      <c r="AQ16" s="697">
        <f>1+DJ16</f>
        <v/>
      </c>
      <c r="AR16" s="697" t="n">
        <v>5</v>
      </c>
      <c r="AS16" s="697" t="n">
        <v>4</v>
      </c>
      <c r="AT16" s="697">
        <f>4+DD16</f>
        <v/>
      </c>
      <c r="AU16" s="697" t="n">
        <v>4</v>
      </c>
      <c r="AV16" s="697" t="n">
        <v>3</v>
      </c>
      <c r="AW16" s="697" t="n">
        <v>2</v>
      </c>
      <c r="AX16" s="697" t="n">
        <v>2</v>
      </c>
      <c r="AY16" s="697" t="n">
        <v>2</v>
      </c>
      <c r="AZ16" s="697">
        <f>2+CV16</f>
        <v/>
      </c>
      <c r="BA16" s="697" t="n">
        <v>5</v>
      </c>
      <c r="BB16" s="697" t="n">
        <v>4</v>
      </c>
      <c r="BC16" s="697">
        <f>2+CU16</f>
        <v/>
      </c>
      <c r="BD16" s="697">
        <f>2+CT16</f>
        <v/>
      </c>
      <c r="BE16" s="697" t="n">
        <v>3</v>
      </c>
      <c r="BF16" s="697" t="n">
        <v>0</v>
      </c>
      <c r="BG16" s="697" t="n">
        <v>0</v>
      </c>
      <c r="BH16" s="697">
        <f>4+CQ16</f>
        <v/>
      </c>
      <c r="BI16" s="697" t="n">
        <v>12</v>
      </c>
      <c r="BJ16" s="697" t="n">
        <v>10</v>
      </c>
      <c r="BK16" s="697" t="n">
        <v>8</v>
      </c>
      <c r="BL16" s="697" t="n">
        <v>9</v>
      </c>
      <c r="BM16" s="697" t="n">
        <v>9</v>
      </c>
      <c r="BN16" s="697" t="n">
        <v>7</v>
      </c>
      <c r="BO16" s="697" t="n">
        <v>5</v>
      </c>
      <c r="BP16" s="697" t="n">
        <v>4</v>
      </c>
      <c r="BQ16" s="697">
        <f>3+CK16</f>
        <v/>
      </c>
      <c r="BR16" s="697" t="n">
        <v>4</v>
      </c>
      <c r="BS16" s="697" t="n">
        <v>4</v>
      </c>
      <c r="BT16" s="697" t="n">
        <v>1</v>
      </c>
      <c r="BU16" s="697" t="n">
        <v>2</v>
      </c>
      <c r="BV16" s="697" t="n">
        <v>0</v>
      </c>
      <c r="BW16" s="697" t="n">
        <v>0</v>
      </c>
      <c r="BX16" s="697">
        <f>0+CG16</f>
        <v/>
      </c>
      <c r="BY16" s="697" t="n">
        <v>3</v>
      </c>
      <c r="BZ16" s="192">
        <f>BX16+IF(NOT(ISBLANK(OFFSET(BZ16,0,6))),N(OFFSET(BZ16,0,6)),N(OFFSET(BZ16,0,7)))-BY16</f>
        <v/>
      </c>
      <c r="CB16" s="22" t="n"/>
      <c r="CC16" s="2" t="n"/>
      <c r="CD16" s="27" t="n">
        <v>2</v>
      </c>
      <c r="CE16" s="2" t="n"/>
      <c r="CF16" s="23" t="n">
        <v>0</v>
      </c>
      <c r="CG16" s="23" t="n">
        <v>5</v>
      </c>
      <c r="CH16" s="23" t="n"/>
      <c r="CI16" s="23" t="n"/>
      <c r="CJ16" s="23" t="n"/>
      <c r="CK16" s="23" t="n">
        <v>2</v>
      </c>
      <c r="CL16" s="23" t="n">
        <v>2</v>
      </c>
      <c r="CM16" s="23" t="n"/>
      <c r="CN16" s="23" t="n">
        <v>2</v>
      </c>
      <c r="CO16" s="23" t="n"/>
      <c r="CP16" s="23" t="n">
        <v>6</v>
      </c>
      <c r="CQ16" s="23" t="n">
        <v>2</v>
      </c>
      <c r="CR16" s="23" t="n">
        <v>6</v>
      </c>
      <c r="CS16" s="23" t="n"/>
      <c r="CT16" s="23" t="n">
        <v>6</v>
      </c>
      <c r="CU16" s="23" t="n">
        <v>2</v>
      </c>
      <c r="CV16" s="23" t="n">
        <v>6</v>
      </c>
      <c r="CW16" s="23" t="n">
        <v>2</v>
      </c>
      <c r="CX16" s="23" t="n"/>
      <c r="CY16" s="219" t="n"/>
      <c r="CZ16" s="23" t="n"/>
      <c r="DA16" s="23" t="n"/>
      <c r="DB16" s="23" t="n"/>
      <c r="DC16" s="23" t="n">
        <v>1</v>
      </c>
      <c r="DD16" s="23" t="n">
        <v>1</v>
      </c>
      <c r="DE16" s="23" t="n"/>
      <c r="DF16" s="219" t="n"/>
      <c r="DG16" s="23" t="n">
        <v>4</v>
      </c>
      <c r="DH16" s="23" t="n"/>
      <c r="DI16" s="219" t="n"/>
      <c r="DJ16" s="23" t="n">
        <v>2</v>
      </c>
      <c r="DK16" s="23" t="n"/>
      <c r="DL16" s="23" t="n">
        <v>1</v>
      </c>
      <c r="DM16" s="23" t="n"/>
      <c r="DN16" s="23" t="n">
        <v>1</v>
      </c>
      <c r="DO16" s="23" t="n"/>
      <c r="DP16" s="23" t="n">
        <v>4</v>
      </c>
      <c r="DQ16" s="23" t="n">
        <v>2</v>
      </c>
      <c r="DR16" s="219" t="n"/>
      <c r="DS16" s="23" t="n">
        <v>3</v>
      </c>
      <c r="DT16" s="23" t="n"/>
      <c r="DU16" s="219" t="n"/>
      <c r="DV16" s="219" t="n"/>
      <c r="DW16" s="23" t="n"/>
      <c r="DX16" s="23" t="n"/>
      <c r="DY16" s="23" t="n">
        <v>2</v>
      </c>
      <c r="DZ16" s="23" t="n">
        <v>1</v>
      </c>
      <c r="EA16" s="23" t="n"/>
      <c r="EB16" s="23" t="n"/>
      <c r="EC16" s="23" t="n"/>
      <c r="ED16" s="219" t="n"/>
      <c r="EE16" s="219" t="n"/>
      <c r="EF16" s="23" t="n"/>
      <c r="EG16" s="23" t="n">
        <v>5</v>
      </c>
      <c r="EH16" s="219" t="n"/>
      <c r="EI16" s="23" t="n">
        <v>3</v>
      </c>
      <c r="EJ16" s="23" t="n">
        <v>5</v>
      </c>
      <c r="EK16" s="23" t="n"/>
      <c r="EL16" s="23" t="n"/>
      <c r="EM16" s="219" t="n"/>
      <c r="EN16" s="23" t="n">
        <v>3</v>
      </c>
      <c r="EO16" s="23" t="n">
        <v>3</v>
      </c>
      <c r="EP16" s="219" t="n">
        <v>2</v>
      </c>
      <c r="EQ16" s="23" t="n"/>
      <c r="ER16" s="23" t="n">
        <v>4</v>
      </c>
      <c r="ES16" s="23" t="n">
        <v>2</v>
      </c>
      <c r="ET16" s="23" t="n">
        <v>2</v>
      </c>
      <c r="EU16" s="23" t="n">
        <v>1</v>
      </c>
      <c r="EV16" s="23" t="n"/>
      <c r="EW16" s="23" t="n">
        <v>4</v>
      </c>
      <c r="EX16" s="23" t="n"/>
      <c r="EY16" s="23" t="n">
        <v>2</v>
      </c>
      <c r="EZ16" s="23" t="n">
        <v>4</v>
      </c>
      <c r="FA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4</v>
      </c>
      <c r="E17" s="2" t="n"/>
      <c r="F17" s="697">
        <f>4+EZ17</f>
        <v/>
      </c>
      <c r="G17" s="697">
        <f>4+EY17</f>
        <v/>
      </c>
      <c r="H17" s="697" t="n">
        <v>5</v>
      </c>
      <c r="I17" s="697" t="n">
        <v>5</v>
      </c>
      <c r="J17" s="697" t="n">
        <v>4</v>
      </c>
      <c r="K17" s="697" t="n">
        <v>5</v>
      </c>
      <c r="L17" s="697" t="n">
        <v>5</v>
      </c>
      <c r="M17" s="697" t="n">
        <v>4</v>
      </c>
      <c r="N17" s="697" t="n">
        <v>4</v>
      </c>
      <c r="O17" s="697" t="n">
        <v>3</v>
      </c>
      <c r="P17" s="697">
        <f>3+ER17</f>
        <v/>
      </c>
      <c r="Q17" s="697" t="n">
        <v>3</v>
      </c>
      <c r="R17" s="697" t="n">
        <v>3</v>
      </c>
      <c r="S17" s="697" t="n">
        <v>6</v>
      </c>
      <c r="T17" s="697" t="n">
        <v>6</v>
      </c>
      <c r="U17" s="697" t="n">
        <v>6</v>
      </c>
      <c r="V17" s="697" t="n">
        <v>6</v>
      </c>
      <c r="W17" s="697" t="n">
        <v>6</v>
      </c>
      <c r="X17" s="697" t="n">
        <v>6</v>
      </c>
      <c r="Y17" s="697" t="n">
        <v>5</v>
      </c>
      <c r="Z17" s="697" t="n">
        <v>5</v>
      </c>
      <c r="AA17" s="697" t="n">
        <v>5</v>
      </c>
      <c r="AB17" s="697" t="n">
        <v>4</v>
      </c>
      <c r="AC17" s="697" t="n">
        <v>2</v>
      </c>
      <c r="AD17" s="697">
        <f>2+EA17</f>
        <v/>
      </c>
      <c r="AE17" s="697" t="n">
        <v>5</v>
      </c>
      <c r="AF17" s="697" t="n">
        <v>5</v>
      </c>
      <c r="AG17" s="697" t="n">
        <v>4</v>
      </c>
      <c r="AH17" s="697" t="n">
        <v>4</v>
      </c>
      <c r="AI17" s="697" t="n">
        <v>4</v>
      </c>
      <c r="AJ17" s="697" t="n">
        <v>4</v>
      </c>
      <c r="AK17" s="697" t="n">
        <v>4</v>
      </c>
      <c r="AL17" s="697">
        <f>4+DO17</f>
        <v/>
      </c>
      <c r="AM17" s="697" t="n">
        <v>3</v>
      </c>
      <c r="AN17" s="697" t="n">
        <v>4</v>
      </c>
      <c r="AO17" s="697" t="n">
        <v>4</v>
      </c>
      <c r="AP17" s="697" t="n">
        <v>4</v>
      </c>
      <c r="AQ17" s="697" t="n">
        <v>3</v>
      </c>
      <c r="AR17" s="697" t="n">
        <v>4</v>
      </c>
      <c r="AS17" s="697" t="n">
        <v>4</v>
      </c>
      <c r="AT17" s="697" t="n">
        <v>4</v>
      </c>
      <c r="AU17" s="697" t="n">
        <v>3</v>
      </c>
      <c r="AV17" s="697">
        <f>3+CZ17</f>
        <v/>
      </c>
      <c r="AW17" s="697" t="n">
        <v>3</v>
      </c>
      <c r="AX17" s="697" t="n">
        <v>3</v>
      </c>
      <c r="AY17" s="697" t="n">
        <v>4</v>
      </c>
      <c r="AZ17" s="697" t="n">
        <v>4</v>
      </c>
      <c r="BA17" s="697" t="n">
        <v>3</v>
      </c>
      <c r="BB17" s="697" t="n">
        <v>2</v>
      </c>
      <c r="BC17" s="697">
        <f>2+CU17</f>
        <v/>
      </c>
      <c r="BD17" s="697">
        <f>4+CT17</f>
        <v/>
      </c>
      <c r="BE17" s="697" t="n">
        <v>6</v>
      </c>
      <c r="BF17" s="697" t="n">
        <v>4</v>
      </c>
      <c r="BG17" s="697" t="n">
        <v>4</v>
      </c>
      <c r="BH17" s="697" t="n">
        <v>4</v>
      </c>
      <c r="BI17" s="697" t="n">
        <v>4</v>
      </c>
      <c r="BJ17" s="697" t="n">
        <v>4</v>
      </c>
      <c r="BK17" s="697" t="n">
        <v>2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5</v>
      </c>
      <c r="BR17" s="697" t="n">
        <v>5</v>
      </c>
      <c r="BS17" s="697" t="n">
        <v>4</v>
      </c>
      <c r="BT17" s="697" t="n">
        <v>5</v>
      </c>
      <c r="BU17" s="697">
        <f>2+CH17</f>
        <v/>
      </c>
      <c r="BV17" s="697" t="n">
        <v>4</v>
      </c>
      <c r="BW17" s="697" t="n">
        <v>4</v>
      </c>
      <c r="BX17" s="697" t="n">
        <v>3</v>
      </c>
      <c r="BY17" s="697" t="n">
        <v>3</v>
      </c>
      <c r="BZ17" s="192">
        <f>BX17+IF(NOT(ISBLANK(OFFSET(BZ17,0,6))),N(OFFSET(BZ17,0,6)),N(OFFSET(BZ17,0,7)))-BY17</f>
        <v/>
      </c>
      <c r="CB17" s="22" t="n"/>
      <c r="CC17" s="2" t="n"/>
      <c r="CD17" s="27" t="n"/>
      <c r="CE17" s="2" t="n"/>
      <c r="CF17" s="23" t="n">
        <v>0</v>
      </c>
      <c r="CG17" s="23" t="n">
        <v>0</v>
      </c>
      <c r="CH17" s="23" t="n">
        <v>2</v>
      </c>
      <c r="CI17" s="23" t="n"/>
      <c r="CJ17" s="23" t="n"/>
      <c r="CK17" s="23" t="n"/>
      <c r="CL17" s="23" t="n">
        <v>1</v>
      </c>
      <c r="CM17" s="23" t="n"/>
      <c r="CN17" s="23" t="n">
        <v>4</v>
      </c>
      <c r="CO17" s="23" t="n"/>
      <c r="CP17" s="23" t="n"/>
      <c r="CQ17" s="23" t="n"/>
      <c r="CR17" s="23" t="n"/>
      <c r="CS17" s="23" t="n"/>
      <c r="CT17" s="23" t="n">
        <v>2</v>
      </c>
      <c r="CU17" s="23" t="n">
        <v>3</v>
      </c>
      <c r="CV17" s="23" t="n"/>
      <c r="CW17" s="23" t="n">
        <v>1</v>
      </c>
      <c r="CX17" s="23" t="n"/>
      <c r="CY17" s="219" t="n"/>
      <c r="CZ17" s="23" t="n">
        <v>1</v>
      </c>
      <c r="DA17" s="23" t="n"/>
      <c r="DB17" s="23" t="n"/>
      <c r="DC17" s="23" t="n"/>
      <c r="DD17" s="23" t="n"/>
      <c r="DE17" s="23" t="n"/>
      <c r="DF17" s="219" t="n"/>
      <c r="DG17" s="23" t="n">
        <v>1</v>
      </c>
      <c r="DH17" s="23" t="n"/>
      <c r="DI17" s="219" t="n"/>
      <c r="DJ17" s="23" t="n"/>
      <c r="DK17" s="23" t="n"/>
      <c r="DL17" s="23" t="n"/>
      <c r="DM17" s="23" t="n">
        <v>1</v>
      </c>
      <c r="DN17" s="23" t="n"/>
      <c r="DO17" s="23" t="n">
        <v>1</v>
      </c>
      <c r="DP17" s="23" t="n"/>
      <c r="DQ17" s="23" t="n"/>
      <c r="DR17" s="219" t="n"/>
      <c r="DS17" s="23" t="n"/>
      <c r="DT17" s="23" t="n"/>
      <c r="DU17" s="219" t="n"/>
      <c r="DV17" s="219" t="n"/>
      <c r="DW17" s="23" t="n"/>
      <c r="DX17" s="23" t="n"/>
      <c r="DY17" s="23" t="n"/>
      <c r="DZ17" s="23" t="n"/>
      <c r="EA17" s="23" t="n">
        <v>4</v>
      </c>
      <c r="EB17" s="23" t="n"/>
      <c r="EC17" s="23" t="n"/>
      <c r="ED17" s="219" t="n"/>
      <c r="EE17" s="219" t="n"/>
      <c r="EF17" s="23" t="n"/>
      <c r="EG17" s="23" t="n"/>
      <c r="EH17" s="219" t="n"/>
      <c r="EI17" s="23" t="n"/>
      <c r="EJ17" s="23" t="n"/>
      <c r="EK17" s="23" t="n"/>
      <c r="EL17" s="23" t="n"/>
      <c r="EM17" s="219" t="n"/>
      <c r="EN17" s="23" t="n"/>
      <c r="EO17" s="23" t="n">
        <v>4</v>
      </c>
      <c r="EP17" s="219" t="n"/>
      <c r="EQ17" s="23" t="n"/>
      <c r="ER17" s="23" t="n">
        <v>2</v>
      </c>
      <c r="ES17" s="23" t="n"/>
      <c r="ET17" s="23" t="n"/>
      <c r="EU17" s="23" t="n"/>
      <c r="EV17" s="23" t="n"/>
      <c r="EW17" s="23" t="n">
        <v>1</v>
      </c>
      <c r="EX17" s="23" t="n"/>
      <c r="EY17" s="23" t="n">
        <v>1</v>
      </c>
      <c r="EZ17" s="23" t="n">
        <v>1</v>
      </c>
      <c r="FA17" s="23" t="n"/>
    </row>
    <row r="18" ht="14.25" customFormat="1" customHeight="1" s="3">
      <c r="A18" s="35" t="n"/>
      <c r="C18" s="763" t="n"/>
      <c r="D18" s="450" t="n"/>
      <c r="CB18" s="48" t="n"/>
      <c r="CD18" s="28" t="n"/>
      <c r="CI18" s="250" t="n"/>
      <c r="DF18" s="372" t="n"/>
      <c r="DI18" s="372" t="n"/>
      <c r="DR18" s="250" t="n"/>
      <c r="DU18" s="250" t="n"/>
      <c r="DV18" s="250" t="n"/>
      <c r="ED18" s="19" t="n"/>
      <c r="EE18" s="372" t="n"/>
      <c r="EH18" s="372" t="n"/>
      <c r="EM18" s="19" t="n"/>
      <c r="EP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2" t="n"/>
      <c r="CF19" s="734" t="n"/>
      <c r="CG19" s="734" t="n">
        <v>46142</v>
      </c>
      <c r="CH19" s="734" t="n">
        <v>46114</v>
      </c>
      <c r="CI19" s="735" t="n">
        <v>46065</v>
      </c>
      <c r="CJ19" s="734" t="n">
        <v>46099</v>
      </c>
      <c r="CK19" s="734" t="n">
        <v>46092</v>
      </c>
      <c r="CL19" s="734" t="n">
        <v>46084</v>
      </c>
      <c r="CM19" s="734" t="n">
        <v>46071</v>
      </c>
      <c r="CN19" s="734" t="n">
        <v>46056</v>
      </c>
      <c r="CO19" s="734" t="n">
        <v>46048</v>
      </c>
      <c r="CP19" s="734" t="n">
        <v>46035</v>
      </c>
      <c r="CQ19" s="734" t="n">
        <v>46029</v>
      </c>
      <c r="CR19" s="734" t="n">
        <v>46017</v>
      </c>
      <c r="CS19" s="734" t="n">
        <v>46007</v>
      </c>
      <c r="CT19" s="734" t="n">
        <v>46001</v>
      </c>
      <c r="CU19" s="734" t="n">
        <v>45994</v>
      </c>
      <c r="CV19" s="734" t="n">
        <v>45973</v>
      </c>
      <c r="CW19" s="734" t="n">
        <v>45960</v>
      </c>
      <c r="CX19" s="734" t="n">
        <v>45951</v>
      </c>
      <c r="CY19" s="737" t="n">
        <v>45903</v>
      </c>
      <c r="CZ19" s="734" t="n">
        <v>45945</v>
      </c>
      <c r="DA19" s="734" t="n">
        <v>45937</v>
      </c>
      <c r="DB19" s="736" t="n">
        <v>45939</v>
      </c>
      <c r="DC19" s="734" t="n">
        <v>45923</v>
      </c>
      <c r="DD19" s="734" t="n">
        <v>45931</v>
      </c>
      <c r="DE19" s="734" t="n">
        <v>45923</v>
      </c>
      <c r="DF19" s="754" t="n">
        <v>45923</v>
      </c>
      <c r="DG19" s="734" t="n">
        <v>45915</v>
      </c>
      <c r="DH19" s="736" t="n">
        <v>45918</v>
      </c>
      <c r="DI19" s="738" t="n">
        <v>45863</v>
      </c>
      <c r="DJ19" s="734" t="n">
        <v>45909</v>
      </c>
      <c r="DK19" s="734" t="n">
        <v>45903</v>
      </c>
      <c r="DL19" s="734" t="n">
        <v>45895</v>
      </c>
      <c r="DM19" s="734" t="n">
        <v>45888</v>
      </c>
      <c r="DN19" s="734" t="n">
        <v>45881</v>
      </c>
      <c r="DO19" s="734" t="n">
        <v>45874</v>
      </c>
      <c r="DP19" s="734" t="n">
        <v>45867</v>
      </c>
      <c r="DQ19" s="734" t="n">
        <v>45860</v>
      </c>
      <c r="DR19" s="739" t="n">
        <v>45861</v>
      </c>
      <c r="DS19" s="734" t="n">
        <v>45853</v>
      </c>
      <c r="DT19" s="736" t="n">
        <v>45852</v>
      </c>
      <c r="DU19" s="739" t="n">
        <v>45791</v>
      </c>
      <c r="DV19" s="739" t="n">
        <v>45852</v>
      </c>
      <c r="DW19" s="736" t="n">
        <v>45842</v>
      </c>
      <c r="DX19" s="736" t="n">
        <v>45841</v>
      </c>
      <c r="DY19" s="734" t="n">
        <v>45832</v>
      </c>
      <c r="DZ19" s="734" t="n">
        <v>45825</v>
      </c>
      <c r="EA19" s="734" t="n">
        <v>45819</v>
      </c>
      <c r="EB19" s="734" t="n">
        <v>45813</v>
      </c>
      <c r="EC19" s="734" t="n">
        <v>45805</v>
      </c>
      <c r="ED19" s="740" t="n">
        <v>45806</v>
      </c>
      <c r="EE19" s="755" t="n">
        <v>45805</v>
      </c>
      <c r="EF19" s="736" t="n">
        <v>45804</v>
      </c>
      <c r="EG19" s="734" t="n">
        <v>45798</v>
      </c>
      <c r="EH19" s="742" t="n">
        <v>45735</v>
      </c>
      <c r="EI19" s="734" t="n">
        <v>45790</v>
      </c>
      <c r="EJ19" s="734" t="n">
        <v>45783</v>
      </c>
      <c r="EK19" s="734" t="n">
        <v>45770</v>
      </c>
      <c r="EL19" s="734" t="n">
        <v>45756</v>
      </c>
      <c r="EM19" s="740" t="n">
        <v>45756</v>
      </c>
      <c r="EN19" s="734" t="n">
        <v>45749</v>
      </c>
      <c r="EO19" s="734" t="n">
        <v>45734</v>
      </c>
      <c r="EP19" s="740" t="n">
        <v>45700</v>
      </c>
      <c r="EQ19" s="734" t="n">
        <v>45728</v>
      </c>
      <c r="ER19" s="734" t="n">
        <v>45722</v>
      </c>
      <c r="ES19" s="734" t="n">
        <v>45714</v>
      </c>
      <c r="ET19" s="734" t="n">
        <v>45706</v>
      </c>
      <c r="EU19" s="734" t="n">
        <v>45699</v>
      </c>
      <c r="EV19" s="734" t="n">
        <v>45693</v>
      </c>
      <c r="EW19" s="734" t="n">
        <v>45685</v>
      </c>
      <c r="EX19" s="734" t="n">
        <v>45674</v>
      </c>
      <c r="EY19" s="734" t="n">
        <v>45660</v>
      </c>
      <c r="EZ19" s="734" t="n">
        <v>45652</v>
      </c>
      <c r="FA19" s="734" t="n">
        <v>45643</v>
      </c>
      <c r="FC19" s="304" t="inlineStr">
        <is>
          <t>CAIXAS</t>
        </is>
      </c>
      <c r="FD19" s="235" t="inlineStr">
        <is>
          <t>PCT</t>
        </is>
      </c>
      <c r="FE19" s="746" t="n">
        <v>46118</v>
      </c>
      <c r="FF19" s="746" t="n">
        <v>46125</v>
      </c>
      <c r="FG19" s="746" t="n">
        <v>46132</v>
      </c>
      <c r="FH19" s="746" t="n">
        <v>46139</v>
      </c>
      <c r="FI19" s="746" t="n">
        <v>46146</v>
      </c>
      <c r="FJ19" s="746" t="n">
        <v>46154</v>
      </c>
      <c r="FK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115</v>
      </c>
      <c r="G20" s="697" t="n">
        <v>115</v>
      </c>
      <c r="H20" s="697" t="n">
        <v>95</v>
      </c>
      <c r="I20" s="697">
        <f>74+EX20</f>
        <v/>
      </c>
      <c r="J20" s="697" t="n">
        <v>205</v>
      </c>
      <c r="K20" s="697" t="n">
        <v>189</v>
      </c>
      <c r="L20" s="697" t="n">
        <v>152</v>
      </c>
      <c r="M20" s="697">
        <f>131+EU20</f>
        <v/>
      </c>
      <c r="N20" s="697" t="n">
        <v>248</v>
      </c>
      <c r="O20" s="697" t="n">
        <v>218</v>
      </c>
      <c r="P20" s="697" t="n">
        <v>173</v>
      </c>
      <c r="Q20" s="697">
        <f>137+EQ20</f>
        <v/>
      </c>
      <c r="R20" s="697" t="n">
        <v>267</v>
      </c>
      <c r="S20" s="697" t="n">
        <v>224</v>
      </c>
      <c r="T20" s="697" t="n">
        <v>200</v>
      </c>
      <c r="U20" s="697" t="n">
        <v>165</v>
      </c>
      <c r="V20" s="697" t="n">
        <v>153</v>
      </c>
      <c r="W20" s="697" t="n">
        <v>148</v>
      </c>
      <c r="X20" s="697" t="n">
        <v>145</v>
      </c>
      <c r="Y20" s="697" t="n">
        <v>153</v>
      </c>
      <c r="Z20" s="697" t="n">
        <v>151</v>
      </c>
      <c r="AA20" s="697" t="n">
        <v>149</v>
      </c>
      <c r="AB20" s="697" t="n">
        <v>148</v>
      </c>
      <c r="AC20" s="697" t="n">
        <v>146</v>
      </c>
      <c r="AD20" s="697" t="n">
        <v>136</v>
      </c>
      <c r="AE20" s="697">
        <f>109+DZ20</f>
        <v/>
      </c>
      <c r="AF20" s="697" t="n">
        <v>240</v>
      </c>
      <c r="AG20" s="697" t="n">
        <v>211</v>
      </c>
      <c r="AH20" s="697" t="n">
        <v>186</v>
      </c>
      <c r="AI20" s="697" t="n">
        <v>156</v>
      </c>
      <c r="AJ20" s="697" t="n">
        <v>294</v>
      </c>
      <c r="AK20" s="697" t="n">
        <v>265</v>
      </c>
      <c r="AL20" s="697" t="n">
        <v>200</v>
      </c>
      <c r="AM20" s="697" t="n">
        <v>178</v>
      </c>
      <c r="AN20" s="697" t="n">
        <v>305</v>
      </c>
      <c r="AO20" s="697" t="n">
        <v>281</v>
      </c>
      <c r="AP20" s="697" t="n">
        <v>260</v>
      </c>
      <c r="AQ20" s="697" t="n">
        <v>226</v>
      </c>
      <c r="AR20" s="697" t="n">
        <v>346</v>
      </c>
      <c r="AS20" s="697" t="n">
        <v>303</v>
      </c>
      <c r="AT20" s="697" t="n">
        <v>269</v>
      </c>
      <c r="AU20" s="697" t="n">
        <v>222</v>
      </c>
      <c r="AV20" s="697" t="n">
        <v>203</v>
      </c>
      <c r="AW20" s="697" t="n">
        <v>173</v>
      </c>
      <c r="AX20" s="697" t="n">
        <v>152</v>
      </c>
      <c r="AY20" s="697" t="n">
        <v>280</v>
      </c>
      <c r="AZ20" s="697" t="n">
        <v>278</v>
      </c>
      <c r="BA20" s="697" t="n">
        <v>277</v>
      </c>
      <c r="BB20" s="697" t="n">
        <v>276</v>
      </c>
      <c r="BC20" s="697" t="n">
        <v>275</v>
      </c>
      <c r="BD20" s="697" t="n">
        <v>295</v>
      </c>
      <c r="BE20" s="697" t="n">
        <v>295</v>
      </c>
      <c r="BF20" s="697" t="n">
        <v>295</v>
      </c>
      <c r="BG20" s="697" t="n">
        <v>295</v>
      </c>
      <c r="BH20" s="697" t="n">
        <v>295</v>
      </c>
      <c r="BI20" s="697" t="n">
        <v>295</v>
      </c>
      <c r="BJ20" s="697" t="n">
        <v>295</v>
      </c>
      <c r="BK20" s="697" t="n">
        <v>295</v>
      </c>
      <c r="BL20" s="697" t="n">
        <v>283</v>
      </c>
      <c r="BM20" s="697" t="n">
        <v>275</v>
      </c>
      <c r="BN20" s="697" t="n">
        <v>267</v>
      </c>
      <c r="BO20" s="697" t="n">
        <v>244</v>
      </c>
      <c r="BP20" s="697" t="n">
        <v>228</v>
      </c>
      <c r="BQ20" s="697" t="n">
        <v>208</v>
      </c>
      <c r="BR20" s="697" t="n">
        <v>188</v>
      </c>
      <c r="BS20" s="697" t="n">
        <v>182</v>
      </c>
      <c r="BT20" s="697" t="n"/>
      <c r="BU20" s="697" t="n"/>
      <c r="BV20" s="697" t="n"/>
      <c r="BW20" s="697" t="n">
        <v>157</v>
      </c>
      <c r="BX20" s="314" t="n">
        <v>165</v>
      </c>
      <c r="BY20" s="697" t="n">
        <v>165</v>
      </c>
      <c r="BZ20" s="192">
        <f>BX20+IF(NOT(ISBLANK(OFFSET(BZ20,0,6))),N(OFFSET(BZ20,0,6)),N(OFFSET(BZ20,0,7)))-BY20</f>
        <v/>
      </c>
      <c r="CA20" s="50" t="n"/>
      <c r="CB20" s="22" t="n"/>
      <c r="CC20" s="2" t="n"/>
      <c r="CD20" s="27" t="n"/>
      <c r="CE20" s="2" t="n"/>
      <c r="CF20" s="23" t="n">
        <v>0</v>
      </c>
      <c r="CG20" s="23" t="n">
        <v>0</v>
      </c>
      <c r="CH20" s="23" t="n"/>
      <c r="CI20" s="219" t="n">
        <v>150</v>
      </c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>
        <v>150</v>
      </c>
      <c r="CX20" s="23" t="n"/>
      <c r="CY20" s="219" t="n">
        <v>150</v>
      </c>
      <c r="CZ20" s="23" t="n"/>
      <c r="DA20" s="23" t="n"/>
      <c r="DB20" s="23" t="n"/>
      <c r="DC20" s="23" t="n"/>
      <c r="DD20" s="23" t="n"/>
      <c r="DE20" s="23" t="n"/>
      <c r="DF20" s="219" t="n"/>
      <c r="DG20" s="23" t="n">
        <v>150</v>
      </c>
      <c r="DH20" s="23" t="n"/>
      <c r="DI20" s="219" t="n"/>
      <c r="DJ20" s="23" t="n"/>
      <c r="DK20" s="23" t="n"/>
      <c r="DL20" s="23" t="n"/>
      <c r="DM20" s="23" t="n">
        <v>150</v>
      </c>
      <c r="DN20" s="23" t="n"/>
      <c r="DO20" s="23" t="n"/>
      <c r="DP20" s="23" t="n"/>
      <c r="DQ20" s="23" t="n">
        <v>150</v>
      </c>
      <c r="DR20" s="219" t="n"/>
      <c r="DS20" s="23" t="n"/>
      <c r="DT20" s="23" t="n"/>
      <c r="DU20" s="219" t="n"/>
      <c r="DV20" s="219" t="n"/>
      <c r="DW20" s="23" t="n"/>
      <c r="DX20" s="23" t="n"/>
      <c r="DY20" s="23" t="n"/>
      <c r="DZ20" s="23" t="n">
        <v>150</v>
      </c>
      <c r="EA20" s="23" t="n"/>
      <c r="EB20" s="23" t="n"/>
      <c r="EC20" s="23" t="n"/>
      <c r="ED20" s="219" t="n"/>
      <c r="EE20" s="219" t="n"/>
      <c r="EF20" s="23" t="n"/>
      <c r="EG20" s="23" t="n"/>
      <c r="EH20" s="219" t="n"/>
      <c r="EI20" s="23" t="n"/>
      <c r="EJ20" s="23" t="n"/>
      <c r="EK20" s="23" t="n"/>
      <c r="EL20" s="23" t="n"/>
      <c r="EM20" s="292" t="inlineStr">
        <is>
          <t>100 P/ GV</t>
        </is>
      </c>
      <c r="EN20" s="23" t="n"/>
      <c r="EO20" s="23" t="n"/>
      <c r="EP20" s="219" t="n">
        <v>300</v>
      </c>
      <c r="EQ20" s="23" t="n">
        <v>150</v>
      </c>
      <c r="ER20" s="23" t="n"/>
      <c r="ES20" s="23" t="n"/>
      <c r="ET20" s="23" t="n"/>
      <c r="EU20" s="23" t="n">
        <v>150</v>
      </c>
      <c r="EV20" s="23" t="n"/>
      <c r="EW20" s="23" t="n"/>
      <c r="EX20" s="23" t="n">
        <v>150</v>
      </c>
      <c r="EY20" s="23" t="n"/>
      <c r="EZ20" s="23" t="n"/>
      <c r="FA20" s="23" t="n"/>
      <c r="FC20" s="300" t="inlineStr">
        <is>
          <t>CAIXA P</t>
        </is>
      </c>
      <c r="FD20" s="162" t="n">
        <v>150</v>
      </c>
      <c r="FE20" s="697">
        <f>CI20</f>
        <v/>
      </c>
      <c r="FF20" s="697" t="n"/>
      <c r="FG20" s="697" t="n"/>
      <c r="FH20" s="697" t="n">
        <v>104</v>
      </c>
      <c r="FI20" s="697" t="n">
        <v>44</v>
      </c>
      <c r="FJ20" s="697" t="n"/>
      <c r="FK20" s="431">
        <f>FI20+IF(NOT(ISBLANK(OFFSET(FK20,0,6))),N(OFFSET(FK20,0,6)),N(OFFSET(FK20,0,7)))-FJ20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97</v>
      </c>
      <c r="G21" s="697" t="n">
        <v>97</v>
      </c>
      <c r="H21" s="697" t="n">
        <v>97</v>
      </c>
      <c r="I21" s="697" t="n">
        <v>97</v>
      </c>
      <c r="J21" s="697" t="n">
        <v>96</v>
      </c>
      <c r="K21" s="697" t="n">
        <v>96</v>
      </c>
      <c r="L21" s="697" t="n">
        <v>74</v>
      </c>
      <c r="M21" s="697">
        <f>31+EU21</f>
        <v/>
      </c>
      <c r="N21" s="697">
        <f>193+ET21</f>
        <v/>
      </c>
      <c r="O21" s="697">
        <f>257+ES21</f>
        <v/>
      </c>
      <c r="P21" s="697" t="n">
        <v>285</v>
      </c>
      <c r="Q21" s="697">
        <f>242+EQ21</f>
        <v/>
      </c>
      <c r="R21" s="697" t="n">
        <v>301</v>
      </c>
      <c r="S21" s="697" t="n">
        <v>269</v>
      </c>
      <c r="T21" s="697" t="n">
        <v>249</v>
      </c>
      <c r="U21" s="697" t="n">
        <v>226</v>
      </c>
      <c r="V21" s="697" t="n">
        <v>209</v>
      </c>
      <c r="W21" s="697" t="n">
        <v>207</v>
      </c>
      <c r="X21" s="697" t="n">
        <v>206</v>
      </c>
      <c r="Y21" s="697" t="n">
        <v>210</v>
      </c>
      <c r="Z21" s="697" t="n">
        <v>208</v>
      </c>
      <c r="AA21" s="697" t="n">
        <v>207</v>
      </c>
      <c r="AB21" s="697" t="n">
        <v>206</v>
      </c>
      <c r="AC21" s="697" t="n">
        <v>204</v>
      </c>
      <c r="AD21" s="697" t="n">
        <v>146</v>
      </c>
      <c r="AE21" s="697">
        <f>86+DZ21</f>
        <v/>
      </c>
      <c r="AF21" s="697" t="n">
        <v>142</v>
      </c>
      <c r="AG21" s="697" t="n">
        <v>205</v>
      </c>
      <c r="AH21" s="697" t="n">
        <v>170</v>
      </c>
      <c r="AI21" s="697" t="n">
        <v>140</v>
      </c>
      <c r="AJ21" s="697" t="n">
        <v>124</v>
      </c>
      <c r="AK21" s="697" t="n">
        <v>99</v>
      </c>
      <c r="AL21" s="697">
        <f>70+DO21</f>
        <v/>
      </c>
      <c r="AM21" s="697">
        <f>129+DN21</f>
        <v/>
      </c>
      <c r="AN21" s="697" t="n">
        <v>205</v>
      </c>
      <c r="AO21" s="697">
        <f>172+DL21</f>
        <v/>
      </c>
      <c r="AP21" s="697" t="n">
        <v>223</v>
      </c>
      <c r="AQ21" s="697" t="n">
        <v>184</v>
      </c>
      <c r="AR21" s="697" t="n">
        <v>241</v>
      </c>
      <c r="AS21" s="697" t="n">
        <v>200</v>
      </c>
      <c r="AT21" s="697">
        <f>161+DD21</f>
        <v/>
      </c>
      <c r="AU21" s="697" t="n">
        <v>318</v>
      </c>
      <c r="AV21" s="697" t="n">
        <v>292</v>
      </c>
      <c r="AW21" s="697" t="n">
        <v>250</v>
      </c>
      <c r="AX21" s="697" t="n">
        <v>220</v>
      </c>
      <c r="AY21" s="697" t="n">
        <v>198</v>
      </c>
      <c r="AZ21" s="697" t="n">
        <v>184</v>
      </c>
      <c r="BA21" s="697" t="n">
        <v>171</v>
      </c>
      <c r="BB21" s="697" t="n">
        <v>169</v>
      </c>
      <c r="BC21" s="697" t="n">
        <v>168</v>
      </c>
      <c r="BD21" s="697" t="n">
        <v>166</v>
      </c>
      <c r="BE21" s="697" t="n">
        <v>166</v>
      </c>
      <c r="BF21" s="697" t="n">
        <v>106</v>
      </c>
      <c r="BG21" s="697" t="n">
        <v>105</v>
      </c>
      <c r="BH21" s="697">
        <f>101+CQ21</f>
        <v/>
      </c>
      <c r="BI21" s="697" t="n">
        <v>200</v>
      </c>
      <c r="BJ21" s="697" t="n">
        <v>187</v>
      </c>
      <c r="BK21" s="697">
        <f>181+CO21</f>
        <v/>
      </c>
      <c r="BL21" s="697" t="n">
        <v>254</v>
      </c>
      <c r="BM21" s="697" t="n">
        <v>241</v>
      </c>
      <c r="BN21" s="697" t="n">
        <v>236</v>
      </c>
      <c r="BO21" s="697" t="n">
        <v>231</v>
      </c>
      <c r="BP21" s="697" t="n">
        <v>213</v>
      </c>
      <c r="BQ21" s="314" t="n">
        <v>113</v>
      </c>
      <c r="BR21" s="697" t="n">
        <v>211</v>
      </c>
      <c r="BS21" s="697" t="n">
        <v>206</v>
      </c>
      <c r="BT21" s="697" t="n"/>
      <c r="BU21" s="697" t="n"/>
      <c r="BV21" s="697" t="n"/>
      <c r="BW21" s="697" t="n">
        <v>189</v>
      </c>
      <c r="BX21" s="697" t="n">
        <v>189</v>
      </c>
      <c r="BY21" s="697" t="n">
        <v>188</v>
      </c>
      <c r="BZ21" s="192">
        <f>BX21+IF(NOT(ISBLANK(OFFSET(BZ21,0,6))),N(OFFSET(BZ21,0,6)),N(OFFSET(BZ21,0,7)))-BY21</f>
        <v/>
      </c>
      <c r="CA21" s="50" t="n"/>
      <c r="CB21" s="22" t="n"/>
      <c r="CC21" s="2" t="n"/>
      <c r="CD21" s="27" t="n"/>
      <c r="CE21" s="2" t="n"/>
      <c r="CF21" s="23" t="n">
        <v>0</v>
      </c>
      <c r="CG21" s="23" t="n">
        <v>0</v>
      </c>
      <c r="CH21" s="23" t="n"/>
      <c r="CI21" s="219" t="n">
        <v>200</v>
      </c>
      <c r="CJ21" s="23" t="n">
        <v>100</v>
      </c>
      <c r="CK21" s="23" t="n"/>
      <c r="CL21" s="23" t="n"/>
      <c r="CM21" s="23" t="n"/>
      <c r="CN21" s="23" t="n"/>
      <c r="CO21" s="23" t="n">
        <v>100</v>
      </c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/>
      <c r="CX21" s="23" t="n"/>
      <c r="CY21" s="219" t="n">
        <v>300</v>
      </c>
      <c r="CZ21" s="23" t="n"/>
      <c r="DA21" s="23" t="n"/>
      <c r="DB21" s="23" t="n"/>
      <c r="DC21" s="23" t="n"/>
      <c r="DD21" s="23" t="n">
        <v>100</v>
      </c>
      <c r="DE21" s="23" t="n"/>
      <c r="DF21" s="437" t="inlineStr">
        <is>
          <t>10 DE SHN</t>
        </is>
      </c>
      <c r="DG21" s="23" t="n">
        <v>100</v>
      </c>
      <c r="DH21" s="23" t="n"/>
      <c r="DI21" s="219" t="n"/>
      <c r="DJ21" s="23" t="n"/>
      <c r="DK21" s="23" t="n"/>
      <c r="DL21" s="23" t="n">
        <v>100</v>
      </c>
      <c r="DM21" s="23" t="n"/>
      <c r="DN21" s="23" t="n">
        <v>100</v>
      </c>
      <c r="DO21" s="23" t="n">
        <v>100</v>
      </c>
      <c r="DP21" s="23" t="n"/>
      <c r="DQ21" s="23" t="n"/>
      <c r="DR21" s="292" t="inlineStr">
        <is>
          <t>20 P/ MD</t>
        </is>
      </c>
      <c r="DS21" s="23" t="n"/>
      <c r="DT21" s="23" t="n"/>
      <c r="DU21" s="219" t="n">
        <v>100</v>
      </c>
      <c r="DV21" s="219" t="n"/>
      <c r="DW21" s="23" t="n"/>
      <c r="DX21" s="23" t="n"/>
      <c r="DY21" s="23" t="n">
        <v>100</v>
      </c>
      <c r="DZ21" s="23" t="n">
        <v>100</v>
      </c>
      <c r="EA21" s="23" t="n"/>
      <c r="EB21" s="23" t="n"/>
      <c r="EC21" s="23" t="n"/>
      <c r="ED21" s="219" t="n"/>
      <c r="EE21" s="376" t="inlineStr">
        <is>
          <t>25 P/ MD</t>
        </is>
      </c>
      <c r="EF21" s="23" t="n"/>
      <c r="EG21" s="23" t="n"/>
      <c r="EH21" s="219" t="n">
        <v>100</v>
      </c>
      <c r="EI21" s="23" t="n"/>
      <c r="EJ21" s="23" t="n"/>
      <c r="EK21" s="23" t="n"/>
      <c r="EL21" s="23" t="n"/>
      <c r="EM21" s="219" t="n"/>
      <c r="EN21" s="23" t="n"/>
      <c r="EO21" s="23" t="n"/>
      <c r="EP21" s="219" t="n">
        <v>200</v>
      </c>
      <c r="EQ21" s="23" t="n">
        <v>100</v>
      </c>
      <c r="ER21" s="23" t="n"/>
      <c r="ES21" s="23" t="n">
        <v>100</v>
      </c>
      <c r="ET21" s="23" t="n">
        <v>100</v>
      </c>
      <c r="EU21" s="23" t="n">
        <v>200</v>
      </c>
      <c r="EV21" s="23" t="n"/>
      <c r="EW21" s="23" t="n"/>
      <c r="EX21" s="23" t="n"/>
      <c r="EY21" s="23" t="n"/>
      <c r="EZ21" s="23" t="n"/>
      <c r="FA21" s="23" t="n"/>
      <c r="FC21" s="65" t="inlineStr">
        <is>
          <t>CAIXA M</t>
        </is>
      </c>
      <c r="FD21" s="699" t="n">
        <v>100</v>
      </c>
      <c r="FE21" s="697">
        <f>CI21</f>
        <v/>
      </c>
      <c r="FF21" s="697" t="n"/>
      <c r="FG21" s="697" t="n"/>
      <c r="FH21" s="697" t="n">
        <v>135</v>
      </c>
      <c r="FI21" s="697" t="n">
        <v>113</v>
      </c>
      <c r="FJ21" s="697" t="n"/>
      <c r="FK21" s="431">
        <f>FI21+IF(NOT(ISBLANK(OFFSET(FK21,0,6))),N(OFFSET(FK21,0,6)),N(OFFSET(FK21,0,7)))-FJ21</f>
        <v/>
      </c>
    </row>
    <row r="22" ht="18" customFormat="1" customHeigh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16</v>
      </c>
      <c r="G22" s="697" t="n">
        <v>32</v>
      </c>
      <c r="H22" s="697" t="n">
        <v>32</v>
      </c>
      <c r="I22" s="697" t="n">
        <v>29</v>
      </c>
      <c r="J22" s="697" t="n">
        <v>26</v>
      </c>
      <c r="K22" s="697" t="n">
        <v>24</v>
      </c>
      <c r="L22" s="697" t="n">
        <v>29</v>
      </c>
      <c r="M22" s="697" t="n">
        <v>25</v>
      </c>
      <c r="N22" s="697" t="n">
        <v>25</v>
      </c>
      <c r="O22" s="697" t="n">
        <v>25</v>
      </c>
      <c r="P22" s="697" t="n">
        <v>25</v>
      </c>
      <c r="Q22" s="697" t="n">
        <v>25</v>
      </c>
      <c r="R22" s="697" t="n">
        <v>25</v>
      </c>
      <c r="S22" s="697" t="n">
        <v>25</v>
      </c>
      <c r="T22" s="697" t="n">
        <v>24</v>
      </c>
      <c r="U22" s="697" t="n">
        <v>24</v>
      </c>
      <c r="V22" s="697" t="n">
        <v>24</v>
      </c>
      <c r="W22" s="697" t="n">
        <v>24</v>
      </c>
      <c r="X22" s="697" t="n">
        <v>24</v>
      </c>
      <c r="Y22" s="697" t="n">
        <v>24</v>
      </c>
      <c r="Z22" s="697" t="n">
        <v>24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0</v>
      </c>
      <c r="AF22" s="697">
        <f>0+20-15</f>
        <v/>
      </c>
      <c r="AG22" s="697" t="n">
        <v>4</v>
      </c>
      <c r="AH22" s="697" t="n">
        <v>0</v>
      </c>
      <c r="AI22" s="697" t="n">
        <v>2</v>
      </c>
      <c r="AJ22" s="697" t="n">
        <v>2</v>
      </c>
      <c r="AK22" s="697">
        <f>2+DP22</f>
        <v/>
      </c>
      <c r="AL22" s="697" t="n">
        <v>69</v>
      </c>
      <c r="AM22" s="314" t="n">
        <v>110</v>
      </c>
      <c r="AN22" s="697" t="n">
        <v>110</v>
      </c>
      <c r="AO22" s="697" t="n">
        <v>109</v>
      </c>
      <c r="AP22" s="697" t="n">
        <v>109</v>
      </c>
      <c r="AQ22" s="697">
        <f>109-30</f>
        <v/>
      </c>
      <c r="AR22" s="697" t="n">
        <v>79</v>
      </c>
      <c r="AS22" s="314" t="n">
        <v>84</v>
      </c>
      <c r="AT22" s="314" t="n">
        <v>84</v>
      </c>
      <c r="AU22" s="697" t="n">
        <v>79</v>
      </c>
      <c r="AV22" s="697" t="n">
        <v>73</v>
      </c>
      <c r="AW22" s="697" t="n">
        <v>74</v>
      </c>
      <c r="AX22" s="697" t="n">
        <v>74</v>
      </c>
      <c r="AY22" s="697" t="n">
        <v>74</v>
      </c>
      <c r="AZ22" s="697" t="n">
        <v>74</v>
      </c>
      <c r="BA22" s="697" t="n">
        <v>76</v>
      </c>
      <c r="BB22" s="697" t="n">
        <v>76</v>
      </c>
      <c r="BC22" s="697" t="n">
        <v>76</v>
      </c>
      <c r="BD22" s="697" t="n">
        <v>74</v>
      </c>
      <c r="BE22" s="697" t="n">
        <v>74</v>
      </c>
      <c r="BF22" s="697" t="n">
        <v>74</v>
      </c>
      <c r="BG22" s="697" t="n">
        <v>74</v>
      </c>
      <c r="BH22" s="697" t="n">
        <v>74</v>
      </c>
      <c r="BI22" s="697" t="n">
        <v>74</v>
      </c>
      <c r="BJ22" s="697" t="n">
        <v>74</v>
      </c>
      <c r="BK22" s="697" t="n">
        <v>71</v>
      </c>
      <c r="BL22" s="697" t="n">
        <v>71</v>
      </c>
      <c r="BM22" s="697" t="n">
        <v>71</v>
      </c>
      <c r="BN22" s="697" t="n">
        <v>71</v>
      </c>
      <c r="BO22" s="697" t="n">
        <v>69</v>
      </c>
      <c r="BP22" s="697" t="n">
        <v>69</v>
      </c>
      <c r="BQ22" s="697" t="n">
        <v>64</v>
      </c>
      <c r="BR22" s="697" t="n">
        <v>64</v>
      </c>
      <c r="BS22" s="697" t="n">
        <v>60</v>
      </c>
      <c r="BT22" s="697" t="n">
        <v>60</v>
      </c>
      <c r="BU22" s="697" t="n">
        <v>60</v>
      </c>
      <c r="BV22" s="697" t="n">
        <v>60</v>
      </c>
      <c r="BW22" s="697" t="n">
        <v>60</v>
      </c>
      <c r="BX22" s="697" t="n">
        <v>60</v>
      </c>
      <c r="BY22" s="697" t="n">
        <v>68</v>
      </c>
      <c r="BZ22" s="192">
        <f>BX22+IF(NOT(ISBLANK(OFFSET(BZ22,0,6))),N(OFFSET(BZ22,0,6)),N(OFFSET(BZ22,0,7)))-BY22</f>
        <v/>
      </c>
      <c r="CA22" s="50" t="n"/>
      <c r="CB22" s="22" t="n"/>
      <c r="CC22" s="726" t="n"/>
      <c r="CD22" s="27" t="n"/>
      <c r="CE22" s="726" t="n"/>
      <c r="CF22" s="23" t="n">
        <v>0</v>
      </c>
      <c r="CG22" s="23" t="n">
        <v>0</v>
      </c>
      <c r="CH22" s="23" t="n"/>
      <c r="CI22" s="219" t="n">
        <v>200</v>
      </c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443" t="n">
        <v>400</v>
      </c>
      <c r="CZ22" s="23" t="n"/>
      <c r="DA22" s="23" t="n"/>
      <c r="DB22" s="23" t="n"/>
      <c r="DC22" s="23" t="n"/>
      <c r="DD22" s="23" t="n"/>
      <c r="DE22" s="23" t="n"/>
      <c r="DF22" s="219" t="n"/>
      <c r="DG22" s="23" t="n"/>
      <c r="DH22" s="192" t="inlineStr">
        <is>
          <t>30 P/ TDQ</t>
        </is>
      </c>
      <c r="DI22" s="219" t="n"/>
      <c r="DJ22" s="23" t="n"/>
      <c r="DK22" s="23" t="n"/>
      <c r="DL22" s="23" t="n"/>
      <c r="DM22" s="23" t="n"/>
      <c r="DN22" s="23" t="n"/>
      <c r="DO22" s="23" t="n"/>
      <c r="DP22" s="23" t="n">
        <v>75</v>
      </c>
      <c r="DQ22" s="23" t="n"/>
      <c r="DR22" s="219" t="n"/>
      <c r="DS22" s="23" t="n"/>
      <c r="DT22" s="23" t="n"/>
      <c r="DU22" s="219" t="n">
        <v>150</v>
      </c>
      <c r="DV22" s="219" t="n"/>
      <c r="DW22" s="282" t="inlineStr">
        <is>
          <t>15 P/ MD</t>
        </is>
      </c>
      <c r="DX22" s="282" t="inlineStr">
        <is>
          <t>20 DE BSH</t>
        </is>
      </c>
      <c r="DY22" s="23" t="n"/>
      <c r="DZ22" s="23" t="n"/>
      <c r="EA22" s="23" t="n"/>
      <c r="EB22" s="23" t="n"/>
      <c r="EC22" s="23" t="n"/>
      <c r="ED22" s="219" t="n"/>
      <c r="EE22" s="376" t="inlineStr">
        <is>
          <t>50 P/ MD</t>
        </is>
      </c>
      <c r="EF22" s="23" t="n"/>
      <c r="EG22" s="23" t="n"/>
      <c r="EH22" s="219" t="n">
        <v>100</v>
      </c>
      <c r="EI22" s="23" t="n"/>
      <c r="EJ22" s="23" t="n"/>
      <c r="EK22" s="23" t="n"/>
      <c r="EL22" s="23" t="n"/>
      <c r="EM22" s="219" t="n"/>
      <c r="EN22" s="23" t="n"/>
      <c r="EO22" s="23" t="n"/>
      <c r="EP22" s="219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C22" s="66" t="inlineStr">
        <is>
          <t>CARTUCHO P</t>
        </is>
      </c>
      <c r="FD22" s="699" t="n">
        <v>200</v>
      </c>
      <c r="FE22" s="697">
        <f>CI22</f>
        <v/>
      </c>
      <c r="FF22" s="697" t="n"/>
      <c r="FG22" s="697" t="n"/>
      <c r="FH22" s="697" t="n">
        <v>138</v>
      </c>
      <c r="FI22" s="697" t="n">
        <v>102</v>
      </c>
      <c r="FJ22" s="697" t="n"/>
      <c r="FK22" s="431">
        <f>FI22+IF(NOT(ISBLANK(OFFSET(FK22,0,6))),N(OFFSET(FK22,0,6)),N(OFFSET(FK22,0,7)))-FJ22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0+CO23</f>
        <v/>
      </c>
      <c r="BL23" s="697" t="n">
        <v>144</v>
      </c>
      <c r="BM23" s="697" t="n">
        <v>127</v>
      </c>
      <c r="BN23" s="697" t="n">
        <v>107</v>
      </c>
      <c r="BO23" s="697" t="n">
        <v>72</v>
      </c>
      <c r="BP23" s="697" t="n">
        <v>41</v>
      </c>
      <c r="BQ23" s="697">
        <f>22+CK23</f>
        <v/>
      </c>
      <c r="BR23" s="697" t="n">
        <v>144</v>
      </c>
      <c r="BS23" s="697" t="n">
        <v>134</v>
      </c>
      <c r="BT23" s="697" t="n"/>
      <c r="BU23" s="697" t="n"/>
      <c r="BV23" s="697" t="n"/>
      <c r="BW23" s="697" t="n">
        <v>90</v>
      </c>
      <c r="BX23" s="697" t="n">
        <v>87</v>
      </c>
      <c r="BY23" s="697" t="n"/>
      <c r="BZ23" s="192">
        <f>BX23+IF(NOT(ISBLANK(OFFSET(BZ23,0,6))),N(OFFSET(BZ23,0,6)),N(OFFSET(BZ23,0,7)))-BY23</f>
        <v/>
      </c>
      <c r="CA23" s="50" t="n"/>
      <c r="CB23" s="22" t="n"/>
      <c r="CD23" s="27" t="n"/>
      <c r="CE23" s="29" t="n"/>
      <c r="CF23" s="23" t="n">
        <v>0</v>
      </c>
      <c r="CG23" s="23" t="n">
        <v>0</v>
      </c>
      <c r="CH23" s="23" t="n"/>
      <c r="CI23" s="219" t="n">
        <v>150</v>
      </c>
      <c r="CJ23" s="23" t="n"/>
      <c r="CK23" s="23" t="n">
        <v>150</v>
      </c>
      <c r="CL23" s="23" t="n"/>
      <c r="CM23" s="23" t="n"/>
      <c r="CN23" s="23" t="n"/>
      <c r="CO23" s="23" t="n">
        <v>150</v>
      </c>
      <c r="CP23" s="23" t="n"/>
      <c r="CQ23" s="23" t="n"/>
      <c r="CR23" s="23" t="n"/>
      <c r="CS23" s="23" t="n"/>
      <c r="CT23" s="23" t="n"/>
      <c r="CU23" s="23" t="n"/>
      <c r="CY23" s="326" t="n">
        <v>150</v>
      </c>
      <c r="DF23" s="5" t="n"/>
      <c r="DI23" s="5" t="n"/>
      <c r="DR23" s="5" t="n"/>
      <c r="DU23" s="5" t="n"/>
      <c r="DV23" s="219" t="n">
        <v>25</v>
      </c>
      <c r="ED23" s="292" t="inlineStr">
        <is>
          <t>71 DE MD</t>
        </is>
      </c>
      <c r="EE23" s="5" t="n"/>
      <c r="EH23" s="5" t="n"/>
      <c r="EP23" s="326" t="n">
        <v>200</v>
      </c>
      <c r="FC23" s="66" t="inlineStr">
        <is>
          <t>CARTUCHO M</t>
        </is>
      </c>
      <c r="FD23" s="699" t="n">
        <v>150</v>
      </c>
      <c r="FE23" s="697">
        <f>CI23</f>
        <v/>
      </c>
      <c r="FF23" s="697" t="n"/>
      <c r="FG23" s="697" t="n"/>
      <c r="FH23" s="697" t="n">
        <v>119</v>
      </c>
      <c r="FI23" s="697" t="n">
        <v>104</v>
      </c>
      <c r="FJ23" s="697" t="n"/>
      <c r="FK23" s="431">
        <f>FI23+IF(NOT(ISBLANK(OFFSET(FK23,0,6))),N(OFFSET(FK23,0,6)),N(OFFSET(FK23,0,7)))-FJ23</f>
        <v/>
      </c>
    </row>
    <row r="24">
      <c r="C24" s="726" t="n"/>
      <c r="D24" s="726" t="n"/>
      <c r="BZ24" s="573" t="n"/>
      <c r="CA24" s="50" t="n"/>
      <c r="CE24" s="29" t="n"/>
      <c r="CI24" s="5" t="n"/>
      <c r="CY24" s="327" t="n"/>
      <c r="DF24" s="5" t="n"/>
      <c r="DI24" s="5" t="n"/>
      <c r="DR24" s="5" t="n"/>
      <c r="DU24" s="5" t="n"/>
      <c r="DV24" s="219" t="n"/>
      <c r="ED24" s="292" t="n"/>
      <c r="EE24" s="5" t="n"/>
      <c r="EH24" s="5" t="n"/>
      <c r="EP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E25" s="29" t="n"/>
      <c r="CI25" s="5" t="n"/>
      <c r="CY25" s="5" t="n"/>
      <c r="DF25" s="5" t="n"/>
      <c r="DI25" s="5" t="n"/>
      <c r="DR25" s="5" t="n"/>
      <c r="DU25" s="5" t="n"/>
      <c r="DV25" s="219" t="n">
        <v>25</v>
      </c>
      <c r="ED25" s="292" t="inlineStr">
        <is>
          <t>31 DE MD</t>
        </is>
      </c>
      <c r="EE25" s="5" t="n"/>
      <c r="EH25" s="5" t="n"/>
      <c r="EP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27</v>
      </c>
      <c r="G26" s="697" t="n">
        <v>27</v>
      </c>
      <c r="H26" s="697" t="n">
        <v>26</v>
      </c>
      <c r="I26" s="697" t="n">
        <v>24</v>
      </c>
      <c r="J26" s="697" t="n">
        <v>21</v>
      </c>
      <c r="K26" s="697" t="n">
        <v>13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1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A26" s="50" t="n"/>
      <c r="CE26" s="29" t="n"/>
      <c r="CI26" s="5" t="n"/>
      <c r="CY26" s="5" t="n"/>
      <c r="DF26" s="5" t="n"/>
      <c r="DI26" s="5" t="n"/>
      <c r="DR26" s="5" t="n"/>
      <c r="DU26" s="5" t="n"/>
      <c r="DV26" s="219" t="n">
        <v>25</v>
      </c>
      <c r="ED26" s="327" t="n"/>
      <c r="EE26" s="5" t="n"/>
      <c r="EH26" s="5" t="n"/>
      <c r="EM26" s="327" t="n"/>
      <c r="EP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220</v>
      </c>
      <c r="G27" s="697" t="n">
        <v>220</v>
      </c>
      <c r="H27" s="697" t="n">
        <v>174</v>
      </c>
      <c r="I27" s="697" t="n">
        <v>174</v>
      </c>
      <c r="J27" s="697" t="n">
        <v>174</v>
      </c>
      <c r="K27" s="697" t="n">
        <v>174</v>
      </c>
      <c r="L27" s="697" t="n">
        <v>168</v>
      </c>
      <c r="M27" s="697" t="n">
        <v>161</v>
      </c>
      <c r="N27" s="697" t="n">
        <v>161</v>
      </c>
      <c r="O27" s="697" t="n">
        <v>160</v>
      </c>
      <c r="P27" s="697" t="n">
        <v>156</v>
      </c>
      <c r="Q27" s="697" t="n">
        <v>155</v>
      </c>
      <c r="R27" s="697" t="n">
        <v>154</v>
      </c>
      <c r="S27" s="697" t="n">
        <v>154</v>
      </c>
      <c r="T27" s="697" t="n">
        <v>151</v>
      </c>
      <c r="U27" s="697" t="n">
        <v>53</v>
      </c>
      <c r="V27" s="697" t="n">
        <v>53</v>
      </c>
      <c r="W27" s="697" t="n">
        <v>53</v>
      </c>
      <c r="X27" s="697" t="n">
        <v>53</v>
      </c>
      <c r="Y27" s="697" t="n">
        <v>53</v>
      </c>
      <c r="Z27" s="697" t="n">
        <v>108</v>
      </c>
      <c r="AA27" s="697" t="n">
        <v>148</v>
      </c>
      <c r="AB27" s="697" t="n">
        <v>147</v>
      </c>
      <c r="AC27" s="697" t="n">
        <v>147</v>
      </c>
      <c r="AD27" s="697" t="n">
        <v>139</v>
      </c>
      <c r="AE27" s="697" t="n">
        <v>135</v>
      </c>
      <c r="AF27" s="697" t="n">
        <v>135</v>
      </c>
      <c r="AG27" s="697" t="n">
        <v>126</v>
      </c>
      <c r="AH27" s="697" t="n">
        <v>130</v>
      </c>
      <c r="AI27" s="697" t="n">
        <v>130</v>
      </c>
      <c r="AJ27" s="697" t="n">
        <v>118</v>
      </c>
      <c r="AK27" s="697" t="n">
        <v>117</v>
      </c>
      <c r="AL27" s="697" t="n">
        <v>117</v>
      </c>
      <c r="AM27" s="697" t="n">
        <v>117</v>
      </c>
      <c r="AN27" s="697" t="n">
        <v>97</v>
      </c>
      <c r="AO27" s="314" t="n">
        <v>105</v>
      </c>
      <c r="AP27" s="697" t="n">
        <v>100</v>
      </c>
      <c r="AQ27" s="697" t="n">
        <v>100</v>
      </c>
      <c r="AR27" s="697" t="n">
        <v>100</v>
      </c>
      <c r="AS27" s="697" t="n">
        <v>100</v>
      </c>
      <c r="AT27" s="697" t="n">
        <v>79</v>
      </c>
      <c r="AU27" s="697" t="n">
        <v>76</v>
      </c>
      <c r="AV27" s="697" t="n">
        <v>73</v>
      </c>
      <c r="AW27" s="697" t="n">
        <v>79</v>
      </c>
      <c r="AX27" s="697" t="n">
        <v>66</v>
      </c>
      <c r="AY27" s="697" t="n">
        <v>66</v>
      </c>
      <c r="AZ27" s="697" t="n">
        <v>66</v>
      </c>
      <c r="BA27" s="697" t="n">
        <v>68</v>
      </c>
      <c r="BB27" s="697" t="n">
        <v>68</v>
      </c>
      <c r="BC27" s="697" t="n">
        <v>68</v>
      </c>
      <c r="BD27" s="697" t="n">
        <v>68</v>
      </c>
      <c r="BE27" s="697" t="n">
        <v>68</v>
      </c>
      <c r="BF27" s="697" t="n">
        <v>68</v>
      </c>
      <c r="BG27" s="697" t="n">
        <v>68</v>
      </c>
      <c r="BH27" s="697" t="n">
        <v>68</v>
      </c>
      <c r="BI27" s="697" t="n">
        <v>68</v>
      </c>
      <c r="BJ27" s="697" t="n">
        <v>68</v>
      </c>
      <c r="BK27" s="697" t="n">
        <v>100</v>
      </c>
      <c r="BL27" s="697" t="n">
        <v>100</v>
      </c>
      <c r="BM27" s="697" t="n">
        <v>64</v>
      </c>
      <c r="BN27" s="697" t="n">
        <v>63</v>
      </c>
      <c r="BO27" s="697" t="n">
        <v>63</v>
      </c>
      <c r="BP27" s="697" t="n">
        <v>63</v>
      </c>
      <c r="BQ27" s="697" t="n">
        <v>62</v>
      </c>
      <c r="BR27" s="697" t="n">
        <v>62</v>
      </c>
      <c r="BS27" s="697" t="n">
        <v>60</v>
      </c>
      <c r="BT27" s="697" t="n">
        <v>60</v>
      </c>
      <c r="BU27" s="697" t="n">
        <v>60</v>
      </c>
      <c r="BV27" s="697" t="n">
        <v>60</v>
      </c>
      <c r="BW27" s="697" t="n">
        <v>60</v>
      </c>
      <c r="BX27" s="697" t="n">
        <v>60</v>
      </c>
      <c r="BY27" s="697" t="n">
        <v>66</v>
      </c>
      <c r="BZ27" s="192">
        <f>BX27+IF(NOT(ISBLANK(OFFSET(BZ27,0,6))),N(OFFSET(BZ27,0,6)),N(OFFSET(BZ27,0,7)))-BY27</f>
        <v/>
      </c>
      <c r="CA27" s="50" t="n"/>
      <c r="CE27" s="29" t="n"/>
      <c r="CI27" s="5" t="n"/>
      <c r="CY27" s="5" t="n"/>
      <c r="DF27" s="5" t="n"/>
      <c r="DI27" s="5" t="n"/>
      <c r="DR27" s="5" t="n"/>
      <c r="DU27" s="5" t="n"/>
      <c r="DV27" s="5" t="n"/>
      <c r="ED27" s="327" t="n"/>
      <c r="EE27" s="5" t="n"/>
      <c r="EH27" s="5" t="n"/>
      <c r="EM27" s="327" t="n"/>
      <c r="EP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17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E28" s="29" t="n"/>
      <c r="CI28" s="5" t="n"/>
      <c r="CY28" s="5" t="n"/>
      <c r="DF28" s="5" t="n"/>
      <c r="DI28" s="5" t="n"/>
      <c r="DR28" s="5" t="n"/>
      <c r="DU28" s="5" t="n"/>
      <c r="DV28" s="5" t="n"/>
      <c r="ED28" s="327" t="n"/>
      <c r="EE28" s="5" t="n"/>
      <c r="EH28" s="5" t="n"/>
      <c r="EM28" s="327" t="n"/>
      <c r="EP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87</v>
      </c>
      <c r="G29" s="699" t="n">
        <v>64</v>
      </c>
      <c r="H29" s="697" t="n">
        <v>50</v>
      </c>
      <c r="I29" s="697" t="n">
        <v>36</v>
      </c>
      <c r="J29" s="697" t="n">
        <v>23</v>
      </c>
      <c r="K29" s="697" t="n">
        <v>13</v>
      </c>
      <c r="L29" s="697" t="n">
        <v>5</v>
      </c>
      <c r="M29" s="697" t="n">
        <v>1</v>
      </c>
      <c r="N29" s="697" t="n">
        <v>1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A29" s="50" t="n"/>
      <c r="CE29" s="29" t="n"/>
      <c r="CI29" s="5" t="n"/>
      <c r="CY29" s="5" t="n"/>
      <c r="DF29" s="5" t="n"/>
      <c r="DI29" s="5" t="n"/>
      <c r="DR29" s="5" t="n"/>
      <c r="DU29" s="5" t="n"/>
      <c r="DV29" s="5" t="n"/>
      <c r="ED29" s="327" t="n"/>
      <c r="EE29" s="5" t="n"/>
      <c r="EH29" s="5" t="n"/>
      <c r="EM29" s="327" t="n"/>
      <c r="EP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A30" s="50" t="n"/>
      <c r="CE30" s="29" t="n"/>
      <c r="CI30" s="5" t="n"/>
      <c r="CY30" s="5" t="n"/>
      <c r="DR30" s="5" t="n"/>
      <c r="DU30" s="5" t="n"/>
      <c r="DV30" s="5" t="n"/>
      <c r="ED30" s="327" t="n"/>
      <c r="EM30" s="327" t="n"/>
      <c r="EP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3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A31" s="50" t="n"/>
      <c r="CE31" s="29" t="n"/>
      <c r="CI31" s="5" t="n"/>
      <c r="CY31" s="5" t="n"/>
      <c r="DR31" s="5" t="n"/>
      <c r="DU31" s="5" t="n"/>
      <c r="DV31" s="5" t="n"/>
      <c r="ED31" s="327" t="n"/>
      <c r="EM31" s="327" t="n"/>
      <c r="EP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</v>
      </c>
      <c r="G32" s="699" t="n">
        <v>1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A32" s="50" t="n"/>
      <c r="CE32" s="29" t="n"/>
      <c r="CI32" s="5" t="n"/>
      <c r="CY32" s="5" t="n"/>
      <c r="DR32" s="5" t="n"/>
      <c r="DU32" s="5" t="n"/>
      <c r="DV32" s="5" t="n"/>
      <c r="ED32" s="327" t="n"/>
      <c r="EM32" s="327" t="n"/>
      <c r="EP32" s="327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192">
        <f>BX33+IF(NOT(ISBLANK(OFFSET(BZ33,0,6))),N(OFFSET(BZ33,0,6)),N(OFFSET(BZ33,0,7)))-BY33</f>
        <v/>
      </c>
      <c r="CA33" s="50" t="n"/>
      <c r="CE33" s="29" t="n"/>
      <c r="CI33" s="5" t="n"/>
      <c r="CY33" s="5" t="n"/>
      <c r="DR33" s="5" t="n"/>
      <c r="DU33" s="5" t="n"/>
      <c r="DV33" s="5" t="n"/>
      <c r="ED33" s="327" t="n"/>
      <c r="EM33" s="327" t="n"/>
      <c r="EP33" s="327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A34" s="50" t="n"/>
      <c r="CE34" s="29" t="n"/>
      <c r="CI34" s="5" t="n"/>
      <c r="CY34" s="5" t="n"/>
      <c r="DR34" s="5" t="n"/>
      <c r="DU34" s="5" t="n"/>
      <c r="DV34" s="5" t="n"/>
      <c r="ED34" s="327" t="n"/>
      <c r="EM34" s="327" t="n"/>
      <c r="EP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80</v>
      </c>
      <c r="AA35" s="699" t="n">
        <v>65</v>
      </c>
      <c r="AB35" s="699" t="n">
        <v>46</v>
      </c>
      <c r="AC35" s="699" t="n">
        <v>34</v>
      </c>
      <c r="AD35" s="699" t="n">
        <v>6</v>
      </c>
      <c r="AE35" s="699" t="n">
        <v>0</v>
      </c>
      <c r="AF35" s="699" t="n">
        <v>0</v>
      </c>
      <c r="AG35" s="699" t="n">
        <v>0</v>
      </c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A35" s="50" t="n"/>
      <c r="CE35" s="29" t="n"/>
      <c r="CI35" s="5" t="n"/>
      <c r="CY35" s="5" t="n"/>
      <c r="DR35" s="5" t="n"/>
      <c r="DU35" s="5" t="n"/>
      <c r="DV35" s="5" t="n"/>
      <c r="ED35" s="327" t="n"/>
      <c r="EM35" s="327" t="n"/>
      <c r="EP35" s="327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36</v>
      </c>
      <c r="AA36" s="699" t="n">
        <v>25</v>
      </c>
      <c r="AB36" s="699" t="n">
        <v>20</v>
      </c>
      <c r="AC36" s="699" t="n">
        <v>16</v>
      </c>
      <c r="AD36" s="699" t="n">
        <v>5</v>
      </c>
      <c r="AE36" s="699" t="n">
        <v>1</v>
      </c>
      <c r="AF36" s="699" t="n">
        <v>2</v>
      </c>
      <c r="AG36" s="699" t="n">
        <v>2</v>
      </c>
      <c r="AH36" s="699" t="n">
        <v>2</v>
      </c>
      <c r="AI36" s="699" t="n">
        <v>2</v>
      </c>
      <c r="AJ36" s="699" t="n">
        <v>1</v>
      </c>
      <c r="AK36" s="699" t="n">
        <v>0</v>
      </c>
      <c r="AL36" s="699" t="n">
        <v>0</v>
      </c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A36" s="50" t="n"/>
      <c r="CE36" s="29" t="n"/>
      <c r="CI36" s="5" t="n"/>
      <c r="CY36" s="5" t="n"/>
      <c r="DR36" s="5" t="n"/>
      <c r="DU36" s="5" t="n"/>
      <c r="DV36" s="5" t="n"/>
      <c r="ED36" s="327" t="n"/>
      <c r="EM36" s="327" t="n"/>
      <c r="EP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A37" s="50" t="n"/>
      <c r="CE37" s="29" t="n"/>
      <c r="CI37" s="5" t="n"/>
      <c r="CY37" s="5" t="n"/>
      <c r="DR37" s="5" t="n"/>
      <c r="DU37" s="5" t="n"/>
      <c r="DV37" s="5" t="n"/>
      <c r="ED37" s="327" t="n"/>
      <c r="EM37" s="327" t="n"/>
      <c r="EP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18" t="n">
        <v>-5</v>
      </c>
      <c r="AA38" s="699">
        <f>0+71</f>
        <v/>
      </c>
      <c r="AB38" s="699" t="n">
        <v>63</v>
      </c>
      <c r="AC38" s="699" t="n">
        <v>38</v>
      </c>
      <c r="AD38" s="218" t="n">
        <v>-1</v>
      </c>
      <c r="AE38" s="218" t="n">
        <v>-2</v>
      </c>
      <c r="AF38" s="699" t="n">
        <v>0</v>
      </c>
      <c r="AG38" s="699" t="n">
        <v>0</v>
      </c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A38" s="50" t="n"/>
      <c r="CE38" s="29" t="n"/>
      <c r="CI38" s="5" t="n"/>
      <c r="CY38" s="5" t="n"/>
      <c r="DR38" s="5" t="n"/>
      <c r="DU38" s="5" t="n"/>
      <c r="DV38" s="5" t="n"/>
      <c r="ED38" s="327" t="n"/>
      <c r="EM38" s="327" t="n"/>
      <c r="EP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>
        <f>1+31</f>
        <v/>
      </c>
      <c r="AB39" s="699" t="n">
        <v>23</v>
      </c>
      <c r="AC39" s="699" t="n">
        <v>9</v>
      </c>
      <c r="AD39" s="218" t="n">
        <v>-2</v>
      </c>
      <c r="AE39" s="218" t="n">
        <v>-2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A39" s="50" t="n"/>
      <c r="CE39" s="29" t="n"/>
      <c r="CI39" s="51" t="n"/>
      <c r="CY39" s="5" t="n"/>
      <c r="DR39" s="5" t="n"/>
      <c r="DU39" s="5" t="n"/>
      <c r="DV39" s="5" t="n"/>
      <c r="ED39" s="327" t="n"/>
      <c r="EM39" s="327" t="n"/>
      <c r="EP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699" t="n"/>
      <c r="AC40" s="699" t="n"/>
      <c r="AD40" s="218" t="n"/>
      <c r="AE40" s="218" t="n"/>
      <c r="AF40" s="699" t="n">
        <v>1</v>
      </c>
      <c r="AG40" s="699" t="n">
        <v>0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A40" s="50" t="n"/>
      <c r="CE40" s="29" t="n"/>
      <c r="CI40" s="51" t="n"/>
      <c r="CY40" s="5" t="n"/>
      <c r="DR40" s="5" t="n"/>
      <c r="DU40" s="5" t="n"/>
      <c r="DV40" s="5" t="n"/>
      <c r="ED40" s="327" t="n"/>
      <c r="EM40" s="327" t="n"/>
      <c r="EP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428" t="n"/>
      <c r="AE41" s="428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11</v>
      </c>
      <c r="AP41" s="699" t="n">
        <v>9</v>
      </c>
      <c r="AQ41" s="699" t="n">
        <v>8</v>
      </c>
      <c r="AR41" s="699" t="n">
        <v>7</v>
      </c>
      <c r="AS41" s="699" t="n">
        <v>6</v>
      </c>
      <c r="AT41" s="699" t="n">
        <v>5</v>
      </c>
      <c r="AU41" s="699" t="n">
        <v>5</v>
      </c>
      <c r="AV41" s="699" t="n">
        <v>5</v>
      </c>
      <c r="AW41" s="699" t="n">
        <v>5</v>
      </c>
      <c r="AX41" s="699" t="n">
        <v>3</v>
      </c>
      <c r="AY41" s="699" t="n">
        <v>2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0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A41" s="50" t="n"/>
      <c r="CE41" s="29" t="n"/>
      <c r="CI41" s="573" t="n"/>
      <c r="CY41" s="5" t="n"/>
      <c r="DR41" s="5" t="n"/>
      <c r="DU41" s="5" t="n"/>
      <c r="DV41" s="5" t="n"/>
      <c r="ED41" s="327" t="n"/>
      <c r="EM41" s="327" t="n"/>
      <c r="EP41" s="327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  <c r="FK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428" t="n"/>
      <c r="AE42" s="428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6</v>
      </c>
      <c r="AP42" s="699" t="n">
        <v>2</v>
      </c>
      <c r="AQ42" s="699" t="n">
        <v>0</v>
      </c>
      <c r="AR42" s="699" t="n">
        <v>-3</v>
      </c>
      <c r="AS42" s="699" t="n">
        <v>-3</v>
      </c>
      <c r="AT42" s="699" t="n">
        <v>-4</v>
      </c>
      <c r="AU42" s="699" t="n">
        <v>7</v>
      </c>
      <c r="AV42" s="699" t="n">
        <v>7</v>
      </c>
      <c r="AW42" s="699" t="n">
        <v>7</v>
      </c>
      <c r="AX42" s="699" t="n">
        <v>7</v>
      </c>
      <c r="AY42" s="699" t="n">
        <v>2</v>
      </c>
      <c r="AZ42" s="699" t="n">
        <v>1</v>
      </c>
      <c r="BA42" s="699" t="n">
        <v>1</v>
      </c>
      <c r="BB42" s="699" t="n">
        <v>1</v>
      </c>
      <c r="BC42" s="699" t="n">
        <v>1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A42" s="50" t="n"/>
      <c r="CE42" s="29" t="n"/>
      <c r="CI42" s="573" t="n"/>
      <c r="CY42" s="5" t="n"/>
      <c r="DR42" s="5" t="n"/>
      <c r="DU42" s="5" t="n"/>
      <c r="DV42" s="5" t="n"/>
      <c r="ED42" s="327" t="n"/>
      <c r="EM42" s="327" t="n"/>
      <c r="EP42" s="327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  <c r="FK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428" t="n"/>
      <c r="AE43" s="428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7</v>
      </c>
      <c r="AP43" s="699" t="n">
        <v>7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A43" s="50" t="n"/>
      <c r="CE43" s="29" t="n"/>
      <c r="CI43" s="573" t="n"/>
      <c r="CY43" s="5" t="n"/>
      <c r="DR43" s="5" t="n"/>
      <c r="DU43" s="5" t="n"/>
      <c r="DV43" s="5" t="n"/>
      <c r="ED43" s="327" t="n"/>
      <c r="EM43" s="327" t="n"/>
      <c r="EP43" s="327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  <c r="FK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428" t="n"/>
      <c r="AE44" s="428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8</v>
      </c>
      <c r="AP44" s="699" t="n">
        <v>8</v>
      </c>
      <c r="AQ44" s="699" t="n">
        <v>2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E44" s="29" t="n"/>
      <c r="CI44" s="573" t="n"/>
      <c r="CY44" s="5" t="n"/>
      <c r="DR44" s="5" t="n"/>
      <c r="DU44" s="5" t="n"/>
      <c r="DV44" s="5" t="n"/>
      <c r="ED44" s="327" t="n"/>
      <c r="EM44" s="327" t="n"/>
      <c r="EP44" s="327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  <c r="FK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428" t="n"/>
      <c r="AE45" s="428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2</v>
      </c>
      <c r="AR45" s="699" t="n">
        <v>1</v>
      </c>
      <c r="AS45" s="699" t="n">
        <v>1</v>
      </c>
      <c r="AT45" s="699" t="n">
        <v>1</v>
      </c>
      <c r="AU45" s="699" t="n">
        <v>0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CE45" s="29" t="n"/>
      <c r="CY45" s="51" t="n"/>
      <c r="DR45" s="5" t="n"/>
      <c r="DU45" s="5" t="n"/>
      <c r="DV45" s="5" t="n"/>
      <c r="ED45" s="327" t="n"/>
      <c r="EM45" s="327" t="n"/>
      <c r="EP45" s="327" t="n"/>
    </row>
    <row r="46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78</v>
      </c>
      <c r="BE46" s="699" t="n">
        <v>59</v>
      </c>
      <c r="BF46" s="699" t="n">
        <v>27</v>
      </c>
      <c r="BG46" s="699" t="n">
        <v>15</v>
      </c>
      <c r="BH46" s="699" t="n">
        <v>5</v>
      </c>
      <c r="BI46" s="699" t="n">
        <v>2</v>
      </c>
      <c r="BJ46" s="699" t="n">
        <v>-2</v>
      </c>
      <c r="BK46" s="699" t="n">
        <v>-4</v>
      </c>
      <c r="BL46" s="699" t="n">
        <v>-4</v>
      </c>
      <c r="BM46" s="699" t="n">
        <v>-4</v>
      </c>
      <c r="BN46" s="699" t="n">
        <v>-4</v>
      </c>
      <c r="BO46" s="699" t="n">
        <v>-4</v>
      </c>
      <c r="BP46" s="699" t="n">
        <v>-5</v>
      </c>
      <c r="BQ46" s="699" t="n">
        <v>2</v>
      </c>
      <c r="BR46" s="699" t="n">
        <v>2</v>
      </c>
      <c r="BS46" s="699" t="n">
        <v>2</v>
      </c>
      <c r="BT46" s="699" t="n"/>
      <c r="BU46" s="699" t="n"/>
      <c r="BV46" s="699" t="n"/>
      <c r="BW46" s="699" t="n">
        <v>0</v>
      </c>
      <c r="BX46" s="218" t="n">
        <v>4</v>
      </c>
      <c r="BY46" s="699" t="n">
        <v>7</v>
      </c>
      <c r="BZ46" s="192">
        <f>BX46+IF(NOT(ISBLANK(OFFSET(BZ46,0,6))),N(OFFSET(BZ46,0,6)),N(OFFSET(BZ46,0,7)))-BY46</f>
        <v/>
      </c>
      <c r="CA46" s="50" t="n"/>
      <c r="CD46" s="51" t="n"/>
      <c r="CE46" s="29" t="n"/>
      <c r="CY46" s="51" t="n"/>
      <c r="DR46" s="5" t="n"/>
      <c r="DU46" s="5" t="n"/>
      <c r="DV46" s="51" t="n"/>
      <c r="ED46" s="327" t="n"/>
      <c r="EE46" s="173" t="n"/>
      <c r="EH46" s="173" t="n"/>
      <c r="EM46" s="327" t="n"/>
      <c r="EP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221</v>
      </c>
      <c r="BE47" s="699" t="n">
        <v>172</v>
      </c>
      <c r="BF47" s="699" t="n">
        <v>85</v>
      </c>
      <c r="BG47" s="699" t="n">
        <v>76</v>
      </c>
      <c r="BH47" s="699" t="n">
        <v>69</v>
      </c>
      <c r="BI47" s="699" t="n">
        <v>59</v>
      </c>
      <c r="BJ47" s="699" t="n">
        <v>56</v>
      </c>
      <c r="BK47" s="699" t="n">
        <v>50</v>
      </c>
      <c r="BL47" s="699" t="n">
        <v>-9</v>
      </c>
      <c r="BM47" s="699" t="n">
        <v>-9</v>
      </c>
      <c r="BN47" s="699" t="n">
        <v>-9</v>
      </c>
      <c r="BO47" s="699" t="n">
        <v>-9</v>
      </c>
      <c r="BP47" s="699" t="n">
        <v>-9</v>
      </c>
      <c r="BQ47" s="699" t="n">
        <v>10</v>
      </c>
      <c r="BR47" s="699" t="n">
        <v>10</v>
      </c>
      <c r="BS47" s="699" t="n">
        <v>9</v>
      </c>
      <c r="BT47" s="699" t="n"/>
      <c r="BU47" s="699" t="n"/>
      <c r="BV47" s="699" t="n"/>
      <c r="BW47" s="699" t="n">
        <v>7</v>
      </c>
      <c r="BX47" s="699" t="n">
        <v>7</v>
      </c>
      <c r="BY47" s="699" t="n">
        <v>0</v>
      </c>
      <c r="BZ47" s="192">
        <f>BX47+IF(NOT(ISBLANK(OFFSET(BZ47,0,6))),N(OFFSET(BZ47,0,6)),N(OFFSET(BZ47,0,7)))-BY47</f>
        <v/>
      </c>
      <c r="CA47" s="50" t="n"/>
      <c r="CD47" s="51" t="n"/>
      <c r="CE47" s="29" t="n"/>
      <c r="CI47" s="5" t="n"/>
      <c r="CY47" s="51" t="n"/>
      <c r="DR47" s="5" t="n"/>
      <c r="DU47" s="5" t="n"/>
      <c r="DV47" s="51" t="n"/>
      <c r="ED47" s="327" t="n"/>
      <c r="EE47" s="173" t="n"/>
      <c r="EH47" s="173" t="n"/>
      <c r="EM47" s="327" t="n"/>
      <c r="EP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217</v>
      </c>
      <c r="BE48" s="699" t="n">
        <v>65</v>
      </c>
      <c r="BF48" s="699" t="n">
        <v>6</v>
      </c>
      <c r="BG48" s="699" t="n">
        <v>5</v>
      </c>
      <c r="BH48" s="699" t="n">
        <v>0</v>
      </c>
      <c r="BI48" s="699" t="n">
        <v>0</v>
      </c>
      <c r="BJ48" s="699" t="n">
        <v>0</v>
      </c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A48" s="50" t="n"/>
      <c r="CD48" s="51" t="n"/>
      <c r="CE48" s="29" t="n"/>
      <c r="CY48" s="51" t="n"/>
      <c r="DR48" s="5" t="n"/>
      <c r="DU48" s="5" t="n"/>
      <c r="DV48" s="51" t="n"/>
      <c r="ED48" s="327" t="n"/>
      <c r="EE48" s="173" t="n"/>
      <c r="EH48" s="173" t="n"/>
      <c r="EM48" s="327" t="n"/>
      <c r="EP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74</v>
      </c>
      <c r="BE49" s="699" t="n">
        <v>20</v>
      </c>
      <c r="BF49" s="699" t="n">
        <v>-7</v>
      </c>
      <c r="BG49" s="699" t="n">
        <v>-8</v>
      </c>
      <c r="BH49" s="699" t="n">
        <v>0</v>
      </c>
      <c r="BI49" s="699" t="n">
        <v>0</v>
      </c>
      <c r="BJ49" s="699" t="n">
        <v>0</v>
      </c>
      <c r="BK49" s="699" t="n"/>
      <c r="BL49" s="699" t="n"/>
      <c r="BM49" s="699" t="n"/>
      <c r="BN49" s="699" t="n"/>
      <c r="BO49" s="699" t="n"/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A49" s="50" t="n"/>
      <c r="CD49" s="51" t="n"/>
      <c r="CE49" s="29" t="n"/>
      <c r="CY49" s="51" t="n"/>
      <c r="DR49" s="5" t="n"/>
      <c r="DU49" s="5" t="n"/>
      <c r="DV49" s="51" t="n"/>
      <c r="ED49" s="327" t="n"/>
      <c r="EE49" s="173" t="n"/>
      <c r="EH49" s="173" t="n"/>
      <c r="EM49" s="327" t="n"/>
      <c r="EP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/>
      <c r="BG50" s="699" t="n">
        <v>0</v>
      </c>
      <c r="BH50" s="699" t="n">
        <v>0</v>
      </c>
      <c r="BI50" s="699" t="n">
        <v>0</v>
      </c>
      <c r="BJ50" s="699" t="n">
        <v>0</v>
      </c>
      <c r="BK50" s="699" t="n"/>
      <c r="BL50" s="699" t="n"/>
      <c r="BM50" s="699" t="n"/>
      <c r="BN50" s="699" t="n"/>
      <c r="BO50" s="699" t="n"/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A50" s="50" t="n"/>
      <c r="CD50" s="51" t="n"/>
      <c r="CE50" s="29" t="n"/>
      <c r="CY50" s="51" t="n"/>
      <c r="DR50" s="5" t="n"/>
      <c r="DU50" s="5" t="n"/>
      <c r="DV50" s="51" t="n"/>
      <c r="ED50" s="327" t="n"/>
      <c r="EE50" s="173" t="n"/>
      <c r="EH50" s="173" t="n"/>
      <c r="EM50" s="327" t="n"/>
      <c r="EP50" s="327" t="n"/>
    </row>
    <row r="51">
      <c r="C51" s="726" t="n"/>
      <c r="D51" s="726" t="n"/>
      <c r="BZ51" s="573" t="n"/>
      <c r="CA51" s="50" t="n"/>
      <c r="CD51" s="51" t="n"/>
      <c r="CE51" s="29" t="n"/>
      <c r="CY51" s="51" t="n"/>
      <c r="DR51" s="5" t="n"/>
      <c r="DU51" s="5" t="n"/>
      <c r="DV51" s="51" t="n"/>
      <c r="ED51" s="327" t="n"/>
      <c r="EE51" s="173" t="n"/>
      <c r="EH51" s="173" t="n"/>
      <c r="EM51" s="327" t="n"/>
      <c r="EP51" s="327" t="n"/>
    </row>
    <row r="52" ht="21" customHeight="1">
      <c r="A52" s="380" t="inlineStr">
        <is>
          <t>SOBRAS DATAS COMEMORATIVAS</t>
        </is>
      </c>
      <c r="B52" s="380" t="n"/>
      <c r="C52" s="380" t="n"/>
      <c r="BZ52" s="573" t="n"/>
      <c r="CA52" s="50" t="n"/>
      <c r="CD52" s="51" t="n"/>
      <c r="CE52" s="29" t="n"/>
      <c r="CY52" s="573" t="n"/>
      <c r="DF52" s="173" t="n"/>
      <c r="DI52" s="173" t="n"/>
      <c r="DR52" s="51" t="n"/>
      <c r="DU52" s="51" t="n"/>
      <c r="DV52" s="51" t="n"/>
      <c r="ED52" s="327" t="n"/>
      <c r="EE52" s="174" t="n"/>
      <c r="EH52" s="174" t="n"/>
      <c r="EM52" s="327" t="n"/>
      <c r="EP52" s="327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0" t="n"/>
      <c r="CB53" s="51" t="n"/>
      <c r="CC53" s="573" t="n"/>
      <c r="CD53" s="51" t="n"/>
      <c r="CE53" s="29" t="n"/>
      <c r="CY53" s="573" t="n"/>
      <c r="DB53" s="59" t="n"/>
      <c r="DF53" s="174" t="n"/>
      <c r="DH53" s="59" t="n"/>
      <c r="DI53" s="174" t="n"/>
      <c r="DJ53" s="59" t="n"/>
      <c r="DK53" s="59" t="n"/>
      <c r="DL53" s="59" t="n"/>
      <c r="DM53" s="59" t="n"/>
      <c r="DN53" s="59" t="n"/>
      <c r="DO53" s="59" t="n"/>
      <c r="DP53" s="59" t="n"/>
      <c r="DQ53" s="59" t="n"/>
      <c r="DR53" s="51" t="n"/>
      <c r="DS53" s="59" t="n"/>
      <c r="DT53" s="59" t="n"/>
      <c r="DU53" s="51" t="n"/>
      <c r="DV53" s="573" t="n"/>
      <c r="DW53" s="59" t="n"/>
      <c r="DX53" s="59" t="n"/>
      <c r="DY53" s="59" t="n"/>
      <c r="DZ53" s="59" t="n"/>
      <c r="EA53" s="59" t="n"/>
      <c r="EB53" s="59" t="n"/>
      <c r="EC53" s="59" t="n"/>
      <c r="ED53" s="327" t="n"/>
      <c r="EE53" s="174" t="n"/>
      <c r="EG53" s="59" t="n"/>
      <c r="EH53" s="174" t="n"/>
      <c r="EI53" s="59" t="n"/>
      <c r="EJ53" s="59" t="n"/>
      <c r="EK53" s="59" t="n"/>
      <c r="EL53" s="59" t="n"/>
      <c r="EM53" s="327" t="n"/>
      <c r="EN53" s="59" t="n"/>
      <c r="EO53" s="59" t="n"/>
      <c r="EP53" s="327" t="n"/>
      <c r="EQ53" s="59" t="n"/>
      <c r="ER53" s="59" t="n"/>
      <c r="ES53" s="59" t="n"/>
      <c r="ET53" s="59" t="n"/>
      <c r="EU53" s="59" t="n"/>
      <c r="EV53" s="59" t="n"/>
      <c r="EW53" s="59" t="n"/>
      <c r="EX53" s="59" t="n"/>
      <c r="EY53" s="59" t="n"/>
      <c r="EZ53" s="59" t="n"/>
      <c r="FA53" s="59" t="n"/>
    </row>
    <row r="54" customFormat="1" s="29">
      <c r="A54" s="179" t="inlineStr">
        <is>
          <t>TAG NAMORADOS/2023</t>
        </is>
      </c>
      <c r="B54" s="180" t="n"/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9" t="n"/>
      <c r="CG54" s="59" t="n"/>
      <c r="CH54" s="59" t="n"/>
      <c r="CI54" s="59" t="n"/>
      <c r="CJ54" s="59" t="n"/>
      <c r="CK54" s="59" t="n"/>
      <c r="CL54" s="59" t="n"/>
      <c r="CM54" s="59" t="n"/>
      <c r="CS54" s="59" t="n"/>
      <c r="CT54" s="59" t="n"/>
      <c r="CU54" s="59" t="n"/>
      <c r="CV54" s="59" t="n"/>
      <c r="CW54" s="59" t="n"/>
      <c r="CX54" s="59" t="n"/>
      <c r="CY54" s="573" t="n"/>
      <c r="CZ54" s="59" t="n"/>
      <c r="DA54" s="59" t="n"/>
      <c r="DB54" s="573" t="n"/>
      <c r="DC54" s="59" t="n"/>
      <c r="DD54" s="59" t="n"/>
      <c r="DE54" s="59" t="n"/>
      <c r="DF54" s="174" t="n"/>
      <c r="DG54" s="59" t="n"/>
      <c r="DH54" s="573" t="n"/>
      <c r="DI54" s="174" t="n"/>
      <c r="DJ54" s="573" t="n"/>
      <c r="DK54" s="573" t="n"/>
      <c r="DL54" s="573" t="n"/>
      <c r="DM54" s="573" t="n"/>
      <c r="DN54" s="573" t="n"/>
      <c r="DO54" s="573" t="n"/>
      <c r="DP54" s="573" t="n"/>
      <c r="DQ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A54" s="573" t="n"/>
      <c r="EB54" s="573" t="n"/>
      <c r="EC54" s="573" t="n"/>
      <c r="ED54" s="327" t="n"/>
      <c r="EF54" s="59" t="n"/>
      <c r="EG54" s="573" t="n"/>
      <c r="EI54" s="573" t="n"/>
      <c r="EJ54" s="573" t="n"/>
      <c r="EK54" s="573" t="n"/>
      <c r="EL54" s="573" t="n"/>
      <c r="EM54" s="327" t="n"/>
      <c r="EN54" s="573" t="n"/>
      <c r="EO54" s="573" t="n"/>
      <c r="EP54" s="327" t="n"/>
      <c r="EQ54" s="573" t="n"/>
      <c r="ER54" s="573" t="n"/>
      <c r="ES54" s="573" t="n"/>
      <c r="ET54" s="573" t="n"/>
      <c r="EU54" s="573" t="n"/>
      <c r="EV54" s="573" t="n"/>
      <c r="EW54" s="573" t="n"/>
      <c r="EX54" s="573" t="n"/>
      <c r="EY54" s="573" t="n"/>
      <c r="EZ54" s="573" t="n"/>
      <c r="FA54" s="573" t="n"/>
      <c r="FB54" s="573" t="n"/>
      <c r="FC54" s="5" t="n"/>
      <c r="FD54" s="5" t="n"/>
      <c r="FE54" s="5" t="n"/>
      <c r="FF54" s="5" t="n"/>
      <c r="FG54" s="5" t="n"/>
      <c r="FH54" s="5" t="n"/>
      <c r="FI54" s="5" t="n"/>
      <c r="FJ54" s="5" t="n"/>
      <c r="FK54" s="5" t="n"/>
      <c r="FL54" s="2" t="n"/>
      <c r="FM54" s="2" t="n"/>
      <c r="FN54" s="2" t="n"/>
      <c r="FO54" s="2" t="n"/>
      <c r="FP54" s="2" t="n"/>
      <c r="HS54" s="59" t="n"/>
      <c r="HT54" s="573" t="n"/>
      <c r="HV54" s="573" t="n"/>
      <c r="HX54" s="71" t="n"/>
      <c r="HZ54" s="71" t="n"/>
      <c r="IB54" s="71" t="n"/>
      <c r="IE54" s="71" t="n"/>
      <c r="IJ54" s="71" t="n"/>
      <c r="IQ54" s="176" t="n"/>
      <c r="IU54" s="71" t="n"/>
      <c r="IV54" s="71" t="n"/>
      <c r="IZ54" s="176" t="n"/>
      <c r="JF54" s="71" t="n"/>
      <c r="JM54" s="71" t="n"/>
    </row>
    <row r="55" customFormat="1" s="29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9" t="n"/>
      <c r="CJ55" s="573" t="n"/>
      <c r="CK55" s="573" t="n"/>
      <c r="CL55" s="573" t="n"/>
      <c r="CM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G55" s="573" t="n"/>
      <c r="DH55" s="573" t="n"/>
      <c r="DJ55" s="573" t="n"/>
      <c r="DK55" s="573" t="n"/>
      <c r="DL55" s="573" t="n"/>
      <c r="DM55" s="573" t="n"/>
      <c r="DN55" s="573" t="n"/>
      <c r="DO55" s="573" t="n"/>
      <c r="DP55" s="573" t="n"/>
      <c r="DQ55" s="573" t="n"/>
      <c r="DR55" s="573" t="n"/>
      <c r="DS55" s="573" t="n"/>
      <c r="DT55" s="573" t="n"/>
      <c r="DU55" s="573" t="n"/>
      <c r="DV55" s="573" t="n"/>
      <c r="DW55" s="573" t="n"/>
      <c r="DX55" s="573" t="n"/>
      <c r="DY55" s="573" t="n"/>
      <c r="DZ55" s="573" t="n"/>
      <c r="EA55" s="573" t="n"/>
      <c r="EB55" s="573" t="n"/>
      <c r="EC55" s="573" t="n"/>
      <c r="ED55" s="327" t="n"/>
      <c r="EF55" s="573" t="n"/>
      <c r="EG55" s="573" t="n"/>
      <c r="EI55" s="573" t="n"/>
      <c r="EJ55" s="573" t="n"/>
      <c r="EK55" s="573" t="n"/>
      <c r="EL55" s="573" t="n"/>
      <c r="EM55" s="327" t="n"/>
      <c r="EN55" s="573" t="n"/>
      <c r="EO55" s="573" t="n"/>
      <c r="EP55" s="327" t="n"/>
      <c r="EQ55" s="573" t="n"/>
      <c r="ER55" s="573" t="n"/>
      <c r="ES55" s="573" t="n"/>
      <c r="ET55" s="573" t="n"/>
      <c r="EU55" s="573" t="n"/>
      <c r="EV55" s="573" t="n"/>
      <c r="EW55" s="573" t="n"/>
      <c r="EX55" s="573" t="n"/>
      <c r="EY55" s="573" t="n"/>
      <c r="EZ55" s="573" t="n"/>
      <c r="FA55" s="573" t="n"/>
      <c r="FB55" s="573" t="n"/>
      <c r="FC55" s="5" t="n"/>
      <c r="FD55" s="5" t="n"/>
      <c r="FE55" s="5" t="n"/>
      <c r="FF55" s="5" t="n"/>
      <c r="FG55" s="5" t="n"/>
      <c r="FH55" s="5" t="n"/>
      <c r="FI55" s="5" t="n"/>
      <c r="FJ55" s="5" t="n"/>
      <c r="FK55" s="5" t="n"/>
      <c r="FL55" s="2" t="n"/>
      <c r="FM55" s="2" t="n"/>
      <c r="FN55" s="2" t="n"/>
      <c r="FO55" s="2" t="n"/>
      <c r="FP55" s="2" t="n"/>
      <c r="HS55" s="59" t="n"/>
      <c r="HT55" s="573" t="n"/>
      <c r="HV55" s="573" t="n"/>
      <c r="HX55" s="71" t="n"/>
      <c r="HZ55" s="71" t="n"/>
      <c r="IB55" s="71" t="n"/>
      <c r="IE55" s="71" t="n"/>
      <c r="IJ55" s="71" t="n"/>
      <c r="IQ55" s="176" t="n"/>
      <c r="IU55" s="71" t="n"/>
      <c r="IV55" s="71" t="n"/>
      <c r="IZ55" s="176" t="n"/>
      <c r="JF55" s="71" t="n"/>
      <c r="JM55" s="71" t="n"/>
    </row>
    <row r="56" customFormat="1" s="29">
      <c r="A56" s="402" t="inlineStr">
        <is>
          <t>TAG PAIS/24</t>
        </is>
      </c>
      <c r="B56" s="403" t="n"/>
      <c r="C56" s="136" t="n">
        <v>600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9" t="n"/>
      <c r="CJ56" s="573" t="n"/>
      <c r="CK56" s="573" t="n"/>
      <c r="CL56" s="573" t="n"/>
      <c r="CM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C56" s="573" t="n"/>
      <c r="DD56" s="573" t="n"/>
      <c r="DE56" s="573" t="n"/>
      <c r="DG56" s="573" t="n"/>
      <c r="DR56" s="573" t="n"/>
      <c r="DU56" s="573" t="n"/>
      <c r="DV56" s="573" t="n"/>
      <c r="EC56" s="573" t="n"/>
      <c r="ED56" s="327" t="n"/>
      <c r="EF56" s="573" t="n"/>
      <c r="EG56" s="573" t="n"/>
      <c r="EI56" s="573" t="n"/>
      <c r="EJ56" s="573" t="n"/>
      <c r="EK56" s="573" t="n"/>
      <c r="EL56" s="573" t="n"/>
      <c r="EM56" s="327" t="n"/>
      <c r="EN56" s="573" t="n"/>
      <c r="EO56" s="573" t="n"/>
      <c r="EP56" s="327" t="n"/>
      <c r="EQ56" s="573" t="n"/>
      <c r="ER56" s="573" t="n"/>
      <c r="ES56" s="573" t="n"/>
      <c r="ET56" s="573" t="n"/>
      <c r="EU56" s="573" t="n"/>
      <c r="EV56" s="573" t="n"/>
      <c r="EW56" s="573" t="n"/>
      <c r="EX56" s="573" t="n"/>
      <c r="EY56" s="573" t="n"/>
      <c r="EZ56" s="573" t="n"/>
      <c r="FA56" s="573" t="n"/>
      <c r="FB56" s="573" t="n"/>
      <c r="FC56" s="5" t="n"/>
      <c r="FD56" s="5" t="n"/>
      <c r="FE56" s="5" t="n"/>
      <c r="FF56" s="5" t="n"/>
      <c r="FG56" s="5" t="n"/>
      <c r="FH56" s="5" t="n"/>
      <c r="FI56" s="5" t="n"/>
      <c r="FJ56" s="5" t="n"/>
      <c r="FK56" s="5" t="n"/>
      <c r="FL56" s="2" t="n"/>
      <c r="FM56" s="2" t="n"/>
      <c r="FN56" s="2" t="n"/>
      <c r="FO56" s="2" t="n"/>
      <c r="FP56" s="2" t="n"/>
      <c r="HS56" s="59" t="n"/>
      <c r="HT56" s="573" t="n"/>
      <c r="HV56" s="573" t="n"/>
      <c r="HX56" s="71" t="n"/>
      <c r="HZ56" s="71" t="n"/>
      <c r="IB56" s="71" t="n"/>
      <c r="IE56" s="71" t="n"/>
      <c r="IJ56" s="71" t="n"/>
      <c r="IQ56" s="176" t="n"/>
      <c r="IU56" s="71" t="n"/>
      <c r="IV56" s="71" t="n"/>
      <c r="IZ56" s="176" t="n"/>
      <c r="JF56" s="71" t="n"/>
      <c r="JM56" s="71" t="n"/>
    </row>
    <row r="57" customFormat="1" s="29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I57" s="59" t="n"/>
      <c r="CY57" s="5" t="n"/>
      <c r="DR57" s="573" t="n"/>
      <c r="DU57" s="573" t="n"/>
      <c r="DV57" s="573" t="n"/>
      <c r="EC57" s="573" t="n"/>
      <c r="ED57" s="327" t="n"/>
      <c r="EF57" s="573" t="n"/>
      <c r="EG57" s="573" t="n"/>
      <c r="EI57" s="573" t="n"/>
      <c r="EJ57" s="573" t="n"/>
      <c r="EK57" s="573" t="n"/>
      <c r="EL57" s="573" t="n"/>
      <c r="EM57" s="327" t="n"/>
      <c r="EN57" s="573" t="n"/>
      <c r="EO57" s="573" t="n"/>
      <c r="EP57" s="327" t="n"/>
      <c r="EQ57" s="573" t="n"/>
      <c r="ER57" s="573" t="n"/>
      <c r="ES57" s="573" t="n"/>
      <c r="ET57" s="573" t="n"/>
      <c r="EU57" s="573" t="n"/>
      <c r="EV57" s="573" t="n"/>
      <c r="EW57" s="573" t="n"/>
      <c r="EX57" s="573" t="n"/>
      <c r="EY57" s="573" t="n"/>
      <c r="EZ57" s="573" t="n"/>
      <c r="FA57" s="573" t="n"/>
      <c r="FB57" s="573" t="n"/>
      <c r="FC57" s="5" t="n"/>
      <c r="FD57" s="5" t="n"/>
      <c r="FE57" s="5" t="n"/>
      <c r="FF57" s="5" t="n"/>
      <c r="FG57" s="5" t="n"/>
      <c r="FH57" s="5" t="n"/>
      <c r="FI57" s="5" t="n"/>
      <c r="FJ57" s="5" t="n"/>
      <c r="FK57" s="5" t="n"/>
      <c r="FL57" s="2" t="n"/>
      <c r="FM57" s="2" t="n"/>
      <c r="FN57" s="2" t="n"/>
      <c r="FO57" s="2" t="n"/>
      <c r="FP57" s="2" t="n"/>
      <c r="HS57" s="59" t="n"/>
      <c r="HT57" s="573" t="n"/>
      <c r="HV57" s="573" t="n"/>
      <c r="HX57" s="71" t="n"/>
      <c r="HZ57" s="71" t="n"/>
      <c r="IB57" s="71" t="n"/>
      <c r="IE57" s="71" t="n"/>
      <c r="IJ57" s="71" t="n"/>
      <c r="IQ57" s="176" t="n"/>
      <c r="IU57" s="71" t="n"/>
      <c r="IV57" s="71" t="n"/>
      <c r="IZ57" s="176" t="n"/>
      <c r="JF57" s="71" t="n"/>
      <c r="JM57" s="71" t="n"/>
    </row>
    <row r="58" customFormat="1" s="29">
      <c r="A58" s="404" t="inlineStr">
        <is>
          <t>TAG NATAL/24</t>
        </is>
      </c>
      <c r="B58" s="403" t="n"/>
      <c r="C58" s="136" t="n">
        <v>200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I58" s="59" t="n"/>
      <c r="CY58" s="41" t="n"/>
      <c r="DR58" s="573" t="n"/>
      <c r="DU58" s="573" t="n"/>
      <c r="DV58" s="573" t="n"/>
      <c r="EC58" s="573" t="n"/>
      <c r="ED58" s="327" t="n"/>
      <c r="EE58" s="5" t="n"/>
      <c r="EF58" s="573" t="n"/>
      <c r="EG58" s="573" t="n"/>
      <c r="EH58" s="5" t="n"/>
      <c r="EI58" s="573" t="n"/>
      <c r="EJ58" s="573" t="n"/>
      <c r="EK58" s="573" t="n"/>
      <c r="EL58" s="573" t="n"/>
      <c r="EM58" s="327" t="n"/>
      <c r="EN58" s="573" t="n"/>
      <c r="EO58" s="573" t="n"/>
      <c r="EP58" s="327" t="n"/>
      <c r="EQ58" s="573" t="n"/>
      <c r="ER58" s="573" t="n"/>
      <c r="ES58" s="573" t="n"/>
      <c r="ET58" s="573" t="n"/>
      <c r="EU58" s="573" t="n"/>
      <c r="EV58" s="573" t="n"/>
      <c r="EW58" s="573" t="n"/>
      <c r="EX58" s="573" t="n"/>
      <c r="EY58" s="573" t="n"/>
      <c r="EZ58" s="573" t="n"/>
      <c r="FA58" s="573" t="n"/>
      <c r="FB58" s="573" t="n"/>
      <c r="FC58" s="5" t="n"/>
      <c r="FD58" s="5" t="n"/>
      <c r="FE58" s="5" t="n"/>
      <c r="FF58" s="5" t="n"/>
      <c r="FG58" s="5" t="n"/>
      <c r="FH58" s="5" t="n"/>
      <c r="FI58" s="5" t="n"/>
      <c r="FJ58" s="5" t="n"/>
      <c r="FK58" s="5" t="n"/>
      <c r="FL58" s="2" t="n"/>
      <c r="FM58" s="2" t="n"/>
      <c r="FN58" s="2" t="n"/>
      <c r="FO58" s="2" t="n"/>
      <c r="FP58" s="2" t="n"/>
      <c r="HS58" s="59" t="n"/>
      <c r="HT58" s="573" t="n"/>
      <c r="HV58" s="573" t="n"/>
      <c r="HX58" s="71" t="n"/>
      <c r="HZ58" s="71" t="n"/>
      <c r="IB58" s="71" t="n"/>
      <c r="IE58" s="71" t="n"/>
      <c r="IJ58" s="71" t="n"/>
      <c r="IQ58" s="176" t="n"/>
      <c r="IU58" s="71" t="n"/>
      <c r="IV58" s="71" t="n"/>
      <c r="IZ58" s="176" t="n"/>
      <c r="JF58" s="71" t="n"/>
      <c r="JM58" s="71" t="n"/>
    </row>
    <row r="59" customFormat="1" s="29">
      <c r="A59" s="391" t="n"/>
      <c r="B59" s="391" t="n"/>
      <c r="C59" s="391" t="n"/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73" t="n"/>
      <c r="CD59" s="573" t="n"/>
      <c r="CE59" s="573" t="n"/>
      <c r="CI59" s="59" t="n"/>
      <c r="CY59" s="41" t="n"/>
      <c r="DF59" s="5" t="n"/>
      <c r="DI59" s="5" t="n"/>
      <c r="DR59" s="573" t="n"/>
      <c r="DU59" s="573" t="n"/>
      <c r="DV59" s="573" t="n"/>
      <c r="EC59" s="573" t="n"/>
      <c r="ED59" s="327" t="n"/>
      <c r="EE59" s="5" t="n"/>
      <c r="EF59" s="573" t="n"/>
      <c r="EG59" s="573" t="n"/>
      <c r="EH59" s="5" t="n"/>
      <c r="EI59" s="573" t="n"/>
      <c r="EJ59" s="573" t="n"/>
      <c r="EK59" s="573" t="n"/>
      <c r="EL59" s="573" t="n"/>
      <c r="EM59" s="327" t="n"/>
      <c r="EN59" s="573" t="n"/>
      <c r="EO59" s="573" t="n"/>
      <c r="EP59" s="327" t="n"/>
      <c r="EQ59" s="573" t="n"/>
      <c r="ER59" s="573" t="n"/>
      <c r="ES59" s="573" t="n"/>
      <c r="ET59" s="573" t="n"/>
      <c r="EU59" s="573" t="n"/>
      <c r="EV59" s="573" t="n"/>
      <c r="EW59" s="573" t="n"/>
      <c r="EX59" s="573" t="n"/>
      <c r="EY59" s="573" t="n"/>
      <c r="EZ59" s="573" t="n"/>
      <c r="FA59" s="573" t="n"/>
      <c r="FB59" s="573" t="n"/>
      <c r="FC59" s="5" t="n"/>
      <c r="FD59" s="5" t="n"/>
      <c r="FE59" s="5" t="n"/>
      <c r="FF59" s="5" t="n"/>
      <c r="FG59" s="5" t="n"/>
      <c r="FH59" s="5" t="n"/>
      <c r="FI59" s="5" t="n"/>
      <c r="FJ59" s="5" t="n"/>
      <c r="FK59" s="5" t="n"/>
      <c r="FL59" s="2" t="n"/>
      <c r="FM59" s="2" t="n"/>
      <c r="FN59" s="2" t="n"/>
      <c r="FO59" s="2" t="n"/>
      <c r="FP59" s="2" t="n"/>
      <c r="HS59" s="59" t="n"/>
      <c r="HT59" s="573" t="n"/>
      <c r="HV59" s="573" t="n"/>
      <c r="HX59" s="71" t="n"/>
      <c r="HZ59" s="71" t="n"/>
      <c r="IB59" s="71" t="n"/>
      <c r="IE59" s="71" t="n"/>
      <c r="IJ59" s="71" t="n"/>
      <c r="IQ59" s="176" t="n"/>
      <c r="IU59" s="71" t="n"/>
      <c r="IV59" s="71" t="n"/>
      <c r="IZ59" s="176" t="n"/>
      <c r="JF59" s="71" t="n"/>
      <c r="JM59" s="71" t="n"/>
    </row>
    <row r="60" customFormat="1" s="29">
      <c r="A60" s="405" t="inlineStr">
        <is>
          <t>TAG NAMO/25</t>
        </is>
      </c>
      <c r="B60" s="403" t="n"/>
      <c r="C60" s="136" t="n">
        <v>300</v>
      </c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CI60" s="59" t="n"/>
      <c r="DF60" s="5" t="n"/>
      <c r="DI60" s="5" t="n"/>
      <c r="DR60" s="573" t="n"/>
      <c r="DU60" s="573" t="n"/>
      <c r="DV60" s="573" t="n"/>
      <c r="EC60" s="573" t="n"/>
      <c r="ED60" s="327" t="n"/>
      <c r="EE60" s="5" t="n"/>
      <c r="EF60" s="573" t="n"/>
      <c r="EG60" s="573" t="n"/>
      <c r="EH60" s="5" t="n"/>
      <c r="EI60" s="573" t="n"/>
      <c r="EJ60" s="573" t="n"/>
      <c r="EK60" s="573" t="n"/>
      <c r="EL60" s="573" t="n"/>
      <c r="EM60" s="327" t="n"/>
      <c r="EN60" s="573" t="n"/>
      <c r="EO60" s="573" t="n"/>
      <c r="EP60" s="327" t="n"/>
      <c r="EQ60" s="573" t="n"/>
      <c r="ER60" s="573" t="n"/>
      <c r="ES60" s="573" t="n"/>
      <c r="ET60" s="573" t="n"/>
      <c r="EU60" s="573" t="n"/>
      <c r="EV60" s="573" t="n"/>
      <c r="EW60" s="573" t="n"/>
      <c r="EX60" s="573" t="n"/>
      <c r="EY60" s="573" t="n"/>
      <c r="EZ60" s="573" t="n"/>
      <c r="FA60" s="573" t="n"/>
      <c r="FB60" s="573" t="n"/>
      <c r="FC60" s="5" t="n"/>
      <c r="FD60" s="5" t="n"/>
      <c r="FE60" s="5" t="n"/>
      <c r="FF60" s="5" t="n"/>
      <c r="FG60" s="5" t="n"/>
      <c r="FH60" s="5" t="n"/>
      <c r="FI60" s="5" t="n"/>
      <c r="FJ60" s="5" t="n"/>
      <c r="FK60" s="5" t="n"/>
      <c r="FL60" s="2" t="n"/>
      <c r="FM60" s="2" t="n"/>
      <c r="FN60" s="2" t="n"/>
      <c r="FO60" s="2" t="n"/>
      <c r="FP60" s="2" t="n"/>
      <c r="HS60" s="59" t="n"/>
      <c r="HT60" s="573" t="n"/>
      <c r="HV60" s="573" t="n"/>
      <c r="HX60" s="71" t="n"/>
      <c r="HZ60" s="71" t="n"/>
      <c r="IB60" s="71" t="n"/>
      <c r="IE60" s="71" t="n"/>
      <c r="IJ60" s="71" t="n"/>
      <c r="IQ60" s="176" t="n"/>
      <c r="IU60" s="71" t="n"/>
      <c r="IV60" s="71" t="n"/>
      <c r="IZ60" s="176" t="n"/>
      <c r="JF60" s="71" t="n"/>
      <c r="JM60" s="71" t="n"/>
    </row>
    <row r="61" customFormat="1" s="29"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B61" s="51" t="n"/>
      <c r="CC61" s="573" t="n"/>
      <c r="CD61" s="573" t="n"/>
      <c r="CE61" s="573" t="n"/>
      <c r="CI61" s="59" t="n"/>
      <c r="CN61" s="59" t="n"/>
      <c r="CO61" s="59" t="n"/>
      <c r="CP61" s="59" t="n"/>
      <c r="CQ61" s="59" t="n"/>
      <c r="DF61" s="5" t="n"/>
      <c r="DI61" s="5" t="n"/>
      <c r="DR61" s="573" t="n"/>
      <c r="DU61" s="573" t="n"/>
      <c r="DV61" s="5" t="n"/>
      <c r="ED61" s="327" t="n"/>
      <c r="EE61" s="5" t="n"/>
      <c r="EH61" s="5" t="n"/>
      <c r="EM61" s="327" t="n"/>
      <c r="EP61" s="327" t="n"/>
      <c r="FB61" s="573" t="n"/>
      <c r="FC61" s="5" t="n"/>
      <c r="FD61" s="5" t="n"/>
      <c r="FE61" s="5" t="n"/>
      <c r="FF61" s="5" t="n"/>
      <c r="FG61" s="5" t="n"/>
      <c r="FH61" s="5" t="n"/>
      <c r="FI61" s="5" t="n"/>
      <c r="FJ61" s="5" t="n"/>
      <c r="FK61" s="5" t="n"/>
      <c r="FL61" s="2" t="n"/>
      <c r="FM61" s="2" t="n"/>
      <c r="FN61" s="2" t="n"/>
      <c r="FO61" s="2" t="n"/>
      <c r="FP61" s="2" t="n"/>
      <c r="HS61" s="59" t="n"/>
      <c r="HT61" s="573" t="n"/>
      <c r="HV61" s="573" t="n"/>
      <c r="HX61" s="71" t="n"/>
      <c r="HZ61" s="71" t="n"/>
      <c r="IB61" s="71" t="n"/>
      <c r="IE61" s="71" t="n"/>
      <c r="IJ61" s="71" t="n"/>
      <c r="IQ61" s="173" t="n"/>
      <c r="IU61" s="71" t="n"/>
      <c r="IV61" s="71" t="n"/>
      <c r="IZ61" s="173" t="n"/>
      <c r="JF61" s="71" t="n"/>
      <c r="JM61" s="71" t="n"/>
    </row>
    <row r="62">
      <c r="A62" s="774" t="inlineStr">
        <is>
          <t>FLACONETES</t>
        </is>
      </c>
      <c r="B62" s="731" t="n"/>
      <c r="C62" s="731" t="n"/>
      <c r="D62" s="775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46097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CA62" s="50" t="n"/>
      <c r="CC62" s="68" t="n"/>
      <c r="CD62" s="68" t="n"/>
      <c r="CE62" s="68" t="n"/>
      <c r="CN62" s="573" t="n"/>
      <c r="CO62" s="573" t="n"/>
      <c r="CP62" s="573" t="n"/>
      <c r="CQ62" s="573" t="n"/>
      <c r="DF62" s="5" t="n"/>
      <c r="DI62" s="5" t="n"/>
      <c r="DR62" s="5" t="n"/>
      <c r="DU62" s="5" t="n"/>
      <c r="DV62" s="5" t="n"/>
      <c r="ED62" s="327" t="n"/>
      <c r="EE62" s="5" t="n"/>
      <c r="EH62" s="5" t="n"/>
      <c r="EM62" s="327" t="n"/>
      <c r="EP62" s="327" t="n"/>
    </row>
    <row r="63" hidden="1" ht="18.75" customHeight="1">
      <c r="A63" s="781" t="inlineStr">
        <is>
          <t xml:space="preserve">MALCEC ANTICASPA </t>
        </is>
      </c>
      <c r="B63" s="731" t="n"/>
      <c r="C63" s="731" t="n"/>
      <c r="D63" s="775" t="n"/>
      <c r="F63" s="697" t="n">
        <v>0</v>
      </c>
      <c r="G63" s="697" t="n">
        <v>0</v>
      </c>
      <c r="H63" s="697" t="n">
        <v>0</v>
      </c>
      <c r="I63" s="697" t="n">
        <v>0</v>
      </c>
      <c r="J63" s="697" t="n">
        <v>0</v>
      </c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CA63" s="50" t="n"/>
      <c r="CC63" s="68" t="n"/>
      <c r="CD63" s="68" t="n"/>
      <c r="CE63" s="68" t="n"/>
      <c r="CN63" s="573" t="n"/>
      <c r="CO63" s="573" t="n"/>
      <c r="CP63" s="573" t="n"/>
      <c r="CQ63" s="573" t="n"/>
      <c r="DF63" s="5" t="n"/>
      <c r="DI63" s="5" t="n"/>
      <c r="DR63" s="5" t="n"/>
      <c r="DU63" s="5" t="n"/>
      <c r="DV63" s="41" t="n"/>
      <c r="ED63" s="327" t="n"/>
      <c r="EE63" s="5" t="n"/>
      <c r="EH63" s="5" t="n"/>
      <c r="EM63" s="327" t="n"/>
      <c r="EP63" s="327" t="n"/>
    </row>
    <row r="64" hidden="1" ht="18.75" customFormat="1" customHeight="1" s="29">
      <c r="A64" s="781" t="inlineStr">
        <is>
          <t xml:space="preserve">MALBEC ANTIQUEDA </t>
        </is>
      </c>
      <c r="B64" s="731" t="n"/>
      <c r="C64" s="731" t="n"/>
      <c r="D64" s="775" t="n"/>
      <c r="E64" s="5" t="n"/>
      <c r="F64" s="697" t="n">
        <v>0</v>
      </c>
      <c r="G64" s="697" t="n">
        <v>0</v>
      </c>
      <c r="H64" s="697" t="n">
        <v>0</v>
      </c>
      <c r="I64" s="697" t="n">
        <v>0</v>
      </c>
      <c r="J64" s="697" t="n">
        <v>0</v>
      </c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5" t="n"/>
      <c r="CB64" s="5" t="n"/>
      <c r="CC64" s="5" t="n"/>
      <c r="CE64" s="5" t="n"/>
      <c r="CI64" s="59" t="n"/>
      <c r="CY64" s="5" t="n"/>
      <c r="DF64" s="5" t="n"/>
      <c r="DI64" s="5" t="n"/>
      <c r="DR64" s="41" t="n"/>
      <c r="DU64" s="41" t="n"/>
      <c r="DV64" s="41" t="n"/>
      <c r="ED64" s="327" t="n"/>
      <c r="EE64" s="5" t="n"/>
      <c r="EH64" s="5" t="n"/>
      <c r="EM64" s="327" t="n"/>
      <c r="EP64" s="327" t="n"/>
      <c r="FC64" s="5" t="n"/>
      <c r="FD64" s="5" t="n"/>
      <c r="FE64" s="5" t="n"/>
      <c r="FF64" s="5" t="n"/>
      <c r="FG64" s="5" t="n"/>
      <c r="FH64" s="5" t="n"/>
      <c r="FI64" s="5" t="n"/>
      <c r="FJ64" s="5" t="n"/>
      <c r="FK64" s="5" t="n"/>
    </row>
    <row r="65" hidden="1" ht="18.75" customHeight="1">
      <c r="A65" s="781" t="inlineStr">
        <is>
          <t>POLIGLUTÂMICO ALOE VERA+ ROSA MOSQUETA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>
        <v>0</v>
      </c>
      <c r="J65" s="697" t="n">
        <v>0</v>
      </c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B65" s="5" t="n"/>
      <c r="CY65" s="5" t="n"/>
      <c r="DF65" s="5" t="n"/>
      <c r="DI65" s="5" t="n"/>
      <c r="DR65" s="41" t="n"/>
      <c r="DU65" s="41" t="n"/>
      <c r="DV65" s="41" t="n"/>
      <c r="ED65" s="327" t="n"/>
      <c r="EE65" s="5" t="n"/>
      <c r="EH65" s="5" t="n"/>
      <c r="EM65" s="327" t="n"/>
      <c r="EP65" s="327" t="n"/>
    </row>
    <row r="66" hidden="1" ht="18.75" customHeight="1">
      <c r="A66" s="781" t="inlineStr">
        <is>
          <t>PORTINARI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>
        <v>0</v>
      </c>
      <c r="J66" s="697" t="n">
        <v>0</v>
      </c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CB66" s="5" t="n"/>
      <c r="CR66" s="59" t="n"/>
      <c r="CY66" s="5" t="n"/>
      <c r="DF66" s="5" t="n"/>
      <c r="DI66" s="5" t="n"/>
      <c r="DR66" s="41" t="n"/>
      <c r="DU66" s="41" t="n"/>
      <c r="ED66" s="327" t="n"/>
      <c r="EE66" s="5" t="n"/>
      <c r="EH66" s="5" t="n"/>
      <c r="EM66" s="327" t="n"/>
      <c r="EP66" s="327" t="n"/>
    </row>
    <row r="67" hidden="1" ht="18.75" customHeight="1">
      <c r="A67" s="781" t="inlineStr">
        <is>
          <t>QUASAR VISION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>
        <v>0</v>
      </c>
      <c r="J67" s="697" t="n">
        <v>0</v>
      </c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CR67" s="573" t="n"/>
      <c r="DF67" s="5" t="n"/>
      <c r="DI67" s="5" t="n"/>
      <c r="ED67" s="328" t="n"/>
      <c r="EE67" s="5" t="n"/>
      <c r="EH67" s="5" t="n"/>
      <c r="EM67" s="328" t="n"/>
      <c r="EP67" s="327" t="n"/>
    </row>
    <row r="68" hidden="1" ht="18.75" customHeight="1">
      <c r="A68" s="781" t="inlineStr">
        <is>
          <t>BOTI SUN</t>
        </is>
      </c>
      <c r="B68" s="731" t="n"/>
      <c r="C68" s="731" t="n"/>
      <c r="D68" s="775" t="n"/>
      <c r="F68" s="697" t="n">
        <v>0</v>
      </c>
      <c r="G68" s="697" t="n">
        <v>0</v>
      </c>
      <c r="H68" s="697" t="n">
        <v>0</v>
      </c>
      <c r="I68" s="697" t="n">
        <v>0</v>
      </c>
      <c r="J68" s="697" t="n">
        <v>0</v>
      </c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CR68" s="573" t="n"/>
      <c r="DF68" s="5" t="n"/>
      <c r="DI68" s="5" t="n"/>
      <c r="ED68" s="328" t="n"/>
      <c r="EE68" s="5" t="n"/>
      <c r="EH68" s="5" t="n"/>
      <c r="EM68" s="328" t="n"/>
      <c r="EP68" s="327" t="n"/>
    </row>
    <row r="69" hidden="1" ht="18.75" customHeight="1">
      <c r="A69" s="781" t="inlineStr">
        <is>
          <t>FLORATTA ROMANCE DE VERÃ</t>
        </is>
      </c>
      <c r="B69" s="731" t="n"/>
      <c r="C69" s="731" t="n"/>
      <c r="D69" s="775" t="n"/>
      <c r="F69" s="697" t="n">
        <v>0</v>
      </c>
      <c r="G69" s="697" t="n">
        <v>0</v>
      </c>
      <c r="H69" s="697" t="n">
        <v>0</v>
      </c>
      <c r="I69" s="697" t="n">
        <v>0</v>
      </c>
      <c r="J69" s="697" t="n">
        <v>0</v>
      </c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DF69" s="5" t="n"/>
      <c r="DI69" s="5" t="n"/>
      <c r="ED69" s="329" t="n"/>
      <c r="EM69" s="329" t="n"/>
      <c r="EP69" s="328" t="n"/>
    </row>
    <row r="70" hidden="1" ht="18.75" customHeight="1">
      <c r="A70" s="781" t="inlineStr">
        <is>
          <t>QUASAR BLUE</t>
        </is>
      </c>
      <c r="B70" s="731" t="n"/>
      <c r="C70" s="731" t="n"/>
      <c r="D70" s="775" t="n"/>
      <c r="F70" s="697" t="n">
        <v>0</v>
      </c>
      <c r="G70" s="697" t="n">
        <v>0</v>
      </c>
      <c r="H70" s="697" t="n">
        <v>0</v>
      </c>
      <c r="I70" s="697" t="n">
        <v>0</v>
      </c>
      <c r="J70" s="697" t="n">
        <v>0</v>
      </c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ED70" s="329" t="n"/>
      <c r="EE70" s="5" t="n"/>
      <c r="EH70" s="5" t="n"/>
      <c r="EM70" s="329" t="n"/>
      <c r="EP70" s="328" t="n"/>
    </row>
    <row r="71" hidden="1" ht="18.75" customHeight="1">
      <c r="A71" s="781" t="inlineStr">
        <is>
          <t>HIDRATANTE ROSA E ALGODÃO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DF71" s="5" t="n"/>
      <c r="DI71" s="5" t="n"/>
      <c r="ED71" s="329" t="n"/>
      <c r="EM71" s="329" t="n"/>
      <c r="EP71" s="329" t="n"/>
    </row>
    <row r="72" hidden="1" ht="18.75" customHeight="1">
      <c r="A72" s="781" t="inlineStr">
        <is>
          <t>HIDRATANTE NUVEM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DV72" s="5" t="n"/>
      <c r="ED72" s="329" t="n"/>
      <c r="EM72" s="329" t="n"/>
      <c r="EP72" s="329" t="n"/>
    </row>
    <row r="73" hidden="1" ht="18.75" customHeight="1">
      <c r="A73" s="781" t="inlineStr">
        <is>
          <t>HIDRATANTE DELEITE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R73" s="5" t="n"/>
      <c r="DU73" s="5" t="n"/>
      <c r="DV73" s="5" t="n"/>
      <c r="ED73" s="329" t="n"/>
      <c r="EE73" s="173" t="n"/>
      <c r="EH73" s="173" t="n"/>
      <c r="EM73" s="329" t="n"/>
      <c r="EP73" s="329" t="n"/>
    </row>
    <row r="74" hidden="1" ht="18.75" customHeight="1">
      <c r="A74" s="781" t="inlineStr">
        <is>
          <t>ARBO PURO</t>
        </is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>
        <v>0</v>
      </c>
      <c r="J74" s="697" t="n">
        <v>0</v>
      </c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DF74" s="173" t="n"/>
      <c r="DI74" s="173" t="n"/>
      <c r="DR74" s="5" t="n"/>
      <c r="DU74" s="5" t="n"/>
      <c r="DV74" s="5" t="n"/>
      <c r="ED74" s="329" t="n"/>
      <c r="EE74" s="173" t="n"/>
      <c r="EH74" s="173" t="n"/>
      <c r="EM74" s="329" t="n"/>
      <c r="EP74" s="329" t="n"/>
    </row>
    <row r="75" hidden="1" ht="18.75" customHeight="1">
      <c r="A75" s="781" t="inlineStr">
        <is>
          <t>COFFEE ADCTIVE MAN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>
        <v>0</v>
      </c>
      <c r="J75" s="697" t="n">
        <v>1</v>
      </c>
      <c r="K75" s="697" t="n">
        <v>0</v>
      </c>
      <c r="L75" s="697" t="n">
        <v>0</v>
      </c>
      <c r="M75" s="697" t="n">
        <v>0</v>
      </c>
      <c r="N75" s="697" t="n">
        <v>0</v>
      </c>
      <c r="O75" s="697" t="n">
        <v>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>
        <v>0</v>
      </c>
      <c r="V75" s="697" t="n">
        <v>0</v>
      </c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F75" s="173" t="n"/>
      <c r="DI75" s="173" t="n"/>
      <c r="DR75" s="5" t="n"/>
      <c r="DU75" s="5" t="n"/>
      <c r="ED75" s="327" t="n"/>
      <c r="EE75" s="173" t="n"/>
      <c r="EH75" s="173" t="n"/>
      <c r="EM75" s="327" t="n"/>
      <c r="EP75" s="329" t="n"/>
    </row>
    <row r="76" hidden="1" ht="18.75" customHeight="1">
      <c r="A76" s="781" t="inlineStr">
        <is>
          <t>HER CODE TOUCH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>
        <v>0</v>
      </c>
      <c r="J76" s="697" t="n">
        <v>0</v>
      </c>
      <c r="K76" s="697" t="n">
        <v>0</v>
      </c>
      <c r="L76" s="697" t="n">
        <v>0</v>
      </c>
      <c r="M76" s="697" t="n">
        <v>0</v>
      </c>
      <c r="N76" s="697" t="n">
        <v>0</v>
      </c>
      <c r="O76" s="697" t="n">
        <v>0</v>
      </c>
      <c r="P76" s="697" t="n">
        <v>0</v>
      </c>
      <c r="Q76" s="697" t="n">
        <v>0</v>
      </c>
      <c r="R76" s="697" t="n">
        <v>0</v>
      </c>
      <c r="S76" s="697" t="n">
        <v>0</v>
      </c>
      <c r="T76" s="697" t="n">
        <v>0</v>
      </c>
      <c r="U76" s="697" t="n">
        <v>0</v>
      </c>
      <c r="V76" s="697" t="n">
        <v>0</v>
      </c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DF76" s="173" t="n"/>
      <c r="DI76" s="173" t="n"/>
      <c r="ED76" s="327" t="n"/>
      <c r="EM76" s="327" t="n"/>
      <c r="EP76" s="329" t="n"/>
    </row>
    <row r="77" hidden="1" ht="18.75" customHeight="1">
      <c r="A77" s="781" t="inlineStr">
        <is>
          <t>MALBEC ICON</t>
        </is>
      </c>
      <c r="B77" s="731" t="n"/>
      <c r="C77" s="731" t="n"/>
      <c r="D77" s="775" t="n"/>
      <c r="I77" s="697" t="n">
        <v>0</v>
      </c>
      <c r="J77" s="697" t="n">
        <v>50</v>
      </c>
      <c r="K77" s="697" t="n">
        <v>40</v>
      </c>
      <c r="L77" s="697" t="n">
        <v>35</v>
      </c>
      <c r="M77" s="697" t="n">
        <v>28</v>
      </c>
      <c r="N77" s="697" t="n">
        <v>16</v>
      </c>
      <c r="O77" s="697" t="n">
        <v>10</v>
      </c>
      <c r="P77" s="697" t="n">
        <v>0</v>
      </c>
      <c r="Q77" s="697" t="n">
        <v>23</v>
      </c>
      <c r="R77" s="697" t="n">
        <v>15</v>
      </c>
      <c r="S77" s="697" t="n">
        <v>10</v>
      </c>
      <c r="T77" s="697" t="n">
        <v>10</v>
      </c>
      <c r="U77" s="697" t="n">
        <v>5</v>
      </c>
      <c r="V77" s="697" t="n">
        <v>0</v>
      </c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ED77" s="327" t="n"/>
      <c r="EM77" s="327" t="n"/>
      <c r="EP77" s="327" t="n"/>
    </row>
    <row r="78">
      <c r="A78" s="781" t="inlineStr">
        <is>
          <t>FLORATTA RED PASSION</t>
        </is>
      </c>
      <c r="B78" s="731" t="n"/>
      <c r="C78" s="731" t="n"/>
      <c r="D78" s="775" t="n"/>
      <c r="I78" s="697" t="n">
        <v>0</v>
      </c>
      <c r="J78" s="697" t="n">
        <v>78</v>
      </c>
      <c r="K78" s="697" t="n">
        <v>60</v>
      </c>
      <c r="L78" s="697" t="n">
        <v>47</v>
      </c>
      <c r="M78" s="697" t="n">
        <v>42</v>
      </c>
      <c r="N78" s="697" t="n">
        <v>38</v>
      </c>
      <c r="O78" s="697" t="n">
        <v>26</v>
      </c>
      <c r="P78" s="697" t="n">
        <v>16</v>
      </c>
      <c r="Q78" s="697" t="n">
        <v>37</v>
      </c>
      <c r="R78" s="697" t="n">
        <v>29</v>
      </c>
      <c r="S78" s="697" t="n">
        <v>21</v>
      </c>
      <c r="T78" s="697" t="n">
        <v>26</v>
      </c>
      <c r="U78" s="697" t="n">
        <v>23</v>
      </c>
      <c r="V78" s="697" t="n">
        <v>20</v>
      </c>
      <c r="W78" s="697" t="n">
        <v>18</v>
      </c>
      <c r="X78" s="697" t="n">
        <v>14</v>
      </c>
      <c r="Y78" s="697" t="n">
        <v>0</v>
      </c>
      <c r="Z78" s="697" t="n">
        <v>0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69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  <c r="EP78" s="327" t="n"/>
    </row>
    <row r="79" hidden="1" ht="18.75" customHeight="1">
      <c r="A79" s="781" t="inlineStr">
        <is>
          <t>EGEO CHOC HIGH</t>
        </is>
      </c>
      <c r="B79" s="731" t="n"/>
      <c r="C79" s="731" t="n"/>
      <c r="D79" s="775" t="n"/>
      <c r="I79" s="697" t="n">
        <v>0</v>
      </c>
      <c r="J79" s="697" t="n">
        <v>1</v>
      </c>
      <c r="K79" s="697" t="n">
        <v>0</v>
      </c>
      <c r="L79" s="697" t="n">
        <v>0</v>
      </c>
      <c r="M79" s="697" t="n">
        <v>0</v>
      </c>
      <c r="N79" s="697" t="n">
        <v>0</v>
      </c>
      <c r="O79" s="697" t="n">
        <v>0</v>
      </c>
      <c r="P79" s="697" t="n">
        <v>0</v>
      </c>
      <c r="Q79" s="697" t="n">
        <v>0</v>
      </c>
      <c r="R79" s="697" t="n">
        <v>0</v>
      </c>
      <c r="S79" s="697" t="n">
        <v>0</v>
      </c>
      <c r="T79" s="697" t="n">
        <v>0</v>
      </c>
      <c r="U79" s="697" t="n">
        <v>0</v>
      </c>
      <c r="V79" s="697" t="n">
        <v>0</v>
      </c>
      <c r="W79" s="697" t="n">
        <v>0</v>
      </c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EP79" s="327" t="n"/>
    </row>
    <row r="80">
      <c r="A80" s="781" t="inlineStr">
        <is>
          <t>CBEM HIDR. DOCURA NA PESSEGURA</t>
        </is>
      </c>
      <c r="B80" s="731" t="n"/>
      <c r="C80" s="731" t="n"/>
      <c r="D80" s="775" t="n"/>
      <c r="J80" s="697" t="n">
        <v>0</v>
      </c>
      <c r="K80" s="697" t="n">
        <v>280</v>
      </c>
      <c r="L80" s="697" t="n">
        <v>259</v>
      </c>
      <c r="M80" s="697" t="n">
        <v>248</v>
      </c>
      <c r="N80" s="697" t="n">
        <v>232</v>
      </c>
      <c r="O80" s="697" t="n">
        <v>215</v>
      </c>
      <c r="P80" s="697" t="n">
        <v>190</v>
      </c>
      <c r="Q80" s="697" t="n">
        <v>200</v>
      </c>
      <c r="R80" s="697" t="n">
        <v>160</v>
      </c>
      <c r="S80" s="697" t="n">
        <v>119</v>
      </c>
      <c r="T80" s="697" t="n">
        <v>129</v>
      </c>
      <c r="U80" s="697" t="n">
        <v>115</v>
      </c>
      <c r="V80" s="697" t="n">
        <v>115</v>
      </c>
      <c r="W80" s="697" t="n">
        <v>100</v>
      </c>
      <c r="X80" s="697" t="n">
        <v>94</v>
      </c>
      <c r="Y80" s="697" t="n">
        <v>87</v>
      </c>
      <c r="Z80" s="697" t="n">
        <v>72</v>
      </c>
      <c r="AA80" s="697" t="n">
        <v>70</v>
      </c>
      <c r="AB80" s="697" t="n">
        <v>60</v>
      </c>
      <c r="AC80" s="697" t="n">
        <v>70</v>
      </c>
      <c r="AD80" s="697" t="n">
        <v>61</v>
      </c>
      <c r="AE80" s="697" t="n">
        <v>61</v>
      </c>
      <c r="AF80" s="697" t="n">
        <v>60</v>
      </c>
      <c r="AG80" s="697" t="n">
        <v>58</v>
      </c>
      <c r="AH80" s="697" t="n">
        <v>50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69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</row>
    <row r="81">
      <c r="A81" s="781" t="inlineStr">
        <is>
          <t>LILY BLANCHE</t>
        </is>
      </c>
      <c r="B81" s="731" t="n"/>
      <c r="C81" s="731" t="n"/>
      <c r="D81" s="775" t="n"/>
      <c r="M81" s="697" t="n">
        <v>0</v>
      </c>
      <c r="N81" s="697" t="n">
        <v>88</v>
      </c>
      <c r="O81" s="697" t="n">
        <v>80</v>
      </c>
      <c r="P81" s="697" t="n">
        <v>70</v>
      </c>
      <c r="Q81" s="697" t="n">
        <v>0</v>
      </c>
      <c r="R81" s="697" t="n">
        <v>0</v>
      </c>
      <c r="S81" s="697" t="n">
        <v>60</v>
      </c>
      <c r="T81" s="697" t="n">
        <v>78</v>
      </c>
      <c r="U81" s="697" t="n">
        <v>70</v>
      </c>
      <c r="V81" s="697" t="n">
        <v>60</v>
      </c>
      <c r="W81" s="697" t="n">
        <v>55</v>
      </c>
      <c r="X81" s="697" t="n">
        <v>54</v>
      </c>
      <c r="Y81" s="697" t="n">
        <v>32</v>
      </c>
      <c r="Z81" s="697" t="n">
        <v>21</v>
      </c>
      <c r="AA81" s="697" t="n">
        <v>18</v>
      </c>
      <c r="AB81" s="697" t="n">
        <v>18</v>
      </c>
      <c r="AC81" s="697" t="n">
        <v>18</v>
      </c>
      <c r="AD81" s="697" t="n">
        <v>10</v>
      </c>
      <c r="AE81" s="697" t="n">
        <v>10</v>
      </c>
      <c r="AF81" s="697" t="n">
        <v>7</v>
      </c>
      <c r="AG81" s="697" t="n">
        <v>0</v>
      </c>
      <c r="AH81" s="697" t="n">
        <v>0</v>
      </c>
      <c r="AI81" s="697" t="n">
        <v>0</v>
      </c>
      <c r="AJ81" s="697" t="n">
        <v>0</v>
      </c>
      <c r="AK81" s="697" t="n">
        <v>0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69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</row>
    <row r="82">
      <c r="A82" s="781" t="inlineStr">
        <is>
          <t>MEN NBA</t>
        </is>
      </c>
      <c r="B82" s="731" t="n"/>
      <c r="C82" s="731" t="n"/>
      <c r="D82" s="775" t="n"/>
      <c r="P82" s="32" t="n">
        <v>0</v>
      </c>
      <c r="Q82" s="32" t="n">
        <v>0</v>
      </c>
      <c r="R82" s="697" t="n">
        <v>0</v>
      </c>
      <c r="S82" s="697" t="n">
        <v>146</v>
      </c>
      <c r="T82" s="697" t="n">
        <v>146</v>
      </c>
      <c r="U82" s="697" t="n">
        <v>140</v>
      </c>
      <c r="V82" s="697" t="n">
        <v>140</v>
      </c>
      <c r="W82" s="697" t="n">
        <v>130</v>
      </c>
      <c r="X82" s="697" t="n">
        <v>123</v>
      </c>
      <c r="Y82" s="697" t="n">
        <v>123</v>
      </c>
      <c r="Z82" s="697" t="n">
        <v>100</v>
      </c>
      <c r="AA82" s="697" t="n">
        <v>98</v>
      </c>
      <c r="AB82" s="697" t="n">
        <v>98</v>
      </c>
      <c r="AC82" s="697" t="n">
        <v>98</v>
      </c>
      <c r="AD82" s="697" t="n">
        <v>90</v>
      </c>
      <c r="AE82" s="697" t="n">
        <v>87</v>
      </c>
      <c r="AF82" s="697" t="n">
        <v>80</v>
      </c>
      <c r="AG82" s="697" t="n">
        <v>75</v>
      </c>
      <c r="AH82" s="697" t="n">
        <v>61</v>
      </c>
      <c r="AI82" s="697" t="n">
        <v>40</v>
      </c>
      <c r="AJ82" s="697" t="n">
        <v>38</v>
      </c>
      <c r="AK82" s="697" t="n">
        <v>38</v>
      </c>
      <c r="AL82" s="697" t="n">
        <v>30</v>
      </c>
      <c r="AM82" s="697" t="n">
        <v>26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</row>
    <row r="83">
      <c r="A83" s="781" t="inlineStr">
        <is>
          <t>QUASAR DEEP BLUE</t>
        </is>
      </c>
      <c r="B83" s="731" t="n"/>
      <c r="C83" s="731" t="n"/>
      <c r="D83" s="775" t="n"/>
      <c r="S83" s="697" t="n">
        <v>0</v>
      </c>
      <c r="T83" s="697" t="n">
        <v>102</v>
      </c>
      <c r="U83" s="697" t="n">
        <v>100</v>
      </c>
      <c r="V83" s="697" t="n">
        <v>100</v>
      </c>
      <c r="W83" s="697" t="n">
        <v>95</v>
      </c>
      <c r="X83" s="697" t="n">
        <v>88</v>
      </c>
      <c r="Y83" s="697" t="n">
        <v>88</v>
      </c>
      <c r="Z83" s="697" t="n">
        <v>70</v>
      </c>
      <c r="AA83" s="697" t="n">
        <v>65</v>
      </c>
      <c r="AB83" s="697" t="n">
        <v>65</v>
      </c>
      <c r="AC83" s="697" t="n">
        <v>65</v>
      </c>
      <c r="AD83" s="697" t="n">
        <v>60</v>
      </c>
      <c r="AE83" s="697" t="n">
        <v>52</v>
      </c>
      <c r="AF83" s="697" t="n">
        <v>49</v>
      </c>
      <c r="AG83" s="697" t="n">
        <v>40</v>
      </c>
      <c r="AH83" s="697" t="n">
        <v>24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inlineStr">
        <is>
          <t>ARBO ATLANTICA</t>
        </is>
      </c>
      <c r="B84" s="731" t="n"/>
      <c r="C84" s="731" t="n"/>
      <c r="D84" s="775" t="n"/>
      <c r="S84" s="697" t="n">
        <v>0</v>
      </c>
      <c r="T84" s="697" t="n">
        <v>121</v>
      </c>
      <c r="U84" s="697" t="n">
        <v>118</v>
      </c>
      <c r="V84" s="697" t="n">
        <v>118</v>
      </c>
      <c r="W84" s="697" t="n">
        <v>98</v>
      </c>
      <c r="X84" s="697" t="n">
        <v>60</v>
      </c>
      <c r="Y84" s="697" t="n">
        <v>60</v>
      </c>
      <c r="Z84" s="697" t="n">
        <v>60</v>
      </c>
      <c r="AA84" s="697" t="n">
        <v>58</v>
      </c>
      <c r="AB84" s="697" t="n">
        <v>58</v>
      </c>
      <c r="AC84" s="697" t="n">
        <v>58</v>
      </c>
      <c r="AD84" s="697" t="n">
        <v>43</v>
      </c>
      <c r="AE84" s="697" t="n">
        <v>40</v>
      </c>
      <c r="AF84" s="697" t="n">
        <v>42</v>
      </c>
      <c r="AG84" s="697" t="n">
        <v>40</v>
      </c>
      <c r="AH84" s="697" t="n">
        <v>32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</row>
    <row r="85">
      <c r="A85" s="781" t="inlineStr">
        <is>
          <t>EGEO COGU</t>
        </is>
      </c>
      <c r="B85" s="731" t="n"/>
      <c r="C85" s="731" t="n"/>
      <c r="D85" s="775" t="n"/>
      <c r="AH85" s="697" t="n">
        <v>0</v>
      </c>
      <c r="AI85" s="697" t="n">
        <v>37</v>
      </c>
      <c r="AJ85" s="697" t="n">
        <v>30</v>
      </c>
      <c r="AK85" s="697" t="n">
        <v>30</v>
      </c>
      <c r="AL85" s="697" t="n">
        <v>20</v>
      </c>
      <c r="AM85" s="697" t="n">
        <v>18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</row>
    <row r="86">
      <c r="A86" s="781" t="inlineStr">
        <is>
          <t>EGEO DOLCE ILUSION</t>
        </is>
      </c>
      <c r="B86" s="731" t="n"/>
      <c r="C86" s="731" t="n"/>
      <c r="D86" s="775" t="n"/>
      <c r="AH86" s="697" t="n"/>
      <c r="AI86" s="697" t="n"/>
      <c r="AJ86" s="697" t="n"/>
      <c r="AK86" s="697" t="n"/>
      <c r="AL86" s="697" t="n"/>
      <c r="AM86" s="697" t="n"/>
      <c r="AN86" s="697" t="n"/>
      <c r="AO86" s="697" t="n"/>
      <c r="AP86" s="697" t="n"/>
      <c r="AQ86" s="697" t="n"/>
      <c r="AR86" s="697" t="n"/>
      <c r="AS86" s="697" t="n"/>
      <c r="AT86" s="697" t="n"/>
      <c r="AU86" s="697" t="n"/>
      <c r="AV86" s="697" t="n"/>
      <c r="AW86" s="697" t="n"/>
      <c r="AX86" s="697" t="n"/>
      <c r="AY86" s="697" t="n"/>
      <c r="AZ86" s="697" t="n"/>
      <c r="BA86" s="697" t="n"/>
      <c r="BB86" s="697" t="n"/>
      <c r="BC86" s="697" t="n"/>
      <c r="BD86" s="697" t="n"/>
      <c r="BE86" s="697" t="n"/>
      <c r="BF86" s="697" t="n"/>
      <c r="BG86" s="697" t="n"/>
      <c r="BH86" s="697" t="n"/>
      <c r="BI86" s="697" t="n"/>
      <c r="BJ86" s="697" t="n">
        <v>0</v>
      </c>
      <c r="BK86" s="697" t="n">
        <v>55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</row>
  </sheetData>
  <mergeCells count="34">
    <mergeCell ref="F5:BZ5"/>
    <mergeCell ref="A62:D62"/>
    <mergeCell ref="A72:D72"/>
    <mergeCell ref="A81:D81"/>
    <mergeCell ref="A63:D63"/>
    <mergeCell ref="A68:D68"/>
    <mergeCell ref="A1:BZ1"/>
    <mergeCell ref="A67:D67"/>
    <mergeCell ref="A77:D77"/>
    <mergeCell ref="A83:D83"/>
    <mergeCell ref="A64:D64"/>
    <mergeCell ref="A82:D82"/>
    <mergeCell ref="A73:D73"/>
    <mergeCell ref="A5:A6"/>
    <mergeCell ref="A70:D70"/>
    <mergeCell ref="A79:D79"/>
    <mergeCell ref="A69:D69"/>
    <mergeCell ref="A78:D78"/>
    <mergeCell ref="FC7:FK7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86:D86"/>
    <mergeCell ref="A71:D71"/>
    <mergeCell ref="A85:D85"/>
    <mergeCell ref="A76:D76"/>
    <mergeCell ref="B2:D2"/>
    <mergeCell ref="C5:C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4" fitToHeight="0"/>
</worksheet>
</file>

<file path=xl/worksheets/sheet11.xml><?xml version="1.0" encoding="utf-8"?>
<worksheet xmlns="http://schemas.openxmlformats.org/spreadsheetml/2006/main">
  <sheetPr codeName="Planilha9">
    <tabColor theme="9"/>
    <outlinePr summaryBelow="1" summaryRight="1"/>
    <pageSetUpPr/>
  </sheetPr>
  <dimension ref="A1:MB116"/>
  <sheetViews>
    <sheetView showGridLines="0" topLeftCell="A2" zoomScale="80" zoomScaleNormal="80" workbookViewId="0">
      <selection activeCell="BZ14" activeCellId="1" sqref="BZ6 BZ14:BZ17"/>
    </sheetView>
  </sheetViews>
  <sheetFormatPr baseColWidth="8" defaultColWidth="9.140625" defaultRowHeight="18.75"/>
  <cols>
    <col width="31.42578125" customWidth="1" min="1" max="1"/>
    <col width="9.28515625" customWidth="1" min="2" max="2"/>
    <col width="14.42578125" customWidth="1" min="3" max="3"/>
    <col width="14.42578125" customWidth="1" min="4" max="4"/>
    <col width="1.5703125" customWidth="1" min="5" max="5"/>
    <col hidden="1" width="8.42578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8.42578125" customWidth="1" min="72" max="72"/>
    <col hidden="1" width="13" customWidth="1" min="73" max="73"/>
    <col width="13" customWidth="1" min="74" max="74"/>
    <col width="13" customWidth="1" min="75" max="75"/>
    <col width="9" customWidth="1" min="76" max="76"/>
    <col width="2" customWidth="1" min="77" max="77"/>
    <col width="15.7109375" customWidth="1" min="78" max="78"/>
    <col width="1.28515625" customWidth="1" min="79" max="79"/>
    <col width="14.85546875" customWidth="1" min="80" max="80"/>
    <col width="1" customWidth="1" min="81" max="81"/>
    <col width="9.28515625" customWidth="1" min="82" max="82"/>
    <col width="13" customWidth="1" min="83" max="83"/>
    <col hidden="1" width="13" customWidth="1" min="84" max="84"/>
    <col hidden="1" width="13" customWidth="1" min="85" max="85"/>
    <col hidden="1" width="13" customWidth="1" min="86" max="86"/>
    <col hidden="1" width="8.7109375" customWidth="1" min="87" max="87"/>
    <col hidden="1" width="9.28515625" customWidth="1" min="88" max="88"/>
    <col hidden="1" width="9.28515625" customWidth="1" min="89" max="89"/>
    <col hidden="1" width="13" customWidth="1" min="90" max="90"/>
    <col hidden="1"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8.7109375" customWidth="1" min="105" max="105"/>
    <col hidden="1" width="9.28515625" customWidth="1" min="106" max="106"/>
    <col hidden="1" width="13" customWidth="1" min="107" max="107"/>
    <col hidden="1" width="9.28515625" customWidth="1" min="108" max="108"/>
    <col hidden="1" width="13" customWidth="1" min="109" max="109"/>
    <col hidden="1" width="13" customWidth="1" min="110" max="110"/>
    <col hidden="1" width="14.42578125" customWidth="1" min="111" max="111"/>
    <col hidden="1" width="9.28515625" customWidth="1" min="112" max="112"/>
    <col hidden="1" width="11.5703125" customWidth="1" min="113" max="113"/>
    <col hidden="1" width="9.7109375" customWidth="1" min="114" max="114"/>
    <col hidden="1" width="9.28515625" customWidth="1" min="115" max="115"/>
    <col hidden="1" width="13" customWidth="1" min="116" max="116"/>
    <col hidden="1" width="8.140625" customWidth="1" min="117" max="117"/>
    <col hidden="1" width="9.28515625" customWidth="1" min="118" max="118"/>
    <col hidden="1" width="13" customWidth="1" min="119" max="119"/>
    <col hidden="1" width="9.28515625" customWidth="1" min="120" max="120"/>
    <col hidden="1" width="13" customWidth="1" min="121" max="121"/>
    <col hidden="1" width="13" customWidth="1" min="122" max="122"/>
    <col hidden="1" width="13" customWidth="1" min="123" max="123"/>
    <col hidden="1" width="12" customWidth="1" min="124" max="124"/>
    <col hidden="1" width="17.5703125" customWidth="1" min="125" max="125"/>
    <col hidden="1" width="12.85546875" customWidth="1" min="126" max="126"/>
    <col hidden="1" width="8.7109375" customWidth="1" min="127" max="127"/>
    <col hidden="1" width="13.5703125" customWidth="1" min="128" max="128"/>
    <col hidden="1" width="14.85546875" customWidth="1" min="129" max="129"/>
    <col hidden="1" width="9.28515625" customWidth="1" min="130" max="130"/>
    <col hidden="1" width="13.140625" customWidth="1" min="131" max="131"/>
    <col hidden="1" width="13.5703125" customWidth="1" min="132" max="132"/>
    <col hidden="1" width="9.28515625" customWidth="1" min="133" max="133"/>
    <col hidden="1" width="14.85546875" customWidth="1" min="134" max="134"/>
    <col hidden="1" width="9.7109375" customWidth="1" min="135" max="135"/>
    <col hidden="1" width="9.28515625" customWidth="1" min="136" max="136"/>
    <col hidden="1" width="13" customWidth="1" min="137" max="137"/>
    <col hidden="1" width="13" customWidth="1" min="138" max="138"/>
    <col hidden="1" width="24.28515625" customWidth="1" min="139" max="139"/>
    <col hidden="1" width="13.5703125" customWidth="1" min="140" max="140"/>
    <col hidden="1" width="9.28515625" customWidth="1" min="141" max="141"/>
    <col hidden="1" width="12" customWidth="1" min="142" max="142"/>
    <col hidden="1" width="9.28515625" customWidth="1" min="143" max="143"/>
    <col hidden="1" width="13" customWidth="1" min="144" max="144"/>
    <col hidden="1" width="12.7109375" customWidth="1" min="145" max="145"/>
    <col hidden="1" width="9.28515625" customWidth="1" min="146" max="146"/>
    <col hidden="1" width="13" customWidth="1" min="147" max="147"/>
    <col hidden="1" width="13" customWidth="1" min="148" max="148"/>
    <col hidden="1" width="13" customWidth="1" min="149" max="149"/>
    <col hidden="1" width="13" customWidth="1" min="150" max="150"/>
    <col hidden="1" width="13" customWidth="1" min="151" max="151"/>
    <col hidden="1" width="13" customWidth="1" min="152" max="152"/>
    <col hidden="1" width="13" customWidth="1" min="153" max="153"/>
    <col width="3.85546875" customWidth="1" min="154" max="154"/>
    <col width="21.85546875" customWidth="1" min="155" max="155"/>
    <col width="9.140625" customWidth="1" min="156" max="156"/>
    <col hidden="1" width="13" customWidth="1" min="157" max="157"/>
    <col hidden="1" width="13" customWidth="1" min="158" max="158"/>
    <col hidden="1" width="13" customWidth="1" min="159" max="159"/>
    <col hidden="1" width="13" customWidth="1" min="160" max="160"/>
    <col hidden="1" width="13" customWidth="1" min="161" max="161"/>
    <col hidden="1" width="9.140625" customWidth="1" min="162" max="162"/>
    <col hidden="1" width="13" customWidth="1" min="163" max="163"/>
    <col width="13" customWidth="1" min="164" max="164"/>
    <col width="13" customWidth="1" min="165" max="165"/>
  </cols>
  <sheetData>
    <row r="1" ht="23.25" customHeight="1">
      <c r="A1" s="488" t="inlineStr">
        <is>
          <t>Controle de Contagem Semanal - Antilhas</t>
        </is>
      </c>
      <c r="BX1" s="488" t="n"/>
      <c r="BY1" s="132" t="n"/>
      <c r="BZ1" s="132" t="n"/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49" t="n"/>
      <c r="DB1" s="132" t="n"/>
      <c r="DC1" s="132" t="n"/>
      <c r="DD1" s="132" t="n"/>
      <c r="DE1" s="132" t="n"/>
      <c r="DF1" s="132" t="n"/>
      <c r="DG1" s="149" t="n"/>
      <c r="DH1" s="132" t="n"/>
      <c r="DI1" s="132" t="n"/>
      <c r="DJ1" s="149" t="n"/>
      <c r="DK1" s="132" t="n"/>
      <c r="DL1" s="132" t="n"/>
      <c r="DM1" s="132" t="n"/>
      <c r="DN1" s="132" t="n"/>
      <c r="DO1" s="132" t="n"/>
      <c r="DP1" s="132" t="n"/>
      <c r="DQ1" s="132" t="n"/>
      <c r="DR1" s="132" t="n"/>
      <c r="DS1" s="132" t="n"/>
      <c r="DT1" s="149" t="n"/>
      <c r="DU1" s="149" t="n"/>
      <c r="DV1" s="132" t="n"/>
      <c r="DW1" s="149" t="n"/>
      <c r="DX1" s="149" t="n"/>
      <c r="DY1" s="488" t="n"/>
      <c r="DZ1" s="132" t="n"/>
      <c r="EA1" s="132" t="n"/>
      <c r="EB1" s="149" t="n"/>
      <c r="EC1" s="132" t="n"/>
      <c r="ED1" s="488" t="n"/>
      <c r="EE1" s="149" t="n"/>
      <c r="EF1" s="132" t="n"/>
      <c r="EG1" s="132" t="n"/>
      <c r="EH1" s="132" t="n"/>
      <c r="EI1" s="132" t="n"/>
      <c r="EJ1" s="488" t="n"/>
      <c r="EK1" s="132" t="n"/>
      <c r="EL1" s="488" t="n"/>
      <c r="EM1" s="132" t="n"/>
      <c r="EN1" s="132" t="n"/>
      <c r="EO1" s="132" t="n"/>
      <c r="EP1" s="132" t="n"/>
      <c r="EQ1" s="132" t="n"/>
      <c r="ER1" s="132" t="n"/>
      <c r="ES1" s="132" t="n"/>
      <c r="ET1" s="132" t="n"/>
      <c r="EU1" s="132" t="n"/>
      <c r="EV1" s="132" t="n"/>
      <c r="EW1" s="132" t="n"/>
    </row>
    <row r="2">
      <c r="A2" s="43" t="inlineStr">
        <is>
          <t>LOJA:</t>
        </is>
      </c>
      <c r="B2" s="722" t="inlineStr">
        <is>
          <t>TAUSTE DUQUE</t>
        </is>
      </c>
      <c r="C2" s="723" t="n"/>
      <c r="D2" s="724" t="n"/>
      <c r="BY2" s="5" t="n"/>
      <c r="BZ2" s="5" t="n"/>
      <c r="DG2" s="5" t="n"/>
      <c r="DJ2" s="5" t="n"/>
      <c r="DX2" s="5" t="n"/>
      <c r="EB2" s="5" t="n"/>
      <c r="EE2" s="5" t="n"/>
    </row>
    <row r="3">
      <c r="A3" s="43" t="inlineStr">
        <is>
          <t>Responsável:</t>
        </is>
      </c>
      <c r="B3" s="725" t="inlineStr">
        <is>
          <t>MANU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BZ3" s="5" t="n"/>
      <c r="DG3" s="726" t="n"/>
      <c r="DJ3" s="726" t="n"/>
      <c r="EE3" s="726" t="n"/>
    </row>
    <row r="4" ht="8.25" customHeight="1">
      <c r="BY4" s="133" t="n"/>
      <c r="CB4" s="70" t="n"/>
      <c r="CI4" s="249" t="n"/>
      <c r="DA4" s="249" t="n"/>
      <c r="DG4" s="5" t="n"/>
      <c r="DJ4" s="5" t="n"/>
      <c r="DT4" s="249" t="n"/>
      <c r="DU4" s="249" t="n"/>
      <c r="DW4" s="249" t="n"/>
      <c r="DX4" s="5" t="n"/>
      <c r="DY4" s="324" t="n"/>
      <c r="EB4" s="5" t="n"/>
      <c r="ED4" s="324" t="n"/>
      <c r="EE4" s="5" t="n"/>
      <c r="EJ4" s="324" t="n"/>
      <c r="EL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0" t="n"/>
      <c r="BZ5" s="44" t="inlineStr">
        <is>
          <t>Pendências</t>
        </is>
      </c>
      <c r="CB5" s="12" t="inlineStr">
        <is>
          <t>Novo Pedido</t>
        </is>
      </c>
      <c r="CC5" s="733" t="n">
        <v>46161.48088781512</v>
      </c>
      <c r="CD5" s="734" t="n">
        <v>46156</v>
      </c>
      <c r="CE5" s="734" t="n">
        <v>46149</v>
      </c>
      <c r="CF5" s="734" t="n">
        <v>46142</v>
      </c>
      <c r="CG5" s="734" t="n">
        <v>46114</v>
      </c>
      <c r="CH5" s="734" t="n">
        <v>46107</v>
      </c>
      <c r="CI5" s="735" t="n">
        <v>46065</v>
      </c>
      <c r="CJ5" s="734" t="n">
        <v>46099</v>
      </c>
      <c r="CK5" s="734" t="n">
        <v>46092</v>
      </c>
      <c r="CL5" s="734" t="n">
        <v>46084</v>
      </c>
      <c r="CM5" s="734" t="n">
        <v>46077</v>
      </c>
      <c r="CN5" s="734" t="n">
        <v>46071</v>
      </c>
      <c r="CO5" s="734" t="n">
        <v>46048</v>
      </c>
      <c r="CP5" s="734" t="n">
        <v>46043</v>
      </c>
      <c r="CQ5" s="734" t="n">
        <v>46035</v>
      </c>
      <c r="CR5" s="734" t="n">
        <v>46029</v>
      </c>
      <c r="CS5" s="734" t="n">
        <v>46017</v>
      </c>
      <c r="CT5" s="734" t="n">
        <v>46007</v>
      </c>
      <c r="CU5" s="734" t="n">
        <v>46001</v>
      </c>
      <c r="CV5" s="734" t="n">
        <v>45994</v>
      </c>
      <c r="CW5" s="734" t="n">
        <v>45980</v>
      </c>
      <c r="CX5" s="734" t="n">
        <v>45973</v>
      </c>
      <c r="CY5" s="734" t="n">
        <v>45960</v>
      </c>
      <c r="CZ5" s="734" t="n">
        <v>45951</v>
      </c>
      <c r="DA5" s="737" t="n">
        <v>45903</v>
      </c>
      <c r="DB5" s="734" t="n">
        <v>45937</v>
      </c>
      <c r="DC5" s="736" t="inlineStr">
        <is>
          <t>TRANSF.</t>
        </is>
      </c>
      <c r="DD5" s="734" t="n">
        <v>45931</v>
      </c>
      <c r="DE5" s="734" t="n">
        <v>45923</v>
      </c>
      <c r="DF5" s="734" t="n">
        <v>45923</v>
      </c>
      <c r="DG5" s="738" t="inlineStr">
        <is>
          <t>TRANSF.</t>
        </is>
      </c>
      <c r="DH5" s="734" t="n">
        <v>45915</v>
      </c>
      <c r="DI5" s="736" t="inlineStr">
        <is>
          <t>TRANSF.</t>
        </is>
      </c>
      <c r="DJ5" s="738" t="n">
        <v>45863</v>
      </c>
      <c r="DK5" s="734" t="n">
        <v>45909</v>
      </c>
      <c r="DL5" s="734" t="n">
        <v>45903</v>
      </c>
      <c r="DM5" s="734" t="n">
        <v>45895</v>
      </c>
      <c r="DN5" s="734" t="n">
        <v>45888</v>
      </c>
      <c r="DO5" s="739" t="inlineStr">
        <is>
          <t>TRANSF.</t>
        </is>
      </c>
      <c r="DP5" s="734" t="n">
        <v>45881</v>
      </c>
      <c r="DQ5" s="734" t="n">
        <v>45867</v>
      </c>
      <c r="DR5" s="734" t="n">
        <v>45860</v>
      </c>
      <c r="DS5" s="734" t="n">
        <v>45853</v>
      </c>
      <c r="DT5" s="739" t="inlineStr">
        <is>
          <t>TRANSF.</t>
        </is>
      </c>
      <c r="DU5" s="739" t="inlineStr">
        <is>
          <t>AUTOMÁTICO</t>
        </is>
      </c>
      <c r="DV5" s="736" t="inlineStr">
        <is>
          <t>TRANSF.</t>
        </is>
      </c>
      <c r="DW5" s="739" t="n">
        <v>45791</v>
      </c>
      <c r="DX5" s="742" t="inlineStr">
        <is>
          <t>TRANSF.</t>
        </is>
      </c>
      <c r="DY5" s="740" t="inlineStr">
        <is>
          <t>TRANSF.</t>
        </is>
      </c>
      <c r="DZ5" s="734" t="n">
        <v>45813</v>
      </c>
      <c r="EA5" s="736" t="inlineStr">
        <is>
          <t>TRANSF.</t>
        </is>
      </c>
      <c r="EB5" s="742" t="inlineStr">
        <is>
          <t>TRANSF.</t>
        </is>
      </c>
      <c r="EC5" s="734" t="n">
        <v>45798</v>
      </c>
      <c r="ED5" s="740" t="inlineStr">
        <is>
          <t>TRANSF.</t>
        </is>
      </c>
      <c r="EE5" s="742" t="n">
        <v>45735</v>
      </c>
      <c r="EF5" s="734" t="n">
        <v>45790</v>
      </c>
      <c r="EG5" s="734" t="n">
        <v>45783</v>
      </c>
      <c r="EH5" s="734" t="n">
        <v>45749</v>
      </c>
      <c r="EI5" s="743" t="inlineStr">
        <is>
          <t>TRANSF. DISNEY/24</t>
        </is>
      </c>
      <c r="EJ5" s="740" t="inlineStr">
        <is>
          <t>TRANSF.</t>
        </is>
      </c>
      <c r="EK5" s="734" t="n">
        <v>45743</v>
      </c>
      <c r="EL5" s="740" t="n">
        <v>45700</v>
      </c>
      <c r="EM5" s="734" t="n">
        <v>45734</v>
      </c>
      <c r="EN5" s="734" t="n">
        <v>45728</v>
      </c>
      <c r="EO5" s="736" t="inlineStr">
        <is>
          <t>TRANSF.</t>
        </is>
      </c>
      <c r="EP5" s="734" t="n">
        <v>45722</v>
      </c>
      <c r="EQ5" s="734" t="n">
        <v>45714</v>
      </c>
      <c r="ER5" s="734" t="n">
        <v>45706</v>
      </c>
      <c r="ES5" s="734" t="n">
        <v>45699</v>
      </c>
      <c r="ET5" s="734" t="n">
        <v>45664</v>
      </c>
      <c r="EU5" s="734" t="n">
        <v>45660</v>
      </c>
      <c r="EV5" s="734" t="n">
        <v>45652</v>
      </c>
      <c r="EW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45859</v>
      </c>
      <c r="AE6" s="746" t="n">
        <v>45866</v>
      </c>
      <c r="AF6" s="746" t="n">
        <v>45873</v>
      </c>
      <c r="AG6" s="746" t="n">
        <v>45880</v>
      </c>
      <c r="AH6" s="746" t="n">
        <v>45887</v>
      </c>
      <c r="AI6" s="746" t="n">
        <v>45894</v>
      </c>
      <c r="AJ6" s="746" t="n">
        <v>45901</v>
      </c>
      <c r="AK6" s="746" t="n">
        <v>45908</v>
      </c>
      <c r="AL6" s="746" t="n">
        <v>45915</v>
      </c>
      <c r="AM6" s="746" t="n">
        <v>45922</v>
      </c>
      <c r="AN6" s="746" t="n">
        <v>45929</v>
      </c>
      <c r="AO6" s="746" t="n">
        <v>45936</v>
      </c>
      <c r="AP6" s="746" t="n">
        <v>45943</v>
      </c>
      <c r="AQ6" s="746" t="n">
        <v>45950</v>
      </c>
      <c r="AR6" s="746" t="n">
        <v>45957</v>
      </c>
      <c r="AS6" s="746" t="n">
        <v>45964</v>
      </c>
      <c r="AT6" s="746" t="n">
        <v>45971</v>
      </c>
      <c r="AU6" s="746" t="n">
        <v>45978</v>
      </c>
      <c r="AV6" s="746" t="n">
        <v>45985</v>
      </c>
      <c r="AW6" s="746" t="n">
        <v>45992</v>
      </c>
      <c r="AX6" s="746" t="n">
        <v>45999</v>
      </c>
      <c r="AY6" s="746" t="n">
        <v>46006</v>
      </c>
      <c r="AZ6" s="746" t="n">
        <v>46013</v>
      </c>
      <c r="BA6" s="746" t="n">
        <v>46020</v>
      </c>
      <c r="BB6" s="746" t="n">
        <v>46027</v>
      </c>
      <c r="BC6" s="746" t="n">
        <v>46034</v>
      </c>
      <c r="BD6" s="746" t="n">
        <v>46041</v>
      </c>
      <c r="BE6" s="746" t="n">
        <v>46048</v>
      </c>
      <c r="BF6" s="746" t="n">
        <v>46055</v>
      </c>
      <c r="BG6" s="746" t="n">
        <v>46062</v>
      </c>
      <c r="BH6" s="746" t="n">
        <v>46069</v>
      </c>
      <c r="BI6" s="746" t="n">
        <v>46076</v>
      </c>
      <c r="BJ6" s="746" t="n">
        <v>46083</v>
      </c>
      <c r="BK6" s="746" t="n">
        <v>46090</v>
      </c>
      <c r="BL6" s="746" t="n">
        <v>46097</v>
      </c>
      <c r="BM6" s="746" t="n">
        <v>46104</v>
      </c>
      <c r="BN6" s="746" t="n">
        <v>46111</v>
      </c>
      <c r="BO6" s="746" t="n">
        <v>46118</v>
      </c>
      <c r="BP6" s="746" t="n">
        <v>46125</v>
      </c>
      <c r="BQ6" s="746" t="n">
        <v>46132</v>
      </c>
      <c r="BR6" s="746" t="n">
        <v>46139</v>
      </c>
      <c r="BS6" s="746" t="n">
        <v>46146</v>
      </c>
      <c r="BT6" s="746" t="n">
        <v>46154</v>
      </c>
      <c r="BU6" s="746" t="n">
        <v>46160</v>
      </c>
      <c r="BV6" s="747" t="n">
        <v>46161.48023141204</v>
      </c>
      <c r="BW6" s="747" t="n">
        <v>46161.48088953549</v>
      </c>
      <c r="BX6" s="748" t="inlineStr">
        <is>
          <t>USOU</t>
        </is>
      </c>
      <c r="BY6" s="749" t="n"/>
      <c r="BZ6" s="750" t="n">
        <v>46156</v>
      </c>
      <c r="CA6" s="751" t="n"/>
      <c r="CB6" s="752" t="n"/>
      <c r="CC6" s="734" t="n"/>
      <c r="CD6" s="734" t="n"/>
      <c r="CE6" s="734" t="n">
        <v>46155</v>
      </c>
      <c r="CF6" s="734" t="n">
        <v>46149</v>
      </c>
      <c r="CG6" s="734" t="n">
        <v>46122</v>
      </c>
      <c r="CH6" s="734" t="n">
        <v>46112</v>
      </c>
      <c r="CI6" s="735" t="n">
        <v>46112</v>
      </c>
      <c r="CJ6" s="734" t="n">
        <v>46106</v>
      </c>
      <c r="CK6" s="734" t="n">
        <v>46100</v>
      </c>
      <c r="CL6" s="734" t="n">
        <v>46093</v>
      </c>
      <c r="CM6" s="734" t="n">
        <v>46084</v>
      </c>
      <c r="CN6" s="734" t="n">
        <v>46077</v>
      </c>
      <c r="CO6" s="734" t="n">
        <v>46057</v>
      </c>
      <c r="CP6" s="734" t="n">
        <v>46048</v>
      </c>
      <c r="CQ6" s="734" t="n">
        <v>46041</v>
      </c>
      <c r="CR6" s="734" t="n">
        <v>46035</v>
      </c>
      <c r="CS6" s="734" t="n">
        <v>46029</v>
      </c>
      <c r="CT6" s="734" t="n">
        <v>46013</v>
      </c>
      <c r="CU6" s="734" t="n">
        <v>46009</v>
      </c>
      <c r="CV6" s="734" t="n">
        <v>46000</v>
      </c>
      <c r="CW6" s="734" t="n">
        <v>45993</v>
      </c>
      <c r="CX6" s="734" t="n">
        <v>45980</v>
      </c>
      <c r="CY6" s="734" t="n">
        <v>45968</v>
      </c>
      <c r="CZ6" s="734" t="n">
        <v>45958</v>
      </c>
      <c r="DA6" s="753" t="n">
        <v>45958</v>
      </c>
      <c r="DB6" s="734" t="n">
        <v>45944</v>
      </c>
      <c r="DC6" s="736" t="n">
        <v>45939</v>
      </c>
      <c r="DD6" s="734" t="n">
        <v>45939</v>
      </c>
      <c r="DE6" s="734" t="n">
        <v>45939</v>
      </c>
      <c r="DF6" s="734" t="n">
        <v>45929</v>
      </c>
      <c r="DG6" s="754" t="n">
        <v>45923</v>
      </c>
      <c r="DH6" s="734" t="n">
        <v>45922</v>
      </c>
      <c r="DI6" s="736" t="n">
        <v>45918</v>
      </c>
      <c r="DJ6" s="754" t="n">
        <v>45917</v>
      </c>
      <c r="DK6" s="734" t="n">
        <v>45912</v>
      </c>
      <c r="DL6" s="734" t="n">
        <v>45908</v>
      </c>
      <c r="DM6" s="734" t="n">
        <v>45898</v>
      </c>
      <c r="DN6" s="734" t="n">
        <v>45891</v>
      </c>
      <c r="DO6" s="739" t="n">
        <v>45888</v>
      </c>
      <c r="DP6" s="734" t="n">
        <v>45884</v>
      </c>
      <c r="DQ6" s="734" t="n">
        <v>45874</v>
      </c>
      <c r="DR6" s="734" t="n">
        <v>45866</v>
      </c>
      <c r="DS6" s="734" t="n">
        <v>45861</v>
      </c>
      <c r="DT6" s="739" t="n">
        <v>45860</v>
      </c>
      <c r="DU6" s="739" t="n">
        <v>45852</v>
      </c>
      <c r="DV6" s="736" t="n">
        <v>45851</v>
      </c>
      <c r="DW6" s="739" t="n">
        <v>45846</v>
      </c>
      <c r="DX6" s="755" t="n">
        <v>45826</v>
      </c>
      <c r="DY6" s="740" t="n">
        <v>45826</v>
      </c>
      <c r="DZ6" s="734" t="n">
        <v>45819</v>
      </c>
      <c r="EA6" s="736" t="n">
        <v>45806</v>
      </c>
      <c r="EB6" s="755" t="n">
        <v>45803</v>
      </c>
      <c r="EC6" s="734" t="n">
        <v>45800</v>
      </c>
      <c r="ED6" s="740" t="n">
        <v>45800</v>
      </c>
      <c r="EE6" s="755" t="n">
        <v>45797</v>
      </c>
      <c r="EF6" s="734" t="n">
        <v>45793</v>
      </c>
      <c r="EG6" s="734" t="n">
        <v>45789</v>
      </c>
      <c r="EH6" s="734" t="n">
        <v>45756</v>
      </c>
      <c r="EI6" s="743" t="n">
        <v>45761</v>
      </c>
      <c r="EJ6" s="740" t="n">
        <v>45754</v>
      </c>
      <c r="EK6" s="734" t="n">
        <v>45750</v>
      </c>
      <c r="EL6" s="740" t="n">
        <v>45744</v>
      </c>
      <c r="EM6" s="734" t="n">
        <v>45743</v>
      </c>
      <c r="EN6" s="734" t="n">
        <v>45733</v>
      </c>
      <c r="EO6" s="736" t="n">
        <v>45727</v>
      </c>
      <c r="EP6" s="734" t="n">
        <v>45727</v>
      </c>
      <c r="EQ6" s="734" t="n">
        <v>45721</v>
      </c>
      <c r="ER6" s="734" t="n">
        <v>45715</v>
      </c>
      <c r="ES6" s="734" t="n">
        <v>45706</v>
      </c>
      <c r="ET6" s="734" t="n">
        <v>45670</v>
      </c>
      <c r="EU6" s="734" t="n">
        <v>45665</v>
      </c>
      <c r="EV6" s="734" t="n">
        <v>45659</v>
      </c>
      <c r="EW6" s="734" t="n">
        <v>45653</v>
      </c>
      <c r="EY6" s="5" t="n"/>
      <c r="EZ6" s="5" t="n"/>
      <c r="FA6" s="5" t="n"/>
      <c r="FB6" s="5" t="n"/>
      <c r="FC6" s="5" t="n"/>
      <c r="FD6" s="5" t="n"/>
      <c r="FE6" s="5" t="n"/>
      <c r="FF6" s="5" t="n"/>
      <c r="FG6" s="5" t="n"/>
      <c r="FH6" s="5" t="n"/>
      <c r="FI6" s="5" t="n"/>
      <c r="FJ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9" t="n"/>
      <c r="BZ7" s="33" t="n"/>
      <c r="CA7" s="5" t="n"/>
      <c r="CB7" s="147" t="n"/>
      <c r="CC7" s="13" t="n"/>
      <c r="CD7" s="13" t="n"/>
      <c r="CE7" s="13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inlineStr">
        <is>
          <t>HA</t>
        </is>
      </c>
      <c r="DK7" s="13" t="n"/>
      <c r="DL7" s="13" t="n"/>
      <c r="DM7" s="13" t="n"/>
      <c r="DN7" s="13" t="n"/>
      <c r="DO7" s="13" t="inlineStr">
        <is>
          <t>PAIS/25</t>
        </is>
      </c>
      <c r="DP7" s="13" t="n"/>
      <c r="DQ7" s="13" t="n"/>
      <c r="DR7" s="13" t="n"/>
      <c r="DS7" s="13" t="n"/>
      <c r="DT7" s="13" t="inlineStr">
        <is>
          <t>PAIS/25</t>
        </is>
      </c>
      <c r="DU7" s="13" t="n"/>
      <c r="DV7" s="13" t="n"/>
      <c r="DW7" s="13" t="n"/>
      <c r="DX7" s="13" t="inlineStr">
        <is>
          <t>NAMO/25</t>
        </is>
      </c>
      <c r="DY7" s="13" t="inlineStr">
        <is>
          <t>MÃES/25</t>
        </is>
      </c>
      <c r="DZ7" s="13" t="n"/>
      <c r="EA7" s="320" t="n"/>
      <c r="EB7" s="13" t="inlineStr">
        <is>
          <t>NAMO/25</t>
        </is>
      </c>
      <c r="EC7" s="320" t="n"/>
      <c r="ED7" s="13" t="inlineStr">
        <is>
          <t>MÃES/25</t>
        </is>
      </c>
      <c r="EE7" s="320" t="n"/>
      <c r="EF7" s="320" t="n"/>
      <c r="EG7" s="320" t="n"/>
      <c r="EH7" s="320" t="n"/>
      <c r="EI7" s="320" t="n"/>
      <c r="EJ7" s="13" t="inlineStr">
        <is>
          <t>MÃES/25</t>
        </is>
      </c>
      <c r="EK7" s="320" t="n"/>
      <c r="EL7" s="13" t="inlineStr">
        <is>
          <t>MÃES/25</t>
        </is>
      </c>
      <c r="EM7" s="320" t="n"/>
      <c r="EN7" s="13" t="n"/>
      <c r="EO7" s="13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782" t="n"/>
      <c r="EY7" s="782" t="n"/>
      <c r="EZ7" s="782" t="n"/>
      <c r="FA7" s="782" t="n"/>
      <c r="FB7" s="782" t="n"/>
      <c r="FC7" s="782" t="n"/>
      <c r="FD7" s="782" t="n"/>
      <c r="FE7" s="782" t="n"/>
      <c r="FF7" s="782" t="n"/>
      <c r="FG7" s="731" t="n"/>
      <c r="FH7" s="732" t="n"/>
      <c r="FI7" s="732" t="n"/>
      <c r="FJ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750</v>
      </c>
      <c r="E8" s="5" t="n"/>
      <c r="F8" s="697" t="n">
        <v>640</v>
      </c>
      <c r="G8" s="697">
        <f>600+ES8</f>
        <v/>
      </c>
      <c r="H8" s="697" t="n">
        <v>1100</v>
      </c>
      <c r="I8" s="697" t="n">
        <v>1000</v>
      </c>
      <c r="J8" s="697" t="n">
        <v>900</v>
      </c>
      <c r="K8" s="697" t="n">
        <v>720</v>
      </c>
      <c r="L8" s="697" t="n">
        <v>680</v>
      </c>
      <c r="M8" s="697" t="n">
        <v>600</v>
      </c>
      <c r="N8" s="697" t="n">
        <v>520</v>
      </c>
      <c r="O8" s="697">
        <f>500+EO8</f>
        <v/>
      </c>
      <c r="P8" s="697" t="n">
        <v>700</v>
      </c>
      <c r="Q8" s="697" t="n">
        <v>420</v>
      </c>
      <c r="R8" s="697" t="n">
        <v>420</v>
      </c>
      <c r="S8" s="697" t="n">
        <v>1200</v>
      </c>
      <c r="T8" s="697" t="n">
        <v>1040</v>
      </c>
      <c r="U8" s="697" t="n">
        <v>820</v>
      </c>
      <c r="V8" s="697" t="n">
        <v>740</v>
      </c>
      <c r="W8" s="697" t="n">
        <v>660</v>
      </c>
      <c r="X8" s="697" t="n">
        <v>640</v>
      </c>
      <c r="Y8" s="697">
        <f>380+EE8</f>
        <v/>
      </c>
      <c r="Z8" s="697" t="n">
        <v>1180</v>
      </c>
      <c r="AA8" s="697" t="n">
        <v>1080</v>
      </c>
      <c r="AB8" s="697" t="n">
        <v>1040</v>
      </c>
      <c r="AC8" s="697" t="n">
        <v>940</v>
      </c>
      <c r="AD8" s="697" t="n">
        <v>743</v>
      </c>
      <c r="AE8" s="697" t="n">
        <v>520</v>
      </c>
      <c r="AF8" s="697">
        <f>460+DO8</f>
        <v/>
      </c>
      <c r="AG8" s="697" t="n">
        <v>600</v>
      </c>
      <c r="AH8" s="697" t="n">
        <v>900</v>
      </c>
      <c r="AI8" s="697" t="n">
        <v>840</v>
      </c>
      <c r="AJ8" s="697" t="n">
        <v>720</v>
      </c>
      <c r="AK8" s="697" t="n">
        <v>600</v>
      </c>
      <c r="AL8" s="697" t="n">
        <v>500</v>
      </c>
      <c r="AM8" s="697">
        <f>360+DF8</f>
        <v/>
      </c>
      <c r="AN8" s="697" t="n">
        <v>600</v>
      </c>
      <c r="AO8" s="697" t="n">
        <v>500</v>
      </c>
      <c r="AP8" s="697">
        <f>360+CZ8</f>
        <v/>
      </c>
      <c r="AQ8" s="697" t="n">
        <v>480</v>
      </c>
      <c r="AR8" s="697">
        <f>440+CX8</f>
        <v/>
      </c>
      <c r="AS8" s="697" t="n">
        <v>640</v>
      </c>
      <c r="AT8" s="697" t="n">
        <v>480</v>
      </c>
      <c r="AU8" s="697">
        <f>320+CV8</f>
        <v/>
      </c>
      <c r="AV8" s="697" t="n">
        <v>480</v>
      </c>
      <c r="AW8" s="697">
        <f>380+CU8</f>
        <v/>
      </c>
      <c r="AX8" s="697">
        <f>500+CT8</f>
        <v/>
      </c>
      <c r="AY8" s="697">
        <f>600+CS8</f>
        <v/>
      </c>
      <c r="AZ8" s="697">
        <f>600+CR8</f>
        <v/>
      </c>
      <c r="BA8" s="697" t="n">
        <v>750</v>
      </c>
      <c r="BB8" s="697" t="n">
        <v>680</v>
      </c>
      <c r="BC8" s="697">
        <f>480+CP8</f>
        <v/>
      </c>
      <c r="BD8" s="697" t="n">
        <v>720</v>
      </c>
      <c r="BE8" s="697" t="n">
        <v>600</v>
      </c>
      <c r="BF8" s="697" t="n">
        <v>460</v>
      </c>
      <c r="BG8" s="697" t="n">
        <v>340</v>
      </c>
      <c r="BH8" s="697" t="n">
        <v>160</v>
      </c>
      <c r="BI8" s="697">
        <f>100+CL8</f>
        <v/>
      </c>
      <c r="BJ8" s="697" t="n">
        <v>480</v>
      </c>
      <c r="BK8" s="697">
        <f>400+CJ8</f>
        <v/>
      </c>
      <c r="BL8" s="697" t="n">
        <v>560</v>
      </c>
      <c r="BM8" s="697" t="n">
        <v>380</v>
      </c>
      <c r="BN8" s="697">
        <f>300+CF8</f>
        <v/>
      </c>
      <c r="BO8" s="697">
        <f>540+CD8</f>
        <v/>
      </c>
      <c r="BP8" s="697" t="n">
        <v>500</v>
      </c>
      <c r="BQ8" s="697" t="n">
        <v>420</v>
      </c>
      <c r="BR8" s="697" t="n">
        <v>340</v>
      </c>
      <c r="BS8" s="697">
        <f>280+CD8</f>
        <v/>
      </c>
      <c r="BT8" s="697">
        <f>400+CC8</f>
        <v/>
      </c>
      <c r="BU8" s="697" t="n"/>
      <c r="BV8" s="699" t="n"/>
      <c r="BW8" s="699" t="n"/>
      <c r="BX8" s="192">
        <f>BV8+IF(NOT(ISBLANK(OFFSET(BX8,0,6))),N(OFFSET(BX8,0,6)),N(OFFSET(BX8,0,7)))-BW8</f>
        <v/>
      </c>
      <c r="BY8" s="129" t="n"/>
      <c r="BZ8" s="22" t="n"/>
      <c r="CA8" s="5" t="n"/>
      <c r="CB8" s="27" t="n"/>
      <c r="CC8" s="757" t="n">
        <v>0</v>
      </c>
      <c r="CD8" s="23" t="n">
        <v>0</v>
      </c>
      <c r="CE8" s="23" t="n">
        <v>300</v>
      </c>
      <c r="CF8" s="23" t="n">
        <v>300</v>
      </c>
      <c r="CG8" s="23" t="n">
        <v>300</v>
      </c>
      <c r="CH8" s="23" t="n">
        <v>300</v>
      </c>
      <c r="CI8" s="23" t="n"/>
      <c r="CJ8" s="23" t="n"/>
      <c r="CK8" s="23" t="n"/>
      <c r="CL8" s="23" t="n">
        <v>300</v>
      </c>
      <c r="CM8" s="23" t="n"/>
      <c r="CN8" s="23" t="n">
        <v>600</v>
      </c>
      <c r="CO8" s="23" t="n"/>
      <c r="CP8" s="23" t="n"/>
      <c r="CQ8" s="23" t="n"/>
      <c r="CR8" s="23" t="n">
        <v>300</v>
      </c>
      <c r="CS8" s="23" t="n"/>
      <c r="CT8" s="23" t="n">
        <v>300</v>
      </c>
      <c r="CU8" s="23" t="n">
        <v>300</v>
      </c>
      <c r="CV8" s="23" t="n">
        <v>300</v>
      </c>
      <c r="CW8" s="23" t="n">
        <v>300</v>
      </c>
      <c r="CX8" s="23" t="n">
        <v>300</v>
      </c>
      <c r="CY8" s="23" t="n"/>
      <c r="CZ8" s="23" t="n">
        <v>300</v>
      </c>
      <c r="DA8" s="219" t="n"/>
      <c r="DB8" s="23" t="n">
        <v>300</v>
      </c>
      <c r="DC8" s="23" t="n"/>
      <c r="DD8" s="23" t="n"/>
      <c r="DE8" s="23" t="n"/>
      <c r="DF8" s="23" t="n"/>
      <c r="DG8" s="219" t="n"/>
      <c r="DH8" s="23" t="n">
        <v>300</v>
      </c>
      <c r="DI8" s="23" t="n"/>
      <c r="DJ8" s="219" t="n"/>
      <c r="DK8" s="23" t="n"/>
      <c r="DL8" s="23" t="n"/>
      <c r="DM8" s="23" t="n"/>
      <c r="DN8" s="23" t="n"/>
      <c r="DO8" s="23" t="n"/>
      <c r="DP8" s="23" t="n">
        <v>300</v>
      </c>
      <c r="DQ8" s="23" t="n">
        <v>300</v>
      </c>
      <c r="DR8" s="23" t="n"/>
      <c r="DS8" s="23" t="n"/>
      <c r="DT8" s="219" t="n"/>
      <c r="DU8" s="219" t="n"/>
      <c r="DV8" s="23" t="n"/>
      <c r="DW8" s="219" t="n"/>
      <c r="DX8" s="219" t="n"/>
      <c r="DY8" s="219" t="n"/>
      <c r="DZ8" s="23" t="n"/>
      <c r="EA8" s="23" t="n"/>
      <c r="EB8" s="219" t="n"/>
      <c r="EC8" s="23" t="n"/>
      <c r="ED8" s="219" t="n"/>
      <c r="EE8" s="219" t="n"/>
      <c r="EF8" s="23" t="n">
        <v>600</v>
      </c>
      <c r="EG8" s="23" t="n">
        <v>300</v>
      </c>
      <c r="EH8" s="23" t="n"/>
      <c r="EI8" s="23" t="n"/>
      <c r="EJ8" s="219" t="n"/>
      <c r="EK8" s="23" t="n"/>
      <c r="EL8" s="219" t="n"/>
      <c r="EM8" s="23" t="n">
        <v>900</v>
      </c>
      <c r="EN8" s="23" t="n"/>
      <c r="EO8" s="23" t="n"/>
      <c r="EP8" s="23" t="n"/>
      <c r="EQ8" s="23" t="n">
        <v>300</v>
      </c>
      <c r="ER8" s="23" t="n"/>
      <c r="ES8" s="23" t="n"/>
      <c r="ET8" s="23" t="n"/>
      <c r="EU8" s="23" t="n">
        <v>600</v>
      </c>
      <c r="EV8" s="23" t="n"/>
      <c r="EW8" s="23" t="n"/>
      <c r="EY8" s="304" t="inlineStr">
        <is>
          <t xml:space="preserve">SACOLAS </t>
        </is>
      </c>
      <c r="EZ8" s="235" t="inlineStr">
        <is>
          <t>PCT</t>
        </is>
      </c>
      <c r="FA8" s="746" t="n">
        <v>46118</v>
      </c>
      <c r="FB8" s="746" t="n">
        <v>46125</v>
      </c>
      <c r="FC8" s="746" t="n">
        <v>46132</v>
      </c>
      <c r="FD8" s="746" t="n">
        <v>46139</v>
      </c>
      <c r="FE8" s="746" t="n">
        <v>46146</v>
      </c>
      <c r="FF8" s="746" t="n">
        <v>46154</v>
      </c>
      <c r="FG8" s="746" t="n">
        <v>46160</v>
      </c>
      <c r="FH8" s="747" t="n">
        <v>46161.48023011574</v>
      </c>
      <c r="FI8" s="747" t="n">
        <v>46161.48088857954</v>
      </c>
      <c r="FJ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>
        <f>440+ET9</f>
        <v/>
      </c>
      <c r="G9" s="697">
        <f>1600+ES9</f>
        <v/>
      </c>
      <c r="H9" s="697" t="n">
        <v>2340</v>
      </c>
      <c r="I9" s="697" t="n">
        <v>2760</v>
      </c>
      <c r="J9" s="697" t="n">
        <v>2400</v>
      </c>
      <c r="K9" s="697" t="n">
        <v>2260</v>
      </c>
      <c r="L9" s="697" t="n">
        <v>1860</v>
      </c>
      <c r="M9" s="697">
        <f>1600+EQ9</f>
        <v/>
      </c>
      <c r="N9" s="697" t="n">
        <v>1960</v>
      </c>
      <c r="O9" s="697" t="n">
        <v>1760</v>
      </c>
      <c r="P9" s="697">
        <f>1340+EN9</f>
        <v/>
      </c>
      <c r="Q9" s="697" t="n">
        <v>1730</v>
      </c>
      <c r="R9" s="697" t="n">
        <v>1480</v>
      </c>
      <c r="S9" s="697" t="n">
        <v>1200</v>
      </c>
      <c r="T9" s="697" t="n">
        <v>1000</v>
      </c>
      <c r="U9" s="697" t="n">
        <v>800</v>
      </c>
      <c r="V9" s="697" t="n">
        <v>800</v>
      </c>
      <c r="W9" s="697" t="n">
        <v>800</v>
      </c>
      <c r="X9" s="697" t="n">
        <v>800</v>
      </c>
      <c r="Y9" s="697" t="n">
        <v>800</v>
      </c>
      <c r="Z9" s="697" t="n">
        <v>780</v>
      </c>
      <c r="AA9" s="697">
        <f>520+600</f>
        <v/>
      </c>
      <c r="AB9" s="697" t="n">
        <v>880</v>
      </c>
      <c r="AC9" s="697">
        <f>740+DX9</f>
        <v/>
      </c>
      <c r="AD9" s="697">
        <f>959+DQ9</f>
        <v/>
      </c>
      <c r="AE9" s="697" t="n">
        <v>720</v>
      </c>
      <c r="AF9" s="697">
        <f>540+DO9</f>
        <v/>
      </c>
      <c r="AG9" s="697" t="n">
        <v>600</v>
      </c>
      <c r="AH9" s="697" t="n">
        <v>1200</v>
      </c>
      <c r="AI9" s="697" t="n">
        <v>960</v>
      </c>
      <c r="AJ9" s="697" t="n">
        <v>720</v>
      </c>
      <c r="AK9" s="697">
        <f>440+DJ9</f>
        <v/>
      </c>
      <c r="AL9" s="697" t="n">
        <v>720</v>
      </c>
      <c r="AM9" s="697">
        <f>500+DF9</f>
        <v/>
      </c>
      <c r="AN9" s="697" t="n">
        <v>680</v>
      </c>
      <c r="AO9" s="697">
        <f>660+DB9</f>
        <v/>
      </c>
      <c r="AP9" s="697" t="n">
        <v>1000</v>
      </c>
      <c r="AQ9" s="697" t="n">
        <v>700</v>
      </c>
      <c r="AR9" s="697">
        <f>530+CX9</f>
        <v/>
      </c>
      <c r="AS9" s="697" t="n">
        <v>920</v>
      </c>
      <c r="AT9" s="697" t="n">
        <v>1100</v>
      </c>
      <c r="AU9" s="697" t="n">
        <v>920</v>
      </c>
      <c r="AV9" s="697" t="n">
        <v>920</v>
      </c>
      <c r="AW9" s="697" t="n">
        <v>880</v>
      </c>
      <c r="AX9" s="697" t="n">
        <v>880</v>
      </c>
      <c r="AY9" s="697">
        <f>500+CS9</f>
        <v/>
      </c>
      <c r="AZ9" s="697">
        <f>640+CR9</f>
        <v/>
      </c>
      <c r="BA9" s="697" t="n">
        <v>480</v>
      </c>
      <c r="BB9" s="697" t="n">
        <v>400</v>
      </c>
      <c r="BC9" s="697">
        <f>860+CP9</f>
        <v/>
      </c>
      <c r="BD9" s="697">
        <f>1000+CO9</f>
        <v/>
      </c>
      <c r="BE9" s="697">
        <f>800+CN9</f>
        <v/>
      </c>
      <c r="BF9" s="697">
        <f>1000+CM9</f>
        <v/>
      </c>
      <c r="BG9" s="697" t="n">
        <v>1840</v>
      </c>
      <c r="BH9" s="697" t="n">
        <v>1520</v>
      </c>
      <c r="BI9" s="697">
        <f>1200+CL9</f>
        <v/>
      </c>
      <c r="BJ9" s="697" t="n">
        <v>1440</v>
      </c>
      <c r="BK9" s="697" t="n">
        <v>1060</v>
      </c>
      <c r="BL9" s="697">
        <f>700+CI9</f>
        <v/>
      </c>
      <c r="BM9" s="697" t="n">
        <v>800</v>
      </c>
      <c r="BN9" s="697">
        <f>560+CF9</f>
        <v/>
      </c>
      <c r="BO9" s="697">
        <f>600+CD9</f>
        <v/>
      </c>
      <c r="BP9" s="697" t="n">
        <v>740</v>
      </c>
      <c r="BQ9" s="697" t="n">
        <v>740</v>
      </c>
      <c r="BR9" s="697" t="n">
        <v>720</v>
      </c>
      <c r="BS9" s="697" t="n">
        <v>720</v>
      </c>
      <c r="BT9" s="697" t="n">
        <v>600</v>
      </c>
      <c r="BU9" s="697" t="n"/>
      <c r="BV9" s="699" t="n"/>
      <c r="BW9" s="699" t="n"/>
      <c r="BX9" s="192">
        <f>BV9+IF(NOT(ISBLANK(OFFSET(BX9,0,6))),N(OFFSET(BX9,0,6)),N(OFFSET(BX9,0,7)))-BW9</f>
        <v/>
      </c>
      <c r="BY9" s="129" t="n"/>
      <c r="BZ9" s="22" t="n"/>
      <c r="CA9" s="5" t="n"/>
      <c r="CB9" s="27" t="n"/>
      <c r="CC9" s="757" t="n">
        <v>0</v>
      </c>
      <c r="CD9" s="23" t="n">
        <v>0</v>
      </c>
      <c r="CE9" s="23" t="n">
        <v>0</v>
      </c>
      <c r="CF9" s="23" t="n">
        <v>0</v>
      </c>
      <c r="CG9" s="23" t="n">
        <v>400</v>
      </c>
      <c r="CH9" s="23" t="n">
        <v>200</v>
      </c>
      <c r="CI9" s="219" t="n">
        <v>2000</v>
      </c>
      <c r="CJ9" s="23" t="n"/>
      <c r="CK9" s="23" t="n">
        <v>400</v>
      </c>
      <c r="CL9" s="23" t="n"/>
      <c r="CM9" s="23" t="n"/>
      <c r="CN9" s="23" t="n">
        <v>400</v>
      </c>
      <c r="CO9" s="23" t="n">
        <v>1200</v>
      </c>
      <c r="CP9" s="23" t="n">
        <v>400</v>
      </c>
      <c r="CQ9" s="23" t="n">
        <v>200</v>
      </c>
      <c r="CR9" s="23" t="n">
        <v>400</v>
      </c>
      <c r="CS9" s="23" t="n">
        <v>600</v>
      </c>
      <c r="CT9" s="23" t="n">
        <v>1000</v>
      </c>
      <c r="CU9" s="23" t="n">
        <v>600</v>
      </c>
      <c r="CV9" s="23" t="n"/>
      <c r="CW9" s="23" t="n"/>
      <c r="CX9" s="23" t="n"/>
      <c r="CY9" s="23" t="n">
        <v>200</v>
      </c>
      <c r="CZ9" s="23" t="n">
        <v>400</v>
      </c>
      <c r="DA9" s="219" t="n">
        <v>2000</v>
      </c>
      <c r="DB9" s="23" t="n"/>
      <c r="DC9" s="23" t="n"/>
      <c r="DD9" s="23" t="n">
        <v>600</v>
      </c>
      <c r="DE9" s="23" t="n"/>
      <c r="DF9" s="23" t="n">
        <v>200</v>
      </c>
      <c r="DG9" s="219" t="n"/>
      <c r="DH9" s="23" t="n">
        <v>400</v>
      </c>
      <c r="DI9" s="23" t="n"/>
      <c r="DJ9" s="219" t="n"/>
      <c r="DK9" s="23" t="n">
        <v>200</v>
      </c>
      <c r="DL9" s="23" t="n">
        <v>400</v>
      </c>
      <c r="DM9" s="23" t="n"/>
      <c r="DN9" s="23" t="n"/>
      <c r="DO9" s="23" t="n"/>
      <c r="DP9" s="23" t="n">
        <v>800</v>
      </c>
      <c r="DQ9" s="23" t="n">
        <v>600</v>
      </c>
      <c r="DR9" s="23" t="n"/>
      <c r="DS9" s="23" t="n">
        <v>200</v>
      </c>
      <c r="DT9" s="219" t="n"/>
      <c r="DU9" s="219" t="n"/>
      <c r="DV9" s="23" t="n"/>
      <c r="DW9" s="219" t="n"/>
      <c r="DX9" s="219" t="n"/>
      <c r="DY9" s="219" t="n"/>
      <c r="DZ9" s="23" t="n">
        <v>400</v>
      </c>
      <c r="EA9" s="282" t="inlineStr">
        <is>
          <t>600 DE CD</t>
        </is>
      </c>
      <c r="EB9" s="219" t="n"/>
      <c r="EC9" s="23" t="n"/>
      <c r="ED9" s="219" t="n"/>
      <c r="EE9" s="219" t="n"/>
      <c r="EF9" s="23" t="n"/>
      <c r="EG9" s="23" t="n"/>
      <c r="EH9" s="23" t="n"/>
      <c r="EI9" s="23" t="n"/>
      <c r="EJ9" s="219" t="n"/>
      <c r="EK9" s="23" t="n"/>
      <c r="EL9" s="219" t="n">
        <v>1800</v>
      </c>
      <c r="EM9" s="23" t="n"/>
      <c r="EN9" s="23" t="n"/>
      <c r="EO9" s="23" t="n"/>
      <c r="EP9" s="23" t="n">
        <v>600</v>
      </c>
      <c r="EQ9" s="23" t="n"/>
      <c r="ER9" s="23" t="n">
        <v>200</v>
      </c>
      <c r="ES9" s="23" t="n">
        <v>400</v>
      </c>
      <c r="ET9" s="23" t="n">
        <v>600</v>
      </c>
      <c r="EU9" s="23" t="n">
        <v>800</v>
      </c>
      <c r="EV9" s="23" t="n">
        <v>1600</v>
      </c>
      <c r="EW9" s="23" t="n">
        <v>400</v>
      </c>
      <c r="EY9" s="300" t="inlineStr">
        <is>
          <t xml:space="preserve">SACOLA P </t>
        </is>
      </c>
      <c r="EZ9" s="162" t="n">
        <v>200</v>
      </c>
      <c r="FA9" s="697">
        <f>CG9</f>
        <v/>
      </c>
      <c r="FB9" s="697" t="n">
        <v>1640</v>
      </c>
      <c r="FC9" s="697" t="n">
        <v>1340</v>
      </c>
      <c r="FD9" s="697" t="n">
        <v>1280</v>
      </c>
      <c r="FE9" s="697" t="n">
        <v>1140</v>
      </c>
      <c r="FF9" s="697" t="n">
        <v>360</v>
      </c>
      <c r="FG9" s="697" t="n"/>
      <c r="FH9" s="699" t="n"/>
      <c r="FI9" s="699" t="n"/>
      <c r="FJ9" s="431">
        <f>FH9+IF(NOT(ISBLANK(OFFSET(FJ9,0,6))),N(OFFSET(FJ9,0,6)),N(OFFSET(FJ9,0,7)))-FI9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 t="n">
        <v>960</v>
      </c>
      <c r="G10" s="697" t="n">
        <v>860</v>
      </c>
      <c r="H10" s="697" t="n">
        <v>800</v>
      </c>
      <c r="I10" s="697" t="n">
        <v>960</v>
      </c>
      <c r="J10" s="697" t="n">
        <v>840</v>
      </c>
      <c r="K10" s="697" t="n">
        <v>830</v>
      </c>
      <c r="L10" s="697" t="n">
        <v>740</v>
      </c>
      <c r="M10" s="697" t="n">
        <v>600</v>
      </c>
      <c r="N10" s="697" t="n">
        <v>480</v>
      </c>
      <c r="O10" s="697">
        <f>600+EO10</f>
        <v/>
      </c>
      <c r="P10" s="697">
        <f>660+EN10</f>
        <v/>
      </c>
      <c r="Q10" s="697" t="n">
        <v>700</v>
      </c>
      <c r="R10" s="697" t="n">
        <v>600</v>
      </c>
      <c r="S10" s="697" t="n">
        <v>400</v>
      </c>
      <c r="T10" s="697">
        <f>290+EF10</f>
        <v/>
      </c>
      <c r="U10" s="697" t="n">
        <v>600</v>
      </c>
      <c r="V10" s="697" t="n">
        <v>600</v>
      </c>
      <c r="W10" s="697" t="n">
        <v>600</v>
      </c>
      <c r="X10" s="697" t="n">
        <v>600</v>
      </c>
      <c r="Y10" s="697" t="n">
        <v>600</v>
      </c>
      <c r="Z10" s="697" t="n">
        <v>520</v>
      </c>
      <c r="AA10" s="697" t="n">
        <v>400</v>
      </c>
      <c r="AB10" s="697" t="n">
        <v>400</v>
      </c>
      <c r="AC10" s="697" t="n">
        <v>400</v>
      </c>
      <c r="AD10" s="697" t="n">
        <v>370</v>
      </c>
      <c r="AE10" s="697" t="n">
        <v>240</v>
      </c>
      <c r="AF10" s="697">
        <f>240+DO10</f>
        <v/>
      </c>
      <c r="AG10" s="697" t="n">
        <v>260</v>
      </c>
      <c r="AH10" s="697" t="n">
        <v>560</v>
      </c>
      <c r="AI10" s="697" t="n">
        <v>460</v>
      </c>
      <c r="AJ10" s="697" t="n">
        <v>460</v>
      </c>
      <c r="AK10" s="697" t="n">
        <v>80</v>
      </c>
      <c r="AL10" s="697" t="n">
        <v>310</v>
      </c>
      <c r="AM10" s="697">
        <f>160+DF10</f>
        <v/>
      </c>
      <c r="AN10" s="697" t="n">
        <v>440</v>
      </c>
      <c r="AO10" s="697">
        <f>340+DB10</f>
        <v/>
      </c>
      <c r="AP10" s="697" t="n">
        <v>660</v>
      </c>
      <c r="AQ10" s="697" t="n">
        <v>440</v>
      </c>
      <c r="AR10" s="697">
        <f>320+CX10</f>
        <v/>
      </c>
      <c r="AS10" s="697" t="n">
        <v>680</v>
      </c>
      <c r="AT10" s="697" t="n">
        <v>680</v>
      </c>
      <c r="AU10" s="697" t="n">
        <v>600</v>
      </c>
      <c r="AV10" s="697" t="n">
        <v>600</v>
      </c>
      <c r="AW10" s="697" t="n">
        <v>600</v>
      </c>
      <c r="AX10" s="697" t="n">
        <v>600</v>
      </c>
      <c r="AY10" s="697">
        <f>600+CS10</f>
        <v/>
      </c>
      <c r="AZ10" s="697" t="n">
        <v>460</v>
      </c>
      <c r="BA10" s="697" t="n">
        <v>100</v>
      </c>
      <c r="BB10" s="697" t="n">
        <v>0</v>
      </c>
      <c r="BC10" s="697">
        <f>200+CP10</f>
        <v/>
      </c>
      <c r="BD10" s="697" t="n">
        <v>800</v>
      </c>
      <c r="BE10" s="697">
        <f>600+CN10</f>
        <v/>
      </c>
      <c r="BF10" s="697" t="n">
        <v>780</v>
      </c>
      <c r="BG10" s="697" t="n">
        <v>700</v>
      </c>
      <c r="BH10" s="697" t="n">
        <v>640</v>
      </c>
      <c r="BI10" s="697" t="n">
        <v>560</v>
      </c>
      <c r="BJ10" s="697" t="n">
        <v>540</v>
      </c>
      <c r="BK10" s="697">
        <f>540+CJ10</f>
        <v/>
      </c>
      <c r="BL10" s="697" t="n">
        <v>360</v>
      </c>
      <c r="BM10" s="697">
        <f>200+CH10</f>
        <v/>
      </c>
      <c r="BN10" s="697" t="n">
        <v>540</v>
      </c>
      <c r="BO10" s="697" t="n">
        <v>400</v>
      </c>
      <c r="BP10" s="697" t="n">
        <v>300</v>
      </c>
      <c r="BQ10" s="697" t="n">
        <v>300</v>
      </c>
      <c r="BR10" s="697" t="n">
        <v>280</v>
      </c>
      <c r="BS10" s="314" t="n">
        <v>480</v>
      </c>
      <c r="BT10" s="697" t="n">
        <v>340</v>
      </c>
      <c r="BU10" s="697" t="n"/>
      <c r="BV10" s="699" t="n"/>
      <c r="BW10" s="699" t="n"/>
      <c r="BX10" s="192">
        <f>BV10+IF(NOT(ISBLANK(OFFSET(BX10,0,6))),N(OFFSET(BX10,0,6)),N(OFFSET(BX10,0,7)))-BW10</f>
        <v/>
      </c>
      <c r="BY10" s="129" t="n"/>
      <c r="BZ10" s="22" t="n"/>
      <c r="CA10" s="5" t="n"/>
      <c r="CB10" s="27" t="n"/>
      <c r="CC10" s="757" t="n">
        <v>0</v>
      </c>
      <c r="CD10" s="23" t="n">
        <v>0</v>
      </c>
      <c r="CE10" s="23" t="n">
        <v>0</v>
      </c>
      <c r="CF10" s="23" t="n">
        <v>0</v>
      </c>
      <c r="CG10" s="23" t="n"/>
      <c r="CH10" s="23" t="n"/>
      <c r="CI10" s="219" t="n">
        <v>1000</v>
      </c>
      <c r="CJ10" s="23" t="n">
        <v>400</v>
      </c>
      <c r="CK10" s="23" t="n"/>
      <c r="CL10" s="23" t="n">
        <v>200</v>
      </c>
      <c r="CM10" s="23" t="n"/>
      <c r="CN10" s="23" t="n"/>
      <c r="CO10" s="23" t="n"/>
      <c r="CP10" s="23" t="n">
        <v>200</v>
      </c>
      <c r="CQ10" s="23" t="n">
        <v>400</v>
      </c>
      <c r="CR10" s="23" t="n">
        <v>200</v>
      </c>
      <c r="CS10" s="23" t="n">
        <v>400</v>
      </c>
      <c r="CT10" s="23" t="n"/>
      <c r="CU10" s="23" t="n">
        <v>200</v>
      </c>
      <c r="CV10" s="23" t="n"/>
      <c r="CW10" s="23" t="n"/>
      <c r="CX10" s="23" t="n"/>
      <c r="CY10" s="23" t="n"/>
      <c r="CZ10" s="23" t="n">
        <v>200</v>
      </c>
      <c r="DA10" s="219" t="n">
        <v>1200</v>
      </c>
      <c r="DB10" s="23" t="n"/>
      <c r="DC10" s="23" t="n"/>
      <c r="DD10" s="23" t="n">
        <v>400</v>
      </c>
      <c r="DE10" s="23" t="n"/>
      <c r="DF10" s="23" t="n">
        <v>200</v>
      </c>
      <c r="DG10" s="437" t="inlineStr">
        <is>
          <t>100 P/ MD</t>
        </is>
      </c>
      <c r="DH10" s="23" t="n">
        <v>200</v>
      </c>
      <c r="DI10" s="23" t="n"/>
      <c r="DJ10" s="219" t="n">
        <v>200</v>
      </c>
      <c r="DK10" s="23" t="n">
        <v>400</v>
      </c>
      <c r="DL10" s="23" t="n"/>
      <c r="DM10" s="23" t="n"/>
      <c r="DN10" s="23" t="n"/>
      <c r="DO10" s="23" t="n"/>
      <c r="DP10" s="23" t="n">
        <v>400</v>
      </c>
      <c r="DQ10" s="23" t="n">
        <v>200</v>
      </c>
      <c r="DR10" s="23" t="n"/>
      <c r="DS10" s="23" t="n"/>
      <c r="DT10" s="219" t="n"/>
      <c r="DU10" s="219" t="n"/>
      <c r="DV10" s="23" t="n"/>
      <c r="DW10" s="219" t="n">
        <v>600</v>
      </c>
      <c r="DX10" s="219" t="n"/>
      <c r="DY10" s="219" t="n"/>
      <c r="DZ10" s="23" t="n"/>
      <c r="EA10" s="23" t="n"/>
      <c r="EB10" s="219" t="n"/>
      <c r="EC10" s="23" t="n"/>
      <c r="ED10" s="219" t="n"/>
      <c r="EE10" s="219" t="n">
        <v>800</v>
      </c>
      <c r="EF10" s="23" t="n"/>
      <c r="EG10" s="23" t="n"/>
      <c r="EH10" s="23" t="n">
        <v>400</v>
      </c>
      <c r="EI10" s="333" t="inlineStr">
        <is>
          <t>50 P/ BSH</t>
        </is>
      </c>
      <c r="EJ10" s="219" t="n"/>
      <c r="EK10" s="23" t="n"/>
      <c r="EL10" s="219" t="n">
        <v>1000</v>
      </c>
      <c r="EM10" s="23" t="n"/>
      <c r="EN10" s="23" t="n"/>
      <c r="EO10" s="23" t="n"/>
      <c r="EP10" s="23" t="n">
        <v>200</v>
      </c>
      <c r="EQ10" s="23" t="n">
        <v>200</v>
      </c>
      <c r="ER10" s="23" t="n">
        <v>200</v>
      </c>
      <c r="ES10" s="23" t="n"/>
      <c r="ET10" s="23" t="n">
        <v>200</v>
      </c>
      <c r="EU10" s="23" t="n"/>
      <c r="EV10" s="23" t="n"/>
      <c r="EW10" s="23" t="n">
        <v>200</v>
      </c>
      <c r="EY10" s="65" t="inlineStr">
        <is>
          <t xml:space="preserve">SACOLA M </t>
        </is>
      </c>
      <c r="EZ10" s="699" t="n">
        <v>200</v>
      </c>
      <c r="FA10" s="697">
        <f>CG10</f>
        <v/>
      </c>
      <c r="FB10" s="697" t="n">
        <v>840</v>
      </c>
      <c r="FC10" s="697" t="n">
        <v>640</v>
      </c>
      <c r="FD10" s="697" t="n">
        <v>480</v>
      </c>
      <c r="FE10" s="697" t="n">
        <v>440</v>
      </c>
      <c r="FF10" s="697" t="n">
        <v>40</v>
      </c>
      <c r="FG10" s="697" t="n"/>
      <c r="FH10" s="699" t="n"/>
      <c r="FI10" s="699" t="n"/>
      <c r="FJ10" s="431">
        <f>FH10+IF(NOT(ISBLANK(OFFSET(FJ10,0,6))),N(OFFSET(FJ10,0,6)),N(OFFSET(FJ10,0,7)))-FI10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60</v>
      </c>
      <c r="R11" s="697" t="n">
        <v>60</v>
      </c>
      <c r="S11" s="697" t="n">
        <v>40</v>
      </c>
      <c r="T11" s="697" t="n">
        <v>40</v>
      </c>
      <c r="U11" s="697" t="n">
        <v>40</v>
      </c>
      <c r="V11" s="697" t="n">
        <v>40</v>
      </c>
      <c r="W11" s="697" t="n">
        <v>40</v>
      </c>
      <c r="X11" s="697" t="n">
        <v>40</v>
      </c>
      <c r="Y11" s="697">
        <f>40+EE11</f>
        <v/>
      </c>
      <c r="Z11" s="697" t="n">
        <v>140</v>
      </c>
      <c r="AA11" s="697" t="n">
        <v>140</v>
      </c>
      <c r="AB11" s="697" t="n">
        <v>100</v>
      </c>
      <c r="AC11" s="697" t="n">
        <v>100</v>
      </c>
      <c r="AD11" s="697" t="n">
        <v>60</v>
      </c>
      <c r="AE11" s="697" t="n">
        <v>60</v>
      </c>
      <c r="AF11" s="697" t="n">
        <v>60</v>
      </c>
      <c r="AG11" s="697" t="n">
        <v>45</v>
      </c>
      <c r="AH11" s="697" t="n">
        <v>40</v>
      </c>
      <c r="AI11" s="697" t="n">
        <v>20</v>
      </c>
      <c r="AJ11" s="697" t="n">
        <v>20</v>
      </c>
      <c r="AK11" s="697" t="n">
        <v>15</v>
      </c>
      <c r="AL11" s="697" t="n">
        <v>15</v>
      </c>
      <c r="AM11" s="697" t="n">
        <v>15</v>
      </c>
      <c r="AN11" s="697" t="n">
        <v>0</v>
      </c>
      <c r="AO11" s="697">
        <f>0+90</f>
        <v/>
      </c>
      <c r="AP11" s="697" t="n">
        <v>90</v>
      </c>
      <c r="AQ11" s="697" t="n">
        <v>75</v>
      </c>
      <c r="AR11" s="697" t="n">
        <v>57</v>
      </c>
      <c r="AS11" s="697" t="n">
        <v>57</v>
      </c>
      <c r="AT11" s="697" t="n">
        <v>57</v>
      </c>
      <c r="AU11" s="697" t="n">
        <v>57</v>
      </c>
      <c r="AV11" s="697" t="n">
        <v>57</v>
      </c>
      <c r="AW11" s="697" t="n">
        <v>57</v>
      </c>
      <c r="AX11" s="697" t="n">
        <v>50</v>
      </c>
      <c r="AY11" s="697">
        <f>0+CS11</f>
        <v/>
      </c>
      <c r="AZ11" s="697" t="n">
        <v>60</v>
      </c>
      <c r="BA11" s="697" t="n">
        <v>20</v>
      </c>
      <c r="BB11" s="697" t="n">
        <v>20</v>
      </c>
      <c r="BC11" s="697" t="n">
        <v>100</v>
      </c>
      <c r="BD11" s="697" t="n">
        <v>100</v>
      </c>
      <c r="BE11" s="697" t="n">
        <v>100</v>
      </c>
      <c r="BF11" s="697" t="n">
        <v>100</v>
      </c>
      <c r="BG11" s="697" t="n">
        <v>80</v>
      </c>
      <c r="BH11" s="697" t="n">
        <v>60</v>
      </c>
      <c r="BI11" s="697">
        <f>60+CL11</f>
        <v/>
      </c>
      <c r="BJ11" s="697" t="n">
        <v>160</v>
      </c>
      <c r="BK11" s="697" t="n">
        <v>160</v>
      </c>
      <c r="BL11" s="697" t="n">
        <v>120</v>
      </c>
      <c r="BM11" s="697" t="n">
        <v>120</v>
      </c>
      <c r="BN11" s="697" t="n">
        <v>120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/>
      <c r="BV11" s="699" t="n"/>
      <c r="BW11" s="699" t="n"/>
      <c r="BX11" s="192">
        <f>BV11+IF(NOT(ISBLANK(OFFSET(BX11,0,6))),N(OFFSET(BX11,0,6)),N(OFFSET(BX11,0,7)))-BW11</f>
        <v/>
      </c>
      <c r="BY11" s="129" t="n"/>
      <c r="BZ11" s="22" t="n"/>
      <c r="CA11" s="5" t="n"/>
      <c r="CB11" s="27" t="n"/>
      <c r="CC11" s="757" t="n">
        <v>0</v>
      </c>
      <c r="CD11" s="23" t="n">
        <v>0</v>
      </c>
      <c r="CE11" s="23" t="n">
        <v>0</v>
      </c>
      <c r="CF11" s="23" t="n">
        <v>0</v>
      </c>
      <c r="CG11" s="23" t="n"/>
      <c r="CH11" s="23" t="n"/>
      <c r="CI11" s="219" t="n">
        <v>100</v>
      </c>
      <c r="CJ11" s="23" t="n"/>
      <c r="CK11" s="23" t="n"/>
      <c r="CL11" s="23" t="n"/>
      <c r="CM11" s="23" t="n"/>
      <c r="CN11" s="23" t="n">
        <v>100</v>
      </c>
      <c r="CO11" s="23" t="n"/>
      <c r="CP11" s="23" t="n"/>
      <c r="CQ11" s="23" t="n"/>
      <c r="CR11" s="23" t="n"/>
      <c r="CS11" s="23" t="n">
        <v>100</v>
      </c>
      <c r="CT11" s="23" t="n"/>
      <c r="CU11" s="23" t="n">
        <v>100</v>
      </c>
      <c r="CV11" s="23" t="n"/>
      <c r="CW11" s="23" t="n"/>
      <c r="CX11" s="23" t="n"/>
      <c r="CY11" s="23" t="n"/>
      <c r="CZ11" s="23" t="n"/>
      <c r="DA11" s="219" t="n">
        <v>100</v>
      </c>
      <c r="DB11" s="23" t="n"/>
      <c r="DC11" s="192" t="inlineStr">
        <is>
          <t>90 DE TTR</t>
        </is>
      </c>
      <c r="DD11" s="23" t="n"/>
      <c r="DE11" s="23" t="n"/>
      <c r="DF11" s="23" t="n"/>
      <c r="DG11" s="219" t="n"/>
      <c r="DH11" s="23" t="n"/>
      <c r="DI11" s="23" t="n"/>
      <c r="DJ11" s="219" t="n"/>
      <c r="DK11" s="23" t="n"/>
      <c r="DL11" s="23" t="n"/>
      <c r="DM11" s="23" t="n"/>
      <c r="DN11" s="23" t="n"/>
      <c r="DO11" s="23" t="n"/>
      <c r="DP11" s="23" t="n"/>
      <c r="DQ11" s="23" t="n"/>
      <c r="DR11" s="23" t="n"/>
      <c r="DS11" s="23" t="n"/>
      <c r="DT11" s="219" t="n"/>
      <c r="DU11" s="219" t="n"/>
      <c r="DV11" s="23" t="n"/>
      <c r="DW11" s="219" t="n"/>
      <c r="DX11" s="219" t="n"/>
      <c r="DY11" s="219" t="n"/>
      <c r="DZ11" s="23" t="n"/>
      <c r="EA11" s="23" t="n"/>
      <c r="EB11" s="219" t="n"/>
      <c r="EC11" s="23" t="n"/>
      <c r="ED11" s="219" t="n"/>
      <c r="EE11" s="219" t="n"/>
      <c r="EF11" s="23" t="n"/>
      <c r="EG11" s="23" t="n">
        <v>100</v>
      </c>
      <c r="EH11" s="23" t="n"/>
      <c r="EI11" s="23" t="n"/>
      <c r="EJ11" s="219" t="n"/>
      <c r="EK11" s="23" t="n"/>
      <c r="EL11" s="219" t="n">
        <v>100</v>
      </c>
      <c r="EM11" s="23" t="n"/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Y11" s="66" t="inlineStr">
        <is>
          <t xml:space="preserve">SACOLA G </t>
        </is>
      </c>
      <c r="EZ11" s="699" t="n">
        <v>100</v>
      </c>
      <c r="FA11" s="697">
        <f>CG11</f>
        <v/>
      </c>
      <c r="FB11" s="697" t="n">
        <v>70</v>
      </c>
      <c r="FC11" s="697" t="n">
        <v>70</v>
      </c>
      <c r="FD11" s="697" t="n">
        <v>70</v>
      </c>
      <c r="FE11" s="697" t="n">
        <v>60</v>
      </c>
      <c r="FF11" s="697" t="n">
        <v>10</v>
      </c>
      <c r="FG11" s="697" t="n"/>
      <c r="FH11" s="699" t="n"/>
      <c r="FI11" s="699" t="n"/>
      <c r="FJ11" s="431">
        <f>FH11+IF(NOT(ISBLANK(OFFSET(FJ11,0,6))),N(OFFSET(FJ11,0,6)),N(OFFSET(FJ11,0,7)))-FI11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2" t="n"/>
      <c r="BW12" s="2" t="n"/>
      <c r="BX12" s="4" t="n"/>
      <c r="BZ12" s="16" t="n"/>
      <c r="CA12" s="5" t="n"/>
      <c r="CB12" s="18" t="n"/>
      <c r="CC12" s="5" t="n"/>
      <c r="CI12" s="47" t="n"/>
      <c r="DA12" s="47" t="n"/>
      <c r="DG12" s="64" t="n"/>
      <c r="DJ12" s="64" t="n"/>
      <c r="DT12" s="47" t="n"/>
      <c r="DU12" s="47" t="n"/>
      <c r="DW12" s="47" t="n"/>
      <c r="DX12" s="64" t="n"/>
      <c r="DY12" s="308" t="n"/>
      <c r="EB12" s="64" t="n"/>
      <c r="ED12" s="308" t="n"/>
      <c r="EE12" s="64" t="n"/>
      <c r="EJ12" s="308" t="n"/>
      <c r="EL12" s="308" t="n"/>
      <c r="EY12" s="35" t="n"/>
      <c r="EZ12" s="2" t="n"/>
      <c r="FA12" s="4" t="n"/>
      <c r="FB12" s="4" t="n"/>
      <c r="FC12" s="4" t="n"/>
      <c r="FD12" s="4" t="n"/>
      <c r="FE12" s="4" t="n"/>
      <c r="FF12" s="4" t="n"/>
      <c r="FG12" s="4" t="n"/>
      <c r="FH12" s="2" t="n"/>
      <c r="FI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45859</v>
      </c>
      <c r="AE13" s="746" t="n">
        <v>45866</v>
      </c>
      <c r="AF13" s="746" t="n">
        <v>45873</v>
      </c>
      <c r="AG13" s="746" t="n">
        <v>45880</v>
      </c>
      <c r="AH13" s="746" t="n">
        <v>45887</v>
      </c>
      <c r="AI13" s="746" t="n">
        <v>45894</v>
      </c>
      <c r="AJ13" s="746" t="n">
        <v>45901</v>
      </c>
      <c r="AK13" s="746" t="n">
        <v>45908</v>
      </c>
      <c r="AL13" s="746" t="n">
        <v>45915</v>
      </c>
      <c r="AM13" s="746" t="n">
        <v>45922</v>
      </c>
      <c r="AN13" s="746" t="n">
        <v>45929</v>
      </c>
      <c r="AO13" s="746" t="n">
        <v>45936</v>
      </c>
      <c r="AP13" s="746" t="n">
        <v>45943</v>
      </c>
      <c r="AQ13" s="746" t="n">
        <v>45950</v>
      </c>
      <c r="AR13" s="746" t="n">
        <v>45957</v>
      </c>
      <c r="AS13" s="746" t="n">
        <v>45964</v>
      </c>
      <c r="AT13" s="746" t="n">
        <v>45971</v>
      </c>
      <c r="AU13" s="746" t="n">
        <v>45978</v>
      </c>
      <c r="AV13" s="746" t="n">
        <v>45985</v>
      </c>
      <c r="AW13" s="746" t="n">
        <v>45992</v>
      </c>
      <c r="AX13" s="746" t="n">
        <v>45999</v>
      </c>
      <c r="AY13" s="746" t="n">
        <v>46006</v>
      </c>
      <c r="AZ13" s="746" t="n">
        <v>46013</v>
      </c>
      <c r="BA13" s="746" t="n">
        <v>46020</v>
      </c>
      <c r="BB13" s="746" t="n">
        <v>46027</v>
      </c>
      <c r="BC13" s="746" t="n">
        <v>46034</v>
      </c>
      <c r="BD13" s="746" t="n">
        <v>46041</v>
      </c>
      <c r="BE13" s="746" t="n">
        <v>46048</v>
      </c>
      <c r="BF13" s="746" t="n">
        <v>46055</v>
      </c>
      <c r="BG13" s="746" t="n">
        <v>46062</v>
      </c>
      <c r="BH13" s="746" t="n">
        <v>46069</v>
      </c>
      <c r="BI13" s="746" t="n">
        <v>46076</v>
      </c>
      <c r="BJ13" s="746" t="n">
        <v>46083</v>
      </c>
      <c r="BK13" s="746" t="n">
        <v>46090</v>
      </c>
      <c r="BL13" s="746" t="n">
        <v>46097</v>
      </c>
      <c r="BM13" s="746" t="n">
        <v>46104</v>
      </c>
      <c r="BN13" s="746" t="n">
        <v>46111</v>
      </c>
      <c r="BO13" s="746" t="n">
        <v>46118</v>
      </c>
      <c r="BP13" s="746" t="n">
        <v>46125</v>
      </c>
      <c r="BQ13" s="746" t="n">
        <v>46132</v>
      </c>
      <c r="BR13" s="746" t="n">
        <v>46139</v>
      </c>
      <c r="BS13" s="746" t="n">
        <v>46146</v>
      </c>
      <c r="BT13" s="746" t="n">
        <v>46154</v>
      </c>
      <c r="BU13" s="746" t="n">
        <v>46160</v>
      </c>
      <c r="BV13" s="747" t="n">
        <v>46161.48023141204</v>
      </c>
      <c r="BW13" s="747" t="n">
        <v>46161.48088953574</v>
      </c>
      <c r="BX13" s="748" t="inlineStr">
        <is>
          <t>USOU</t>
        </is>
      </c>
      <c r="BZ13" s="44" t="inlineStr">
        <is>
          <t>Pendências</t>
        </is>
      </c>
      <c r="CA13" s="5" t="n"/>
      <c r="CB13" s="12" t="inlineStr">
        <is>
          <t>Novo Pedido</t>
        </is>
      </c>
      <c r="CC13" s="733" t="n">
        <v>46161.48088781551</v>
      </c>
      <c r="CD13" s="734" t="n">
        <v>46156</v>
      </c>
      <c r="CE13" s="734" t="n">
        <v>46149</v>
      </c>
      <c r="CF13" s="734" t="n">
        <v>46142</v>
      </c>
      <c r="CG13" s="734" t="n">
        <v>46114</v>
      </c>
      <c r="CH13" s="734" t="n">
        <v>46107</v>
      </c>
      <c r="CI13" s="735" t="n">
        <v>46065</v>
      </c>
      <c r="CJ13" s="734" t="n">
        <v>46099</v>
      </c>
      <c r="CK13" s="734" t="n">
        <v>46092</v>
      </c>
      <c r="CL13" s="734" t="n">
        <v>46084</v>
      </c>
      <c r="CM13" s="734" t="n">
        <v>46077</v>
      </c>
      <c r="CN13" s="734" t="n">
        <v>46071</v>
      </c>
      <c r="CO13" s="734" t="n">
        <v>46048</v>
      </c>
      <c r="CP13" s="734" t="n">
        <v>46043</v>
      </c>
      <c r="CQ13" s="734" t="n">
        <v>46035</v>
      </c>
      <c r="CR13" s="734" t="n">
        <v>46029</v>
      </c>
      <c r="CS13" s="734" t="n">
        <v>46017</v>
      </c>
      <c r="CT13" s="734" t="n">
        <v>46007</v>
      </c>
      <c r="CU13" s="734" t="n">
        <v>46001</v>
      </c>
      <c r="CV13" s="734" t="n">
        <v>45994</v>
      </c>
      <c r="CW13" s="734" t="n">
        <v>45980</v>
      </c>
      <c r="CX13" s="734" t="n">
        <v>45973</v>
      </c>
      <c r="CY13" s="734" t="n">
        <v>45960</v>
      </c>
      <c r="CZ13" s="734" t="n">
        <v>45951</v>
      </c>
      <c r="DA13" s="737" t="n">
        <v>45903</v>
      </c>
      <c r="DB13" s="734" t="n">
        <v>45937</v>
      </c>
      <c r="DC13" s="736" t="n">
        <v>45939</v>
      </c>
      <c r="DD13" s="734" t="n">
        <v>45931</v>
      </c>
      <c r="DE13" s="734" t="n">
        <v>45923</v>
      </c>
      <c r="DF13" s="734" t="n">
        <v>45923</v>
      </c>
      <c r="DG13" s="754" t="n">
        <v>45923</v>
      </c>
      <c r="DH13" s="734" t="n">
        <v>45915</v>
      </c>
      <c r="DI13" s="736" t="n">
        <v>45918</v>
      </c>
      <c r="DJ13" s="738" t="n">
        <v>45863</v>
      </c>
      <c r="DK13" s="734" t="n">
        <v>45909</v>
      </c>
      <c r="DL13" s="734" t="n">
        <v>45903</v>
      </c>
      <c r="DM13" s="734" t="n">
        <v>45895</v>
      </c>
      <c r="DN13" s="734" t="n">
        <v>45888</v>
      </c>
      <c r="DO13" s="739" t="n">
        <v>45888</v>
      </c>
      <c r="DP13" s="734" t="n">
        <v>45881</v>
      </c>
      <c r="DQ13" s="734" t="n">
        <v>45867</v>
      </c>
      <c r="DR13" s="734" t="n">
        <v>45860</v>
      </c>
      <c r="DS13" s="734" t="n">
        <v>45853</v>
      </c>
      <c r="DT13" s="739" t="n">
        <v>45860</v>
      </c>
      <c r="DU13" s="739" t="n">
        <v>45852</v>
      </c>
      <c r="DV13" s="736" t="n">
        <v>45851</v>
      </c>
      <c r="DW13" s="739" t="n">
        <v>45791</v>
      </c>
      <c r="DX13" s="755" t="n">
        <v>45826</v>
      </c>
      <c r="DY13" s="740" t="n">
        <v>45826</v>
      </c>
      <c r="DZ13" s="734" t="n">
        <v>45813</v>
      </c>
      <c r="EA13" s="736" t="n">
        <v>45806</v>
      </c>
      <c r="EB13" s="755" t="n">
        <v>45803</v>
      </c>
      <c r="EC13" s="734" t="n">
        <v>45798</v>
      </c>
      <c r="ED13" s="740" t="n">
        <v>45800</v>
      </c>
      <c r="EE13" s="742" t="n">
        <v>45735</v>
      </c>
      <c r="EF13" s="734" t="n">
        <v>45790</v>
      </c>
      <c r="EG13" s="734" t="n">
        <v>45783</v>
      </c>
      <c r="EH13" s="734" t="n">
        <v>45749</v>
      </c>
      <c r="EI13" s="743" t="n">
        <v>45761</v>
      </c>
      <c r="EJ13" s="740" t="n">
        <v>45754</v>
      </c>
      <c r="EK13" s="734" t="n">
        <v>45743</v>
      </c>
      <c r="EL13" s="740" t="n">
        <v>45700</v>
      </c>
      <c r="EM13" s="734" t="n">
        <v>45734</v>
      </c>
      <c r="EN13" s="734" t="n">
        <v>45728</v>
      </c>
      <c r="EO13" s="736" t="n">
        <v>45727</v>
      </c>
      <c r="EP13" s="734" t="n">
        <v>45722</v>
      </c>
      <c r="EQ13" s="734" t="n">
        <v>45714</v>
      </c>
      <c r="ER13" s="734" t="n">
        <v>45706</v>
      </c>
      <c r="ES13" s="734" t="n">
        <v>45699</v>
      </c>
      <c r="ET13" s="734" t="n">
        <v>45664</v>
      </c>
      <c r="EU13" s="734" t="n">
        <v>45660</v>
      </c>
      <c r="EV13" s="734" t="n">
        <v>45652</v>
      </c>
      <c r="EW13" s="734" t="n">
        <v>45643</v>
      </c>
      <c r="EY13" s="304" t="inlineStr">
        <is>
          <t>DIVERSOS</t>
        </is>
      </c>
      <c r="EZ13" s="235" t="inlineStr">
        <is>
          <t>PCT</t>
        </is>
      </c>
      <c r="FA13" s="746" t="n">
        <v>46118</v>
      </c>
      <c r="FB13" s="746" t="n">
        <v>46125</v>
      </c>
      <c r="FC13" s="746" t="n">
        <v>46132</v>
      </c>
      <c r="FD13" s="746" t="n">
        <v>46139</v>
      </c>
      <c r="FE13" s="746" t="n">
        <v>46146</v>
      </c>
      <c r="FF13" s="746" t="n">
        <v>46154</v>
      </c>
      <c r="FG13" s="746" t="n">
        <v>46160</v>
      </c>
      <c r="FH13" s="747" t="n">
        <v>46161.48023011574</v>
      </c>
      <c r="FI13" s="747" t="n">
        <v>46161.48088857978</v>
      </c>
      <c r="FJ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 t="n">
        <v>5</v>
      </c>
      <c r="G14" s="697">
        <f>4+ES14</f>
        <v/>
      </c>
      <c r="H14" s="697" t="n">
        <v>5</v>
      </c>
      <c r="I14" s="697" t="n">
        <v>7</v>
      </c>
      <c r="J14" s="697" t="n">
        <v>6</v>
      </c>
      <c r="K14" s="697" t="n">
        <v>6</v>
      </c>
      <c r="L14" s="697" t="n">
        <v>5</v>
      </c>
      <c r="M14" s="697" t="n">
        <v>4</v>
      </c>
      <c r="N14" s="697" t="n">
        <v>4</v>
      </c>
      <c r="O14" s="697" t="n">
        <v>3</v>
      </c>
      <c r="P14" s="697">
        <f>3+EN14</f>
        <v/>
      </c>
      <c r="Q14" s="697" t="n">
        <v>2</v>
      </c>
      <c r="R14" s="697" t="n">
        <v>0</v>
      </c>
      <c r="S14" s="697" t="n">
        <v>3</v>
      </c>
      <c r="T14" s="697" t="n">
        <v>5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2</v>
      </c>
      <c r="Z14" s="697" t="n">
        <v>4</v>
      </c>
      <c r="AA14" s="697" t="n">
        <v>3</v>
      </c>
      <c r="AB14" s="697" t="n">
        <v>3</v>
      </c>
      <c r="AC14" s="697">
        <f>3+DX14</f>
        <v/>
      </c>
      <c r="AD14" s="697">
        <f>4+DQ14</f>
        <v/>
      </c>
      <c r="AE14" s="697" t="n">
        <v>5</v>
      </c>
      <c r="AF14" s="697" t="n">
        <v>5</v>
      </c>
      <c r="AG14" s="697" t="n">
        <v>3</v>
      </c>
      <c r="AH14" s="697" t="n">
        <v>3</v>
      </c>
      <c r="AI14" s="697" t="n">
        <v>4</v>
      </c>
      <c r="AJ14" s="697" t="n">
        <v>3</v>
      </c>
      <c r="AK14" s="697">
        <f>2+DJ14</f>
        <v/>
      </c>
      <c r="AL14" s="697" t="n">
        <v>3</v>
      </c>
      <c r="AM14" s="697">
        <f>3+DF14</f>
        <v/>
      </c>
      <c r="AN14" s="697" t="n">
        <v>3</v>
      </c>
      <c r="AO14" s="697">
        <f>2+DB14</f>
        <v/>
      </c>
      <c r="AP14" s="697">
        <f>3+CZ14</f>
        <v/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3+CV14</f>
        <v/>
      </c>
      <c r="AV14" s="697" t="n">
        <v>4</v>
      </c>
      <c r="AW14" s="697" t="n">
        <v>3</v>
      </c>
      <c r="AX14" s="697">
        <f>2+CT14</f>
        <v/>
      </c>
      <c r="AY14" s="697">
        <f>1+CS14</f>
        <v/>
      </c>
      <c r="AZ14" s="697" t="n">
        <v>5</v>
      </c>
      <c r="BA14" s="697" t="n">
        <v>1</v>
      </c>
      <c r="BB14" s="697" t="n">
        <v>0</v>
      </c>
      <c r="BC14" s="697">
        <f>5+CP14</f>
        <v/>
      </c>
      <c r="BD14" s="697">
        <f>9+CO14</f>
        <v/>
      </c>
      <c r="BE14" s="697" t="n">
        <v>9</v>
      </c>
      <c r="BF14" s="697">
        <f>9+CM14</f>
        <v/>
      </c>
      <c r="BG14" s="697" t="n">
        <v>18</v>
      </c>
      <c r="BH14" s="697" t="n">
        <v>15</v>
      </c>
      <c r="BI14" s="697" t="n">
        <v>13</v>
      </c>
      <c r="BJ14" s="697" t="n">
        <v>13</v>
      </c>
      <c r="BK14" s="697" t="n">
        <v>11</v>
      </c>
      <c r="BL14" s="697" t="n">
        <v>9</v>
      </c>
      <c r="BM14" s="697">
        <f>9+CH14</f>
        <v/>
      </c>
      <c r="BN14" s="697" t="n">
        <v>9</v>
      </c>
      <c r="BO14" s="697">
        <f>8+CD14</f>
        <v/>
      </c>
      <c r="BP14" s="697" t="n">
        <v>9</v>
      </c>
      <c r="BQ14" s="697" t="n">
        <v>9</v>
      </c>
      <c r="BR14" s="697" t="n">
        <v>9</v>
      </c>
      <c r="BS14" s="697">
        <f>9+CD14</f>
        <v/>
      </c>
      <c r="BT14" s="697" t="n">
        <v>8</v>
      </c>
      <c r="BU14" s="697" t="n"/>
      <c r="BV14" s="699" t="n"/>
      <c r="BW14" s="699" t="n"/>
      <c r="BX14" s="192">
        <f>BV14+IF(NOT(ISBLANK(OFFSET(BX14,0,6))),N(OFFSET(BX14,0,6)),N(OFFSET(BX14,0,7)))-BW14</f>
        <v/>
      </c>
      <c r="BZ14" s="22" t="n">
        <v>4</v>
      </c>
      <c r="CA14" s="726" t="n"/>
      <c r="CB14" s="27" t="n"/>
      <c r="CC14" s="757" t="n">
        <v>0</v>
      </c>
      <c r="CD14" s="23" t="n">
        <v>0</v>
      </c>
      <c r="CE14" s="23" t="n">
        <v>0</v>
      </c>
      <c r="CF14" s="23" t="n">
        <v>5</v>
      </c>
      <c r="CG14" s="23" t="n">
        <v>3</v>
      </c>
      <c r="CH14" s="23" t="n"/>
      <c r="CI14" s="219" t="n">
        <v>9</v>
      </c>
      <c r="CJ14" s="23" t="n">
        <v>3</v>
      </c>
      <c r="CK14" s="23" t="n"/>
      <c r="CL14" s="23" t="n"/>
      <c r="CM14" s="23" t="n"/>
      <c r="CN14" s="23" t="n"/>
      <c r="CO14" s="23" t="n">
        <v>10</v>
      </c>
      <c r="CP14" s="23" t="n"/>
      <c r="CQ14" s="23" t="n">
        <v>5</v>
      </c>
      <c r="CR14" s="23" t="n">
        <v>5</v>
      </c>
      <c r="CS14" s="23" t="n">
        <v>6</v>
      </c>
      <c r="CT14" s="23" t="n"/>
      <c r="CU14" s="23" t="n">
        <v>10</v>
      </c>
      <c r="CV14" s="23" t="n">
        <v>1</v>
      </c>
      <c r="CW14" s="23" t="n"/>
      <c r="CX14" s="23" t="n">
        <v>1</v>
      </c>
      <c r="CY14" s="23" t="n"/>
      <c r="CZ14" s="23" t="n"/>
      <c r="DA14" s="219" t="n">
        <v>10</v>
      </c>
      <c r="DB14" s="23" t="n">
        <v>2</v>
      </c>
      <c r="DC14" s="23" t="n"/>
      <c r="DD14" s="23" t="n">
        <v>1</v>
      </c>
      <c r="DE14" s="23" t="n"/>
      <c r="DF14" s="23" t="n"/>
      <c r="DG14" s="437" t="inlineStr">
        <is>
          <t>100 P/ MD</t>
        </is>
      </c>
      <c r="DH14" s="23" t="n">
        <v>1</v>
      </c>
      <c r="DI14" s="23" t="n"/>
      <c r="DJ14" s="219" t="n">
        <v>200</v>
      </c>
      <c r="DK14" s="23" t="n">
        <v>2</v>
      </c>
      <c r="DL14" s="23" t="n">
        <v>1</v>
      </c>
      <c r="DM14" s="23" t="n"/>
      <c r="DN14" s="23" t="n">
        <v>1</v>
      </c>
      <c r="DO14" s="23" t="n"/>
      <c r="DP14" s="23" t="n">
        <v>1</v>
      </c>
      <c r="DQ14" s="23" t="n"/>
      <c r="DR14" s="23" t="n"/>
      <c r="DS14" s="23" t="n">
        <v>1</v>
      </c>
      <c r="DT14" s="219" t="n"/>
      <c r="DU14" s="219" t="n"/>
      <c r="DV14" s="23" t="n"/>
      <c r="DW14" s="219" t="n">
        <v>5</v>
      </c>
      <c r="DX14" s="219" t="n"/>
      <c r="DY14" s="219" t="n"/>
      <c r="DZ14" s="23" t="n">
        <v>1</v>
      </c>
      <c r="EA14" s="23" t="n"/>
      <c r="EB14" s="219" t="n"/>
      <c r="EC14" s="23" t="n"/>
      <c r="ED14" s="219" t="n"/>
      <c r="EE14" s="219" t="n">
        <v>2</v>
      </c>
      <c r="EF14" s="23" t="n">
        <v>4</v>
      </c>
      <c r="EG14" s="23" t="n"/>
      <c r="EH14" s="23" t="n"/>
      <c r="EI14" s="23" t="n"/>
      <c r="EJ14" s="219" t="n"/>
      <c r="EK14" s="23" t="n">
        <v>3</v>
      </c>
      <c r="EL14" s="219" t="n">
        <v>8</v>
      </c>
      <c r="EM14" s="23" t="n">
        <v>3</v>
      </c>
      <c r="EN14" s="23" t="n"/>
      <c r="EO14" s="23" t="n"/>
      <c r="EP14" s="23" t="n"/>
      <c r="EQ14" s="23" t="n"/>
      <c r="ER14" s="23" t="n"/>
      <c r="ES14" s="23" t="n"/>
      <c r="ET14" s="23" t="n">
        <v>2</v>
      </c>
      <c r="EU14" s="23" t="n">
        <v>1</v>
      </c>
      <c r="EV14" s="23" t="n"/>
      <c r="EW14" s="23" t="n">
        <v>3</v>
      </c>
      <c r="EY14" s="300" t="inlineStr">
        <is>
          <t>PAPEL DE SEDA</t>
        </is>
      </c>
      <c r="EZ14" s="162" t="n">
        <v>200</v>
      </c>
      <c r="FA14" s="697">
        <f>CG14</f>
        <v/>
      </c>
      <c r="FB14" s="697" t="n">
        <v>5</v>
      </c>
      <c r="FC14" s="697" t="n">
        <v>5</v>
      </c>
      <c r="FD14" s="697" t="n">
        <v>3</v>
      </c>
      <c r="FE14" s="697" t="n">
        <v>0</v>
      </c>
      <c r="FF14" s="697" t="n">
        <v>0</v>
      </c>
      <c r="FG14" s="697" t="n"/>
      <c r="FH14" s="699" t="n"/>
      <c r="FI14" s="699" t="n"/>
      <c r="FJ14" s="431">
        <f>FH14+IF(NOT(ISBLANK(OFFSET(FJ14,0,6))),N(OFFSET(FJ14,0,6)),N(OFFSET(FJ14,0,7)))-FI14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3</v>
      </c>
      <c r="G15" s="697" t="n">
        <v>2</v>
      </c>
      <c r="H15" s="697" t="n">
        <v>2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2</v>
      </c>
      <c r="O15" s="697">
        <f>2+EO15</f>
        <v/>
      </c>
      <c r="P15" s="697">
        <f>3-1</f>
        <v/>
      </c>
      <c r="Q15" s="697">
        <f>2+EL15+1</f>
        <v/>
      </c>
      <c r="R15" s="697" t="n">
        <v>4</v>
      </c>
      <c r="S15" s="697" t="n">
        <v>4</v>
      </c>
      <c r="T15" s="697" t="n">
        <v>4</v>
      </c>
      <c r="U15" s="697" t="n">
        <v>4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3</v>
      </c>
      <c r="AA15" s="697" t="n">
        <v>3</v>
      </c>
      <c r="AB15" s="697" t="n">
        <v>3</v>
      </c>
      <c r="AC15" s="697" t="n">
        <v>3</v>
      </c>
      <c r="AD15" s="697" t="n">
        <v>1</v>
      </c>
      <c r="AE15" s="697">
        <f>2+DP15</f>
        <v/>
      </c>
      <c r="AF15" s="697" t="n">
        <v>4</v>
      </c>
      <c r="AG15" s="697" t="n">
        <v>4</v>
      </c>
      <c r="AH15" s="697" t="n">
        <v>4</v>
      </c>
      <c r="AI15" s="697" t="n">
        <v>4</v>
      </c>
      <c r="AJ15" s="697" t="n">
        <v>4</v>
      </c>
      <c r="AK15" s="697" t="n">
        <v>4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3</v>
      </c>
      <c r="AQ15" s="697" t="n">
        <v>3</v>
      </c>
      <c r="AR15" s="697" t="n">
        <v>3</v>
      </c>
      <c r="AS15" s="697" t="n">
        <v>3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>
        <f>1+CS15</f>
        <v/>
      </c>
      <c r="AZ15" s="697">
        <f>1+CR15</f>
        <v/>
      </c>
      <c r="BA15" s="697" t="n">
        <v>5</v>
      </c>
      <c r="BB15" s="697" t="n">
        <v>5</v>
      </c>
      <c r="BC15" s="697" t="n">
        <v>4</v>
      </c>
      <c r="BD15" s="697">
        <f>4+CO15</f>
        <v/>
      </c>
      <c r="BE15" s="697" t="n">
        <v>6</v>
      </c>
      <c r="BF15" s="697" t="n">
        <v>6</v>
      </c>
      <c r="BG15" s="697" t="n">
        <v>6</v>
      </c>
      <c r="BH15" s="697" t="n">
        <v>6</v>
      </c>
      <c r="BI15" s="697" t="n">
        <v>6</v>
      </c>
      <c r="BJ15" s="697" t="n">
        <v>6</v>
      </c>
      <c r="BK15" s="697" t="n">
        <v>5</v>
      </c>
      <c r="BL15" s="697" t="n">
        <v>5</v>
      </c>
      <c r="BM15" s="697" t="n">
        <v>5</v>
      </c>
      <c r="BN15" s="697" t="n">
        <v>4</v>
      </c>
      <c r="BO15" s="697" t="n">
        <v>4</v>
      </c>
      <c r="BP15" s="697" t="n">
        <v>4</v>
      </c>
      <c r="BQ15" s="697" t="n">
        <v>3</v>
      </c>
      <c r="BR15" s="697" t="n">
        <v>2</v>
      </c>
      <c r="BS15" s="697" t="n">
        <v>2</v>
      </c>
      <c r="BT15" s="697" t="n">
        <v>1</v>
      </c>
      <c r="BU15" s="697" t="n"/>
      <c r="BV15" s="699" t="n"/>
      <c r="BW15" s="699" t="n"/>
      <c r="BX15" s="192">
        <f>BV15+IF(NOT(ISBLANK(OFFSET(BX15,0,6))),N(OFFSET(BX15,0,6)),N(OFFSET(BX15,0,7)))-BW15</f>
        <v/>
      </c>
      <c r="BZ15" s="22" t="n"/>
      <c r="CA15" s="726" t="n"/>
      <c r="CB15" s="27" t="n"/>
      <c r="CC15" s="757" t="n">
        <v>0</v>
      </c>
      <c r="CD15" s="23" t="n">
        <v>0</v>
      </c>
      <c r="CE15" s="23" t="n">
        <v>0</v>
      </c>
      <c r="CF15" s="23" t="n">
        <v>0</v>
      </c>
      <c r="CG15" s="23" t="n"/>
      <c r="CH15" s="23" t="n"/>
      <c r="CI15" s="219" t="n">
        <v>4</v>
      </c>
      <c r="CJ15" s="23" t="n"/>
      <c r="CK15" s="23" t="n"/>
      <c r="CL15" s="23" t="n"/>
      <c r="CM15" s="23" t="n"/>
      <c r="CN15" s="23" t="n"/>
      <c r="CO15" s="23" t="n"/>
      <c r="CP15" s="23" t="n"/>
      <c r="CQ15" s="23" t="n">
        <v>2</v>
      </c>
      <c r="CR15" s="23" t="n"/>
      <c r="CS15" s="23" t="n">
        <v>1</v>
      </c>
      <c r="CT15" s="23" t="n">
        <v>4</v>
      </c>
      <c r="CU15" s="23" t="n">
        <v>1</v>
      </c>
      <c r="CV15" s="23" t="n"/>
      <c r="CW15" s="23" t="n"/>
      <c r="CX15" s="23" t="n"/>
      <c r="CY15" s="23" t="n"/>
      <c r="CZ15" s="23" t="n"/>
      <c r="DA15" s="219" t="n">
        <v>7</v>
      </c>
      <c r="DB15" s="23" t="n"/>
      <c r="DC15" s="23" t="n"/>
      <c r="DD15" s="23" t="n"/>
      <c r="DE15" s="23" t="n"/>
      <c r="DF15" s="23" t="n"/>
      <c r="DG15" s="437" t="inlineStr">
        <is>
          <t>100 P/ MD</t>
        </is>
      </c>
      <c r="DH15" s="23" t="n"/>
      <c r="DI15" s="23" t="n"/>
      <c r="DJ15" s="219" t="n">
        <v>200</v>
      </c>
      <c r="DK15" s="23" t="n"/>
      <c r="DL15" s="23" t="n"/>
      <c r="DM15" s="23" t="n"/>
      <c r="DN15" s="23" t="n"/>
      <c r="DO15" s="23" t="n"/>
      <c r="DP15" s="23" t="n"/>
      <c r="DQ15" s="23" t="n"/>
      <c r="DR15" s="23" t="n">
        <v>2</v>
      </c>
      <c r="DS15" s="23" t="n"/>
      <c r="DT15" s="219" t="n"/>
      <c r="DU15" s="219" t="n"/>
      <c r="DV15" s="23" t="n"/>
      <c r="DW15" s="219" t="n"/>
      <c r="DX15" s="219" t="n"/>
      <c r="DY15" s="219" t="n"/>
      <c r="DZ15" s="23" t="n"/>
      <c r="EA15" s="23" t="n"/>
      <c r="EB15" s="219" t="n"/>
      <c r="EC15" s="23" t="n"/>
      <c r="ED15" s="219" t="n"/>
      <c r="EE15" s="219" t="n">
        <v>2</v>
      </c>
      <c r="EF15" s="23" t="n">
        <v>1</v>
      </c>
      <c r="EG15" s="23" t="n"/>
      <c r="EH15" s="23" t="n"/>
      <c r="EI15" s="23" t="n"/>
      <c r="EJ15" s="219" t="n"/>
      <c r="EK15" s="23" t="n"/>
      <c r="EL15" s="219" t="n"/>
      <c r="EM15" s="23" t="n"/>
      <c r="EN15" s="23" t="n">
        <v>1</v>
      </c>
      <c r="EO15" s="282" t="inlineStr">
        <is>
          <t>01 P/ BSH</t>
        </is>
      </c>
      <c r="EP15" s="23" t="n"/>
      <c r="EQ15" s="23" t="n">
        <v>2</v>
      </c>
      <c r="ER15" s="23" t="n"/>
      <c r="ES15" s="23" t="n"/>
      <c r="ET15" s="23" t="n">
        <v>1</v>
      </c>
      <c r="EU15" s="23" t="n"/>
      <c r="EV15" s="23" t="n"/>
      <c r="EW15" s="23" t="n">
        <v>2</v>
      </c>
      <c r="EY15" s="65" t="inlineStr">
        <is>
          <t>ADESIVOS</t>
        </is>
      </c>
      <c r="EZ15" s="699" t="n">
        <v>200</v>
      </c>
      <c r="FA15" s="697">
        <f>CG15</f>
        <v/>
      </c>
      <c r="FB15" s="697" t="n">
        <v>3</v>
      </c>
      <c r="FC15" s="697" t="n">
        <v>2</v>
      </c>
      <c r="FD15" s="697" t="n">
        <v>2</v>
      </c>
      <c r="FE15" s="697" t="n">
        <v>0</v>
      </c>
      <c r="FF15" s="697" t="n">
        <v>0</v>
      </c>
      <c r="FG15" s="697" t="n"/>
      <c r="FH15" s="699" t="n"/>
      <c r="FI15" s="699" t="n"/>
      <c r="FJ15" s="431">
        <f>FH15+IF(NOT(ISBLANK(OFFSET(FJ15,0,6))),N(OFFSET(FJ15,0,6)),N(OFFSET(FJ15,0,7)))-FI15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0+ET16</f>
        <v/>
      </c>
      <c r="G16" s="697">
        <f>4+ES16</f>
        <v/>
      </c>
      <c r="H16" s="697" t="n">
        <v>5</v>
      </c>
      <c r="I16" s="697" t="n">
        <v>5</v>
      </c>
      <c r="J16" s="697" t="n">
        <v>4</v>
      </c>
      <c r="K16" s="697" t="n">
        <v>4</v>
      </c>
      <c r="L16" s="697" t="n">
        <v>2</v>
      </c>
      <c r="M16" s="697">
        <f>2+EQ16</f>
        <v/>
      </c>
      <c r="N16" s="697" t="n">
        <v>4</v>
      </c>
      <c r="O16" s="697" t="n">
        <v>3</v>
      </c>
      <c r="P16" s="697">
        <f>1+EN16</f>
        <v/>
      </c>
      <c r="Q16" s="697" t="n">
        <v>0</v>
      </c>
      <c r="R16" s="697" t="n">
        <v>0</v>
      </c>
      <c r="S16" s="697" t="n">
        <v>4</v>
      </c>
      <c r="T16" s="697">
        <f>3+EF16</f>
        <v/>
      </c>
      <c r="U16" s="697" t="n">
        <v>4</v>
      </c>
      <c r="V16" s="697" t="n">
        <v>3</v>
      </c>
      <c r="W16" s="697" t="n">
        <v>2</v>
      </c>
      <c r="X16" s="697" t="n">
        <v>1</v>
      </c>
      <c r="Y16" s="697">
        <f>0+EE16</f>
        <v/>
      </c>
      <c r="Z16" s="697" t="n">
        <v>4</v>
      </c>
      <c r="AA16" s="697" t="n">
        <v>3</v>
      </c>
      <c r="AB16" s="697" t="n">
        <v>2</v>
      </c>
      <c r="AC16" s="697">
        <f>0+DX16</f>
        <v/>
      </c>
      <c r="AD16" s="697">
        <f>4+DQ16</f>
        <v/>
      </c>
      <c r="AE16" s="697" t="n">
        <v>5</v>
      </c>
      <c r="AF16" s="697">
        <f>3+DO16</f>
        <v/>
      </c>
      <c r="AG16" s="697" t="n">
        <v>2</v>
      </c>
      <c r="AH16" s="697" t="n">
        <v>6</v>
      </c>
      <c r="AI16" s="697" t="n">
        <v>6</v>
      </c>
      <c r="AJ16" s="697" t="n">
        <v>5</v>
      </c>
      <c r="AK16" s="697">
        <f>4+DJ16</f>
        <v/>
      </c>
      <c r="AL16" s="697" t="n">
        <v>5</v>
      </c>
      <c r="AM16" s="697">
        <f>3+DF16</f>
        <v/>
      </c>
      <c r="AN16" s="697" t="n">
        <v>4</v>
      </c>
      <c r="AO16" s="697">
        <f>4+DB16</f>
        <v/>
      </c>
      <c r="AP16" s="697" t="n">
        <v>6</v>
      </c>
      <c r="AQ16" s="697" t="n">
        <v>4</v>
      </c>
      <c r="AR16" s="697" t="n">
        <v>3</v>
      </c>
      <c r="AS16" s="697" t="n">
        <v>2</v>
      </c>
      <c r="AT16" s="697" t="n">
        <v>2</v>
      </c>
      <c r="AU16" s="697">
        <f>0+CV16</f>
        <v/>
      </c>
      <c r="AV16" s="697" t="n">
        <v>1</v>
      </c>
      <c r="AW16" s="697">
        <f>0+CU16</f>
        <v/>
      </c>
      <c r="AX16" s="697">
        <f>0+CT16</f>
        <v/>
      </c>
      <c r="AY16" s="697">
        <f>3+CS16</f>
        <v/>
      </c>
      <c r="AZ16" s="697" t="n">
        <v>9</v>
      </c>
      <c r="BA16" s="697" t="n">
        <v>5</v>
      </c>
      <c r="BB16" s="697" t="n">
        <v>4</v>
      </c>
      <c r="BC16" s="697">
        <f>3+CP16</f>
        <v/>
      </c>
      <c r="BD16" s="697">
        <f>4+CO16</f>
        <v/>
      </c>
      <c r="BE16" s="697">
        <f>2+CN16</f>
        <v/>
      </c>
      <c r="BF16" s="697">
        <f>4+CM16</f>
        <v/>
      </c>
      <c r="BG16" s="697" t="n">
        <v>7</v>
      </c>
      <c r="BH16" s="697" t="n">
        <v>6</v>
      </c>
      <c r="BI16" s="697">
        <f>5+CL16</f>
        <v/>
      </c>
      <c r="BJ16" s="697" t="n">
        <v>5</v>
      </c>
      <c r="BK16" s="697">
        <f>3+CJ16</f>
        <v/>
      </c>
      <c r="BL16" s="697">
        <f>3+CI16</f>
        <v/>
      </c>
      <c r="BM16" s="697" t="n">
        <v>4</v>
      </c>
      <c r="BN16" s="697">
        <f>2+CF16</f>
        <v/>
      </c>
      <c r="BO16" s="697">
        <f>2+CD16</f>
        <v/>
      </c>
      <c r="BP16" s="697" t="n">
        <v>3</v>
      </c>
      <c r="BQ16" s="697" t="n">
        <v>2</v>
      </c>
      <c r="BR16" s="697" t="n">
        <v>0</v>
      </c>
      <c r="BS16" s="697">
        <f>0+CD16</f>
        <v/>
      </c>
      <c r="BT16" s="697" t="n">
        <v>0</v>
      </c>
      <c r="BU16" s="697" t="n"/>
      <c r="BV16" s="699" t="n"/>
      <c r="BW16" s="699" t="n"/>
      <c r="BX16" s="192">
        <f>BV16+IF(NOT(ISBLANK(OFFSET(BX16,0,6))),N(OFFSET(BX16,0,6)),N(OFFSET(BX16,0,7)))-BW16</f>
        <v/>
      </c>
      <c r="BZ16" s="22" t="n">
        <v>6</v>
      </c>
      <c r="CA16" s="2" t="n"/>
      <c r="CB16" s="27" t="n"/>
      <c r="CC16" s="757" t="n">
        <v>0</v>
      </c>
      <c r="CD16" s="23" t="n">
        <v>0</v>
      </c>
      <c r="CE16" s="23" t="n">
        <v>0</v>
      </c>
      <c r="CF16" s="23" t="n">
        <v>5</v>
      </c>
      <c r="CG16" s="23" t="n">
        <v>2</v>
      </c>
      <c r="CH16" s="23" t="n">
        <v>1</v>
      </c>
      <c r="CI16" s="23" t="n"/>
      <c r="CJ16" s="23" t="n"/>
      <c r="CK16" s="23" t="n">
        <v>2</v>
      </c>
      <c r="CL16" s="23" t="n">
        <v>1</v>
      </c>
      <c r="CM16" s="23" t="n"/>
      <c r="CN16" s="23" t="n">
        <v>1</v>
      </c>
      <c r="CO16" s="23" t="n">
        <v>4</v>
      </c>
      <c r="CP16" s="23" t="n">
        <v>2</v>
      </c>
      <c r="CQ16" s="23" t="n">
        <v>1</v>
      </c>
      <c r="CR16" s="23" t="n">
        <v>2</v>
      </c>
      <c r="CS16" s="23" t="n"/>
      <c r="CT16" s="23" t="n"/>
      <c r="CU16" s="23" t="n">
        <v>8</v>
      </c>
      <c r="CV16" s="23" t="n">
        <v>3</v>
      </c>
      <c r="CW16" s="23" t="n">
        <v>4</v>
      </c>
      <c r="CX16" s="23" t="n">
        <v>2</v>
      </c>
      <c r="CY16" s="23" t="n">
        <v>1</v>
      </c>
      <c r="CZ16" s="23" t="n"/>
      <c r="DA16" s="219" t="n"/>
      <c r="DB16" s="23" t="n"/>
      <c r="DC16" s="23" t="n"/>
      <c r="DD16" s="23" t="n">
        <v>2</v>
      </c>
      <c r="DE16" s="23" t="n"/>
      <c r="DF16" s="23" t="n">
        <v>2</v>
      </c>
      <c r="DG16" s="219" t="n"/>
      <c r="DH16" s="23" t="n">
        <v>1</v>
      </c>
      <c r="DI16" s="23" t="n"/>
      <c r="DJ16" s="219" t="n"/>
      <c r="DK16" s="23" t="n">
        <v>1</v>
      </c>
      <c r="DL16" s="23" t="n">
        <v>1</v>
      </c>
      <c r="DM16" s="23" t="n"/>
      <c r="DN16" s="23" t="n"/>
      <c r="DO16" s="23" t="n"/>
      <c r="DP16" s="23" t="n">
        <v>6</v>
      </c>
      <c r="DQ16" s="23" t="n">
        <v>1</v>
      </c>
      <c r="DR16" s="23" t="n"/>
      <c r="DS16" s="23" t="n">
        <v>2</v>
      </c>
      <c r="DT16" s="219" t="n"/>
      <c r="DU16" s="219" t="n"/>
      <c r="DV16" s="23" t="n"/>
      <c r="DW16" s="219" t="n"/>
      <c r="DX16" s="219" t="n"/>
      <c r="DY16" s="219" t="n"/>
      <c r="DZ16" s="23" t="n">
        <v>4</v>
      </c>
      <c r="EA16" s="23" t="n"/>
      <c r="EB16" s="219" t="n"/>
      <c r="EC16" s="23" t="n"/>
      <c r="ED16" s="219" t="n"/>
      <c r="EE16" s="219" t="n"/>
      <c r="EF16" s="23" t="n"/>
      <c r="EG16" s="23" t="n">
        <v>5</v>
      </c>
      <c r="EH16" s="23" t="n">
        <v>2</v>
      </c>
      <c r="EI16" s="23" t="n"/>
      <c r="EJ16" s="219" t="n"/>
      <c r="EK16" s="23" t="n"/>
      <c r="EL16" s="219" t="n">
        <v>3</v>
      </c>
      <c r="EM16" s="23" t="n">
        <v>5</v>
      </c>
      <c r="EN16" s="23" t="n"/>
      <c r="EO16" s="23" t="n"/>
      <c r="EP16" s="23" t="n"/>
      <c r="EQ16" s="23" t="n"/>
      <c r="ER16" s="23" t="n"/>
      <c r="ES16" s="23" t="n">
        <v>3</v>
      </c>
      <c r="ET16" s="23" t="n"/>
      <c r="EU16" s="23" t="n">
        <v>2</v>
      </c>
      <c r="EV16" s="23" t="n">
        <v>4</v>
      </c>
      <c r="EW16" s="23" t="n"/>
    </row>
    <row r="17" customFormat="1" s="3">
      <c r="A17" s="37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3+ET17</f>
        <v/>
      </c>
      <c r="G17" s="697">
        <f>4+ES17</f>
        <v/>
      </c>
      <c r="H17" s="697" t="n">
        <v>4</v>
      </c>
      <c r="I17" s="697" t="n">
        <v>4</v>
      </c>
      <c r="J17" s="697" t="n">
        <v>3</v>
      </c>
      <c r="K17" s="697" t="n">
        <v>3</v>
      </c>
      <c r="L17" s="697" t="n">
        <v>3</v>
      </c>
      <c r="M17" s="697" t="n">
        <v>3</v>
      </c>
      <c r="N17" s="697" t="n">
        <v>2</v>
      </c>
      <c r="O17" s="697">
        <f>2+EO17</f>
        <v/>
      </c>
      <c r="P17" s="697">
        <f>6-2</f>
        <v/>
      </c>
      <c r="Q17" s="697" t="n">
        <v>3</v>
      </c>
      <c r="R17" s="697" t="n">
        <v>3</v>
      </c>
      <c r="S17" s="697" t="n">
        <v>5</v>
      </c>
      <c r="T17" s="697" t="n">
        <v>5</v>
      </c>
      <c r="U17" s="697" t="n">
        <v>3</v>
      </c>
      <c r="V17" s="697" t="n">
        <v>3</v>
      </c>
      <c r="W17" s="697" t="n">
        <v>3</v>
      </c>
      <c r="X17" s="697" t="n">
        <v>3</v>
      </c>
      <c r="Y17" s="697" t="n">
        <v>3</v>
      </c>
      <c r="Z17" s="697" t="n">
        <v>4</v>
      </c>
      <c r="AA17" s="697" t="n">
        <v>3</v>
      </c>
      <c r="AB17" s="697" t="n">
        <v>2</v>
      </c>
      <c r="AC17" s="697">
        <f>2+DX17</f>
        <v/>
      </c>
      <c r="AD17" s="697" t="n">
        <v>2</v>
      </c>
      <c r="AE17" s="697">
        <f>1+DP17</f>
        <v/>
      </c>
      <c r="AF17" s="697">
        <f>2+DO17</f>
        <v/>
      </c>
      <c r="AG17" s="697" t="n">
        <v>2</v>
      </c>
      <c r="AH17" s="697" t="n">
        <v>3</v>
      </c>
      <c r="AI17" s="697" t="n">
        <v>3</v>
      </c>
      <c r="AJ17" s="697" t="n">
        <v>2</v>
      </c>
      <c r="AK17" s="697">
        <f>2+DJ17</f>
        <v/>
      </c>
      <c r="AL17" s="697" t="n">
        <v>3</v>
      </c>
      <c r="AM17" s="697" t="n">
        <v>3</v>
      </c>
      <c r="AN17" s="697" t="n">
        <v>2</v>
      </c>
      <c r="AO17" s="697">
        <f>2+DB17</f>
        <v/>
      </c>
      <c r="AP17" s="697" t="n">
        <v>2</v>
      </c>
      <c r="AQ17" s="697" t="n">
        <v>2</v>
      </c>
      <c r="AR17" s="697">
        <f>1+CX17</f>
        <v/>
      </c>
      <c r="AS17" s="697" t="n">
        <v>2</v>
      </c>
      <c r="AT17" s="697" t="n">
        <v>2</v>
      </c>
      <c r="AU17" s="697">
        <f>2+CV17</f>
        <v/>
      </c>
      <c r="AV17" s="697" t="n">
        <v>4</v>
      </c>
      <c r="AW17" s="697" t="n">
        <v>3</v>
      </c>
      <c r="AX17" s="697">
        <f>3+CT17</f>
        <v/>
      </c>
      <c r="AY17" s="697">
        <f>4+CS17</f>
        <v/>
      </c>
      <c r="AZ17" s="697" t="n">
        <v>5</v>
      </c>
      <c r="BA17" s="697" t="n">
        <v>4</v>
      </c>
      <c r="BB17" s="697" t="n">
        <v>4</v>
      </c>
      <c r="BC17" s="697" t="n">
        <v>4</v>
      </c>
      <c r="BD17" s="697" t="n">
        <v>3</v>
      </c>
      <c r="BE17" s="697">
        <f>3+CN17</f>
        <v/>
      </c>
      <c r="BF17" s="697" t="n">
        <v>5</v>
      </c>
      <c r="BG17" s="697" t="n">
        <v>4</v>
      </c>
      <c r="BH17" s="697" t="n">
        <v>4</v>
      </c>
      <c r="BI17" s="697" t="n">
        <v>4</v>
      </c>
      <c r="BJ17" s="697" t="n">
        <v>3</v>
      </c>
      <c r="BK17" s="697">
        <f>3+CJ17</f>
        <v/>
      </c>
      <c r="BL17" s="697" t="n">
        <v>4</v>
      </c>
      <c r="BM17" s="697" t="n">
        <v>3</v>
      </c>
      <c r="BN17" s="697">
        <f>3+CF17</f>
        <v/>
      </c>
      <c r="BO17" s="697" t="n">
        <v>3</v>
      </c>
      <c r="BP17" s="697" t="n">
        <v>3</v>
      </c>
      <c r="BQ17" s="697" t="n">
        <v>3</v>
      </c>
      <c r="BR17" s="697" t="n">
        <v>3</v>
      </c>
      <c r="BS17" s="697" t="n">
        <v>2</v>
      </c>
      <c r="BT17" s="697">
        <f>1+CC17</f>
        <v/>
      </c>
      <c r="BU17" s="697" t="n"/>
      <c r="BV17" s="699" t="n"/>
      <c r="BW17" s="699" t="n"/>
      <c r="BX17" s="192">
        <f>BV17+IF(NOT(ISBLANK(OFFSET(BX17,0,6))),N(OFFSET(BX17,0,6)),N(OFFSET(BX17,0,7)))-BW17</f>
        <v/>
      </c>
      <c r="BZ17" s="22" t="n">
        <v>2</v>
      </c>
      <c r="CA17" s="2" t="n"/>
      <c r="CB17" s="27" t="n"/>
      <c r="CC17" s="757" t="n">
        <v>0</v>
      </c>
      <c r="CD17" s="23" t="n">
        <v>0</v>
      </c>
      <c r="CE17" s="23" t="n">
        <v>1</v>
      </c>
      <c r="CF17" s="23" t="n">
        <v>0</v>
      </c>
      <c r="CG17" s="23" t="n"/>
      <c r="CH17" s="23" t="n">
        <v>1</v>
      </c>
      <c r="CI17" s="23" t="n"/>
      <c r="CJ17" s="23" t="n"/>
      <c r="CK17" s="23" t="n"/>
      <c r="CL17" s="23" t="n">
        <v>1</v>
      </c>
      <c r="CM17" s="23" t="n"/>
      <c r="CN17" s="23" t="n"/>
      <c r="CO17" s="23" t="n"/>
      <c r="CP17" s="23" t="n">
        <v>2</v>
      </c>
      <c r="CQ17" s="23" t="n"/>
      <c r="CR17" s="23" t="n"/>
      <c r="CS17" s="23" t="n"/>
      <c r="CT17" s="23" t="n"/>
      <c r="CU17" s="23" t="n">
        <v>2</v>
      </c>
      <c r="CV17" s="23" t="n">
        <v>1</v>
      </c>
      <c r="CW17" s="23" t="n"/>
      <c r="CX17" s="23" t="n">
        <v>2</v>
      </c>
      <c r="CY17" s="23" t="n">
        <v>1</v>
      </c>
      <c r="CZ17" s="23" t="n">
        <v>1</v>
      </c>
      <c r="DA17" s="219" t="n"/>
      <c r="DB17" s="23" t="n"/>
      <c r="DC17" s="23" t="n"/>
      <c r="DD17" s="23" t="n">
        <v>1</v>
      </c>
      <c r="DE17" s="23" t="n"/>
      <c r="DF17" s="23" t="n"/>
      <c r="DG17" s="219" t="n"/>
      <c r="DH17" s="23" t="n"/>
      <c r="DI17" s="23" t="n"/>
      <c r="DJ17" s="219" t="n"/>
      <c r="DK17" s="23" t="n"/>
      <c r="DL17" s="23" t="n">
        <v>1</v>
      </c>
      <c r="DM17" s="23" t="n"/>
      <c r="DN17" s="23" t="n"/>
      <c r="DO17" s="23" t="n"/>
      <c r="DP17" s="23" t="n">
        <v>1</v>
      </c>
      <c r="DQ17" s="23" t="n">
        <v>1</v>
      </c>
      <c r="DR17" s="23" t="n">
        <v>1</v>
      </c>
      <c r="DS17" s="23" t="n"/>
      <c r="DT17" s="219" t="n"/>
      <c r="DU17" s="219" t="n"/>
      <c r="DV17" s="23" t="n"/>
      <c r="DW17" s="219" t="n"/>
      <c r="DX17" s="219" t="n"/>
      <c r="DY17" s="219" t="n"/>
      <c r="DZ17" s="23" t="n">
        <v>1</v>
      </c>
      <c r="EA17" s="23" t="n"/>
      <c r="EB17" s="219" t="n"/>
      <c r="EC17" s="23" t="n"/>
      <c r="ED17" s="219" t="n"/>
      <c r="EE17" s="219" t="n"/>
      <c r="EF17" s="23" t="n">
        <v>1</v>
      </c>
      <c r="EG17" s="23" t="n"/>
      <c r="EH17" s="23" t="n"/>
      <c r="EI17" s="23" t="n"/>
      <c r="EJ17" s="219" t="n"/>
      <c r="EK17" s="23" t="n"/>
      <c r="EL17" s="219" t="n"/>
      <c r="EM17" s="23" t="n">
        <v>3</v>
      </c>
      <c r="EN17" s="23" t="n"/>
      <c r="EO17" s="282" t="inlineStr">
        <is>
          <t>02 P/ BSH</t>
        </is>
      </c>
      <c r="EP17" s="23" t="n"/>
      <c r="EQ17" s="23" t="n">
        <v>4</v>
      </c>
      <c r="ER17" s="23" t="n"/>
      <c r="ES17" s="23" t="n"/>
      <c r="ET17" s="23" t="n"/>
      <c r="EU17" s="23" t="n">
        <v>1</v>
      </c>
      <c r="EV17" s="23" t="n">
        <v>1</v>
      </c>
      <c r="EW17" s="23" t="n"/>
    </row>
    <row r="18" ht="14.25" customFormat="1" customHeight="1" s="3">
      <c r="A18" s="35" t="n"/>
      <c r="C18" s="763" t="n"/>
      <c r="D18" s="450" t="n"/>
      <c r="BZ18" s="48" t="n"/>
      <c r="CB18" s="28" t="n"/>
      <c r="CC18" s="5" t="n"/>
      <c r="CI18" s="250" t="n"/>
      <c r="DG18" s="372" t="n"/>
      <c r="DJ18" s="372" t="n"/>
      <c r="DT18" s="250" t="n"/>
      <c r="DU18" s="250" t="n"/>
      <c r="DW18" s="250" t="n"/>
      <c r="DX18" s="372" t="n"/>
      <c r="DY18" s="19" t="n"/>
      <c r="EB18" s="372" t="n"/>
      <c r="ED18" s="19" t="n"/>
      <c r="EE18" s="372" t="n"/>
      <c r="EJ18" s="19" t="n"/>
      <c r="EL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45859</v>
      </c>
      <c r="AE19" s="746" t="n">
        <v>45866</v>
      </c>
      <c r="AF19" s="746" t="n">
        <v>45873</v>
      </c>
      <c r="AG19" s="746" t="n">
        <v>45880</v>
      </c>
      <c r="AH19" s="746" t="n">
        <v>45887</v>
      </c>
      <c r="AI19" s="746" t="n">
        <v>45894</v>
      </c>
      <c r="AJ19" s="746" t="n">
        <v>45901</v>
      </c>
      <c r="AK19" s="746" t="n">
        <v>45908</v>
      </c>
      <c r="AL19" s="746" t="n">
        <v>45915</v>
      </c>
      <c r="AM19" s="746" t="n">
        <v>45922</v>
      </c>
      <c r="AN19" s="746" t="n">
        <v>45929</v>
      </c>
      <c r="AO19" s="746" t="n">
        <v>45936</v>
      </c>
      <c r="AP19" s="746" t="n">
        <v>45943</v>
      </c>
      <c r="AQ19" s="746" t="n">
        <v>45950</v>
      </c>
      <c r="AR19" s="746" t="n">
        <v>45957</v>
      </c>
      <c r="AS19" s="746" t="n">
        <v>45964</v>
      </c>
      <c r="AT19" s="746" t="n">
        <v>45971</v>
      </c>
      <c r="AU19" s="746" t="n">
        <v>45978</v>
      </c>
      <c r="AV19" s="746" t="n">
        <v>45985</v>
      </c>
      <c r="AW19" s="746" t="n">
        <v>45992</v>
      </c>
      <c r="AX19" s="746" t="n">
        <v>45999</v>
      </c>
      <c r="AY19" s="746" t="n">
        <v>46006</v>
      </c>
      <c r="AZ19" s="746" t="n">
        <v>46013</v>
      </c>
      <c r="BA19" s="746" t="n">
        <v>46020</v>
      </c>
      <c r="BB19" s="746" t="n">
        <v>46027</v>
      </c>
      <c r="BC19" s="746" t="n">
        <v>46034</v>
      </c>
      <c r="BD19" s="746" t="n">
        <v>46041</v>
      </c>
      <c r="BE19" s="746" t="n">
        <v>46048</v>
      </c>
      <c r="BF19" s="746" t="n">
        <v>46055</v>
      </c>
      <c r="BG19" s="746" t="n">
        <v>46062</v>
      </c>
      <c r="BH19" s="746" t="n">
        <v>46069</v>
      </c>
      <c r="BI19" s="746" t="n">
        <v>46076</v>
      </c>
      <c r="BJ19" s="746" t="n">
        <v>46083</v>
      </c>
      <c r="BK19" s="746" t="n">
        <v>46090</v>
      </c>
      <c r="BL19" s="746" t="n">
        <v>46097</v>
      </c>
      <c r="BM19" s="746" t="n">
        <v>46104</v>
      </c>
      <c r="BN19" s="746" t="n">
        <v>46111</v>
      </c>
      <c r="BO19" s="746" t="n">
        <v>46118</v>
      </c>
      <c r="BP19" s="746" t="n">
        <v>46125</v>
      </c>
      <c r="BQ19" s="746" t="n">
        <v>46132</v>
      </c>
      <c r="BR19" s="746" t="n">
        <v>46139</v>
      </c>
      <c r="BS19" s="746" t="n">
        <v>46146</v>
      </c>
      <c r="BT19" s="746" t="n">
        <v>46154</v>
      </c>
      <c r="BU19" s="746" t="n">
        <v>46160</v>
      </c>
      <c r="BV19" s="747" t="n">
        <v>46161.48023141204</v>
      </c>
      <c r="BW19" s="747" t="n">
        <v>46161.48088953587</v>
      </c>
      <c r="BX19" s="748" t="inlineStr">
        <is>
          <t>USOU</t>
        </is>
      </c>
      <c r="BZ19" s="44" t="inlineStr">
        <is>
          <t>Pendências</t>
        </is>
      </c>
      <c r="CA19" s="5" t="n"/>
      <c r="CB19" s="12" t="inlineStr">
        <is>
          <t>Novo Pedido</t>
        </is>
      </c>
      <c r="CC19" s="733" t="n">
        <v>46161.48088781578</v>
      </c>
      <c r="CD19" s="734" t="n">
        <v>46156</v>
      </c>
      <c r="CE19" s="734" t="n">
        <v>46149</v>
      </c>
      <c r="CF19" s="734" t="n">
        <v>46142</v>
      </c>
      <c r="CG19" s="734" t="n">
        <v>46114</v>
      </c>
      <c r="CH19" s="734" t="n">
        <v>46107</v>
      </c>
      <c r="CI19" s="735" t="n">
        <v>46065</v>
      </c>
      <c r="CJ19" s="734" t="n">
        <v>46099</v>
      </c>
      <c r="CK19" s="734" t="n">
        <v>46092</v>
      </c>
      <c r="CL19" s="734" t="n">
        <v>46084</v>
      </c>
      <c r="CM19" s="734" t="n">
        <v>46077</v>
      </c>
      <c r="CN19" s="734" t="n">
        <v>46071</v>
      </c>
      <c r="CO19" s="734" t="n">
        <v>46048</v>
      </c>
      <c r="CP19" s="734" t="n">
        <v>46043</v>
      </c>
      <c r="CQ19" s="734" t="n">
        <v>46035</v>
      </c>
      <c r="CR19" s="734" t="n">
        <v>46029</v>
      </c>
      <c r="CS19" s="734" t="n">
        <v>46017</v>
      </c>
      <c r="CT19" s="734" t="n">
        <v>46007</v>
      </c>
      <c r="CU19" s="734" t="n">
        <v>46001</v>
      </c>
      <c r="CV19" s="734" t="n">
        <v>45994</v>
      </c>
      <c r="CW19" s="734" t="n">
        <v>45980</v>
      </c>
      <c r="CX19" s="734" t="n">
        <v>45973</v>
      </c>
      <c r="CY19" s="734" t="n">
        <v>45960</v>
      </c>
      <c r="CZ19" s="734" t="n">
        <v>45951</v>
      </c>
      <c r="DA19" s="737" t="n">
        <v>45903</v>
      </c>
      <c r="DB19" s="734" t="n">
        <v>45937</v>
      </c>
      <c r="DC19" s="736" t="n">
        <v>45939</v>
      </c>
      <c r="DD19" s="734" t="n">
        <v>45931</v>
      </c>
      <c r="DE19" s="734" t="n">
        <v>45923</v>
      </c>
      <c r="DF19" s="734" t="n">
        <v>45923</v>
      </c>
      <c r="DG19" s="754" t="n">
        <v>45923</v>
      </c>
      <c r="DH19" s="734" t="n">
        <v>45915</v>
      </c>
      <c r="DI19" s="736" t="n">
        <v>45918</v>
      </c>
      <c r="DJ19" s="738" t="n">
        <v>45863</v>
      </c>
      <c r="DK19" s="734" t="n">
        <v>45909</v>
      </c>
      <c r="DL19" s="734" t="n">
        <v>45903</v>
      </c>
      <c r="DM19" s="734" t="n">
        <v>45895</v>
      </c>
      <c r="DN19" s="734" t="n">
        <v>45888</v>
      </c>
      <c r="DO19" s="739" t="n">
        <v>45888</v>
      </c>
      <c r="DP19" s="734" t="n">
        <v>45881</v>
      </c>
      <c r="DQ19" s="734" t="n">
        <v>45867</v>
      </c>
      <c r="DR19" s="734" t="n">
        <v>45860</v>
      </c>
      <c r="DS19" s="734" t="n">
        <v>45853</v>
      </c>
      <c r="DT19" s="739" t="n">
        <v>45860</v>
      </c>
      <c r="DU19" s="739" t="n">
        <v>45852</v>
      </c>
      <c r="DV19" s="736" t="n">
        <v>45851</v>
      </c>
      <c r="DW19" s="739" t="n">
        <v>45791</v>
      </c>
      <c r="DX19" s="755" t="n">
        <v>45826</v>
      </c>
      <c r="DY19" s="740" t="n">
        <v>45826</v>
      </c>
      <c r="DZ19" s="734" t="n">
        <v>45813</v>
      </c>
      <c r="EA19" s="736" t="n">
        <v>45806</v>
      </c>
      <c r="EB19" s="755" t="n">
        <v>45803</v>
      </c>
      <c r="EC19" s="734" t="n">
        <v>45798</v>
      </c>
      <c r="ED19" s="740" t="n">
        <v>45800</v>
      </c>
      <c r="EE19" s="742" t="n">
        <v>45735</v>
      </c>
      <c r="EF19" s="734" t="n">
        <v>45790</v>
      </c>
      <c r="EG19" s="734" t="n">
        <v>45783</v>
      </c>
      <c r="EH19" s="734" t="n">
        <v>45749</v>
      </c>
      <c r="EI19" s="743" t="n">
        <v>45761</v>
      </c>
      <c r="EJ19" s="740" t="n">
        <v>45754</v>
      </c>
      <c r="EK19" s="734" t="n">
        <v>45743</v>
      </c>
      <c r="EL19" s="740" t="n">
        <v>45700</v>
      </c>
      <c r="EM19" s="734" t="n">
        <v>45734</v>
      </c>
      <c r="EN19" s="734" t="n">
        <v>45728</v>
      </c>
      <c r="EO19" s="736" t="n">
        <v>45727</v>
      </c>
      <c r="EP19" s="734" t="n">
        <v>45722</v>
      </c>
      <c r="EQ19" s="734" t="n">
        <v>45714</v>
      </c>
      <c r="ER19" s="734" t="n">
        <v>45706</v>
      </c>
      <c r="ES19" s="734" t="n">
        <v>45699</v>
      </c>
      <c r="ET19" s="734" t="n">
        <v>45664</v>
      </c>
      <c r="EU19" s="734" t="n">
        <v>45660</v>
      </c>
      <c r="EV19" s="734" t="n">
        <v>45652</v>
      </c>
      <c r="EW19" s="734" t="n">
        <v>45643</v>
      </c>
      <c r="EY19" s="304" t="inlineStr">
        <is>
          <t>CAIXAS</t>
        </is>
      </c>
      <c r="EZ19" s="235" t="inlineStr">
        <is>
          <t>PCT</t>
        </is>
      </c>
      <c r="FA19" s="746" t="n">
        <v>46118</v>
      </c>
      <c r="FB19" s="746" t="n">
        <v>46125</v>
      </c>
      <c r="FC19" s="746" t="n">
        <v>46132</v>
      </c>
      <c r="FD19" s="746" t="n">
        <v>46139</v>
      </c>
      <c r="FE19" s="746" t="n">
        <v>46146</v>
      </c>
      <c r="FF19" s="746" t="n">
        <v>46154</v>
      </c>
      <c r="FG19" s="746" t="n">
        <v>46160</v>
      </c>
      <c r="FH19" s="747" t="n">
        <v>46161.48023011574</v>
      </c>
      <c r="FI19" s="747" t="n">
        <v>46161.48088857991</v>
      </c>
      <c r="FJ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250</v>
      </c>
      <c r="G20" s="697" t="n">
        <v>268</v>
      </c>
      <c r="H20" s="697" t="n">
        <v>234</v>
      </c>
      <c r="I20" s="697" t="n">
        <v>213</v>
      </c>
      <c r="J20" s="697" t="n">
        <v>199</v>
      </c>
      <c r="K20" s="697" t="n">
        <v>187</v>
      </c>
      <c r="L20" s="697" t="n">
        <v>167</v>
      </c>
      <c r="M20" s="697">
        <f>153+EQ20</f>
        <v/>
      </c>
      <c r="N20" s="697" t="n">
        <v>284</v>
      </c>
      <c r="O20" s="697" t="n">
        <v>256</v>
      </c>
      <c r="P20" s="697" t="n">
        <v>198</v>
      </c>
      <c r="Q20" s="697">
        <f>155+EL20</f>
        <v/>
      </c>
      <c r="R20" s="697" t="n">
        <v>269</v>
      </c>
      <c r="S20" s="697" t="n">
        <v>197</v>
      </c>
      <c r="T20" s="697">
        <f>161+EF20</f>
        <v/>
      </c>
      <c r="U20" s="697" t="n">
        <v>266</v>
      </c>
      <c r="V20" s="697" t="n">
        <v>257</v>
      </c>
      <c r="W20" s="697" t="n">
        <v>257</v>
      </c>
      <c r="X20" s="697" t="n">
        <v>250</v>
      </c>
      <c r="Y20" s="697" t="n">
        <v>250</v>
      </c>
      <c r="Z20" s="697" t="n">
        <v>250</v>
      </c>
      <c r="AA20" s="697" t="n">
        <v>240</v>
      </c>
      <c r="AB20" s="697" t="n">
        <v>232</v>
      </c>
      <c r="AC20" s="697" t="n">
        <v>224</v>
      </c>
      <c r="AD20" s="697" t="n">
        <v>140</v>
      </c>
      <c r="AE20" s="697">
        <f>136+DP20</f>
        <v/>
      </c>
      <c r="AF20" s="697" t="n">
        <v>281</v>
      </c>
      <c r="AG20" s="697" t="n">
        <v>220</v>
      </c>
      <c r="AH20" s="697" t="n">
        <v>193</v>
      </c>
      <c r="AI20" s="697" t="n">
        <v>310</v>
      </c>
      <c r="AJ20" s="697" t="n">
        <v>277</v>
      </c>
      <c r="AK20" s="697" t="n">
        <v>237</v>
      </c>
      <c r="AL20" s="697" t="n">
        <v>186</v>
      </c>
      <c r="AM20" s="697" t="n">
        <v>300</v>
      </c>
      <c r="AN20" s="697" t="n">
        <v>271</v>
      </c>
      <c r="AO20" s="697" t="n">
        <v>231</v>
      </c>
      <c r="AP20" s="697" t="n">
        <v>193</v>
      </c>
      <c r="AQ20" s="697" t="n">
        <v>172</v>
      </c>
      <c r="AR20" s="697">
        <f>145+CX20</f>
        <v/>
      </c>
      <c r="AS20" s="697" t="n">
        <v>270</v>
      </c>
      <c r="AT20" s="697" t="n">
        <v>267</v>
      </c>
      <c r="AU20" s="697" t="n">
        <v>264</v>
      </c>
      <c r="AV20" s="697" t="n">
        <v>263</v>
      </c>
      <c r="AW20" s="697" t="n">
        <v>273</v>
      </c>
      <c r="AX20" s="697" t="n">
        <v>272</v>
      </c>
      <c r="AY20" s="697" t="n">
        <v>274</v>
      </c>
      <c r="AZ20" s="697" t="n">
        <v>256</v>
      </c>
      <c r="BA20" s="697" t="n">
        <v>251</v>
      </c>
      <c r="BB20" s="697" t="n">
        <v>246</v>
      </c>
      <c r="BC20" s="697" t="n">
        <v>237</v>
      </c>
      <c r="BD20" s="697" t="n">
        <v>234</v>
      </c>
      <c r="BE20" s="697" t="n">
        <v>234</v>
      </c>
      <c r="BF20" s="697" t="n">
        <v>233</v>
      </c>
      <c r="BG20" s="697" t="n">
        <v>237</v>
      </c>
      <c r="BH20" s="697" t="n">
        <v>235</v>
      </c>
      <c r="BI20" s="697" t="n">
        <v>233</v>
      </c>
      <c r="BJ20" s="697" t="n">
        <v>233</v>
      </c>
      <c r="BK20" s="697" t="n">
        <v>222</v>
      </c>
      <c r="BL20" s="697" t="n">
        <v>221</v>
      </c>
      <c r="BM20" s="697" t="n">
        <v>201</v>
      </c>
      <c r="BN20" s="697" t="n">
        <v>195</v>
      </c>
      <c r="BO20" s="697" t="n"/>
      <c r="BP20" s="697" t="n"/>
      <c r="BQ20" s="697" t="n"/>
      <c r="BR20" s="697" t="n">
        <v>113</v>
      </c>
      <c r="BS20" s="697" t="n">
        <v>106</v>
      </c>
      <c r="BT20" s="697" t="n">
        <v>105</v>
      </c>
      <c r="BU20" s="314" t="n">
        <v>116</v>
      </c>
      <c r="BV20" s="218" t="n">
        <v>116</v>
      </c>
      <c r="BW20" s="218" t="n">
        <v>116</v>
      </c>
      <c r="BX20" s="192">
        <f>BV20+IF(NOT(ISBLANK(OFFSET(BX20,0,6))),N(OFFSET(BX20,0,6)),N(OFFSET(BX20,0,7)))-BW20</f>
        <v/>
      </c>
      <c r="BY20" s="50" t="n"/>
      <c r="BZ20" s="22" t="n"/>
      <c r="CA20" s="2" t="n"/>
      <c r="CB20" s="27" t="n"/>
      <c r="CC20" s="757" t="n">
        <v>0</v>
      </c>
      <c r="CD20" s="23" t="n">
        <v>0</v>
      </c>
      <c r="CE20" s="23" t="n">
        <v>0</v>
      </c>
      <c r="CF20" s="23" t="n">
        <v>0</v>
      </c>
      <c r="CG20" s="23" t="n"/>
      <c r="CH20" s="23" t="n"/>
      <c r="CI20" s="219" t="n"/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>
        <v>150</v>
      </c>
      <c r="DA20" s="219" t="n">
        <v>150</v>
      </c>
      <c r="DB20" s="23" t="n"/>
      <c r="DC20" s="23" t="n"/>
      <c r="DD20" s="23" t="n"/>
      <c r="DE20" s="23" t="n"/>
      <c r="DF20" s="23" t="n"/>
      <c r="DG20" s="219" t="n"/>
      <c r="DH20" s="23" t="n">
        <v>150</v>
      </c>
      <c r="DI20" s="23" t="n"/>
      <c r="DJ20" s="219" t="n"/>
      <c r="DK20" s="23" t="n"/>
      <c r="DL20" s="23" t="n"/>
      <c r="DM20" s="23" t="n"/>
      <c r="DN20" s="23" t="n">
        <v>150</v>
      </c>
      <c r="DO20" s="23" t="n"/>
      <c r="DP20" s="23" t="n"/>
      <c r="DQ20" s="23" t="n"/>
      <c r="DR20" s="23" t="n">
        <v>150</v>
      </c>
      <c r="DS20" s="23" t="n"/>
      <c r="DT20" s="219" t="n"/>
      <c r="DU20" s="219" t="n"/>
      <c r="DV20" s="23" t="n"/>
      <c r="DW20" s="219" t="n"/>
      <c r="DX20" s="219" t="n"/>
      <c r="DY20" s="292" t="inlineStr">
        <is>
          <t>27 P/ BSH</t>
        </is>
      </c>
      <c r="DZ20" s="23" t="n"/>
      <c r="EA20" s="23" t="n"/>
      <c r="EB20" s="219" t="n"/>
      <c r="EC20" s="23" t="n"/>
      <c r="ED20" s="219" t="n"/>
      <c r="EE20" s="219" t="n"/>
      <c r="EF20" s="23" t="n"/>
      <c r="EG20" s="23" t="n"/>
      <c r="EH20" s="23" t="n">
        <v>150</v>
      </c>
      <c r="EI20" s="23" t="n"/>
      <c r="EJ20" s="292" t="inlineStr">
        <is>
          <t>100 P/ MD</t>
        </is>
      </c>
      <c r="EK20" s="23" t="n"/>
      <c r="EL20" s="219" t="n">
        <v>300</v>
      </c>
      <c r="EM20" s="23" t="n"/>
      <c r="EN20" s="23" t="n">
        <v>150</v>
      </c>
      <c r="EO20" s="23" t="n"/>
      <c r="EP20" s="23" t="n"/>
      <c r="EQ20" s="23" t="n"/>
      <c r="ER20" s="23" t="n"/>
      <c r="ES20" s="23" t="n">
        <v>150</v>
      </c>
      <c r="ET20" s="23" t="n"/>
      <c r="EU20" s="23" t="n"/>
      <c r="EV20" s="23" t="n"/>
      <c r="EW20" s="23" t="n"/>
      <c r="EY20" s="300" t="inlineStr">
        <is>
          <t>CAIXA P</t>
        </is>
      </c>
      <c r="EZ20" s="162" t="n">
        <v>150</v>
      </c>
      <c r="FA20" s="697" t="n">
        <v>0</v>
      </c>
      <c r="FB20" s="697" t="n"/>
      <c r="FC20" s="697" t="n"/>
      <c r="FD20" s="697" t="n">
        <v>99</v>
      </c>
      <c r="FE20" s="697" t="n">
        <v>97</v>
      </c>
      <c r="FF20" s="697" t="n">
        <v>92</v>
      </c>
      <c r="FG20" s="697" t="n">
        <v>89</v>
      </c>
      <c r="FH20" s="699" t="n"/>
      <c r="FI20" s="699" t="n"/>
      <c r="FJ20" s="431">
        <f>FH20+IF(NOT(ISBLANK(OFFSET(FJ20,0,6))),N(OFFSET(FJ20,0,6)),N(OFFSET(FJ20,0,7)))-FI20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262</v>
      </c>
      <c r="G21" s="697" t="n">
        <v>262</v>
      </c>
      <c r="H21" s="697" t="n">
        <v>249</v>
      </c>
      <c r="I21" s="697" t="n">
        <v>212</v>
      </c>
      <c r="J21" s="697" t="n">
        <v>196</v>
      </c>
      <c r="K21" s="697" t="n">
        <v>156</v>
      </c>
      <c r="L21" s="697" t="n">
        <v>112</v>
      </c>
      <c r="M21" s="697">
        <f>76+EQ21</f>
        <v/>
      </c>
      <c r="N21" s="697" t="n">
        <v>146</v>
      </c>
      <c r="O21" s="697">
        <f>194+EO21</f>
        <v/>
      </c>
      <c r="P21" s="697" t="n">
        <v>314</v>
      </c>
      <c r="Q21" s="697" t="n">
        <v>248</v>
      </c>
      <c r="R21" s="314" t="n">
        <v>186</v>
      </c>
      <c r="S21" s="697" t="n">
        <v>228</v>
      </c>
      <c r="T21" s="697">
        <f>166+EF21</f>
        <v/>
      </c>
      <c r="U21" s="697" t="n">
        <v>209</v>
      </c>
      <c r="V21" s="697" t="n">
        <v>196</v>
      </c>
      <c r="W21" s="697" t="n">
        <v>202</v>
      </c>
      <c r="X21" s="697" t="n">
        <v>202</v>
      </c>
      <c r="Y21" s="697" t="n">
        <v>131</v>
      </c>
      <c r="Z21" s="697" t="n">
        <v>78</v>
      </c>
      <c r="AA21" s="697">
        <f>25+EA21</f>
        <v/>
      </c>
      <c r="AB21" s="697" t="n">
        <v>92</v>
      </c>
      <c r="AC21" s="697">
        <f>60+DX21+30</f>
        <v/>
      </c>
      <c r="AD21" s="697">
        <f>60+DQ21</f>
        <v/>
      </c>
      <c r="AE21" s="697" t="n">
        <v>126</v>
      </c>
      <c r="AF21" s="697">
        <f>93+DO21</f>
        <v/>
      </c>
      <c r="AG21" s="697" t="n">
        <v>95</v>
      </c>
      <c r="AH21" s="697" t="n">
        <v>250</v>
      </c>
      <c r="AI21" s="697" t="n">
        <v>196</v>
      </c>
      <c r="AJ21" s="697">
        <f>144+DK21</f>
        <v/>
      </c>
      <c r="AK21" s="697" t="n">
        <v>289</v>
      </c>
      <c r="AL21" s="697" t="n">
        <v>237</v>
      </c>
      <c r="AM21" s="697" t="n">
        <v>276</v>
      </c>
      <c r="AN21" s="697" t="n">
        <v>221</v>
      </c>
      <c r="AO21" s="697">
        <f>162+DC21</f>
        <v/>
      </c>
      <c r="AP21" s="697" t="n">
        <v>200</v>
      </c>
      <c r="AQ21" s="697" t="n">
        <v>179</v>
      </c>
      <c r="AR21" s="697" t="n">
        <v>136</v>
      </c>
      <c r="AS21" s="697" t="n">
        <v>105</v>
      </c>
      <c r="AT21" s="697" t="n">
        <v>97</v>
      </c>
      <c r="AU21" s="697" t="n">
        <v>94</v>
      </c>
      <c r="AV21" s="697" t="n">
        <v>88</v>
      </c>
      <c r="AW21" s="697" t="n">
        <v>87</v>
      </c>
      <c r="AX21" s="697" t="n">
        <v>87</v>
      </c>
      <c r="AY21" s="697">
        <f>89+CS21</f>
        <v/>
      </c>
      <c r="AZ21" s="697" t="n">
        <v>131</v>
      </c>
      <c r="BA21" s="697" t="n">
        <v>143</v>
      </c>
      <c r="BB21" s="697" t="n">
        <v>148</v>
      </c>
      <c r="BC21" s="697">
        <f>20+CP21</f>
        <v/>
      </c>
      <c r="BD21" s="697">
        <f>110+CO21</f>
        <v/>
      </c>
      <c r="BE21" s="697" t="n">
        <v>292</v>
      </c>
      <c r="BF21" s="697" t="n">
        <v>280</v>
      </c>
      <c r="BG21" s="697" t="n">
        <v>289</v>
      </c>
      <c r="BH21" s="697" t="n">
        <v>274</v>
      </c>
      <c r="BI21" s="697" t="n">
        <v>256</v>
      </c>
      <c r="BJ21" s="697" t="n">
        <v>250</v>
      </c>
      <c r="BK21" s="697" t="n">
        <v>231</v>
      </c>
      <c r="BL21" s="697" t="n">
        <v>219</v>
      </c>
      <c r="BM21" s="697" t="n">
        <v>200</v>
      </c>
      <c r="BN21" s="697" t="n">
        <v>189</v>
      </c>
      <c r="BO21" s="697" t="n"/>
      <c r="BP21" s="697" t="n"/>
      <c r="BQ21" s="697" t="n"/>
      <c r="BR21" s="697" t="n">
        <v>263</v>
      </c>
      <c r="BS21" s="697" t="n">
        <v>262</v>
      </c>
      <c r="BT21" s="697" t="n">
        <v>257</v>
      </c>
      <c r="BU21" s="314" t="n">
        <v>266</v>
      </c>
      <c r="BV21" s="218" t="n">
        <v>266</v>
      </c>
      <c r="BW21" s="218" t="n">
        <v>266</v>
      </c>
      <c r="BX21" s="192">
        <f>BV21+IF(NOT(ISBLANK(OFFSET(BX21,0,6))),N(OFFSET(BX21,0,6)),N(OFFSET(BX21,0,7)))-BW21</f>
        <v/>
      </c>
      <c r="BY21" s="50" t="n"/>
      <c r="BZ21" s="22" t="n"/>
      <c r="CA21" s="2" t="n"/>
      <c r="CB21" s="27" t="n"/>
      <c r="CC21" s="757" t="n">
        <v>0</v>
      </c>
      <c r="CD21" s="23" t="n">
        <v>0</v>
      </c>
      <c r="CE21" s="23" t="n">
        <v>0</v>
      </c>
      <c r="CF21" s="23" t="n">
        <v>0</v>
      </c>
      <c r="CG21" s="23" t="n">
        <v>100</v>
      </c>
      <c r="CH21" s="23" t="n"/>
      <c r="CI21" s="219" t="n">
        <v>200</v>
      </c>
      <c r="CJ21" s="23" t="n"/>
      <c r="CK21" s="23" t="n"/>
      <c r="CL21" s="23" t="n"/>
      <c r="CM21" s="23" t="n"/>
      <c r="CN21" s="23" t="n"/>
      <c r="CO21" s="23" t="n"/>
      <c r="CP21" s="23" t="n">
        <v>100</v>
      </c>
      <c r="CQ21" s="23" t="n">
        <v>100</v>
      </c>
      <c r="CR21" s="23" t="n">
        <v>100</v>
      </c>
      <c r="CS21" s="23" t="n"/>
      <c r="CT21" s="23" t="n"/>
      <c r="CU21" s="23" t="n">
        <v>100</v>
      </c>
      <c r="CV21" s="23" t="n"/>
      <c r="CW21" s="23" t="n"/>
      <c r="CX21" s="23" t="n"/>
      <c r="CY21" s="23" t="n"/>
      <c r="CZ21" s="23" t="n"/>
      <c r="DA21" s="219" t="n">
        <v>200</v>
      </c>
      <c r="DB21" s="23" t="n"/>
      <c r="DC21" s="23" t="n"/>
      <c r="DD21" s="23" t="n"/>
      <c r="DE21" s="23" t="n">
        <v>100</v>
      </c>
      <c r="DF21" s="23" t="n"/>
      <c r="DG21" s="437" t="inlineStr">
        <is>
          <t>10 DE SHN</t>
        </is>
      </c>
      <c r="DH21" s="23" t="n">
        <v>100</v>
      </c>
      <c r="DI21" s="23" t="n"/>
      <c r="DJ21" s="219" t="n"/>
      <c r="DK21" s="23" t="n"/>
      <c r="DL21" s="23" t="n"/>
      <c r="DM21" s="23" t="n">
        <v>200</v>
      </c>
      <c r="DN21" s="23" t="n"/>
      <c r="DO21" s="419" t="inlineStr">
        <is>
          <t>20 P/ BSH</t>
        </is>
      </c>
      <c r="DP21" s="23" t="n">
        <v>200</v>
      </c>
      <c r="DQ21" s="23" t="n">
        <v>100</v>
      </c>
      <c r="DR21" s="23" t="n"/>
      <c r="DS21" s="23" t="n">
        <v>100</v>
      </c>
      <c r="DT21" s="292" t="inlineStr">
        <is>
          <t>35 P/ GV</t>
        </is>
      </c>
      <c r="DU21" s="219" t="n"/>
      <c r="DV21" s="282" t="inlineStr">
        <is>
          <t>30 DE BSH</t>
        </is>
      </c>
      <c r="DW21" s="219" t="n">
        <v>100</v>
      </c>
      <c r="DX21" s="376" t="inlineStr">
        <is>
          <t>03 P/ BSH</t>
        </is>
      </c>
      <c r="DY21" s="219" t="n"/>
      <c r="DZ21" s="23" t="n">
        <v>100</v>
      </c>
      <c r="EA21" s="23" t="n"/>
      <c r="EB21" s="376" t="inlineStr">
        <is>
          <t>50 P/ GV</t>
        </is>
      </c>
      <c r="EC21" s="23" t="n">
        <v>100</v>
      </c>
      <c r="ED21" s="219" t="n"/>
      <c r="EE21" s="219" t="n">
        <v>100</v>
      </c>
      <c r="EF21" s="23" t="n"/>
      <c r="EG21" s="23" t="n"/>
      <c r="EH21" s="23" t="n">
        <v>100</v>
      </c>
      <c r="EI21" s="23" t="n"/>
      <c r="EJ21" s="219" t="n"/>
      <c r="EK21" s="23" t="n"/>
      <c r="EL21" s="219" t="n">
        <v>200</v>
      </c>
      <c r="EM21" s="23" t="n">
        <v>100</v>
      </c>
      <c r="EN21" s="23" t="n"/>
      <c r="EO21" s="23" t="n"/>
      <c r="EP21" s="23" t="n"/>
      <c r="EQ21" s="23" t="n">
        <v>200</v>
      </c>
      <c r="ER21" s="23" t="n">
        <v>100</v>
      </c>
      <c r="ES21" s="23" t="n">
        <v>100</v>
      </c>
      <c r="ET21" s="23" t="n"/>
      <c r="EU21" s="23" t="n"/>
      <c r="EV21" s="23" t="n"/>
      <c r="EW21" s="23" t="n"/>
      <c r="EY21" s="65" t="inlineStr">
        <is>
          <t>CAIXA M</t>
        </is>
      </c>
      <c r="EZ21" s="699" t="n">
        <v>100</v>
      </c>
      <c r="FA21" s="697">
        <f>CG21</f>
        <v/>
      </c>
      <c r="FB21" s="697" t="n"/>
      <c r="FC21" s="697" t="n"/>
      <c r="FD21" s="697" t="n">
        <v>168</v>
      </c>
      <c r="FE21" s="697" t="n">
        <v>149</v>
      </c>
      <c r="FF21" s="697" t="n">
        <v>47</v>
      </c>
      <c r="FG21" s="697" t="n">
        <v>40</v>
      </c>
      <c r="FH21" s="699" t="n"/>
      <c r="FI21" s="699" t="n"/>
      <c r="FJ21" s="431">
        <f>FH21+IF(NOT(ISBLANK(OFFSET(FJ21,0,6))),N(OFFSET(FJ21,0,6)),N(OFFSET(FJ21,0,7)))-FI21</f>
        <v/>
      </c>
    </row>
    <row r="22" customForma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22</v>
      </c>
      <c r="G22" s="697" t="n">
        <v>26</v>
      </c>
      <c r="H22" s="697" t="n">
        <v>25</v>
      </c>
      <c r="I22" s="697" t="n">
        <v>25</v>
      </c>
      <c r="J22" s="697" t="n">
        <v>22</v>
      </c>
      <c r="K22" s="697" t="n">
        <v>24</v>
      </c>
      <c r="L22" s="697" t="n">
        <v>24</v>
      </c>
      <c r="M22" s="697" t="n">
        <v>24</v>
      </c>
      <c r="N22" s="697" t="n">
        <v>24</v>
      </c>
      <c r="O22" s="697" t="n">
        <v>23</v>
      </c>
      <c r="P22" s="697" t="n">
        <v>21</v>
      </c>
      <c r="Q22" s="697" t="n">
        <v>21</v>
      </c>
      <c r="R22" s="697" t="n">
        <v>21</v>
      </c>
      <c r="S22" s="697" t="n">
        <v>20</v>
      </c>
      <c r="T22" s="697" t="n">
        <v>20</v>
      </c>
      <c r="U22" s="697" t="n">
        <v>18</v>
      </c>
      <c r="V22" s="697" t="n">
        <v>18</v>
      </c>
      <c r="W22" s="697" t="n">
        <v>18</v>
      </c>
      <c r="X22" s="697" t="n">
        <v>18</v>
      </c>
      <c r="Y22" s="697" t="n">
        <v>18</v>
      </c>
      <c r="Z22" s="697" t="n">
        <v>18</v>
      </c>
      <c r="AA22" s="697" t="n">
        <v>16</v>
      </c>
      <c r="AB22" s="697" t="n">
        <v>15</v>
      </c>
      <c r="AC22" s="697" t="n">
        <v>15</v>
      </c>
      <c r="AD22" s="697" t="n">
        <v>15</v>
      </c>
      <c r="AE22" s="697" t="n">
        <v>14</v>
      </c>
      <c r="AF22" s="697" t="n">
        <v>0</v>
      </c>
      <c r="AG22" s="697" t="n">
        <v>0</v>
      </c>
      <c r="AH22" s="697" t="n">
        <v>0</v>
      </c>
      <c r="AI22" s="697" t="n">
        <v>0</v>
      </c>
      <c r="AJ22" s="697" t="n">
        <v>0</v>
      </c>
      <c r="AK22" s="697" t="n">
        <v>0</v>
      </c>
      <c r="AL22" s="697">
        <f>0+30</f>
        <v/>
      </c>
      <c r="AM22" s="697" t="n">
        <v>28</v>
      </c>
      <c r="AN22" s="697" t="n">
        <v>30</v>
      </c>
      <c r="AO22" s="697" t="n">
        <v>30</v>
      </c>
      <c r="AP22" s="697" t="n">
        <v>29</v>
      </c>
      <c r="AQ22" s="697" t="n">
        <v>29</v>
      </c>
      <c r="AR22" s="697" t="n">
        <v>28</v>
      </c>
      <c r="AS22" s="697" t="n">
        <v>28</v>
      </c>
      <c r="AT22" s="697" t="n">
        <v>28</v>
      </c>
      <c r="AU22" s="697" t="n">
        <v>28</v>
      </c>
      <c r="AV22" s="697" t="n">
        <v>28</v>
      </c>
      <c r="AW22" s="697" t="n">
        <v>26</v>
      </c>
      <c r="AX22" s="697" t="n">
        <v>26</v>
      </c>
      <c r="AY22" s="697" t="n">
        <v>26</v>
      </c>
      <c r="AZ22" s="697" t="n">
        <v>26</v>
      </c>
      <c r="BA22" s="697" t="n">
        <v>25</v>
      </c>
      <c r="BB22" s="697" t="n">
        <v>25</v>
      </c>
      <c r="BC22" s="697" t="n">
        <v>25</v>
      </c>
      <c r="BD22" s="697" t="n">
        <v>25</v>
      </c>
      <c r="BE22" s="697" t="n">
        <v>19</v>
      </c>
      <c r="BF22" s="697" t="n">
        <v>19</v>
      </c>
      <c r="BG22" s="697" t="n">
        <v>18</v>
      </c>
      <c r="BH22" s="697" t="n">
        <v>18</v>
      </c>
      <c r="BI22" s="697" t="n">
        <v>18</v>
      </c>
      <c r="BJ22" s="697" t="n">
        <v>18</v>
      </c>
      <c r="BK22" s="697" t="n">
        <v>17</v>
      </c>
      <c r="BL22" s="697" t="n">
        <v>17</v>
      </c>
      <c r="BM22" s="697" t="n">
        <v>17</v>
      </c>
      <c r="BN22" s="697" t="n">
        <v>16</v>
      </c>
      <c r="BO22" s="697" t="n">
        <v>15</v>
      </c>
      <c r="BP22" s="697" t="n">
        <v>14</v>
      </c>
      <c r="BQ22" s="697" t="n">
        <v>13</v>
      </c>
      <c r="BR22" s="697" t="n">
        <v>13</v>
      </c>
      <c r="BS22" s="697" t="n">
        <v>13</v>
      </c>
      <c r="BT22" s="697" t="n">
        <v>11</v>
      </c>
      <c r="BU22" s="697" t="n">
        <v>8</v>
      </c>
      <c r="BV22" s="699" t="n">
        <v>8</v>
      </c>
      <c r="BW22" s="699" t="n">
        <v>8</v>
      </c>
      <c r="BX22" s="192">
        <f>BV22+IF(NOT(ISBLANK(OFFSET(BX22,0,6))),N(OFFSET(BX22,0,6)),N(OFFSET(BX22,0,7)))-BW22</f>
        <v/>
      </c>
      <c r="BY22" s="50" t="n"/>
      <c r="BZ22" s="22" t="n"/>
      <c r="CA22" s="726" t="n"/>
      <c r="CB22" s="27" t="n"/>
      <c r="CC22" s="433" t="n">
        <v>0</v>
      </c>
      <c r="CD22" s="23" t="n">
        <v>0</v>
      </c>
      <c r="CE22" s="23" t="n">
        <v>0</v>
      </c>
      <c r="CF22" s="23" t="n">
        <v>0</v>
      </c>
      <c r="CG22" s="23" t="n"/>
      <c r="CH22" s="23" t="n"/>
      <c r="CI22" s="219" t="n">
        <v>200</v>
      </c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443" t="n">
        <v>400</v>
      </c>
      <c r="DB22" s="23" t="n"/>
      <c r="DC22" s="23" t="n"/>
      <c r="DD22" s="23" t="n"/>
      <c r="DE22" s="23" t="n"/>
      <c r="DF22" s="23" t="n"/>
      <c r="DG22" s="219" t="n"/>
      <c r="DH22" s="23" t="n"/>
      <c r="DI22" s="192" t="inlineStr">
        <is>
          <t>30 DE TTR</t>
        </is>
      </c>
      <c r="DJ22" s="219" t="n"/>
      <c r="DK22" s="23" t="n"/>
      <c r="DL22" s="23" t="n"/>
      <c r="DM22" s="23" t="n"/>
      <c r="DN22" s="23" t="n"/>
      <c r="DO22" s="23" t="n"/>
      <c r="DP22" s="23" t="n"/>
      <c r="DQ22" s="23" t="n"/>
      <c r="DR22" s="23" t="n"/>
      <c r="DS22" s="23" t="n"/>
      <c r="DT22" s="219" t="n"/>
      <c r="DU22" s="219" t="n"/>
      <c r="DV22" s="23" t="n"/>
      <c r="DW22" s="219" t="n">
        <v>150</v>
      </c>
      <c r="DX22" s="219" t="n"/>
      <c r="DY22" s="219" t="n"/>
      <c r="DZ22" s="23" t="n"/>
      <c r="EA22" s="23" t="n"/>
      <c r="EB22" s="376" t="inlineStr">
        <is>
          <t>50 P/ GV</t>
        </is>
      </c>
      <c r="EC22" s="23" t="n"/>
      <c r="ED22" s="219" t="n"/>
      <c r="EE22" s="219" t="n">
        <v>100</v>
      </c>
      <c r="EF22" s="23" t="n"/>
      <c r="EG22" s="23" t="n"/>
      <c r="EH22" s="23" t="n"/>
      <c r="EI22" s="23" t="n"/>
      <c r="EJ22" s="219" t="n"/>
      <c r="EK22" s="23" t="n"/>
      <c r="EL22" s="219" t="n"/>
      <c r="EM22" s="23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Y22" s="66" t="inlineStr">
        <is>
          <t>CARTUCHO P</t>
        </is>
      </c>
      <c r="EZ22" s="699" t="n">
        <v>200</v>
      </c>
      <c r="FA22" s="697">
        <f>CG22</f>
        <v/>
      </c>
      <c r="FB22" s="697" t="n"/>
      <c r="FC22" s="697" t="n"/>
      <c r="FD22" s="697" t="n">
        <v>173</v>
      </c>
      <c r="FE22" s="697" t="n">
        <v>157</v>
      </c>
      <c r="FF22" s="697" t="n">
        <v>64</v>
      </c>
      <c r="FG22" s="697" t="n">
        <v>55</v>
      </c>
      <c r="FH22" s="699" t="n"/>
      <c r="FI22" s="699" t="n"/>
      <c r="FJ22" s="431">
        <f>FH22+IF(NOT(ISBLANK(OFFSET(FJ22,0,6))),N(OFFSET(FJ22,0,6)),N(OFFSET(FJ22,0,7)))-FI22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D23" s="697" t="n"/>
      <c r="BE23" s="697" t="n">
        <v>0</v>
      </c>
      <c r="BF23" s="697">
        <f>0+CM23</f>
        <v/>
      </c>
      <c r="BG23" s="314" t="n">
        <v>271</v>
      </c>
      <c r="BH23" s="697" t="n">
        <v>102</v>
      </c>
      <c r="BI23" s="697" t="n">
        <v>72</v>
      </c>
      <c r="BJ23" s="697">
        <f>33+CK23</f>
        <v/>
      </c>
      <c r="BK23" s="697" t="n">
        <v>145</v>
      </c>
      <c r="BL23" s="697" t="n">
        <v>125</v>
      </c>
      <c r="BM23" s="697">
        <f>100+CH23</f>
        <v/>
      </c>
      <c r="BN23" s="697" t="n">
        <v>74</v>
      </c>
      <c r="BO23" s="697">
        <f>182+CD23</f>
        <v/>
      </c>
      <c r="BP23" s="697" t="n"/>
      <c r="BQ23" s="697" t="n"/>
      <c r="BR23" s="697" t="n">
        <v>459</v>
      </c>
      <c r="BS23" s="697" t="n">
        <v>459</v>
      </c>
      <c r="BT23" s="697" t="n">
        <v>459</v>
      </c>
      <c r="BU23" s="697" t="n">
        <v>450</v>
      </c>
      <c r="BV23" s="699" t="n">
        <v>450</v>
      </c>
      <c r="BW23" s="699" t="n">
        <v>450</v>
      </c>
      <c r="BX23" s="192">
        <f>BV23+IF(NOT(ISBLANK(OFFSET(BX23,0,6))),N(OFFSET(BX23,0,6)),N(OFFSET(BX23,0,7)))-BW23</f>
        <v/>
      </c>
      <c r="BZ23" s="22" t="n"/>
      <c r="CB23" s="27" t="n"/>
      <c r="CC23" s="757" t="n">
        <v>0</v>
      </c>
      <c r="CD23" s="23" t="n">
        <v>0</v>
      </c>
      <c r="CE23" s="23" t="n">
        <v>0</v>
      </c>
      <c r="CF23" s="23" t="n">
        <v>0</v>
      </c>
      <c r="CG23" s="23" t="n">
        <v>300</v>
      </c>
      <c r="CH23" s="23" t="n"/>
      <c r="CI23" s="219" t="n">
        <v>150</v>
      </c>
      <c r="CJ23" s="23" t="n">
        <v>150</v>
      </c>
      <c r="CK23" s="23" t="n"/>
      <c r="CL23" s="23" t="n"/>
      <c r="CM23" s="23" t="n">
        <v>150</v>
      </c>
      <c r="CN23" s="23" t="n"/>
      <c r="CO23" s="23" t="n">
        <v>150</v>
      </c>
      <c r="CP23" s="23" t="n"/>
      <c r="CQ23" s="23" t="n"/>
      <c r="CR23" s="23" t="n"/>
      <c r="CS23" s="23" t="n"/>
      <c r="CT23" s="23" t="n"/>
      <c r="CU23" s="23" t="n"/>
      <c r="CV23" s="23" t="n"/>
      <c r="CW23" s="23" t="n"/>
      <c r="CX23" s="29" t="n"/>
      <c r="CY23" s="29" t="n"/>
      <c r="CZ23" s="29" t="n"/>
      <c r="DA23" s="326" t="n">
        <v>300</v>
      </c>
      <c r="DB23" s="29" t="n"/>
      <c r="DC23" s="29" t="n"/>
      <c r="DD23" s="29" t="n"/>
      <c r="DE23" s="29" t="n"/>
      <c r="DF23" s="29" t="n"/>
      <c r="DG23" s="5" t="n"/>
      <c r="DH23" s="29" t="n"/>
      <c r="DI23" s="29" t="n"/>
      <c r="DJ23" s="5" t="n"/>
      <c r="DK23" s="29" t="n"/>
      <c r="DL23" s="29" t="n"/>
      <c r="DM23" s="29" t="n"/>
      <c r="DN23" s="29" t="n"/>
      <c r="DO23" s="29" t="n"/>
      <c r="DP23" s="29" t="n"/>
      <c r="DQ23" s="29" t="n"/>
      <c r="DR23" s="29" t="n"/>
      <c r="DS23" s="29" t="n"/>
      <c r="DT23" s="5" t="n"/>
      <c r="DU23" s="219" t="n">
        <v>25</v>
      </c>
      <c r="DV23" s="29" t="n"/>
      <c r="DW23" s="5" t="n"/>
      <c r="DX23" s="5" t="n"/>
      <c r="DZ23" s="29" t="n"/>
      <c r="EB23" s="5" t="n"/>
      <c r="ED23" s="292" t="inlineStr">
        <is>
          <t>50 DE BSH</t>
        </is>
      </c>
      <c r="EE23" s="5" t="n"/>
      <c r="EL23" s="326" t="n">
        <v>200</v>
      </c>
      <c r="EY23" s="66" t="inlineStr">
        <is>
          <t>CARTUCHO M</t>
        </is>
      </c>
      <c r="EZ23" s="699" t="n">
        <v>150</v>
      </c>
      <c r="FA23" s="697">
        <f>CG23</f>
        <v/>
      </c>
      <c r="FB23" s="697" t="n"/>
      <c r="FC23" s="697" t="n"/>
      <c r="FD23" s="697" t="n">
        <v>125</v>
      </c>
      <c r="FE23" s="697" t="n">
        <v>111</v>
      </c>
      <c r="FF23" s="697" t="n">
        <v>16</v>
      </c>
      <c r="FG23" s="697" t="n">
        <v>1</v>
      </c>
      <c r="FH23" s="699" t="n"/>
      <c r="FI23" s="699" t="n"/>
      <c r="FJ23" s="431">
        <f>FH23+IF(NOT(ISBLANK(OFFSET(FJ23,0,6))),N(OFFSET(FJ23,0,6)),N(OFFSET(FJ23,0,7)))-FI23</f>
        <v/>
      </c>
    </row>
    <row r="24">
      <c r="CC24" s="5" t="n"/>
      <c r="CD24" s="29" t="n"/>
      <c r="CE24" s="29" t="n"/>
      <c r="CF24" s="29" t="n"/>
      <c r="CG24" s="29" t="n"/>
      <c r="CH24" s="29" t="n"/>
      <c r="CI24" s="5" t="n"/>
      <c r="CJ24" s="29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327" t="n"/>
      <c r="DB24" s="29" t="n"/>
      <c r="DC24" s="29" t="n"/>
      <c r="DD24" s="29" t="n"/>
      <c r="DE24" s="29" t="n"/>
      <c r="DF24" s="29" t="n"/>
      <c r="DG24" s="5" t="n"/>
      <c r="DH24" s="29" t="n"/>
      <c r="DI24" s="29" t="n"/>
      <c r="DJ24" s="5" t="n"/>
      <c r="DK24" s="29" t="n"/>
      <c r="DL24" s="29" t="n"/>
      <c r="DM24" s="29" t="n"/>
      <c r="DN24" s="29" t="n"/>
      <c r="DO24" s="29" t="n"/>
      <c r="DP24" s="29" t="n"/>
      <c r="DQ24" s="29" t="n"/>
      <c r="DR24" s="29" t="n"/>
      <c r="DS24" s="29" t="n"/>
      <c r="DT24" s="5" t="n"/>
      <c r="DU24" s="219" t="n"/>
      <c r="DV24" s="29" t="n"/>
      <c r="DW24" s="5" t="n"/>
      <c r="DX24" s="5" t="n"/>
      <c r="DZ24" s="29" t="n"/>
      <c r="EB24" s="5" t="n"/>
      <c r="ED24" s="460" t="n"/>
      <c r="EE24" s="5" t="n"/>
      <c r="EL24" s="326" t="n"/>
      <c r="EY24" s="5" t="n"/>
      <c r="EZ24" s="5" t="n"/>
      <c r="FA24" s="5" t="n"/>
      <c r="FB24" s="5" t="n"/>
      <c r="FC24" s="5" t="n"/>
      <c r="FD24" s="5" t="n"/>
      <c r="FE24" s="5" t="n"/>
      <c r="FF24" s="5" t="n"/>
      <c r="FG24" s="5" t="n"/>
      <c r="FH24" s="5" t="n"/>
      <c r="FI24" s="5" t="n"/>
      <c r="FJ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45859</v>
      </c>
      <c r="AE25" s="746" t="n">
        <v>45866</v>
      </c>
      <c r="AF25" s="746" t="n">
        <v>45873</v>
      </c>
      <c r="AG25" s="746" t="n">
        <v>45880</v>
      </c>
      <c r="AH25" s="746" t="n">
        <v>45887</v>
      </c>
      <c r="AI25" s="746" t="n">
        <v>45894</v>
      </c>
      <c r="AJ25" s="746" t="n">
        <v>45901</v>
      </c>
      <c r="AK25" s="746" t="n">
        <v>45908</v>
      </c>
      <c r="AL25" s="746" t="n">
        <v>45915</v>
      </c>
      <c r="AM25" s="746" t="n">
        <v>45922</v>
      </c>
      <c r="AN25" s="746" t="n">
        <v>45929</v>
      </c>
      <c r="AO25" s="746" t="n">
        <v>45936</v>
      </c>
      <c r="AP25" s="746" t="n">
        <v>45943</v>
      </c>
      <c r="AQ25" s="746" t="n">
        <v>45950</v>
      </c>
      <c r="AR25" s="746" t="n">
        <v>45957</v>
      </c>
      <c r="AS25" s="746" t="n">
        <v>45964</v>
      </c>
      <c r="AT25" s="746" t="n">
        <v>45971</v>
      </c>
      <c r="AU25" s="746" t="n">
        <v>45978</v>
      </c>
      <c r="AV25" s="746" t="n">
        <v>45985</v>
      </c>
      <c r="AW25" s="746" t="n">
        <v>45992</v>
      </c>
      <c r="AX25" s="746" t="n">
        <v>45999</v>
      </c>
      <c r="AY25" s="746" t="n">
        <v>46006</v>
      </c>
      <c r="AZ25" s="746" t="n">
        <v>46013</v>
      </c>
      <c r="BA25" s="746" t="n">
        <v>46020</v>
      </c>
      <c r="BB25" s="746" t="n">
        <v>46027</v>
      </c>
      <c r="BC25" s="746" t="n">
        <v>46034</v>
      </c>
      <c r="BD25" s="746" t="n">
        <v>46041</v>
      </c>
      <c r="BE25" s="746" t="n">
        <v>46048</v>
      </c>
      <c r="BF25" s="746" t="n">
        <v>46055</v>
      </c>
      <c r="BG25" s="746" t="n">
        <v>46062</v>
      </c>
      <c r="BH25" s="746" t="n">
        <v>46069</v>
      </c>
      <c r="BI25" s="746" t="n">
        <v>46076</v>
      </c>
      <c r="BJ25" s="746" t="n">
        <v>46083</v>
      </c>
      <c r="BK25" s="746" t="n">
        <v>46090</v>
      </c>
      <c r="BL25" s="746" t="n">
        <v>46097</v>
      </c>
      <c r="BM25" s="746" t="n">
        <v>46104</v>
      </c>
      <c r="BN25" s="746" t="n">
        <v>46111</v>
      </c>
      <c r="BO25" s="746" t="n">
        <v>46118</v>
      </c>
      <c r="BP25" s="746" t="n">
        <v>46125</v>
      </c>
      <c r="BQ25" s="746" t="n">
        <v>46132</v>
      </c>
      <c r="BR25" s="746" t="n">
        <v>46139</v>
      </c>
      <c r="BS25" s="746" t="n">
        <v>46146</v>
      </c>
      <c r="BT25" s="746" t="n">
        <v>46154</v>
      </c>
      <c r="BU25" s="746" t="n">
        <v>46160</v>
      </c>
      <c r="BV25" s="747" t="n">
        <v>46161.48023141204</v>
      </c>
      <c r="BW25" s="747" t="n">
        <v>46161.48088953609</v>
      </c>
      <c r="BX25" s="758" t="inlineStr">
        <is>
          <t>USOU</t>
        </is>
      </c>
      <c r="CC25" s="5" t="n"/>
      <c r="CD25" s="29" t="n"/>
      <c r="CE25" s="29" t="n"/>
      <c r="CF25" s="29" t="n"/>
      <c r="CG25" s="29" t="n"/>
      <c r="CH25" s="29" t="n"/>
      <c r="CI25" s="5" t="n"/>
      <c r="CJ25" s="29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5" t="n"/>
      <c r="DB25" s="29" t="n"/>
      <c r="DC25" s="29" t="n"/>
      <c r="DD25" s="29" t="n"/>
      <c r="DE25" s="29" t="n"/>
      <c r="DF25" s="29" t="n"/>
      <c r="DG25" s="5" t="n"/>
      <c r="DH25" s="29" t="n"/>
      <c r="DI25" s="29" t="n"/>
      <c r="DJ25" s="5" t="n"/>
      <c r="DK25" s="29" t="n"/>
      <c r="DL25" s="29" t="n"/>
      <c r="DM25" s="29" t="n"/>
      <c r="DN25" s="29" t="n"/>
      <c r="DO25" s="29" t="n"/>
      <c r="DP25" s="29" t="n"/>
      <c r="DQ25" s="29" t="n"/>
      <c r="DR25" s="29" t="n"/>
      <c r="DS25" s="29" t="n"/>
      <c r="DT25" s="5" t="n"/>
      <c r="DU25" s="219" t="n">
        <v>25</v>
      </c>
      <c r="DV25" s="29" t="n"/>
      <c r="DW25" s="5" t="n"/>
      <c r="DX25" s="5" t="n"/>
      <c r="DZ25" s="29" t="n"/>
      <c r="EB25" s="5" t="n"/>
      <c r="EE25" s="5" t="n"/>
      <c r="EL25" s="326" t="n">
        <v>150</v>
      </c>
      <c r="EY25" s="5" t="n"/>
      <c r="EZ25" s="5" t="n"/>
      <c r="FA25" s="5" t="n"/>
      <c r="FB25" s="5" t="n"/>
      <c r="FC25" s="5" t="n"/>
      <c r="FD25" s="5" t="n"/>
      <c r="FE25" s="5" t="n"/>
      <c r="FF25" s="5" t="n"/>
      <c r="FG25" s="5" t="n"/>
      <c r="FH25" s="5" t="n"/>
      <c r="FI25" s="5" t="n"/>
      <c r="FJ25" s="5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1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/>
      <c r="BC26" s="697" t="n"/>
      <c r="BD26" s="697" t="n"/>
      <c r="BE26" s="697" t="n"/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9" t="n"/>
      <c r="BW26" s="699" t="n"/>
      <c r="BX26" s="192">
        <f>BV26+IF(NOT(ISBLANK(OFFSET(BX26,0,6))),N(OFFSET(BX26,0,6)),N(OFFSET(BX26,0,7)))-BW26</f>
        <v/>
      </c>
      <c r="CC26" s="5" t="n"/>
      <c r="CD26" s="29" t="n"/>
      <c r="CE26" s="29" t="n"/>
      <c r="CF26" s="29" t="n"/>
      <c r="CG26" s="29" t="n"/>
      <c r="CH26" s="29" t="n"/>
      <c r="CI26" s="5" t="n"/>
      <c r="CJ26" s="29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5" t="n"/>
      <c r="DB26" s="29" t="n"/>
      <c r="DC26" s="29" t="n"/>
      <c r="DD26" s="29" t="n"/>
      <c r="DE26" s="29" t="n"/>
      <c r="DF26" s="29" t="n"/>
      <c r="DG26" s="5" t="n"/>
      <c r="DH26" s="29" t="n"/>
      <c r="DI26" s="29" t="n"/>
      <c r="DJ26" s="5" t="n"/>
      <c r="DK26" s="29" t="n"/>
      <c r="DL26" s="29" t="n"/>
      <c r="DM26" s="29" t="n"/>
      <c r="DN26" s="29" t="n"/>
      <c r="DO26" s="29" t="n"/>
      <c r="DP26" s="29" t="n"/>
      <c r="DQ26" s="29" t="n"/>
      <c r="DR26" s="29" t="n"/>
      <c r="DS26" s="29" t="n"/>
      <c r="DT26" s="5" t="n"/>
      <c r="DU26" s="219" t="n">
        <v>25</v>
      </c>
      <c r="DV26" s="29" t="n"/>
      <c r="DW26" s="5" t="n"/>
      <c r="DX26" s="5" t="n"/>
      <c r="DY26" s="327" t="n"/>
      <c r="DZ26" s="29" t="n"/>
      <c r="EB26" s="5" t="n"/>
      <c r="ED26" s="327" t="n"/>
      <c r="EE26" s="5" t="n"/>
      <c r="EJ26" s="327" t="n"/>
      <c r="EL26" s="327" t="n"/>
      <c r="EY26" s="5" t="n"/>
      <c r="EZ26" s="5" t="n"/>
      <c r="FA26" s="5" t="n"/>
      <c r="FB26" s="5" t="n"/>
      <c r="FC26" s="5" t="n"/>
      <c r="FD26" s="5" t="n"/>
      <c r="FE26" s="5" t="n"/>
      <c r="FF26" s="5" t="n"/>
      <c r="FG26" s="5" t="n"/>
      <c r="FH26" s="5" t="n"/>
      <c r="FI26" s="5" t="n"/>
      <c r="FJ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205</v>
      </c>
      <c r="G27" s="697" t="n">
        <v>197</v>
      </c>
      <c r="H27" s="697" t="n">
        <v>197</v>
      </c>
      <c r="I27" s="697" t="n">
        <v>197</v>
      </c>
      <c r="J27" s="697" t="n">
        <v>197</v>
      </c>
      <c r="K27" s="697" t="n">
        <v>194</v>
      </c>
      <c r="L27" s="697" t="n">
        <v>196</v>
      </c>
      <c r="M27" s="697" t="n">
        <v>196</v>
      </c>
      <c r="N27" s="697" t="n">
        <v>190</v>
      </c>
      <c r="O27" s="697" t="n">
        <v>190</v>
      </c>
      <c r="P27" s="697" t="n">
        <v>190</v>
      </c>
      <c r="Q27" s="697" t="n">
        <v>186</v>
      </c>
      <c r="R27" s="697" t="n">
        <v>186</v>
      </c>
      <c r="S27" s="697" t="n">
        <v>197</v>
      </c>
      <c r="T27" s="697" t="n">
        <v>197</v>
      </c>
      <c r="U27" s="697" t="n">
        <v>197</v>
      </c>
      <c r="V27" s="697" t="n">
        <v>197</v>
      </c>
      <c r="W27" s="697" t="n">
        <v>197</v>
      </c>
      <c r="X27" s="697" t="n">
        <v>181</v>
      </c>
      <c r="Y27" s="697" t="n">
        <v>181</v>
      </c>
      <c r="Z27" s="697" t="n">
        <v>181</v>
      </c>
      <c r="AA27" s="697" t="n">
        <v>153</v>
      </c>
      <c r="AB27" s="697" t="n">
        <v>153</v>
      </c>
      <c r="AC27" s="697" t="n">
        <v>153</v>
      </c>
      <c r="AD27" s="697" t="n">
        <v>153</v>
      </c>
      <c r="AE27" s="697" t="n">
        <v>169</v>
      </c>
      <c r="AF27" s="697" t="n">
        <v>162</v>
      </c>
      <c r="AG27" s="697" t="n">
        <v>166</v>
      </c>
      <c r="AH27" s="697" t="n">
        <v>166</v>
      </c>
      <c r="AI27" s="697" t="n">
        <v>165</v>
      </c>
      <c r="AJ27" s="697" t="n">
        <v>163</v>
      </c>
      <c r="AK27" s="697" t="n">
        <v>163</v>
      </c>
      <c r="AL27" s="697" t="n">
        <v>163</v>
      </c>
      <c r="AM27" s="697" t="n">
        <v>163</v>
      </c>
      <c r="AN27" s="697" t="n">
        <v>163</v>
      </c>
      <c r="AO27" s="697" t="n">
        <v>155</v>
      </c>
      <c r="AP27" s="697" t="n">
        <v>162</v>
      </c>
      <c r="AQ27" s="697" t="n">
        <v>162</v>
      </c>
      <c r="AR27" s="697" t="n">
        <v>162</v>
      </c>
      <c r="AS27" s="697" t="n">
        <v>162</v>
      </c>
      <c r="AT27" s="697" t="n">
        <v>162</v>
      </c>
      <c r="AU27" s="697" t="n">
        <v>149</v>
      </c>
      <c r="AV27" s="697" t="n">
        <v>142</v>
      </c>
      <c r="AW27" s="697" t="n">
        <v>101</v>
      </c>
      <c r="AX27" s="697" t="n">
        <v>101</v>
      </c>
      <c r="AY27" s="697" t="n">
        <v>101</v>
      </c>
      <c r="AZ27" s="697" t="n">
        <v>98</v>
      </c>
      <c r="BA27" s="697" t="n">
        <v>98</v>
      </c>
      <c r="BB27" s="697" t="n">
        <v>98</v>
      </c>
      <c r="BC27" s="697" t="n">
        <v>98</v>
      </c>
      <c r="BD27" s="697" t="n">
        <v>98</v>
      </c>
      <c r="BE27" s="697" t="n">
        <v>148</v>
      </c>
      <c r="BF27" s="697" t="n">
        <v>148</v>
      </c>
      <c r="BG27" s="697" t="n">
        <v>146</v>
      </c>
      <c r="BH27" s="697" t="n">
        <v>145</v>
      </c>
      <c r="BI27" s="697" t="n">
        <v>145</v>
      </c>
      <c r="BJ27" s="697" t="n">
        <v>145</v>
      </c>
      <c r="BK27" s="697" t="n">
        <v>145</v>
      </c>
      <c r="BL27" s="697" t="n">
        <v>141</v>
      </c>
      <c r="BM27" s="697" t="n">
        <v>141</v>
      </c>
      <c r="BN27" s="697" t="n">
        <v>141</v>
      </c>
      <c r="BO27" s="697" t="n">
        <v>141</v>
      </c>
      <c r="BP27" s="697" t="n">
        <v>146</v>
      </c>
      <c r="BQ27" s="697" t="n">
        <v>146</v>
      </c>
      <c r="BR27" s="697" t="n">
        <v>146</v>
      </c>
      <c r="BS27" s="697" t="n">
        <v>146</v>
      </c>
      <c r="BT27" s="697" t="n">
        <v>146</v>
      </c>
      <c r="BU27" s="697" t="n">
        <v>146</v>
      </c>
      <c r="BV27" s="699" t="n">
        <v>146</v>
      </c>
      <c r="BW27" s="699" t="n">
        <v>146</v>
      </c>
      <c r="BX27" s="192">
        <f>BV27+IF(NOT(ISBLANK(OFFSET(BX27,0,6))),N(OFFSET(BX27,0,6)),N(OFFSET(BX27,0,7)))-BW27</f>
        <v/>
      </c>
      <c r="CC27" s="5" t="n"/>
      <c r="CD27" s="29" t="n"/>
      <c r="CE27" s="29" t="n"/>
      <c r="CF27" s="29" t="n"/>
      <c r="CG27" s="29" t="n"/>
      <c r="CH27" s="29" t="n"/>
      <c r="CI27" s="5" t="n"/>
      <c r="CJ27" s="29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5" t="n"/>
      <c r="DB27" s="29" t="n"/>
      <c r="DC27" s="29" t="n"/>
      <c r="DD27" s="29" t="n"/>
      <c r="DE27" s="29" t="n"/>
      <c r="DF27" s="29" t="n"/>
      <c r="DG27" s="5" t="n"/>
      <c r="DH27" s="29" t="n"/>
      <c r="DI27" s="29" t="n"/>
      <c r="DJ27" s="5" t="n"/>
      <c r="DK27" s="29" t="n"/>
      <c r="DL27" s="29" t="n"/>
      <c r="DM27" s="29" t="n"/>
      <c r="DN27" s="29" t="n"/>
      <c r="DO27" s="29" t="n"/>
      <c r="DP27" s="29" t="n"/>
      <c r="DQ27" s="29" t="n"/>
      <c r="DR27" s="29" t="n"/>
      <c r="DS27" s="29" t="n"/>
      <c r="DT27" s="5" t="n"/>
      <c r="DU27" s="5" t="n"/>
      <c r="DV27" s="29" t="n"/>
      <c r="DW27" s="5" t="n"/>
      <c r="DX27" s="5" t="n"/>
      <c r="DY27" s="327" t="n"/>
      <c r="DZ27" s="29" t="n"/>
      <c r="EB27" s="5" t="n"/>
      <c r="ED27" s="327" t="n"/>
      <c r="EE27" s="5" t="n"/>
      <c r="EJ27" s="327" t="n"/>
      <c r="EL27" s="327" t="n"/>
      <c r="EY27" s="5" t="n"/>
      <c r="EZ27" s="5" t="n"/>
      <c r="FA27" s="5" t="n"/>
      <c r="FB27" s="5" t="n"/>
      <c r="FC27" s="5" t="n"/>
      <c r="FD27" s="5" t="n"/>
      <c r="FE27" s="5" t="n"/>
      <c r="FF27" s="5" t="n"/>
      <c r="FG27" s="5" t="n"/>
      <c r="FH27" s="5" t="n"/>
      <c r="FI27" s="5" t="n"/>
      <c r="FJ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2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9" t="n"/>
      <c r="BW28" s="699" t="n"/>
      <c r="BX28" s="192">
        <f>BV28+IF(NOT(ISBLANK(OFFSET(BX28,0,6))),N(OFFSET(BX28,0,6)),N(OFFSET(BX28,0,7)))-BW28</f>
        <v/>
      </c>
      <c r="CC28" s="5" t="n"/>
      <c r="CD28" s="29" t="n"/>
      <c r="CE28" s="29" t="n"/>
      <c r="CF28" s="29" t="n"/>
      <c r="CG28" s="29" t="n"/>
      <c r="CH28" s="29" t="n"/>
      <c r="CI28" s="5" t="n"/>
      <c r="CJ28" s="29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5" t="n"/>
      <c r="DB28" s="29" t="n"/>
      <c r="DC28" s="29" t="n"/>
      <c r="DD28" s="29" t="n"/>
      <c r="DE28" s="29" t="n"/>
      <c r="DF28" s="29" t="n"/>
      <c r="DG28" s="5" t="n"/>
      <c r="DH28" s="29" t="n"/>
      <c r="DI28" s="29" t="n"/>
      <c r="DJ28" s="5" t="n"/>
      <c r="DK28" s="29" t="n"/>
      <c r="DL28" s="29" t="n"/>
      <c r="DM28" s="29" t="n"/>
      <c r="DN28" s="29" t="n"/>
      <c r="DO28" s="29" t="n"/>
      <c r="DP28" s="29" t="n"/>
      <c r="DQ28" s="29" t="n"/>
      <c r="DR28" s="29" t="n"/>
      <c r="DS28" s="29" t="n"/>
      <c r="DT28" s="5" t="n"/>
      <c r="DU28" s="5" t="n"/>
      <c r="DV28" s="29" t="n"/>
      <c r="DW28" s="5" t="n"/>
      <c r="DX28" s="5" t="n"/>
      <c r="DY28" s="327" t="n"/>
      <c r="DZ28" s="29" t="n"/>
      <c r="EB28" s="5" t="n"/>
      <c r="ED28" s="327" t="n"/>
      <c r="EE28" s="5" t="n"/>
      <c r="EJ28" s="327" t="n"/>
      <c r="EL28" s="327" t="n"/>
      <c r="EY28" s="5" t="n"/>
      <c r="EZ28" s="5" t="n"/>
      <c r="FA28" s="5" t="n"/>
      <c r="FB28" s="5" t="n"/>
      <c r="FC28" s="5" t="n"/>
      <c r="FD28" s="5" t="n"/>
      <c r="FE28" s="5" t="n"/>
      <c r="FF28" s="5" t="n"/>
      <c r="FG28" s="5" t="n"/>
      <c r="FH28" s="5" t="n"/>
      <c r="FI28" s="5" t="n"/>
      <c r="FJ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29</v>
      </c>
      <c r="G29" s="699" t="n">
        <v>20</v>
      </c>
      <c r="H29" s="697" t="n">
        <v>8</v>
      </c>
      <c r="I29" s="697" t="n">
        <v>7</v>
      </c>
      <c r="J29" s="697" t="n">
        <v>7</v>
      </c>
      <c r="K29" s="697" t="n">
        <v>4</v>
      </c>
      <c r="L29" s="697" t="n">
        <v>4</v>
      </c>
      <c r="M29" s="697" t="n">
        <v>3</v>
      </c>
      <c r="N29" s="697" t="n">
        <v>3</v>
      </c>
      <c r="O29" s="697" t="n">
        <v>4</v>
      </c>
      <c r="P29" s="697" t="n">
        <v>4</v>
      </c>
      <c r="Q29" s="697" t="n">
        <v>3</v>
      </c>
      <c r="R29" s="697" t="n">
        <v>3</v>
      </c>
      <c r="S29" s="697" t="n">
        <v>2</v>
      </c>
      <c r="T29" s="697" t="n">
        <v>2</v>
      </c>
      <c r="U29" s="697" t="n">
        <v>2</v>
      </c>
      <c r="V29" s="697" t="n">
        <v>2</v>
      </c>
      <c r="W29" s="697" t="n">
        <v>2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9" t="n"/>
      <c r="BW29" s="699" t="n"/>
      <c r="BX29" s="192">
        <f>BV29+IF(NOT(ISBLANK(OFFSET(BX29,0,6))),N(OFFSET(BX29,0,6)),N(OFFSET(BX29,0,7)))-BW29</f>
        <v/>
      </c>
      <c r="CC29" s="5" t="n"/>
      <c r="CD29" s="29" t="n"/>
      <c r="CE29" s="29" t="n"/>
      <c r="CF29" s="29" t="n"/>
      <c r="CG29" s="29" t="n"/>
      <c r="CH29" s="29" t="n"/>
      <c r="CI29" s="5" t="n"/>
      <c r="CJ29" s="29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5" t="n"/>
      <c r="DB29" s="29" t="n"/>
      <c r="DC29" s="29" t="n"/>
      <c r="DD29" s="29" t="n"/>
      <c r="DE29" s="29" t="n"/>
      <c r="DF29" s="29" t="n"/>
      <c r="DG29" s="5" t="n"/>
      <c r="DH29" s="29" t="n"/>
      <c r="DI29" s="29" t="n"/>
      <c r="DJ29" s="5" t="n"/>
      <c r="DK29" s="29" t="n"/>
      <c r="DL29" s="29" t="n"/>
      <c r="DM29" s="29" t="n"/>
      <c r="DN29" s="29" t="n"/>
      <c r="DO29" s="29" t="n"/>
      <c r="DP29" s="29" t="n"/>
      <c r="DQ29" s="29" t="n"/>
      <c r="DR29" s="29" t="n"/>
      <c r="DS29" s="29" t="n"/>
      <c r="DT29" s="5" t="n"/>
      <c r="DU29" s="5" t="n"/>
      <c r="DV29" s="29" t="n"/>
      <c r="DW29" s="5" t="n"/>
      <c r="DX29" s="5" t="n"/>
      <c r="DY29" s="327" t="n"/>
      <c r="DZ29" s="29" t="n"/>
      <c r="EB29" s="5" t="n"/>
      <c r="ED29" s="327" t="n"/>
      <c r="EE29" s="5" t="n"/>
      <c r="EJ29" s="327" t="n"/>
      <c r="EL29" s="327" t="n"/>
      <c r="EY29" s="5" t="n"/>
      <c r="EZ29" s="5" t="n"/>
      <c r="FA29" s="5" t="n"/>
      <c r="FB29" s="5" t="n"/>
      <c r="FC29" s="5" t="n"/>
      <c r="FD29" s="5" t="n"/>
      <c r="FE29" s="5" t="n"/>
      <c r="FF29" s="5" t="n"/>
      <c r="FG29" s="5" t="n"/>
      <c r="FH29" s="5" t="n"/>
      <c r="FI29" s="5" t="n"/>
      <c r="FJ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9" t="n"/>
      <c r="BW30" s="699" t="n"/>
      <c r="BX30" s="192">
        <f>BV30+IF(NOT(ISBLANK(OFFSET(BX30,0,6))),N(OFFSET(BX30,0,6)),N(OFFSET(BX30,0,7)))-BW30</f>
        <v/>
      </c>
      <c r="CC30" s="5" t="n"/>
      <c r="CD30" s="29" t="n"/>
      <c r="CE30" s="29" t="n"/>
      <c r="CF30" s="29" t="n"/>
      <c r="CG30" s="29" t="n"/>
      <c r="CH30" s="29" t="n"/>
      <c r="CI30" s="5" t="n"/>
      <c r="CJ30" s="29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5" t="n"/>
      <c r="DB30" s="29" t="n"/>
      <c r="DC30" s="29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5" t="n"/>
      <c r="DU30" s="5" t="n"/>
      <c r="DV30" s="29" t="n"/>
      <c r="DW30" s="5" t="n"/>
      <c r="DX30" s="29" t="n"/>
      <c r="DY30" s="327" t="n"/>
      <c r="DZ30" s="29" t="n"/>
      <c r="EB30" s="29" t="n"/>
      <c r="ED30" s="327" t="n"/>
      <c r="EE30" s="29" t="n"/>
      <c r="EJ30" s="327" t="n"/>
      <c r="EL30" s="327" t="n"/>
      <c r="EY30" s="5" t="n"/>
      <c r="EZ30" s="5" t="n"/>
      <c r="FA30" s="5" t="n"/>
      <c r="FB30" s="5" t="n"/>
      <c r="FC30" s="5" t="n"/>
      <c r="FD30" s="5" t="n"/>
      <c r="FE30" s="5" t="n"/>
      <c r="FF30" s="5" t="n"/>
      <c r="FG30" s="5" t="n"/>
      <c r="FH30" s="5" t="n"/>
      <c r="FI30" s="5" t="n"/>
      <c r="FJ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9" t="n"/>
      <c r="BW31" s="699" t="n"/>
      <c r="BX31" s="192">
        <f>BV31+IF(NOT(ISBLANK(OFFSET(BX31,0,6))),N(OFFSET(BX31,0,6)),N(OFFSET(BX31,0,7)))-BW31</f>
        <v/>
      </c>
      <c r="CC31" s="5" t="n"/>
      <c r="CD31" s="29" t="n"/>
      <c r="CE31" s="29" t="n"/>
      <c r="CF31" s="29" t="n"/>
      <c r="CG31" s="29" t="n"/>
      <c r="CH31" s="29" t="n"/>
      <c r="CI31" s="5" t="n"/>
      <c r="CJ31" s="29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5" t="n"/>
      <c r="DB31" s="29" t="n"/>
      <c r="DC31" s="29" t="n"/>
      <c r="DD31" s="29" t="n"/>
      <c r="DE31" s="29" t="n"/>
      <c r="DF31" s="29" t="n"/>
      <c r="DH31" s="29" t="n"/>
      <c r="DI31" s="29" t="n"/>
      <c r="DK31" s="29" t="n"/>
      <c r="DL31" s="29" t="n"/>
      <c r="DM31" s="29" t="n"/>
      <c r="DN31" s="29" t="n"/>
      <c r="DO31" s="29" t="n"/>
      <c r="DP31" s="29" t="n"/>
      <c r="DQ31" s="29" t="n"/>
      <c r="DR31" s="29" t="n"/>
      <c r="DS31" s="29" t="n"/>
      <c r="DT31" s="5" t="n"/>
      <c r="DU31" s="5" t="n"/>
      <c r="DV31" s="29" t="n"/>
      <c r="DW31" s="5" t="n"/>
      <c r="DY31" s="327" t="n"/>
      <c r="DZ31" s="29" t="n"/>
      <c r="ED31" s="327" t="n"/>
      <c r="EJ31" s="327" t="n"/>
      <c r="EL31" s="327" t="n"/>
      <c r="EY31" s="5" t="n"/>
      <c r="EZ31" s="5" t="n"/>
      <c r="FA31" s="5" t="n"/>
      <c r="FB31" s="5" t="n"/>
      <c r="FC31" s="5" t="n"/>
      <c r="FD31" s="5" t="n"/>
      <c r="FE31" s="5" t="n"/>
      <c r="FF31" s="5" t="n"/>
      <c r="FG31" s="5" t="n"/>
      <c r="FH31" s="5" t="n"/>
      <c r="FI31" s="5" t="n"/>
      <c r="FJ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8</v>
      </c>
      <c r="G32" s="699" t="n">
        <v>0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9" t="n"/>
      <c r="BW32" s="699" t="n"/>
      <c r="BX32" s="192">
        <f>BV32+IF(NOT(ISBLANK(OFFSET(BX32,0,6))),N(OFFSET(BX32,0,6)),N(OFFSET(BX32,0,7)))-BW32</f>
        <v/>
      </c>
      <c r="CC32" s="5" t="n"/>
      <c r="CD32" s="29" t="n"/>
      <c r="CE32" s="29" t="n"/>
      <c r="CF32" s="29" t="n"/>
      <c r="CG32" s="29" t="n"/>
      <c r="CH32" s="29" t="n"/>
      <c r="CI32" s="5" t="n"/>
      <c r="CJ32" s="29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5" t="n"/>
      <c r="DB32" s="29" t="n"/>
      <c r="DC32" s="29" t="n"/>
      <c r="DD32" s="29" t="n"/>
      <c r="DE32" s="29" t="n"/>
      <c r="DF32" s="29" t="n"/>
      <c r="DH32" s="29" t="n"/>
      <c r="DI32" s="29" t="n"/>
      <c r="DK32" s="29" t="n"/>
      <c r="DL32" s="29" t="n"/>
      <c r="DM32" s="29" t="n"/>
      <c r="DN32" s="29" t="n"/>
      <c r="DO32" s="29" t="n"/>
      <c r="DP32" s="29" t="n"/>
      <c r="DQ32" s="29" t="n"/>
      <c r="DR32" s="29" t="n"/>
      <c r="DS32" s="29" t="n"/>
      <c r="DT32" s="5" t="n"/>
      <c r="DU32" s="5" t="n"/>
      <c r="DV32" s="29" t="n"/>
      <c r="DW32" s="5" t="n"/>
      <c r="DY32" s="327" t="n"/>
      <c r="DZ32" s="29" t="n"/>
      <c r="ED32" s="327" t="n"/>
      <c r="EJ32" s="327" t="n"/>
      <c r="EL32" s="327" t="n"/>
      <c r="EY32" s="5" t="n"/>
      <c r="EZ32" s="5" t="n"/>
      <c r="FA32" s="5" t="n"/>
      <c r="FB32" s="5" t="n"/>
      <c r="FC32" s="5" t="n"/>
      <c r="FD32" s="5" t="n"/>
      <c r="FE32" s="5" t="n"/>
      <c r="FF32" s="5" t="n"/>
      <c r="FG32" s="5" t="n"/>
      <c r="FH32" s="5" t="n"/>
      <c r="FI32" s="5" t="n"/>
      <c r="FJ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</v>
      </c>
      <c r="G33" s="699" t="n">
        <v>1</v>
      </c>
      <c r="H33" s="697" t="n">
        <v>1</v>
      </c>
      <c r="I33" s="697" t="n">
        <v>1</v>
      </c>
      <c r="J33" s="697" t="n">
        <v>1</v>
      </c>
      <c r="K33" s="697" t="n">
        <v>1</v>
      </c>
      <c r="L33" s="697" t="n">
        <v>1</v>
      </c>
      <c r="M33" s="697" t="n">
        <v>1</v>
      </c>
      <c r="N33" s="697" t="n">
        <v>1</v>
      </c>
      <c r="O33" s="697" t="n">
        <v>1</v>
      </c>
      <c r="P33" s="697" t="n">
        <v>1</v>
      </c>
      <c r="Q33" s="697" t="n">
        <v>1</v>
      </c>
      <c r="R33" s="697" t="n">
        <v>1</v>
      </c>
      <c r="S33" s="697" t="n">
        <v>1</v>
      </c>
      <c r="T33" s="697" t="n">
        <v>1</v>
      </c>
      <c r="U33" s="697" t="n">
        <v>1</v>
      </c>
      <c r="V33" s="697" t="n">
        <v>1</v>
      </c>
      <c r="W33" s="697" t="n">
        <v>1</v>
      </c>
      <c r="X33" s="697" t="n">
        <v>1</v>
      </c>
      <c r="Y33" s="697" t="n">
        <v>1</v>
      </c>
      <c r="Z33" s="697" t="n">
        <v>1</v>
      </c>
      <c r="AA33" s="697" t="n">
        <v>1</v>
      </c>
      <c r="AB33" s="697" t="n">
        <v>1</v>
      </c>
      <c r="AC33" s="697" t="n">
        <v>1</v>
      </c>
      <c r="AD33" s="697" t="n">
        <v>1</v>
      </c>
      <c r="AE33" s="697" t="n">
        <v>1</v>
      </c>
      <c r="AF33" s="697" t="n">
        <v>1</v>
      </c>
      <c r="AG33" s="697" t="n">
        <v>1</v>
      </c>
      <c r="AH33" s="697" t="n">
        <v>1</v>
      </c>
      <c r="AI33" s="697" t="n">
        <v>1</v>
      </c>
      <c r="AJ33" s="697" t="n">
        <v>1</v>
      </c>
      <c r="AK33" s="697" t="n">
        <v>1</v>
      </c>
      <c r="AL33" s="697" t="n">
        <v>1</v>
      </c>
      <c r="AM33" s="697" t="n">
        <v>1</v>
      </c>
      <c r="AN33" s="697" t="n">
        <v>1</v>
      </c>
      <c r="AO33" s="697" t="n">
        <v>1</v>
      </c>
      <c r="AP33" s="697" t="n">
        <v>0</v>
      </c>
      <c r="AQ33" s="697" t="n">
        <v>0</v>
      </c>
      <c r="AR33" s="697" t="n">
        <v>0</v>
      </c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9" t="n"/>
      <c r="BW33" s="699" t="n"/>
      <c r="BX33" s="192">
        <f>BV33+IF(NOT(ISBLANK(OFFSET(BX33,0,6))),N(OFFSET(BX33,0,6)),N(OFFSET(BX33,0,7)))-BW33</f>
        <v/>
      </c>
      <c r="CC33" s="5" t="n"/>
      <c r="CD33" s="29" t="n"/>
      <c r="CE33" s="29" t="n"/>
      <c r="CF33" s="29" t="n"/>
      <c r="CG33" s="29" t="n"/>
      <c r="CH33" s="29" t="n"/>
      <c r="CI33" s="5" t="n"/>
      <c r="CJ33" s="29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5" t="n"/>
      <c r="DB33" s="29" t="n"/>
      <c r="DC33" s="29" t="n"/>
      <c r="DD33" s="29" t="n"/>
      <c r="DE33" s="29" t="n"/>
      <c r="DF33" s="29" t="n"/>
      <c r="DH33" s="29" t="n"/>
      <c r="DI33" s="29" t="n"/>
      <c r="DK33" s="29" t="n"/>
      <c r="DL33" s="29" t="n"/>
      <c r="DM33" s="29" t="n"/>
      <c r="DN33" s="29" t="n"/>
      <c r="DO33" s="29" t="n"/>
      <c r="DP33" s="29" t="n"/>
      <c r="DQ33" s="29" t="n"/>
      <c r="DR33" s="29" t="n"/>
      <c r="DS33" s="29" t="n"/>
      <c r="DT33" s="5" t="n"/>
      <c r="DU33" s="5" t="n"/>
      <c r="DV33" s="29" t="n"/>
      <c r="DW33" s="5" t="n"/>
      <c r="DY33" s="327" t="n"/>
      <c r="DZ33" s="29" t="n"/>
      <c r="ED33" s="327" t="n"/>
      <c r="EJ33" s="327" t="n"/>
      <c r="EL33" s="327" t="n"/>
      <c r="EY33" s="5" t="n"/>
      <c r="EZ33" s="5" t="n"/>
      <c r="FA33" s="5" t="n"/>
      <c r="FB33" s="5" t="n"/>
      <c r="FC33" s="5" t="n"/>
      <c r="FD33" s="5" t="n"/>
      <c r="FE33" s="5" t="n"/>
      <c r="FF33" s="5" t="n"/>
      <c r="FG33" s="5" t="n"/>
      <c r="FH33" s="5" t="n"/>
      <c r="FI33" s="5" t="n"/>
      <c r="FJ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15</v>
      </c>
      <c r="G34" s="699" t="n">
        <v>15</v>
      </c>
      <c r="H34" s="697" t="n">
        <v>15</v>
      </c>
      <c r="I34" s="697" t="n">
        <v>15</v>
      </c>
      <c r="J34" s="697" t="n">
        <v>15</v>
      </c>
      <c r="K34" s="697" t="n">
        <v>15</v>
      </c>
      <c r="L34" s="697" t="n">
        <v>15</v>
      </c>
      <c r="M34" s="697" t="n">
        <v>15</v>
      </c>
      <c r="N34" s="697" t="n">
        <v>15</v>
      </c>
      <c r="O34" s="697" t="n">
        <v>15</v>
      </c>
      <c r="P34" s="697" t="n">
        <v>15</v>
      </c>
      <c r="Q34" s="697" t="n">
        <v>15</v>
      </c>
      <c r="R34" s="697" t="n">
        <v>15</v>
      </c>
      <c r="S34" s="697" t="n">
        <v>15</v>
      </c>
      <c r="T34" s="697" t="n">
        <v>15</v>
      </c>
      <c r="U34" s="697" t="n">
        <v>15</v>
      </c>
      <c r="V34" s="697" t="n">
        <v>15</v>
      </c>
      <c r="W34" s="697" t="n">
        <v>15</v>
      </c>
      <c r="X34" s="697" t="n">
        <v>15</v>
      </c>
      <c r="Y34" s="697" t="n">
        <v>15</v>
      </c>
      <c r="Z34" s="697" t="n">
        <v>15</v>
      </c>
      <c r="AA34" s="697" t="n">
        <v>15</v>
      </c>
      <c r="AB34" s="697" t="n">
        <v>15</v>
      </c>
      <c r="AC34" s="697" t="n">
        <v>15</v>
      </c>
      <c r="AD34" s="697" t="n">
        <v>15</v>
      </c>
      <c r="AE34" s="697" t="n">
        <v>15</v>
      </c>
      <c r="AF34" s="697" t="n">
        <v>15</v>
      </c>
      <c r="AG34" s="697" t="n">
        <v>15</v>
      </c>
      <c r="AH34" s="697" t="n">
        <v>15</v>
      </c>
      <c r="AI34" s="697" t="n">
        <v>15</v>
      </c>
      <c r="AJ34" s="697" t="n">
        <v>15</v>
      </c>
      <c r="AK34" s="697" t="n">
        <v>15</v>
      </c>
      <c r="AL34" s="697" t="n">
        <v>15</v>
      </c>
      <c r="AM34" s="697" t="n">
        <v>15</v>
      </c>
      <c r="AN34" s="697" t="n">
        <v>15</v>
      </c>
      <c r="AO34" s="697" t="n">
        <v>15</v>
      </c>
      <c r="AP34" s="697" t="n">
        <v>0</v>
      </c>
      <c r="AQ34" s="697" t="n">
        <v>0</v>
      </c>
      <c r="AR34" s="697" t="n">
        <v>0</v>
      </c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9" t="n"/>
      <c r="BW34" s="699" t="n"/>
      <c r="BX34" s="192">
        <f>BV34+IF(NOT(ISBLANK(OFFSET(BX34,0,6))),N(OFFSET(BX34,0,6)),N(OFFSET(BX34,0,7)))-BW34</f>
        <v/>
      </c>
      <c r="CC34" s="5" t="n"/>
      <c r="CD34" s="29" t="n"/>
      <c r="CE34" s="29" t="n"/>
      <c r="CF34" s="29" t="n"/>
      <c r="CG34" s="29" t="n"/>
      <c r="CH34" s="29" t="n"/>
      <c r="CI34" s="5" t="n"/>
      <c r="CJ34" s="29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5" t="n"/>
      <c r="DB34" s="29" t="n"/>
      <c r="DC34" s="29" t="n"/>
      <c r="DD34" s="29" t="n"/>
      <c r="DE34" s="29" t="n"/>
      <c r="DF34" s="29" t="n"/>
      <c r="DH34" s="29" t="n"/>
      <c r="DI34" s="29" t="n"/>
      <c r="DK34" s="29" t="n"/>
      <c r="DL34" s="29" t="n"/>
      <c r="DM34" s="29" t="n"/>
      <c r="DN34" s="29" t="n"/>
      <c r="DO34" s="29" t="n"/>
      <c r="DP34" s="29" t="n"/>
      <c r="DQ34" s="29" t="n"/>
      <c r="DR34" s="29" t="n"/>
      <c r="DS34" s="29" t="n"/>
      <c r="DT34" s="5" t="n"/>
      <c r="DU34" s="5" t="n"/>
      <c r="DV34" s="29" t="n"/>
      <c r="DW34" s="5" t="n"/>
      <c r="DY34" s="327" t="n"/>
      <c r="DZ34" s="29" t="n"/>
      <c r="ED34" s="327" t="n"/>
      <c r="EJ34" s="327" t="n"/>
      <c r="EL34" s="327" t="n"/>
      <c r="EY34" s="5" t="n"/>
      <c r="EZ34" s="5" t="n"/>
      <c r="FA34" s="5" t="n"/>
      <c r="FB34" s="5" t="n"/>
      <c r="FC34" s="5" t="n"/>
      <c r="FD34" s="5" t="n"/>
      <c r="FE34" s="5" t="n"/>
      <c r="FF34" s="5" t="n"/>
      <c r="FG34" s="5" t="n"/>
      <c r="FH34" s="5" t="n"/>
      <c r="FI34" s="5" t="n"/>
      <c r="FJ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109</v>
      </c>
      <c r="AA35" s="699" t="n">
        <v>100</v>
      </c>
      <c r="AB35" s="699" t="n">
        <v>94</v>
      </c>
      <c r="AC35" s="699" t="n">
        <v>88</v>
      </c>
      <c r="AD35" s="699" t="n">
        <v>33</v>
      </c>
      <c r="AE35" s="699" t="n">
        <v>24</v>
      </c>
      <c r="AF35" s="699" t="n">
        <v>9</v>
      </c>
      <c r="AG35" s="699" t="n">
        <v>3</v>
      </c>
      <c r="AH35" s="699" t="n">
        <v>6</v>
      </c>
      <c r="AI35" s="699" t="n">
        <v>5</v>
      </c>
      <c r="AJ35" s="699" t="n">
        <v>5</v>
      </c>
      <c r="AK35" s="699" t="n">
        <v>5</v>
      </c>
      <c r="AL35" s="699" t="n">
        <v>5</v>
      </c>
      <c r="AM35" s="699" t="n">
        <v>4</v>
      </c>
      <c r="AN35" s="699" t="n">
        <v>2</v>
      </c>
      <c r="AO35" s="699" t="n">
        <v>1</v>
      </c>
      <c r="AP35" s="699" t="n">
        <v>0</v>
      </c>
      <c r="AQ35" s="699" t="n">
        <v>0</v>
      </c>
      <c r="AR35" s="699" t="n">
        <v>0</v>
      </c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192">
        <f>BV35+IF(NOT(ISBLANK(OFFSET(BX35,0,6))),N(OFFSET(BX35,0,6)),N(OFFSET(BX35,0,7)))-BW35</f>
        <v/>
      </c>
      <c r="CC35" s="5" t="n"/>
      <c r="CD35" s="29" t="n"/>
      <c r="CE35" s="29" t="n"/>
      <c r="CF35" s="29" t="n"/>
      <c r="CG35" s="29" t="n"/>
      <c r="CH35" s="29" t="n"/>
      <c r="CI35" s="5" t="n"/>
      <c r="CJ35" s="29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5" t="n"/>
      <c r="DB35" s="29" t="n"/>
      <c r="DC35" s="29" t="n"/>
      <c r="DD35" s="29" t="n"/>
      <c r="DE35" s="29" t="n"/>
      <c r="DF35" s="29" t="n"/>
      <c r="DH35" s="29" t="n"/>
      <c r="DI35" s="29" t="n"/>
      <c r="DK35" s="29" t="n"/>
      <c r="DL35" s="29" t="n"/>
      <c r="DM35" s="29" t="n"/>
      <c r="DN35" s="29" t="n"/>
      <c r="DO35" s="29" t="n"/>
      <c r="DP35" s="29" t="n"/>
      <c r="DQ35" s="29" t="n"/>
      <c r="DR35" s="29" t="n"/>
      <c r="DS35" s="29" t="n"/>
      <c r="DT35" s="5" t="n"/>
      <c r="DU35" s="5" t="n"/>
      <c r="DV35" s="29" t="n"/>
      <c r="DW35" s="5" t="n"/>
      <c r="DY35" s="327" t="n"/>
      <c r="DZ35" s="29" t="n"/>
      <c r="ED35" s="327" t="n"/>
      <c r="EJ35" s="327" t="n"/>
      <c r="EL35" s="327" t="n"/>
      <c r="EY35" s="5" t="n"/>
      <c r="EZ35" s="5" t="n"/>
      <c r="FA35" s="5" t="n"/>
      <c r="FB35" s="5" t="n"/>
      <c r="FC35" s="5" t="n"/>
      <c r="FD35" s="5" t="n"/>
      <c r="FE35" s="5" t="n"/>
      <c r="FF35" s="5" t="n"/>
      <c r="FG35" s="5" t="n"/>
      <c r="FH35" s="5" t="n"/>
      <c r="FI35" s="5" t="n"/>
      <c r="FJ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63</v>
      </c>
      <c r="AA36" s="699" t="n">
        <v>62</v>
      </c>
      <c r="AB36" s="699" t="n">
        <v>60</v>
      </c>
      <c r="AC36" s="699" t="n">
        <v>0</v>
      </c>
      <c r="AD36" s="699" t="n">
        <v>0</v>
      </c>
      <c r="AE36" s="699" t="n"/>
      <c r="AF36" s="699" t="n"/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192">
        <f>BV36+IF(NOT(ISBLANK(OFFSET(BX36,0,6))),N(OFFSET(BX36,0,6)),N(OFFSET(BX36,0,7)))-BW36</f>
        <v/>
      </c>
      <c r="CC36" s="5" t="n"/>
      <c r="CD36" s="29" t="n"/>
      <c r="CE36" s="29" t="n"/>
      <c r="CF36" s="29" t="n"/>
      <c r="CG36" s="29" t="n"/>
      <c r="CH36" s="29" t="n"/>
      <c r="CI36" s="5" t="n"/>
      <c r="CJ36" s="29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5" t="n"/>
      <c r="DB36" s="29" t="n"/>
      <c r="DC36" s="29" t="n"/>
      <c r="DD36" s="29" t="n"/>
      <c r="DE36" s="29" t="n"/>
      <c r="DF36" s="29" t="n"/>
      <c r="DH36" s="29" t="n"/>
      <c r="DI36" s="29" t="n"/>
      <c r="DK36" s="29" t="n"/>
      <c r="DL36" s="29" t="n"/>
      <c r="DM36" s="29" t="n"/>
      <c r="DN36" s="29" t="n"/>
      <c r="DO36" s="29" t="n"/>
      <c r="DP36" s="29" t="n"/>
      <c r="DQ36" s="29" t="n"/>
      <c r="DR36" s="29" t="n"/>
      <c r="DS36" s="29" t="n"/>
      <c r="DT36" s="5" t="n"/>
      <c r="DU36" s="5" t="n"/>
      <c r="DV36" s="29" t="n"/>
      <c r="DW36" s="5" t="n"/>
      <c r="DY36" s="327" t="n"/>
      <c r="DZ36" s="29" t="n"/>
      <c r="ED36" s="327" t="n"/>
      <c r="EJ36" s="327" t="n"/>
      <c r="EL36" s="327" t="n"/>
      <c r="EY36" s="5" t="n"/>
      <c r="EZ36" s="5" t="n"/>
      <c r="FA36" s="5" t="n"/>
      <c r="FB36" s="5" t="n"/>
      <c r="FC36" s="5" t="n"/>
      <c r="FD36" s="5" t="n"/>
      <c r="FE36" s="5" t="n"/>
      <c r="FF36" s="5" t="n"/>
      <c r="FG36" s="5" t="n"/>
      <c r="FH36" s="5" t="n"/>
      <c r="FI36" s="5" t="n"/>
      <c r="FJ36" s="5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/>
      <c r="AF37" s="699" t="n"/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192">
        <f>BV37+IF(NOT(ISBLANK(OFFSET(BX37,0,6))),N(OFFSET(BX37,0,6)),N(OFFSET(BX37,0,7)))-BW37</f>
        <v/>
      </c>
      <c r="CC37" s="5" t="n"/>
      <c r="CD37" s="29" t="n"/>
      <c r="CE37" s="29" t="n"/>
      <c r="CF37" s="29" t="n"/>
      <c r="CG37" s="29" t="n"/>
      <c r="CH37" s="29" t="n"/>
      <c r="CI37" s="5" t="n"/>
      <c r="CJ37" s="29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5" t="n"/>
      <c r="DB37" s="29" t="n"/>
      <c r="DC37" s="29" t="n"/>
      <c r="DD37" s="29" t="n"/>
      <c r="DE37" s="29" t="n"/>
      <c r="DF37" s="29" t="n"/>
      <c r="DH37" s="29" t="n"/>
      <c r="DI37" s="29" t="n"/>
      <c r="DK37" s="29" t="n"/>
      <c r="DL37" s="29" t="n"/>
      <c r="DM37" s="29" t="n"/>
      <c r="DN37" s="29" t="n"/>
      <c r="DO37" s="29" t="n"/>
      <c r="DP37" s="29" t="n"/>
      <c r="DQ37" s="29" t="n"/>
      <c r="DR37" s="29" t="n"/>
      <c r="DS37" s="29" t="n"/>
      <c r="DT37" s="5" t="n"/>
      <c r="DU37" s="5" t="n"/>
      <c r="DV37" s="29" t="n"/>
      <c r="DW37" s="5" t="n"/>
      <c r="DY37" s="327" t="n"/>
      <c r="DZ37" s="29" t="n"/>
      <c r="ED37" s="327" t="n"/>
      <c r="EJ37" s="327" t="n"/>
      <c r="EL37" s="327" t="n"/>
      <c r="EY37" s="5" t="n"/>
      <c r="EZ37" s="5" t="n"/>
      <c r="FA37" s="5" t="n"/>
      <c r="FB37" s="5" t="n"/>
      <c r="FC37" s="5" t="n"/>
      <c r="FD37" s="5" t="n"/>
      <c r="FE37" s="5" t="n"/>
      <c r="FF37" s="5" t="n"/>
      <c r="FG37" s="5" t="n"/>
      <c r="FH37" s="5" t="n"/>
      <c r="FI37" s="5" t="n"/>
      <c r="FJ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0+50</f>
        <v/>
      </c>
      <c r="AA38" s="218" t="n">
        <v>-19</v>
      </c>
      <c r="AB38" s="699" t="n">
        <v>20</v>
      </c>
      <c r="AC38" s="699" t="n">
        <v>9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192">
        <f>BV38+IF(NOT(ISBLANK(OFFSET(BX38,0,6))),N(OFFSET(BX38,0,6)),N(OFFSET(BX38,0,7)))-BW38</f>
        <v/>
      </c>
      <c r="CC38" s="5" t="n"/>
      <c r="CD38" s="29" t="n"/>
      <c r="CE38" s="29" t="n"/>
      <c r="CF38" s="29" t="n"/>
      <c r="CG38" s="29" t="n"/>
      <c r="CH38" s="29" t="n"/>
      <c r="CI38" s="5" t="n"/>
      <c r="CJ38" s="29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5" t="n"/>
      <c r="DB38" s="29" t="n"/>
      <c r="DC38" s="29" t="n"/>
      <c r="DD38" s="29" t="n"/>
      <c r="DE38" s="29" t="n"/>
      <c r="DF38" s="29" t="n"/>
      <c r="DH38" s="29" t="n"/>
      <c r="DI38" s="29" t="n"/>
      <c r="DK38" s="29" t="n"/>
      <c r="DL38" s="29" t="n"/>
      <c r="DM38" s="29" t="n"/>
      <c r="DN38" s="29" t="n"/>
      <c r="DO38" s="29" t="n"/>
      <c r="DP38" s="29" t="n"/>
      <c r="DQ38" s="29" t="n"/>
      <c r="DR38" s="29" t="n"/>
      <c r="DS38" s="29" t="n"/>
      <c r="DT38" s="5" t="n"/>
      <c r="DU38" s="5" t="n"/>
      <c r="DV38" s="29" t="n"/>
      <c r="DW38" s="5" t="n"/>
      <c r="DY38" s="327" t="n"/>
      <c r="DZ38" s="29" t="n"/>
      <c r="ED38" s="327" t="n"/>
      <c r="EJ38" s="327" t="n"/>
      <c r="EL38" s="327" t="n"/>
      <c r="EY38" s="5" t="n"/>
      <c r="EZ38" s="5" t="n"/>
      <c r="FA38" s="5" t="n"/>
      <c r="FB38" s="5" t="n"/>
      <c r="FC38" s="5" t="n"/>
      <c r="FD38" s="5" t="n"/>
      <c r="FE38" s="5" t="n"/>
      <c r="FF38" s="5" t="n"/>
      <c r="FG38" s="5" t="n"/>
      <c r="FH38" s="5" t="n"/>
      <c r="FI38" s="5" t="n"/>
      <c r="FJ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/>
      <c r="AF39" s="699" t="n"/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192">
        <f>BV39+IF(NOT(ISBLANK(OFFSET(BX39,0,6))),N(OFFSET(BX39,0,6)),N(OFFSET(BX39,0,7)))-BW39</f>
        <v/>
      </c>
      <c r="CC39" s="5" t="n"/>
      <c r="CD39" s="29" t="n"/>
      <c r="CE39" s="29" t="n"/>
      <c r="CF39" s="29" t="n"/>
      <c r="CG39" s="29" t="n"/>
      <c r="CH39" s="29" t="n"/>
      <c r="CI39" s="51" t="n"/>
      <c r="CJ39" s="29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5" t="n"/>
      <c r="DB39" s="29" t="n"/>
      <c r="DC39" s="29" t="n"/>
      <c r="DD39" s="29" t="n"/>
      <c r="DE39" s="29" t="n"/>
      <c r="DF39" s="29" t="n"/>
      <c r="DH39" s="29" t="n"/>
      <c r="DI39" s="29" t="n"/>
      <c r="DK39" s="29" t="n"/>
      <c r="DL39" s="29" t="n"/>
      <c r="DM39" s="29" t="n"/>
      <c r="DN39" s="29" t="n"/>
      <c r="DO39" s="29" t="n"/>
      <c r="DP39" s="29" t="n"/>
      <c r="DQ39" s="29" t="n"/>
      <c r="DR39" s="29" t="n"/>
      <c r="DS39" s="29" t="n"/>
      <c r="DT39" s="5" t="n"/>
      <c r="DU39" s="5" t="n"/>
      <c r="DV39" s="29" t="n"/>
      <c r="DW39" s="5" t="n"/>
      <c r="DY39" s="327" t="n"/>
      <c r="DZ39" s="29" t="n"/>
      <c r="ED39" s="327" t="n"/>
      <c r="EJ39" s="327" t="n"/>
      <c r="EL39" s="327" t="n"/>
      <c r="EY39" s="5" t="n"/>
      <c r="EZ39" s="5" t="n"/>
      <c r="FA39" s="5" t="n"/>
      <c r="FB39" s="5" t="n"/>
      <c r="FC39" s="5" t="n"/>
      <c r="FD39" s="5" t="n"/>
      <c r="FE39" s="5" t="n"/>
      <c r="FF39" s="5" t="n"/>
      <c r="FG39" s="5" t="n"/>
      <c r="FH39" s="5" t="n"/>
      <c r="FI39" s="5" t="n"/>
      <c r="FJ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699" t="n">
        <v>2</v>
      </c>
      <c r="AD40" s="699" t="n">
        <v>2</v>
      </c>
      <c r="AE40" s="699" t="n">
        <v>2</v>
      </c>
      <c r="AF40" s="699" t="n">
        <v>2</v>
      </c>
      <c r="AG40" s="699" t="n">
        <v>2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192">
        <f>BV40+IF(NOT(ISBLANK(OFFSET(BX40,0,6))),N(OFFSET(BX40,0,6)),N(OFFSET(BX40,0,7)))-BW40</f>
        <v/>
      </c>
      <c r="CC40" s="5" t="n"/>
      <c r="CD40" s="29" t="n"/>
      <c r="CE40" s="29" t="n"/>
      <c r="CF40" s="29" t="n"/>
      <c r="CG40" s="29" t="n"/>
      <c r="CH40" s="29" t="n"/>
      <c r="CI40" s="51" t="n"/>
      <c r="CJ40" s="29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5" t="n"/>
      <c r="DB40" s="29" t="n"/>
      <c r="DC40" s="29" t="n"/>
      <c r="DD40" s="29" t="n"/>
      <c r="DE40" s="29" t="n"/>
      <c r="DF40" s="29" t="n"/>
      <c r="DH40" s="29" t="n"/>
      <c r="DI40" s="29" t="n"/>
      <c r="DK40" s="29" t="n"/>
      <c r="DL40" s="29" t="n"/>
      <c r="DM40" s="29" t="n"/>
      <c r="DN40" s="29" t="n"/>
      <c r="DO40" s="29" t="n"/>
      <c r="DP40" s="29" t="n"/>
      <c r="DQ40" s="29" t="n"/>
      <c r="DR40" s="29" t="n"/>
      <c r="DS40" s="29" t="n"/>
      <c r="DT40" s="5" t="n"/>
      <c r="DU40" s="5" t="n"/>
      <c r="DV40" s="29" t="n"/>
      <c r="DW40" s="5" t="n"/>
      <c r="DY40" s="327" t="n"/>
      <c r="DZ40" s="29" t="n"/>
      <c r="ED40" s="327" t="n"/>
      <c r="EJ40" s="327" t="n"/>
      <c r="EL40" s="327" t="n"/>
      <c r="EY40" s="5" t="n"/>
      <c r="EZ40" s="5" t="n"/>
      <c r="FA40" s="5" t="n"/>
      <c r="FB40" s="5" t="n"/>
      <c r="FC40" s="5" t="n"/>
      <c r="FD40" s="5" t="n"/>
      <c r="FE40" s="5" t="n"/>
      <c r="FF40" s="5" t="n"/>
      <c r="FG40" s="5" t="n"/>
      <c r="FH40" s="5" t="n"/>
      <c r="FI40" s="5" t="n"/>
      <c r="FJ40" s="5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699" t="n">
        <v>3</v>
      </c>
      <c r="AK41" s="699" t="n">
        <v>2</v>
      </c>
      <c r="AL41" s="699" t="n">
        <v>2</v>
      </c>
      <c r="AM41" s="699" t="n">
        <v>2</v>
      </c>
      <c r="AN41" s="699" t="n">
        <v>2</v>
      </c>
      <c r="AO41" s="699" t="n">
        <v>2</v>
      </c>
      <c r="AP41" s="699" t="n">
        <v>0</v>
      </c>
      <c r="AQ41" s="699" t="n">
        <v>0</v>
      </c>
      <c r="AR41" s="699" t="n">
        <v>0</v>
      </c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192">
        <f>BV41+IF(NOT(ISBLANK(OFFSET(BX41,0,6))),N(OFFSET(BX41,0,6)),N(OFFSET(BX41,0,7)))-BW41</f>
        <v/>
      </c>
      <c r="CC41" s="5" t="n"/>
      <c r="CD41" s="29" t="n"/>
      <c r="CE41" s="29" t="n"/>
      <c r="CF41" s="29" t="n"/>
      <c r="CG41" s="29" t="n"/>
      <c r="CH41" s="29" t="n"/>
      <c r="CI41" s="573" t="n"/>
      <c r="CJ41" s="29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5" t="n"/>
      <c r="DB41" s="29" t="n"/>
      <c r="DC41" s="29" t="n"/>
      <c r="DD41" s="29" t="n"/>
      <c r="DE41" s="29" t="n"/>
      <c r="DF41" s="29" t="n"/>
      <c r="DH41" s="29" t="n"/>
      <c r="DI41" s="29" t="n"/>
      <c r="DK41" s="29" t="n"/>
      <c r="DL41" s="29" t="n"/>
      <c r="DM41" s="29" t="n"/>
      <c r="DN41" s="29" t="n"/>
      <c r="DO41" s="29" t="n"/>
      <c r="DP41" s="29" t="n"/>
      <c r="DQ41" s="29" t="n"/>
      <c r="DR41" s="29" t="n"/>
      <c r="DS41" s="29" t="n"/>
      <c r="DT41" s="5" t="n"/>
      <c r="DU41" s="5" t="n"/>
      <c r="DV41" s="29" t="n"/>
      <c r="DW41" s="5" t="n"/>
      <c r="DY41" s="327" t="n"/>
      <c r="DZ41" s="29" t="n"/>
      <c r="ED41" s="327" t="n"/>
      <c r="EJ41" s="327" t="n"/>
      <c r="EL41" s="327" t="n"/>
      <c r="EY41" s="573" t="n"/>
      <c r="EZ41" s="573" t="n"/>
      <c r="FA41" s="573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699" t="n">
        <v>46</v>
      </c>
      <c r="AK42" s="699" t="n">
        <v>43</v>
      </c>
      <c r="AL42" s="699" t="n">
        <v>42</v>
      </c>
      <c r="AM42" s="699" t="n">
        <v>39</v>
      </c>
      <c r="AN42" s="699" t="n">
        <v>39</v>
      </c>
      <c r="AO42" s="699" t="n">
        <v>38</v>
      </c>
      <c r="AP42" s="699" t="n">
        <v>26</v>
      </c>
      <c r="AQ42" s="699" t="n">
        <v>9</v>
      </c>
      <c r="AR42" s="699" t="n">
        <v>3</v>
      </c>
      <c r="AS42" s="699" t="n">
        <v>3</v>
      </c>
      <c r="AT42" s="699" t="n">
        <v>3</v>
      </c>
      <c r="AU42" s="699" t="n">
        <v>3</v>
      </c>
      <c r="AV42" s="699" t="n">
        <v>3</v>
      </c>
      <c r="AW42" s="699" t="n">
        <v>0</v>
      </c>
      <c r="AX42" s="699" t="n">
        <v>0</v>
      </c>
      <c r="AY42" s="699" t="n">
        <v>0</v>
      </c>
      <c r="AZ42" s="699" t="n">
        <v>0</v>
      </c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192">
        <f>BV42+IF(NOT(ISBLANK(OFFSET(BX42,0,6))),N(OFFSET(BX42,0,6)),N(OFFSET(BX42,0,7)))-BW42</f>
        <v/>
      </c>
      <c r="CC42" s="5" t="n"/>
      <c r="CD42" s="29" t="n"/>
      <c r="CE42" s="29" t="n"/>
      <c r="CF42" s="29" t="n"/>
      <c r="CG42" s="29" t="n"/>
      <c r="CH42" s="29" t="n"/>
      <c r="CI42" s="573" t="n"/>
      <c r="CJ42" s="29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5" t="n"/>
      <c r="DB42" s="29" t="n"/>
      <c r="DC42" s="29" t="n"/>
      <c r="DD42" s="29" t="n"/>
      <c r="DE42" s="29" t="n"/>
      <c r="DF42" s="29" t="n"/>
      <c r="DH42" s="29" t="n"/>
      <c r="DI42" s="29" t="n"/>
      <c r="DK42" s="29" t="n"/>
      <c r="DL42" s="29" t="n"/>
      <c r="DM42" s="29" t="n"/>
      <c r="DN42" s="29" t="n"/>
      <c r="DO42" s="29" t="n"/>
      <c r="DP42" s="29" t="n"/>
      <c r="DQ42" s="29" t="n"/>
      <c r="DR42" s="29" t="n"/>
      <c r="DS42" s="29" t="n"/>
      <c r="DT42" s="5" t="n"/>
      <c r="DU42" s="5" t="n"/>
      <c r="DV42" s="29" t="n"/>
      <c r="DW42" s="5" t="n"/>
      <c r="DY42" s="327" t="n"/>
      <c r="DZ42" s="29" t="n"/>
      <c r="ED42" s="327" t="n"/>
      <c r="EJ42" s="327" t="n"/>
      <c r="EL42" s="327" t="n"/>
      <c r="EY42" s="573" t="n"/>
      <c r="EZ42" s="573" t="n"/>
      <c r="FA42" s="573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699" t="n">
        <v>1</v>
      </c>
      <c r="AK43" s="699" t="n">
        <v>0</v>
      </c>
      <c r="AL43" s="699" t="n">
        <v>0</v>
      </c>
      <c r="AM43" s="699" t="n">
        <v>0</v>
      </c>
      <c r="AN43" s="699" t="n">
        <v>0</v>
      </c>
      <c r="AO43" s="699" t="n">
        <v>0</v>
      </c>
      <c r="AP43" s="699" t="n"/>
      <c r="AQ43" s="699" t="n"/>
      <c r="AR43" s="699" t="n"/>
      <c r="AS43" s="699" t="n"/>
      <c r="AT43" s="699" t="n"/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192">
        <f>BV43+IF(NOT(ISBLANK(OFFSET(BX43,0,6))),N(OFFSET(BX43,0,6)),N(OFFSET(BX43,0,7)))-BW43</f>
        <v/>
      </c>
      <c r="CC43" s="5" t="n"/>
      <c r="CD43" s="29" t="n"/>
      <c r="CE43" s="29" t="n"/>
      <c r="CF43" s="29" t="n"/>
      <c r="CG43" s="29" t="n"/>
      <c r="CH43" s="29" t="n"/>
      <c r="CI43" s="573" t="n"/>
      <c r="CJ43" s="29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5" t="n"/>
      <c r="DB43" s="29" t="n"/>
      <c r="DC43" s="29" t="n"/>
      <c r="DD43" s="29" t="n"/>
      <c r="DE43" s="29" t="n"/>
      <c r="DF43" s="29" t="n"/>
      <c r="DH43" s="29" t="n"/>
      <c r="DI43" s="29" t="n"/>
      <c r="DK43" s="29" t="n"/>
      <c r="DL43" s="29" t="n"/>
      <c r="DM43" s="29" t="n"/>
      <c r="DN43" s="29" t="n"/>
      <c r="DO43" s="29" t="n"/>
      <c r="DP43" s="29" t="n"/>
      <c r="DQ43" s="29" t="n"/>
      <c r="DR43" s="29" t="n"/>
      <c r="DS43" s="29" t="n"/>
      <c r="DT43" s="5" t="n"/>
      <c r="DU43" s="5" t="n"/>
      <c r="DV43" s="29" t="n"/>
      <c r="DW43" s="5" t="n"/>
      <c r="DY43" s="327" t="n"/>
      <c r="DZ43" s="29" t="n"/>
      <c r="ED43" s="327" t="n"/>
      <c r="EJ43" s="327" t="n"/>
      <c r="EL43" s="327" t="n"/>
      <c r="EY43" s="573" t="n"/>
      <c r="EZ43" s="573" t="n"/>
      <c r="FA43" s="573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AY44" s="699" t="n">
        <v>129</v>
      </c>
      <c r="AZ44" s="699" t="n">
        <v>108</v>
      </c>
      <c r="BA44" s="699" t="n">
        <v>82</v>
      </c>
      <c r="BB44" s="699" t="n">
        <v>76</v>
      </c>
      <c r="BC44" s="699" t="n">
        <v>68</v>
      </c>
      <c r="BD44" s="699" t="n">
        <v>61</v>
      </c>
      <c r="BE44" s="699" t="n">
        <v>54</v>
      </c>
      <c r="BF44" s="699" t="n">
        <v>47</v>
      </c>
      <c r="BG44" s="699" t="n">
        <v>47</v>
      </c>
      <c r="BH44" s="699" t="n">
        <v>43</v>
      </c>
      <c r="BI44" s="699" t="n">
        <v>35</v>
      </c>
      <c r="BJ44" s="699" t="n">
        <v>22</v>
      </c>
      <c r="BK44" s="699" t="n">
        <v>4</v>
      </c>
      <c r="BL44" s="699" t="n">
        <v>0</v>
      </c>
      <c r="BM44" s="699" t="n">
        <v>0</v>
      </c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192">
        <f>BV44+IF(NOT(ISBLANK(OFFSET(BX44,0,6))),N(OFFSET(BX44,0,6)),N(OFFSET(BX44,0,7)))-BW44</f>
        <v/>
      </c>
      <c r="BY44" s="50" t="n"/>
      <c r="CA44" s="29" t="n"/>
      <c r="CB44" s="29" t="n"/>
      <c r="CC44" s="29" t="n"/>
      <c r="CI44" s="573" t="n"/>
      <c r="DA44" s="5" t="n"/>
      <c r="DT44" s="5" t="n"/>
      <c r="DU44" s="5" t="n"/>
      <c r="DW44" s="5" t="n"/>
      <c r="DX44" s="173" t="n"/>
      <c r="DY44" s="327" t="n"/>
      <c r="EB44" s="173" t="n"/>
      <c r="ED44" s="327" t="n"/>
      <c r="EE44" s="173" t="n"/>
      <c r="EJ44" s="327" t="n"/>
      <c r="EL44" s="327" t="n"/>
      <c r="EY44" s="573" t="n"/>
      <c r="EZ44" s="573" t="n"/>
      <c r="FA44" s="573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AY45" s="699" t="n">
        <v>142</v>
      </c>
      <c r="AZ45" s="699" t="n">
        <v>83</v>
      </c>
      <c r="BA45" s="699" t="n">
        <v>43</v>
      </c>
      <c r="BB45" s="699" t="n">
        <v>40</v>
      </c>
      <c r="BC45" s="699" t="n">
        <v>0</v>
      </c>
      <c r="BD45" s="699" t="n">
        <v>0</v>
      </c>
      <c r="BE45" s="699" t="n">
        <v>0</v>
      </c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192">
        <f>BV45+IF(NOT(ISBLANK(OFFSET(BX45,0,6))),N(OFFSET(BX45,0,6)),N(OFFSET(BX45,0,7)))-BW45</f>
        <v/>
      </c>
      <c r="BY45" s="50" t="n"/>
      <c r="CA45" s="29" t="n"/>
      <c r="CB45" s="29" t="n"/>
      <c r="CC45" s="29" t="n"/>
      <c r="DA45" s="5" t="n"/>
      <c r="DT45" s="5" t="n"/>
      <c r="DU45" s="5" t="n"/>
      <c r="DW45" s="5" t="n"/>
      <c r="DX45" s="173" t="n"/>
      <c r="DY45" s="327" t="n"/>
      <c r="EB45" s="173" t="n"/>
      <c r="ED45" s="327" t="n"/>
      <c r="EE45" s="173" t="n"/>
      <c r="EJ45" s="327" t="n"/>
      <c r="EL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AY46" s="699" t="n">
        <v>213</v>
      </c>
      <c r="AZ46" s="699" t="n">
        <v>19</v>
      </c>
      <c r="BA46" s="699" t="n">
        <v>-8</v>
      </c>
      <c r="BB46" s="699" t="n">
        <v>-9</v>
      </c>
      <c r="BC46" s="699" t="n">
        <v>0</v>
      </c>
      <c r="BD46" s="699" t="n">
        <v>0</v>
      </c>
      <c r="BE46" s="699" t="n">
        <v>0</v>
      </c>
      <c r="BF46" s="699" t="n"/>
      <c r="BG46" s="699" t="n"/>
      <c r="BH46" s="699" t="n"/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699" t="n"/>
      <c r="BV46" s="699" t="n"/>
      <c r="BW46" s="699" t="n"/>
      <c r="BX46" s="192">
        <f>BV46+IF(NOT(ISBLANK(OFFSET(BX46,0,6))),N(OFFSET(BX46,0,6)),N(OFFSET(BX46,0,7)))-BW46</f>
        <v/>
      </c>
      <c r="BY46" s="50" t="n"/>
      <c r="CA46" s="29" t="n"/>
      <c r="CB46" s="29" t="n"/>
      <c r="CC46" s="29" t="n"/>
      <c r="DA46" s="5" t="n"/>
      <c r="DT46" s="5" t="n"/>
      <c r="DU46" s="5" t="n"/>
      <c r="DW46" s="5" t="n"/>
      <c r="DX46" s="173" t="n"/>
      <c r="DY46" s="327" t="n"/>
      <c r="EB46" s="173" t="n"/>
      <c r="ED46" s="327" t="n"/>
      <c r="EE46" s="173" t="n"/>
      <c r="EJ46" s="327" t="n"/>
      <c r="EL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AY47" s="699" t="n">
        <v>173</v>
      </c>
      <c r="AZ47" s="699" t="n">
        <v>49</v>
      </c>
      <c r="BA47" s="699" t="n">
        <v>7</v>
      </c>
      <c r="BB47" s="699" t="n">
        <v>7</v>
      </c>
      <c r="BC47" s="699" t="n">
        <v>0</v>
      </c>
      <c r="BD47" s="699" t="n">
        <v>0</v>
      </c>
      <c r="BE47" s="699" t="n">
        <v>0</v>
      </c>
      <c r="BF47" s="699" t="n">
        <v>0</v>
      </c>
      <c r="BG47" s="699" t="n">
        <v>3</v>
      </c>
      <c r="BH47" s="699" t="n">
        <v>3</v>
      </c>
      <c r="BI47" s="699" t="n">
        <v>3</v>
      </c>
      <c r="BJ47" s="699" t="n">
        <v>3</v>
      </c>
      <c r="BK47" s="699" t="n">
        <v>2</v>
      </c>
      <c r="BL47" s="699" t="n">
        <v>2</v>
      </c>
      <c r="BM47" s="699" t="n">
        <v>2</v>
      </c>
      <c r="BN47" s="699" t="n">
        <v>2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>
        <v>0</v>
      </c>
      <c r="BT47" s="699" t="n">
        <v>0</v>
      </c>
      <c r="BU47" s="699" t="n">
        <v>0</v>
      </c>
      <c r="BV47" s="699" t="n">
        <v>0</v>
      </c>
      <c r="BW47" s="699" t="n">
        <v>0</v>
      </c>
      <c r="BX47" s="192">
        <f>BV47+IF(NOT(ISBLANK(OFFSET(BX47,0,6))),N(OFFSET(BX47,0,6)),N(OFFSET(BX47,0,7)))-BW47</f>
        <v/>
      </c>
      <c r="BY47" s="50" t="n"/>
      <c r="CA47" s="29" t="n"/>
      <c r="CB47" s="29" t="n"/>
      <c r="CC47" s="29" t="n"/>
      <c r="CI47" s="5" t="n"/>
      <c r="DA47" s="5" t="n"/>
      <c r="DT47" s="5" t="n"/>
      <c r="DU47" s="5" t="n"/>
      <c r="DW47" s="5" t="n"/>
      <c r="DX47" s="173" t="n"/>
      <c r="DY47" s="327" t="n"/>
      <c r="EB47" s="173" t="n"/>
      <c r="ED47" s="327" t="n"/>
      <c r="EE47" s="173" t="n"/>
      <c r="EJ47" s="327" t="n"/>
      <c r="EL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AY48" s="699" t="n"/>
      <c r="AZ48" s="699" t="n"/>
      <c r="BA48" s="699" t="n">
        <v>0</v>
      </c>
      <c r="BB48" s="699" t="n">
        <v>0</v>
      </c>
      <c r="BC48" s="699" t="n">
        <v>0</v>
      </c>
      <c r="BD48" s="699" t="n">
        <v>0</v>
      </c>
      <c r="BE48" s="699" t="n">
        <v>0</v>
      </c>
      <c r="BF48" s="699" t="n"/>
      <c r="BG48" s="699" t="n"/>
      <c r="BH48" s="699" t="n"/>
      <c r="BI48" s="699" t="n"/>
      <c r="BJ48" s="699" t="n"/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192">
        <f>BV48+IF(NOT(ISBLANK(OFFSET(BX48,0,6))),N(OFFSET(BX48,0,6)),N(OFFSET(BX48,0,7)))-BW48</f>
        <v/>
      </c>
      <c r="BY48" s="50" t="n"/>
      <c r="CA48" s="29" t="n"/>
      <c r="CB48" s="29" t="n"/>
      <c r="CC48" s="29" t="n"/>
      <c r="DA48" s="5" t="n"/>
      <c r="DT48" s="5" t="n"/>
      <c r="DU48" s="5" t="n"/>
      <c r="DW48" s="5" t="n"/>
      <c r="DX48" s="173" t="n"/>
      <c r="DY48" s="327" t="n"/>
      <c r="EB48" s="173" t="n"/>
      <c r="ED48" s="327" t="n"/>
      <c r="EE48" s="173" t="n"/>
      <c r="EJ48" s="327" t="n"/>
      <c r="EL48" s="327" t="n"/>
    </row>
    <row r="49">
      <c r="C49" s="726" t="n"/>
      <c r="D49" s="726" t="n"/>
      <c r="BX49" s="573" t="n"/>
      <c r="BY49" s="50" t="n"/>
      <c r="CA49" s="29" t="n"/>
      <c r="CB49" s="29" t="n"/>
      <c r="CC49" s="29" t="n"/>
      <c r="DA49" s="5" t="n"/>
      <c r="DT49" s="5" t="n"/>
      <c r="DU49" s="5" t="n"/>
      <c r="DW49" s="5" t="n"/>
      <c r="DX49" s="173" t="n"/>
      <c r="DY49" s="327" t="n"/>
      <c r="EB49" s="173" t="n"/>
      <c r="ED49" s="327" t="n"/>
      <c r="EE49" s="173" t="n"/>
      <c r="EJ49" s="327" t="n"/>
      <c r="EL49" s="327" t="n"/>
    </row>
    <row r="50" ht="21" customHeight="1">
      <c r="A50" s="380" t="inlineStr">
        <is>
          <t>SOBRAS DATAS COMEMORATIVAS</t>
        </is>
      </c>
      <c r="B50" s="380" t="n"/>
      <c r="C50" s="380" t="n"/>
      <c r="BX50" s="573" t="n"/>
      <c r="BY50" s="50" t="n"/>
      <c r="BZ50" s="573" t="n"/>
      <c r="CA50" s="29" t="n"/>
      <c r="CB50" s="29" t="n"/>
      <c r="CC50" s="29" t="n"/>
      <c r="DA50" s="51" t="n"/>
      <c r="DT50" s="51" t="n"/>
      <c r="DU50" s="51" t="n"/>
      <c r="DW50" s="5" t="n"/>
      <c r="DX50" s="174" t="n"/>
      <c r="DY50" s="327" t="n"/>
      <c r="EB50" s="174" t="n"/>
      <c r="ED50" s="327" t="n"/>
      <c r="EE50" s="174" t="n"/>
      <c r="EJ50" s="327" t="n"/>
      <c r="EL50" s="327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0" t="n"/>
      <c r="BZ51" s="573" t="n"/>
      <c r="CA51" s="29" t="n"/>
      <c r="CB51" s="29" t="n"/>
      <c r="CC51" s="29" t="n"/>
      <c r="DA51" s="51" t="n"/>
      <c r="DL51" s="59" t="n"/>
      <c r="DM51" s="59" t="n"/>
      <c r="DN51" s="59" t="n"/>
      <c r="DO51" s="59" t="n"/>
      <c r="DP51" s="59" t="n"/>
      <c r="DQ51" s="59" t="n"/>
      <c r="DR51" s="59" t="n"/>
      <c r="DS51" s="59" t="n"/>
      <c r="DT51" s="51" t="n"/>
      <c r="DU51" s="51" t="n"/>
      <c r="DV51" s="59" t="n"/>
      <c r="DW51" s="51" t="n"/>
      <c r="DX51" s="174" t="n"/>
      <c r="DY51" s="327" t="n"/>
      <c r="DZ51" s="59" t="n"/>
      <c r="EB51" s="174" t="n"/>
      <c r="ED51" s="327" t="n"/>
      <c r="EE51" s="174" t="n"/>
      <c r="EJ51" s="327" t="n"/>
      <c r="EL51" s="327" t="n"/>
    </row>
    <row r="52">
      <c r="A52" s="170" t="inlineStr">
        <is>
          <t>OVERBAG P PAIS/22</t>
        </is>
      </c>
      <c r="B52" s="177" t="n"/>
      <c r="C52" s="178" t="n">
        <v>30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DA52" s="573" t="n"/>
      <c r="DG52" s="173" t="n"/>
      <c r="DJ52" s="173" t="n"/>
      <c r="DL52" s="573" t="n"/>
      <c r="DM52" s="573" t="n"/>
      <c r="DN52" s="573" t="n"/>
      <c r="DO52" s="573" t="n"/>
      <c r="DP52" s="573" t="n"/>
      <c r="DQ52" s="573" t="n"/>
      <c r="DR52" s="573" t="n"/>
      <c r="DS52" s="573" t="n"/>
      <c r="DT52" s="573" t="n"/>
      <c r="DU52" s="573" t="n"/>
      <c r="DV52" s="573" t="n"/>
      <c r="DW52" s="51" t="n"/>
      <c r="DY52" s="327" t="n"/>
      <c r="DZ52" s="573" t="n"/>
      <c r="EA52" s="59" t="n"/>
      <c r="EC52" s="59" t="n"/>
      <c r="ED52" s="327" t="n"/>
      <c r="EF52" s="59" t="n"/>
      <c r="EG52" s="59" t="n"/>
      <c r="EH52" s="59" t="n"/>
      <c r="EI52" s="59" t="n"/>
      <c r="EJ52" s="327" t="n"/>
      <c r="EK52" s="59" t="n"/>
      <c r="EL52" s="327" t="n"/>
      <c r="EM52" s="59" t="n"/>
      <c r="EN52" s="59" t="n"/>
      <c r="EO52" s="59" t="n"/>
      <c r="EP52" s="59" t="n"/>
      <c r="EQ52" s="59" t="n"/>
      <c r="ER52" s="59" t="n"/>
      <c r="ES52" s="59" t="n"/>
      <c r="ET52" s="59" t="n"/>
      <c r="EU52" s="59" t="n"/>
      <c r="EV52" s="59" t="n"/>
      <c r="EW52" s="59" t="n"/>
      <c r="EX52" s="573" t="n"/>
      <c r="FK52" s="2" t="n"/>
      <c r="FL52" s="2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50" t="n"/>
      <c r="FX52" s="50" t="n"/>
      <c r="FY52" s="50" t="n"/>
      <c r="FZ52" s="50" t="n"/>
      <c r="GA52" s="50" t="n"/>
      <c r="GB52" s="50" t="n"/>
      <c r="GC52" s="50" t="n"/>
      <c r="GD52" s="50" t="n"/>
      <c r="GE52" s="50" t="n"/>
      <c r="GF52" s="50" t="n"/>
      <c r="GG52" s="50" t="n"/>
      <c r="GH52" s="50" t="n"/>
      <c r="GI52" s="50" t="n"/>
      <c r="GJ52" s="50" t="n"/>
      <c r="GK52" s="50" t="n"/>
      <c r="GL52" s="50" t="n"/>
      <c r="GM52" s="50" t="n"/>
      <c r="GN52" s="50" t="n"/>
      <c r="GO52" s="50" t="n"/>
      <c r="GP52" s="50" t="n"/>
      <c r="GQ52" s="50" t="n"/>
      <c r="GR52" s="50" t="n"/>
      <c r="GS52" s="50" t="n"/>
      <c r="GT52" s="50" t="n"/>
      <c r="GU52" s="50" t="n"/>
      <c r="GV52" s="50" t="n"/>
      <c r="GW52" s="50" t="n"/>
      <c r="GX52" s="50" t="n"/>
      <c r="GY52" s="50" t="n"/>
      <c r="GZ52" s="50" t="n"/>
      <c r="HA52" s="50" t="n"/>
      <c r="HB52" s="50" t="n"/>
      <c r="HC52" s="29" t="n"/>
      <c r="HD52" s="29" t="n"/>
      <c r="HE52" s="29" t="n"/>
      <c r="HF52" s="29" t="n"/>
      <c r="HG52" s="29" t="n"/>
      <c r="HH52" s="29" t="n"/>
      <c r="HI52" s="29" t="n"/>
      <c r="HJ52" s="50" t="n"/>
      <c r="HK52" s="50" t="n"/>
      <c r="HL52" s="29" t="n"/>
      <c r="HM52" s="29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50" t="n"/>
      <c r="IA52" s="50" t="n"/>
      <c r="IB52" s="50" t="n"/>
      <c r="IC52" s="50" t="n"/>
      <c r="ID52" s="50" t="n"/>
      <c r="IE52" s="50" t="n"/>
      <c r="IF52" s="50" t="n"/>
      <c r="IG52" s="2" t="n"/>
      <c r="IH52" s="2" t="n"/>
      <c r="II52" s="2" t="n"/>
      <c r="IJ52" s="2" t="n"/>
      <c r="IK52" s="2" t="n"/>
      <c r="IL52" s="173" t="n"/>
      <c r="IM52" s="173" t="n"/>
      <c r="IN52" s="173" t="n"/>
      <c r="IO52" s="2" t="n"/>
      <c r="IP52" s="2" t="n"/>
      <c r="IQ52" s="2" t="n"/>
      <c r="IR52" s="29" t="n"/>
      <c r="IS52" s="2" t="n"/>
      <c r="IT52" s="173" t="n"/>
      <c r="IU52" s="2" t="n"/>
      <c r="IV52" s="2" t="n"/>
      <c r="IW52" s="2" t="n"/>
      <c r="IX52" s="2" t="n"/>
      <c r="IY52" s="173" t="n"/>
      <c r="IZ52" s="2" t="n"/>
      <c r="JA52" s="29" t="n"/>
      <c r="JB52" s="2" t="n"/>
      <c r="JC52" s="2" t="n"/>
      <c r="JD52" s="2" t="n"/>
      <c r="JE52" s="2" t="n"/>
      <c r="JF52" s="173" t="n"/>
      <c r="JG52" s="2" t="n"/>
      <c r="JH52" s="2" t="n"/>
      <c r="JI52" s="2" t="n"/>
      <c r="JJ52" s="2" t="n"/>
      <c r="JK52" s="2" t="n"/>
      <c r="JL52" s="2" t="n"/>
      <c r="JM52" s="2" t="n"/>
      <c r="JN52" s="29" t="n"/>
      <c r="JO52" s="29" t="n"/>
      <c r="JP52" s="29" t="n"/>
      <c r="JQ52" s="138" t="n"/>
      <c r="JR52" s="29" t="n"/>
      <c r="JS52" s="29" t="n"/>
      <c r="JT52" s="29" t="n"/>
      <c r="JU52" s="29" t="n"/>
      <c r="JV52" s="29" t="n"/>
      <c r="JW52" s="29" t="n"/>
      <c r="JX52" s="138" t="n"/>
      <c r="JY52" s="29" t="n"/>
      <c r="JZ52" s="29" t="n"/>
      <c r="KA52" s="29" t="n"/>
      <c r="KC52" s="29" t="n"/>
      <c r="KD52" s="29" t="n"/>
      <c r="KE52" s="29" t="n"/>
      <c r="KG52" s="29" t="n"/>
      <c r="KH52" s="29" t="n"/>
      <c r="KM52" s="29" t="n"/>
      <c r="KN52" s="29" t="n"/>
      <c r="KO52" s="29" t="n"/>
      <c r="KQ52" s="29" t="n"/>
      <c r="KR52" s="29" t="n"/>
      <c r="KS52" s="29" t="n"/>
      <c r="KU52" s="29" t="n"/>
      <c r="KV52" s="29" t="n"/>
      <c r="KW52" s="29" t="n"/>
      <c r="KX52" s="29" t="n"/>
      <c r="KY52" s="29" t="n"/>
      <c r="KZ52" s="29" t="n"/>
      <c r="LB52" s="29" t="n"/>
      <c r="LC52" s="29" t="n"/>
      <c r="LD52" s="29" t="n"/>
      <c r="LE52" s="29" t="n"/>
      <c r="LF52" s="29" t="n"/>
      <c r="LG52" s="29" t="n"/>
      <c r="LI52" s="29" t="n"/>
      <c r="LK52" s="29" t="n"/>
      <c r="LL52" s="29" t="n"/>
      <c r="LM52" s="29" t="n"/>
      <c r="LN52" s="29" t="n"/>
      <c r="LO52" s="29" t="n"/>
      <c r="LP52" s="29" t="n"/>
      <c r="LR52" s="29" t="n"/>
      <c r="LU52" s="29" t="n"/>
      <c r="LY52" s="29" t="n"/>
      <c r="LZ52" s="29" t="n"/>
      <c r="MA52" s="29" t="n"/>
    </row>
    <row r="53">
      <c r="A53" s="170" t="inlineStr">
        <is>
          <t>OVERBAG M PAIS/22</t>
        </is>
      </c>
      <c r="B53" s="171" t="n"/>
      <c r="C53" s="172" t="n">
        <v>99</v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DA53" s="573" t="n"/>
      <c r="DC53" s="59" t="n"/>
      <c r="DG53" s="174" t="n"/>
      <c r="DI53" s="59" t="n"/>
      <c r="DJ53" s="174" t="n"/>
      <c r="DK53" s="59" t="n"/>
      <c r="DL53" s="573" t="n"/>
      <c r="DM53" s="573" t="n"/>
      <c r="DN53" s="573" t="n"/>
      <c r="DO53" s="573" t="n"/>
      <c r="DP53" s="573" t="n"/>
      <c r="DQ53" s="573" t="n"/>
      <c r="DR53" s="573" t="n"/>
      <c r="DS53" s="573" t="n"/>
      <c r="DT53" s="573" t="n"/>
      <c r="DU53" s="573" t="n"/>
      <c r="DV53" s="573" t="n"/>
      <c r="DW53" s="573" t="n"/>
      <c r="DY53" s="327" t="n"/>
      <c r="DZ53" s="573" t="n"/>
      <c r="EA53" s="573" t="n"/>
      <c r="EC53" s="573" t="n"/>
      <c r="ED53" s="327" t="n"/>
      <c r="EF53" s="573" t="n"/>
      <c r="EG53" s="573" t="n"/>
      <c r="EH53" s="573" t="n"/>
      <c r="EI53" s="573" t="n"/>
      <c r="EJ53" s="327" t="n"/>
      <c r="EK53" s="573" t="n"/>
      <c r="EL53" s="327" t="n"/>
      <c r="EM53" s="573" t="n"/>
      <c r="EN53" s="573" t="n"/>
      <c r="EO53" s="573" t="n"/>
      <c r="EP53" s="573" t="n"/>
      <c r="EQ53" s="573" t="n"/>
      <c r="ER53" s="573" t="n"/>
      <c r="ES53" s="573" t="n"/>
      <c r="ET53" s="573" t="n"/>
      <c r="EU53" s="573" t="n"/>
      <c r="EV53" s="573" t="n"/>
      <c r="EW53" s="573" t="n"/>
      <c r="EX53" s="573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9" t="n"/>
      <c r="FX53" s="29" t="n"/>
      <c r="FY53" s="29" t="n"/>
      <c r="FZ53" s="29" t="n"/>
      <c r="GA53" s="29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29" t="n"/>
      <c r="II53" s="29" t="n"/>
      <c r="IJ53" s="29" t="n"/>
      <c r="IK53" s="29" t="n"/>
      <c r="IL53" s="174" t="n"/>
      <c r="IM53" s="174" t="n"/>
      <c r="IN53" s="174" t="n"/>
      <c r="IO53" s="29" t="n"/>
      <c r="IP53" s="29" t="n"/>
      <c r="IQ53" s="29" t="n"/>
      <c r="IR53" s="29" t="n"/>
      <c r="IS53" s="29" t="n"/>
      <c r="IT53" s="174" t="n"/>
      <c r="IU53" s="29" t="n"/>
      <c r="IV53" s="29" t="n"/>
      <c r="IW53" s="29" t="n"/>
      <c r="IX53" s="29" t="n"/>
      <c r="IY53" s="174" t="n"/>
      <c r="IZ53" s="29" t="n"/>
      <c r="JA53" s="29" t="n"/>
      <c r="JB53" s="29" t="n"/>
      <c r="JC53" s="29" t="n"/>
      <c r="JD53" s="29" t="n"/>
      <c r="JE53" s="29" t="n"/>
      <c r="JF53" s="174" t="n"/>
      <c r="JG53" s="29" t="n"/>
      <c r="JH53" s="29" t="n"/>
      <c r="JI53" s="29" t="n"/>
      <c r="JJ53" s="29" t="n"/>
      <c r="JK53" s="29" t="n"/>
      <c r="JL53" s="29" t="n"/>
      <c r="JM53" s="29" t="n"/>
      <c r="JN53" s="29" t="n"/>
      <c r="JO53" s="29" t="n"/>
      <c r="JP53" s="29" t="n"/>
      <c r="JQ53" s="138" t="n"/>
      <c r="JR53" s="29" t="n"/>
      <c r="JS53" s="29" t="n"/>
      <c r="JT53" s="29" t="n"/>
      <c r="JU53" s="29" t="n"/>
      <c r="JV53" s="29" t="n"/>
      <c r="JW53" s="29" t="n"/>
      <c r="JX53" s="138" t="n"/>
      <c r="JY53" s="29" t="n"/>
      <c r="JZ53" s="29" t="n"/>
      <c r="KA53" s="29" t="n"/>
      <c r="KC53" s="29" t="n"/>
      <c r="KD53" s="29" t="n"/>
      <c r="KE53" s="29" t="n"/>
      <c r="KG53" s="29" t="n"/>
      <c r="KH53" s="29" t="n"/>
      <c r="KM53" s="29" t="n"/>
      <c r="KN53" s="29" t="n"/>
      <c r="KO53" s="29" t="n"/>
      <c r="KQ53" s="29" t="n"/>
      <c r="KR53" s="29" t="n"/>
      <c r="KS53" s="29" t="n"/>
      <c r="KU53" s="29" t="n"/>
      <c r="KV53" s="29" t="n"/>
      <c r="KW53" s="29" t="n"/>
      <c r="KX53" s="29" t="n"/>
      <c r="KY53" s="29" t="n"/>
      <c r="KZ53" s="29" t="n"/>
      <c r="LB53" s="29" t="n"/>
      <c r="LC53" s="29" t="n"/>
      <c r="LD53" s="29" t="n"/>
      <c r="LE53" s="29" t="n"/>
      <c r="LF53" s="29" t="n"/>
      <c r="LG53" s="29" t="n"/>
      <c r="LI53" s="29" t="n"/>
      <c r="LK53" s="29" t="n"/>
      <c r="LL53" s="29" t="n"/>
      <c r="LM53" s="29" t="n"/>
      <c r="LN53" s="29" t="n"/>
      <c r="LO53" s="29" t="n"/>
      <c r="LP53" s="29" t="n"/>
      <c r="LR53" s="29" t="n"/>
      <c r="LU53" s="29" t="n"/>
      <c r="LY53" s="29" t="n"/>
      <c r="LZ53" s="29" t="n"/>
      <c r="MA53" s="29" t="n"/>
    </row>
    <row r="54">
      <c r="A54" s="170" t="inlineStr">
        <is>
          <t>OVERBAG G PAIS/22</t>
        </is>
      </c>
      <c r="B54" s="171" t="n"/>
      <c r="C54" s="172" t="n">
        <v>88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9" t="n"/>
      <c r="CE54" s="59" t="n"/>
      <c r="CF54" s="59" t="n"/>
      <c r="CG54" s="59" t="n"/>
      <c r="CH54" s="59" t="n"/>
      <c r="CJ54" s="59" t="n"/>
      <c r="CK54" s="59" t="n"/>
      <c r="CL54" s="59" t="n"/>
      <c r="CM54" s="59" t="n"/>
      <c r="CN54" s="59" t="n"/>
      <c r="CT54" s="59" t="n"/>
      <c r="CU54" s="59" t="n"/>
      <c r="CV54" s="59" t="n"/>
      <c r="CW54" s="59" t="n"/>
      <c r="CX54" s="59" t="n"/>
      <c r="CY54" s="59" t="n"/>
      <c r="CZ54" s="59" t="n"/>
      <c r="DA54" s="573" t="n"/>
      <c r="DB54" s="59" t="n"/>
      <c r="DC54" s="573" t="n"/>
      <c r="DD54" s="59" t="n"/>
      <c r="DE54" s="59" t="n"/>
      <c r="DF54" s="59" t="n"/>
      <c r="DG54" s="174" t="n"/>
      <c r="DH54" s="59" t="n"/>
      <c r="DI54" s="573" t="n"/>
      <c r="DJ54" s="174" t="n"/>
      <c r="DK54" s="573" t="n"/>
      <c r="DT54" s="573" t="n"/>
      <c r="DU54" s="573" t="n"/>
      <c r="DW54" s="573" t="n"/>
      <c r="DY54" s="327" t="n"/>
      <c r="EA54" s="573" t="n"/>
      <c r="EC54" s="573" t="n"/>
      <c r="ED54" s="327" t="n"/>
      <c r="EF54" s="573" t="n"/>
      <c r="EG54" s="573" t="n"/>
      <c r="EH54" s="573" t="n"/>
      <c r="EI54" s="573" t="n"/>
      <c r="EJ54" s="327" t="n"/>
      <c r="EK54" s="573" t="n"/>
      <c r="EL54" s="327" t="n"/>
      <c r="EM54" s="573" t="n"/>
      <c r="EN54" s="573" t="n"/>
      <c r="EO54" s="573" t="n"/>
      <c r="EP54" s="573" t="n"/>
      <c r="EQ54" s="573" t="n"/>
      <c r="ER54" s="573" t="n"/>
      <c r="ES54" s="573" t="n"/>
      <c r="ET54" s="573" t="n"/>
      <c r="EU54" s="573" t="n"/>
      <c r="EV54" s="573" t="n"/>
      <c r="EW54" s="573" t="n"/>
      <c r="EX54" s="573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9" t="n"/>
      <c r="FX54" s="29" t="n"/>
      <c r="FY54" s="29" t="n"/>
      <c r="FZ54" s="29" t="n"/>
      <c r="GA54" s="29" t="n"/>
      <c r="GB54" s="29" t="n"/>
      <c r="GC54" s="29" t="n"/>
      <c r="GD54" s="29" t="n"/>
      <c r="GE54" s="29" t="n"/>
      <c r="GF54" s="29" t="n"/>
      <c r="GG54" s="29" t="n"/>
      <c r="GH54" s="29" t="n"/>
      <c r="GI54" s="29" t="n"/>
      <c r="GJ54" s="29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29" t="n"/>
      <c r="II54" s="29" t="n"/>
      <c r="IJ54" s="29" t="n"/>
      <c r="IK54" s="29" t="n"/>
      <c r="IL54" s="174" t="n"/>
      <c r="IM54" s="174" t="n"/>
      <c r="IN54" s="174" t="n"/>
      <c r="IO54" s="29" t="n"/>
      <c r="IP54" s="29" t="n"/>
      <c r="IQ54" s="29" t="n"/>
      <c r="IR54" s="29" t="n"/>
      <c r="IS54" s="29" t="n"/>
      <c r="IT54" s="174" t="n"/>
      <c r="IU54" s="29" t="n"/>
      <c r="IV54" s="29" t="n"/>
      <c r="IW54" s="29" t="n"/>
      <c r="IX54" s="29" t="n"/>
      <c r="IY54" s="174" t="n"/>
      <c r="IZ54" s="29" t="n"/>
      <c r="JA54" s="29" t="n"/>
      <c r="JB54" s="29" t="n"/>
      <c r="JC54" s="29" t="n"/>
      <c r="JD54" s="29" t="n"/>
      <c r="JE54" s="29" t="n"/>
      <c r="JF54" s="174" t="n"/>
      <c r="JG54" s="29" t="n"/>
      <c r="JH54" s="29" t="n"/>
      <c r="JI54" s="29" t="n"/>
      <c r="JJ54" s="29" t="n"/>
      <c r="JK54" s="29" t="n"/>
      <c r="JL54" s="29" t="n"/>
      <c r="JM54" s="29" t="n"/>
      <c r="JN54" s="29" t="n"/>
      <c r="JO54" s="29" t="n"/>
      <c r="JP54" s="29" t="n"/>
      <c r="JQ54" s="71" t="n"/>
      <c r="JR54" s="29" t="n"/>
      <c r="JS54" s="29" t="n"/>
      <c r="JT54" s="29" t="n"/>
      <c r="JU54" s="29" t="n"/>
      <c r="JV54" s="29" t="n"/>
      <c r="JW54" s="29" t="n"/>
      <c r="JX54" s="71" t="n"/>
      <c r="JY54" s="29" t="n"/>
      <c r="JZ54" s="29" t="n"/>
      <c r="KA54" s="29" t="n"/>
      <c r="KB54" s="29" t="n"/>
      <c r="KC54" s="29" t="n"/>
      <c r="KD54" s="29" t="n"/>
      <c r="KE54" s="29" t="n"/>
      <c r="KF54" s="29" t="n"/>
      <c r="KG54" s="29" t="n"/>
      <c r="KH54" s="29" t="n"/>
      <c r="KI54" s="29" t="n"/>
      <c r="KJ54" s="29" t="n"/>
      <c r="KK54" s="29" t="n"/>
      <c r="KL54" s="29" t="n"/>
      <c r="KM54" s="29" t="n"/>
      <c r="KN54" s="29" t="n"/>
      <c r="KO54" s="29" t="n"/>
      <c r="KP54" s="29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</row>
    <row r="55">
      <c r="A55" s="389" t="n"/>
      <c r="B55" s="390" t="n"/>
      <c r="C55" s="390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J55" s="573" t="n"/>
      <c r="CK55" s="573" t="n"/>
      <c r="CL55" s="573" t="n"/>
      <c r="CM55" s="573" t="n"/>
      <c r="CN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H55" s="573" t="n"/>
      <c r="DI55" s="573" t="n"/>
      <c r="DK55" s="573" t="n"/>
      <c r="DT55" s="573" t="n"/>
      <c r="DU55" s="573" t="n"/>
      <c r="DW55" s="573" t="n"/>
      <c r="DY55" s="327" t="n"/>
      <c r="EA55" s="573" t="n"/>
      <c r="EC55" s="573" t="n"/>
      <c r="ED55" s="327" t="n"/>
      <c r="EF55" s="573" t="n"/>
      <c r="EG55" s="573" t="n"/>
      <c r="EH55" s="573" t="n"/>
      <c r="EI55" s="573" t="n"/>
      <c r="EJ55" s="327" t="n"/>
      <c r="EK55" s="573" t="n"/>
      <c r="EL55" s="327" t="n"/>
      <c r="EM55" s="573" t="n"/>
      <c r="EN55" s="573" t="n"/>
      <c r="EO55" s="573" t="n"/>
      <c r="EP55" s="573" t="n"/>
      <c r="EQ55" s="573" t="n"/>
      <c r="ER55" s="573" t="n"/>
      <c r="ES55" s="573" t="n"/>
      <c r="ET55" s="573" t="n"/>
      <c r="EU55" s="573" t="n"/>
      <c r="EV55" s="573" t="n"/>
      <c r="EW55" s="573" t="n"/>
      <c r="EX55" s="573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9" t="n"/>
      <c r="FX55" s="29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29" t="n"/>
      <c r="IL55" s="176" t="n"/>
      <c r="IM55" s="176" t="n"/>
      <c r="IN55" s="176" t="n"/>
      <c r="IO55" s="29" t="n"/>
      <c r="IP55" s="29" t="n"/>
      <c r="IQ55" s="29" t="n"/>
      <c r="IR55" s="29" t="n"/>
      <c r="IS55" s="29" t="n"/>
      <c r="IT55" s="176" t="n"/>
      <c r="IU55" s="29" t="n"/>
      <c r="IV55" s="29" t="n"/>
      <c r="IW55" s="29" t="n"/>
      <c r="IX55" s="29" t="n"/>
      <c r="IY55" s="176" t="n"/>
      <c r="IZ55" s="29" t="n"/>
      <c r="JA55" s="29" t="n"/>
      <c r="JB55" s="29" t="n"/>
      <c r="JC55" s="29" t="n"/>
      <c r="JD55" s="29" t="n"/>
      <c r="JE55" s="29" t="n"/>
      <c r="JF55" s="176" t="n"/>
      <c r="JG55" s="29" t="n"/>
      <c r="JH55" s="29" t="n"/>
      <c r="JI55" s="29" t="n"/>
      <c r="JJ55" s="29" t="n"/>
      <c r="JK55" s="29" t="n"/>
      <c r="JL55" s="29" t="n"/>
      <c r="JM55" s="29" t="n"/>
      <c r="JN55" s="29" t="n"/>
      <c r="JO55" s="29" t="n"/>
      <c r="JP55" s="29" t="n"/>
      <c r="JQ55" s="71" t="n"/>
      <c r="JR55" s="29" t="n"/>
      <c r="JS55" s="29" t="n"/>
      <c r="JT55" s="29" t="n"/>
      <c r="JU55" s="29" t="n"/>
      <c r="JV55" s="29" t="n"/>
      <c r="JW55" s="29" t="n"/>
      <c r="JX55" s="71" t="n"/>
      <c r="JY55" s="29" t="n"/>
      <c r="JZ55" s="29" t="n"/>
      <c r="KA55" s="29" t="n"/>
      <c r="KB55" s="29" t="n"/>
      <c r="KC55" s="29" t="n"/>
      <c r="KD55" s="29" t="n"/>
      <c r="KE55" s="29" t="n"/>
      <c r="KF55" s="29" t="n"/>
      <c r="KG55" s="29" t="n"/>
      <c r="KH55" s="29" t="n"/>
      <c r="KI55" s="29" t="n"/>
      <c r="KJ55" s="29" t="n"/>
      <c r="KK55" s="29" t="n"/>
      <c r="KL55" s="29" t="n"/>
      <c r="KM55" s="29" t="n"/>
      <c r="KN55" s="29" t="n"/>
      <c r="KO55" s="29" t="n"/>
      <c r="KP55" s="29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</row>
    <row r="56" customFormat="1" s="29">
      <c r="A56" s="175" t="inlineStr">
        <is>
          <t>ADESIVOS NAMORADOS/23</t>
        </is>
      </c>
      <c r="B56" s="171" t="n"/>
      <c r="C56" s="172" t="n">
        <v>14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1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9" t="n"/>
      <c r="CJ56" s="573" t="n"/>
      <c r="CK56" s="573" t="n"/>
      <c r="CL56" s="573" t="n"/>
      <c r="CM56" s="573" t="n"/>
      <c r="CN56" s="573" t="n"/>
      <c r="CO56" s="59" t="n"/>
      <c r="CP56" s="59" t="n"/>
      <c r="CQ56" s="59" t="n"/>
      <c r="CR56" s="59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D56" s="573" t="n"/>
      <c r="DE56" s="573" t="n"/>
      <c r="DF56" s="573" t="n"/>
      <c r="DH56" s="573" t="n"/>
      <c r="DT56" s="573" t="n"/>
      <c r="DU56" s="573" t="n"/>
      <c r="DW56" s="573" t="n"/>
      <c r="DX56" s="5" t="n"/>
      <c r="DY56" s="327" t="n"/>
      <c r="EA56" s="573" t="n"/>
      <c r="EB56" s="5" t="n"/>
      <c r="ED56" s="327" t="n"/>
      <c r="EE56" s="5" t="n"/>
      <c r="EJ56" s="327" t="n"/>
      <c r="EL56" s="327" t="n"/>
      <c r="EX56" s="573" t="n"/>
      <c r="EY56" s="5" t="n"/>
      <c r="EZ56" s="5" t="n"/>
      <c r="FA56" s="5" t="n"/>
      <c r="FB56" s="5" t="n"/>
      <c r="FC56" s="5" t="n"/>
      <c r="FD56" s="5" t="n"/>
      <c r="FE56" s="5" t="n"/>
      <c r="FF56" s="5" t="n"/>
      <c r="FG56" s="5" t="n"/>
      <c r="FH56" s="5" t="n"/>
      <c r="FI56" s="5" t="n"/>
      <c r="FJ56" s="5" t="n"/>
      <c r="FK56" s="2" t="n"/>
      <c r="FL56" s="2" t="n"/>
      <c r="FM56" s="2" t="n"/>
      <c r="FN56" s="2" t="n"/>
      <c r="FO56" s="2" t="n"/>
      <c r="FP56" s="2" t="n"/>
      <c r="FQ56" s="2" t="n"/>
      <c r="FR56" s="2" t="n"/>
      <c r="FS56" s="2" t="n"/>
      <c r="FT56" s="2" t="n"/>
      <c r="FU56" s="2" t="n"/>
      <c r="FV56" s="2" t="n"/>
      <c r="IL56" s="176" t="n"/>
      <c r="IM56" s="176" t="n"/>
      <c r="IN56" s="176" t="n"/>
      <c r="IT56" s="176" t="n"/>
      <c r="IY56" s="176" t="n"/>
      <c r="JF56" s="176" t="n"/>
      <c r="JQ56" s="71" t="n"/>
      <c r="JX56" s="71" t="n"/>
    </row>
    <row r="57" customFormat="1" s="29">
      <c r="A57" s="175" t="inlineStr">
        <is>
          <t>TAG NAMORADOS/2023</t>
        </is>
      </c>
      <c r="B57" s="171" t="n"/>
      <c r="C57" s="172" t="n">
        <v>81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CA57" s="573" t="n"/>
      <c r="CB57" s="573" t="n"/>
      <c r="CC57" s="573" t="n"/>
      <c r="CI57" s="59" t="n"/>
      <c r="CO57" s="573" t="n"/>
      <c r="CP57" s="573" t="n"/>
      <c r="CQ57" s="573" t="n"/>
      <c r="CR57" s="573" t="n"/>
      <c r="DA57" s="5" t="n"/>
      <c r="DT57" s="573" t="n"/>
      <c r="DU57" s="573" t="n"/>
      <c r="DW57" s="573" t="n"/>
      <c r="DX57" s="5" t="n"/>
      <c r="DY57" s="327" t="n"/>
      <c r="EB57" s="5" t="n"/>
      <c r="ED57" s="327" t="n"/>
      <c r="EE57" s="5" t="n"/>
      <c r="EJ57" s="327" t="n"/>
      <c r="EL57" s="327" t="n"/>
      <c r="EX57" s="573" t="n"/>
      <c r="EY57" s="5" t="n"/>
      <c r="EZ57" s="5" t="n"/>
      <c r="FA57" s="5" t="n"/>
      <c r="FB57" s="5" t="n"/>
      <c r="FC57" s="5" t="n"/>
      <c r="FD57" s="5" t="n"/>
      <c r="FE57" s="5" t="n"/>
      <c r="FF57" s="5" t="n"/>
      <c r="FG57" s="5" t="n"/>
      <c r="FH57" s="5" t="n"/>
      <c r="FI57" s="5" t="n"/>
      <c r="FJ57" s="5" t="n"/>
      <c r="FK57" s="2" t="n"/>
      <c r="FL57" s="2" t="n"/>
      <c r="FM57" s="2" t="n"/>
      <c r="FN57" s="2" t="n"/>
      <c r="FO57" s="2" t="n"/>
      <c r="FP57" s="2" t="n"/>
      <c r="FQ57" s="2" t="n"/>
      <c r="FR57" s="2" t="n"/>
      <c r="FS57" s="2" t="n"/>
      <c r="FT57" s="2" t="n"/>
      <c r="FU57" s="2" t="n"/>
      <c r="FV57" s="2" t="n"/>
      <c r="IE57" s="573" t="n"/>
      <c r="IF57" s="71" t="n"/>
      <c r="IG57" s="573" t="n"/>
      <c r="IL57" s="173" t="n"/>
      <c r="IM57" s="173" t="n"/>
      <c r="IN57" s="173" t="n"/>
      <c r="IT57" s="173" t="n"/>
      <c r="IY57" s="173" t="n"/>
      <c r="JF57" s="173" t="n"/>
      <c r="JN57" s="71" t="n"/>
      <c r="JQ57" s="71" t="n"/>
    </row>
    <row r="58" customFormat="1" s="29">
      <c r="A58" s="389" t="n"/>
      <c r="B58" s="390" t="n"/>
      <c r="C58" s="390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CA58" s="573" t="n"/>
      <c r="CB58" s="573" t="n"/>
      <c r="CC58" s="573" t="n"/>
      <c r="CI58" s="59" t="n"/>
      <c r="CO58" s="573" t="n"/>
      <c r="CP58" s="573" t="n"/>
      <c r="CQ58" s="573" t="n"/>
      <c r="CR58" s="573" t="n"/>
      <c r="DA58" s="41" t="n"/>
      <c r="DT58" s="573" t="n"/>
      <c r="DU58" s="573" t="n"/>
      <c r="DW58" s="573" t="n"/>
      <c r="DX58" s="5" t="n"/>
      <c r="DY58" s="327" t="n"/>
      <c r="EB58" s="5" t="n"/>
      <c r="ED58" s="327" t="n"/>
      <c r="EE58" s="5" t="n"/>
      <c r="EJ58" s="327" t="n"/>
      <c r="EL58" s="327" t="n"/>
      <c r="EX58" s="573" t="n"/>
      <c r="EY58" s="5" t="n"/>
      <c r="EZ58" s="5" t="n"/>
      <c r="FA58" s="5" t="n"/>
      <c r="FB58" s="5" t="n"/>
      <c r="FC58" s="5" t="n"/>
      <c r="FD58" s="5" t="n"/>
      <c r="FE58" s="5" t="n"/>
      <c r="FF58" s="5" t="n"/>
      <c r="FG58" s="5" t="n"/>
      <c r="FH58" s="5" t="n"/>
      <c r="FI58" s="5" t="n"/>
      <c r="FJ58" s="5" t="n"/>
      <c r="FK58" s="2" t="n"/>
      <c r="FL58" s="2" t="n"/>
      <c r="FM58" s="2" t="n"/>
      <c r="FN58" s="2" t="n"/>
      <c r="FO58" s="2" t="n"/>
      <c r="FP58" s="2" t="n"/>
      <c r="FQ58" s="2" t="n"/>
      <c r="FR58" s="2" t="n"/>
      <c r="FS58" s="2" t="n"/>
      <c r="FT58" s="2" t="n"/>
      <c r="FU58" s="2" t="n"/>
      <c r="FV58" s="2" t="n"/>
      <c r="IE58" s="573" t="n"/>
      <c r="IF58" s="71" t="n"/>
      <c r="IG58" s="573" t="n"/>
      <c r="IL58" s="173" t="n"/>
      <c r="IM58" s="173" t="n"/>
      <c r="IN58" s="173" t="n"/>
      <c r="IT58" s="173" t="n"/>
      <c r="IY58" s="173" t="n"/>
      <c r="JF58" s="173" t="n"/>
      <c r="JN58" s="71" t="n"/>
      <c r="JQ58" s="71" t="n"/>
    </row>
    <row r="59" customFormat="1" s="29">
      <c r="A59" s="247" t="inlineStr">
        <is>
          <t>TAG PAIS/24</t>
        </is>
      </c>
      <c r="B59" s="248" t="n"/>
      <c r="C59" s="172" t="n">
        <v>300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" t="n"/>
      <c r="CA59" s="573" t="n"/>
      <c r="CB59" s="573" t="n"/>
      <c r="CC59" s="573" t="n"/>
      <c r="CI59" s="59" t="n"/>
      <c r="DA59" s="41" t="n"/>
      <c r="DG59" s="5" t="n"/>
      <c r="DJ59" s="5" t="n"/>
      <c r="DT59" s="573" t="n"/>
      <c r="DU59" s="573" t="n"/>
      <c r="DW59" s="573" t="n"/>
      <c r="DX59" s="5" t="n"/>
      <c r="DY59" s="327" t="n"/>
      <c r="EB59" s="5" t="n"/>
      <c r="ED59" s="327" t="n"/>
      <c r="EE59" s="5" t="n"/>
      <c r="EJ59" s="327" t="n"/>
      <c r="EL59" s="327" t="n"/>
      <c r="EX59" s="573" t="n"/>
      <c r="EY59" s="5" t="n"/>
      <c r="EZ59" s="5" t="n"/>
      <c r="FA59" s="5" t="n"/>
      <c r="FB59" s="5" t="n"/>
      <c r="FC59" s="5" t="n"/>
      <c r="FD59" s="5" t="n"/>
      <c r="FE59" s="5" t="n"/>
      <c r="FF59" s="5" t="n"/>
      <c r="FG59" s="5" t="n"/>
      <c r="FH59" s="5" t="n"/>
      <c r="FI59" s="5" t="n"/>
      <c r="FJ59" s="5" t="n"/>
      <c r="FK59" s="2" t="n"/>
      <c r="FL59" s="2" t="n"/>
      <c r="FM59" s="2" t="n"/>
      <c r="FN59" s="2" t="n"/>
      <c r="FO59" s="2" t="n"/>
      <c r="FP59" s="2" t="n"/>
      <c r="FQ59" s="2" t="n"/>
      <c r="FR59" s="2" t="n"/>
      <c r="FS59" s="2" t="n"/>
      <c r="FT59" s="2" t="n"/>
      <c r="FU59" s="2" t="n"/>
      <c r="FV59" s="2" t="n"/>
      <c r="HC59" s="50" t="n"/>
      <c r="HD59" s="50" t="n"/>
      <c r="HE59" s="50" t="n"/>
      <c r="HF59" s="50" t="n"/>
      <c r="HG59" s="50" t="n"/>
      <c r="HH59" s="50" t="n"/>
      <c r="HI59" s="50" t="n"/>
      <c r="HL59" s="50" t="n"/>
      <c r="HM59" s="50" t="n"/>
      <c r="HN59" s="50" t="n"/>
      <c r="HO59" s="50" t="n"/>
      <c r="HP59" s="50" t="n"/>
      <c r="HQ59" s="50" t="n"/>
      <c r="HR59" s="50" t="n"/>
      <c r="HS59" s="50" t="n"/>
      <c r="HT59" s="50" t="n"/>
      <c r="HU59" s="50" t="n"/>
      <c r="HV59" s="50" t="n"/>
      <c r="HW59" s="50" t="n"/>
      <c r="HX59" s="50" t="n"/>
      <c r="HY59" s="50" t="n"/>
      <c r="IE59" s="573" t="n"/>
      <c r="IF59" s="71" t="n"/>
      <c r="IG59" s="573" t="n"/>
      <c r="IL59" s="62" t="n"/>
      <c r="IM59" s="62" t="n"/>
      <c r="IN59" s="62" t="n"/>
      <c r="IR59" s="5" t="n"/>
      <c r="IT59" s="62" t="n"/>
      <c r="IY59" s="62" t="n"/>
      <c r="JA59" s="5" t="n"/>
      <c r="JF59" s="62" t="n"/>
      <c r="JN59" s="71" t="n"/>
      <c r="JQ59" s="71" t="n"/>
    </row>
    <row r="60" customFormat="1" s="29">
      <c r="A60" s="42" t="n"/>
      <c r="B60" s="573" t="n"/>
      <c r="C60" s="573" t="n"/>
      <c r="D60" s="573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" t="n"/>
      <c r="BZ60" s="5" t="n"/>
      <c r="CA60" s="573" t="n"/>
      <c r="CB60" s="71" t="n"/>
      <c r="CC60" s="573" t="n"/>
      <c r="CI60" s="59" t="n"/>
      <c r="DG60" s="5" t="n"/>
      <c r="DJ60" s="5" t="n"/>
      <c r="DT60" s="5" t="n"/>
      <c r="DU60" s="5" t="n"/>
      <c r="DW60" s="573" t="n"/>
      <c r="DX60" s="5" t="n"/>
      <c r="DY60" s="327" t="n"/>
      <c r="EB60" s="5" t="n"/>
      <c r="ED60" s="327" t="n"/>
      <c r="EE60" s="5" t="n"/>
      <c r="EJ60" s="327" t="n"/>
      <c r="EL60" s="327" t="n"/>
      <c r="EY60" s="5" t="n"/>
      <c r="EZ60" s="5" t="n"/>
      <c r="FA60" s="5" t="n"/>
      <c r="FB60" s="5" t="n"/>
      <c r="FC60" s="5" t="n"/>
      <c r="FD60" s="5" t="n"/>
      <c r="FE60" s="5" t="n"/>
      <c r="FF60" s="5" t="n"/>
      <c r="FG60" s="5" t="n"/>
      <c r="FH60" s="5" t="n"/>
      <c r="FI60" s="5" t="n"/>
      <c r="FJ60" s="5" t="n"/>
    </row>
    <row r="6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45859</v>
      </c>
      <c r="AE61" s="776" t="n">
        <v>45866</v>
      </c>
      <c r="AF61" s="776" t="n">
        <v>45873</v>
      </c>
      <c r="AG61" s="776" t="n">
        <v>45880</v>
      </c>
      <c r="AH61" s="776" t="n">
        <v>45887</v>
      </c>
      <c r="AI61" s="776" t="n">
        <v>45894</v>
      </c>
      <c r="AJ61" s="776" t="n">
        <v>45901</v>
      </c>
      <c r="AK61" s="776" t="n">
        <v>45908</v>
      </c>
      <c r="AL61" s="776" t="n">
        <v>45915</v>
      </c>
      <c r="AM61" s="776" t="n">
        <v>45922</v>
      </c>
      <c r="AN61" s="776" t="n">
        <v>45929</v>
      </c>
      <c r="AO61" s="776" t="n">
        <v>45936</v>
      </c>
      <c r="AP61" s="776" t="n">
        <v>45943</v>
      </c>
      <c r="AQ61" s="776" t="n">
        <v>45950</v>
      </c>
      <c r="AR61" s="776" t="n">
        <v>45957</v>
      </c>
      <c r="AS61" s="776" t="n">
        <v>45964</v>
      </c>
      <c r="AT61" s="776" t="n">
        <v>45971</v>
      </c>
      <c r="AU61" s="776" t="n">
        <v>45978</v>
      </c>
      <c r="AV61" s="776" t="n">
        <v>45985</v>
      </c>
      <c r="AW61" s="776" t="n">
        <v>45992</v>
      </c>
      <c r="AX61" s="776" t="n">
        <v>45999</v>
      </c>
      <c r="AY61" s="776" t="n">
        <v>46006</v>
      </c>
      <c r="AZ61" s="776" t="n">
        <v>46013</v>
      </c>
      <c r="BA61" s="776" t="n">
        <v>46020</v>
      </c>
      <c r="BB61" s="776" t="n">
        <v>46027</v>
      </c>
      <c r="BC61" s="776" t="n">
        <v>46034</v>
      </c>
      <c r="BD61" s="776" t="n">
        <v>46041</v>
      </c>
      <c r="BE61" s="776" t="n">
        <v>46048</v>
      </c>
      <c r="BF61" s="776" t="n">
        <v>46055</v>
      </c>
      <c r="BG61" s="776" t="n">
        <v>46062</v>
      </c>
      <c r="BH61" s="776" t="n">
        <v>46069</v>
      </c>
      <c r="BI61" s="776" t="n">
        <v>46076</v>
      </c>
      <c r="BJ61" s="776" t="n">
        <v>46083</v>
      </c>
      <c r="BK61" s="776" t="n">
        <v>46090</v>
      </c>
      <c r="BL61" s="776" t="n">
        <v>46097</v>
      </c>
      <c r="BM61" s="776" t="n">
        <v>46104</v>
      </c>
      <c r="BN61" s="776" t="n">
        <v>46111</v>
      </c>
      <c r="BO61" s="776" t="n">
        <v>46118</v>
      </c>
      <c r="BP61" s="776" t="n">
        <v>46125</v>
      </c>
      <c r="BQ61" s="776" t="n">
        <v>46132</v>
      </c>
      <c r="BR61" s="776" t="n">
        <v>46139</v>
      </c>
      <c r="BS61" s="776" t="n">
        <v>46146</v>
      </c>
      <c r="BT61" s="776" t="n">
        <v>46154</v>
      </c>
      <c r="BU61" s="776" t="n">
        <v>46160</v>
      </c>
      <c r="BV61" s="779" t="n">
        <v>46161.48023141204</v>
      </c>
      <c r="BW61" s="779" t="n">
        <v>46161.48088953641</v>
      </c>
      <c r="BY61" s="50" t="n"/>
      <c r="BZ61" s="5" t="n"/>
      <c r="DG61" s="5" t="n"/>
      <c r="DJ61" s="5" t="n"/>
      <c r="DT61" s="5" t="n"/>
      <c r="DU61" s="5" t="n"/>
      <c r="DW61" s="5" t="n"/>
      <c r="DX61" s="5" t="n"/>
      <c r="DY61" s="327" t="n"/>
      <c r="EB61" s="5" t="n"/>
      <c r="ED61" s="327" t="n"/>
      <c r="EE61" s="5" t="n"/>
      <c r="EJ61" s="327" t="n"/>
      <c r="EL61" s="327" t="n"/>
    </row>
    <row r="62" hidden="1" ht="18.75" customHeight="1">
      <c r="A62" s="781" t="inlineStr">
        <is>
          <t>CELEBRE AGORA FEM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208" t="n"/>
      <c r="BW62" s="208" t="n"/>
      <c r="BY62" s="50" t="n"/>
      <c r="DG62" s="5" t="n"/>
      <c r="DJ62" s="5" t="n"/>
      <c r="DT62" s="41" t="n"/>
      <c r="DU62" s="41" t="n"/>
      <c r="DW62" s="5" t="n"/>
      <c r="DX62" s="5" t="n"/>
      <c r="DY62" s="327" t="n"/>
      <c r="EB62" s="5" t="n"/>
      <c r="ED62" s="327" t="n"/>
      <c r="EE62" s="5" t="n"/>
      <c r="EJ62" s="327" t="n"/>
      <c r="EL62" s="327" t="n"/>
    </row>
    <row r="63" hidden="1" ht="18.75" customFormat="1" customHeight="1" s="29">
      <c r="A63" s="781" t="inlineStr">
        <is>
          <t>VITAMINA C BOTIK</t>
        </is>
      </c>
      <c r="B63" s="731" t="n"/>
      <c r="C63" s="731" t="n"/>
      <c r="D63" s="775" t="n"/>
      <c r="E63" s="573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208" t="n"/>
      <c r="BW63" s="208" t="n"/>
      <c r="BX63" s="5" t="n"/>
      <c r="CA63" s="573" t="n"/>
      <c r="CB63" s="71" t="n"/>
      <c r="CC63" s="573" t="n"/>
      <c r="CI63" s="59" t="n"/>
      <c r="DG63" s="5" t="n"/>
      <c r="DJ63" s="5" t="n"/>
      <c r="DT63" s="41" t="n"/>
      <c r="DU63" s="41" t="n"/>
      <c r="DW63" s="41" t="n"/>
      <c r="DX63" s="5" t="n"/>
      <c r="DY63" s="328" t="n"/>
      <c r="EB63" s="5" t="n"/>
      <c r="ED63" s="328" t="n"/>
      <c r="EE63" s="5" t="n"/>
      <c r="EJ63" s="328" t="n"/>
      <c r="EL63" s="328" t="n"/>
      <c r="EY63" s="5" t="n"/>
      <c r="EZ63" s="5" t="n"/>
      <c r="FA63" s="5" t="n"/>
      <c r="FB63" s="5" t="n"/>
      <c r="FC63" s="5" t="n"/>
      <c r="FD63" s="5" t="n"/>
      <c r="FE63" s="5" t="n"/>
      <c r="FF63" s="5" t="n"/>
      <c r="FG63" s="5" t="n"/>
      <c r="FH63" s="5" t="n"/>
      <c r="FI63" s="5" t="n"/>
      <c r="FJ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208" t="n"/>
      <c r="BW64" s="208" t="n"/>
      <c r="BX64" s="5" t="n"/>
      <c r="CA64" s="5" t="n"/>
      <c r="CB64" s="71" t="n"/>
      <c r="CC64" s="5" t="n"/>
      <c r="CI64" s="59" t="n"/>
      <c r="DA64" s="5" t="n"/>
      <c r="DG64" s="5" t="n"/>
      <c r="DJ64" s="5" t="n"/>
      <c r="DT64" s="41" t="n"/>
      <c r="DU64" s="41" t="n"/>
      <c r="DW64" s="41" t="n"/>
      <c r="DX64" s="5" t="n"/>
      <c r="DY64" s="328" t="n"/>
      <c r="EB64" s="5" t="n"/>
      <c r="ED64" s="328" t="n"/>
      <c r="EE64" s="5" t="n"/>
      <c r="EJ64" s="328" t="n"/>
      <c r="EL64" s="328" t="n"/>
      <c r="EY64" s="5" t="n"/>
      <c r="EZ64" s="5" t="n"/>
      <c r="FA64" s="5" t="n"/>
      <c r="FB64" s="5" t="n"/>
      <c r="FC64" s="5" t="n"/>
      <c r="FD64" s="5" t="n"/>
      <c r="FE64" s="5" t="n"/>
      <c r="FF64" s="5" t="n"/>
      <c r="FG64" s="5" t="n"/>
      <c r="FH64" s="5" t="n"/>
      <c r="FI64" s="5" t="n"/>
      <c r="FJ64" s="5" t="n"/>
    </row>
    <row r="65" hidden="1" ht="18.75" customHeight="1">
      <c r="A65" s="781" t="inlineStr">
        <is>
          <t>shampoo antiqueda malbec club</t>
        </is>
      </c>
      <c r="B65" s="731" t="n"/>
      <c r="C65" s="731" t="n"/>
      <c r="D65" s="775" t="n"/>
      <c r="E65" s="573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208" t="n"/>
      <c r="BW65" s="208" t="n"/>
      <c r="DA65" s="5" t="n"/>
      <c r="DG65" s="5" t="n"/>
      <c r="DJ65" s="5" t="n"/>
      <c r="DW65" s="41" t="n"/>
      <c r="DY65" s="329" t="n"/>
      <c r="ED65" s="329" t="n"/>
      <c r="EJ65" s="329" t="n"/>
      <c r="EL65" s="329" t="n"/>
    </row>
    <row r="66" hidden="1" ht="18.75" customHeight="1">
      <c r="A66" s="781" t="inlineStr">
        <is>
          <t>condicionaor antiqueda malbec club</t>
        </is>
      </c>
      <c r="B66" s="731" t="n"/>
      <c r="C66" s="731" t="n"/>
      <c r="D66" s="775" t="n"/>
      <c r="E66" s="573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208" t="n"/>
      <c r="BW66" s="208" t="n"/>
      <c r="DA66" s="5" t="n"/>
      <c r="DG66" s="5" t="n"/>
      <c r="DJ66" s="5" t="n"/>
      <c r="DX66" s="5" t="n"/>
      <c r="DY66" s="329" t="n"/>
      <c r="EB66" s="5" t="n"/>
      <c r="ED66" s="329" t="n"/>
      <c r="EE66" s="5" t="n"/>
      <c r="EJ66" s="329" t="n"/>
      <c r="EL66" s="329" t="n"/>
    </row>
    <row r="67" hidden="1" ht="18.75" customHeight="1">
      <c r="A67" s="781" t="inlineStr">
        <is>
          <t>shampoo anticaspa malbec club</t>
        </is>
      </c>
      <c r="B67" s="731" t="n"/>
      <c r="C67" s="731" t="n"/>
      <c r="D67" s="775" t="n"/>
      <c r="E67" s="573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208" t="n"/>
      <c r="BW67" s="208" t="n"/>
      <c r="DG67" s="5" t="n"/>
      <c r="DJ67" s="5" t="n"/>
      <c r="DY67" s="329" t="n"/>
      <c r="ED67" s="329" t="n"/>
      <c r="EJ67" s="329" t="n"/>
      <c r="EL67" s="329" t="n"/>
    </row>
    <row r="68" hidden="1" ht="18.75" customHeight="1">
      <c r="A68" s="781" t="inlineStr">
        <is>
          <t>condicionador  anticaspa malbec club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208" t="n"/>
      <c r="BW68" s="208" t="n"/>
      <c r="DG68" s="5" t="n"/>
      <c r="DJ68" s="5" t="n"/>
      <c r="DY68" s="329" t="n"/>
      <c r="ED68" s="329" t="n"/>
      <c r="EJ68" s="329" t="n"/>
      <c r="EL68" s="329" t="n"/>
    </row>
    <row r="69" hidden="1" ht="18.75" customHeight="1">
      <c r="A69" s="781" t="inlineStr">
        <is>
          <t>botik aloe vera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208" t="n"/>
      <c r="BW69" s="208" t="n"/>
      <c r="DG69" s="5" t="n"/>
      <c r="DJ69" s="5" t="n"/>
      <c r="DX69" s="173" t="n"/>
      <c r="DY69" s="329" t="n"/>
      <c r="EB69" s="173" t="n"/>
      <c r="ED69" s="329" t="n"/>
      <c r="EE69" s="173" t="n"/>
      <c r="EJ69" s="329" t="n"/>
      <c r="EL69" s="329" t="n"/>
    </row>
    <row r="70" hidden="1" ht="18.75" customHeight="1">
      <c r="A70" s="781" t="inlineStr">
        <is>
          <t>botik rosa mosqueta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208" t="n"/>
      <c r="BW70" s="208" t="n"/>
      <c r="DX70" s="173" t="n"/>
      <c r="DY70" s="329" t="n"/>
      <c r="EB70" s="173" t="n"/>
      <c r="ED70" s="329" t="n"/>
      <c r="EE70" s="173" t="n"/>
      <c r="EJ70" s="329" t="n"/>
      <c r="EL70" s="329" t="n"/>
    </row>
    <row r="71" hidden="1" ht="18.75" customHeight="1">
      <c r="A71" s="781" t="inlineStr">
        <is>
          <t>portinari absoluto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208" t="n"/>
      <c r="BW71" s="208" t="n"/>
      <c r="CS71" s="59" t="n"/>
      <c r="DG71" s="5" t="n"/>
      <c r="DJ71" s="5" t="n"/>
      <c r="DT71" s="5" t="n"/>
      <c r="DU71" s="5" t="n"/>
      <c r="DX71" s="173" t="n"/>
      <c r="DY71" s="327" t="n"/>
      <c r="EB71" s="173" t="n"/>
      <c r="ED71" s="327" t="n"/>
      <c r="EE71" s="173" t="n"/>
      <c r="EJ71" s="327" t="n"/>
      <c r="EL71" s="327" t="n"/>
    </row>
    <row r="72" hidden="1" ht="18.75" customHeight="1">
      <c r="A72" s="781" t="inlineStr">
        <is>
          <t>quasar vision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208" t="n"/>
      <c r="BW72" s="208" t="n"/>
      <c r="CS72" s="573" t="n"/>
      <c r="DT72" s="5" t="n"/>
      <c r="DU72" s="5" t="n"/>
      <c r="DW72" s="5" t="n"/>
      <c r="DY72" s="327" t="n"/>
      <c r="ED72" s="327" t="n"/>
      <c r="EJ72" s="327" t="n"/>
      <c r="EL72" s="327" t="n"/>
    </row>
    <row r="73" hidden="1" ht="18.75" customHeight="1">
      <c r="A73" s="781" t="inlineStr">
        <is>
          <t xml:space="preserve">Lily Soleil 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208" t="n"/>
      <c r="BW73" s="208" t="n"/>
      <c r="CS73" s="573" t="n"/>
      <c r="DT73" s="5" t="n"/>
      <c r="DU73" s="5" t="n"/>
      <c r="DW73" s="5" t="n"/>
      <c r="DY73" s="327" t="n"/>
      <c r="ED73" s="327" t="n"/>
      <c r="EJ73" s="327" t="n"/>
      <c r="EL73" s="327" t="n"/>
    </row>
    <row r="74" hidden="1" ht="18.75" customHeight="1">
      <c r="A74" s="781" t="inlineStr">
        <is>
          <t>quasar blue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208" t="n"/>
      <c r="BW74" s="208" t="n"/>
      <c r="DG74" s="173" t="n"/>
      <c r="DJ74" s="173" t="n"/>
      <c r="DW74" s="5" t="n"/>
    </row>
    <row r="75" hidden="1" ht="18.75" customHeight="1">
      <c r="A75" s="781" t="inlineStr">
        <is>
          <t>arbo puro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208" t="n"/>
      <c r="BW75" s="208" t="n"/>
      <c r="DG75" s="173" t="n"/>
      <c r="DJ75" s="173" t="n"/>
    </row>
    <row r="76" hidden="1" ht="18.75" customHeight="1">
      <c r="A76" s="781" t="inlineStr">
        <is>
          <t>cbem banana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208" t="n"/>
      <c r="BW76" s="208" t="n"/>
      <c r="DG76" s="173" t="n"/>
      <c r="DJ76" s="173" t="n"/>
    </row>
    <row r="77" hidden="1" ht="18.75" customHeight="1">
      <c r="A77" s="781" t="inlineStr">
        <is>
          <t>cbem maça verde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208" t="n"/>
      <c r="BW77" s="208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208" t="n"/>
      <c r="BW78" s="208" t="n"/>
    </row>
    <row r="79" hidden="1" ht="18.75" customHeight="1">
      <c r="A79" s="781" t="inlineStr">
        <is>
          <t>DR BOTICA CRIATIVIDADE</t>
        </is>
      </c>
      <c r="B79" s="731" t="n"/>
      <c r="C79" s="731" t="n"/>
      <c r="D79" s="775" t="n"/>
      <c r="F79" s="141" t="n">
        <v>1</v>
      </c>
      <c r="G79" s="141" t="n">
        <v>1</v>
      </c>
      <c r="H79" s="141" t="n">
        <v>0</v>
      </c>
      <c r="I79" s="141" t="n">
        <v>0</v>
      </c>
      <c r="J79" s="141" t="n">
        <v>0</v>
      </c>
      <c r="K79" s="141" t="n">
        <v>0</v>
      </c>
      <c r="L79" s="141" t="n">
        <v>0</v>
      </c>
      <c r="M79" s="141" t="n">
        <v>0</v>
      </c>
      <c r="N79" s="141" t="n">
        <v>0</v>
      </c>
      <c r="O79" s="141" t="n">
        <v>0</v>
      </c>
      <c r="P79" s="141" t="n">
        <v>0</v>
      </c>
      <c r="Q79" s="141" t="n">
        <v>0</v>
      </c>
      <c r="R79" s="141" t="n">
        <v>0</v>
      </c>
      <c r="S79" s="141" t="n">
        <v>0</v>
      </c>
      <c r="T79" s="141" t="n">
        <v>0</v>
      </c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208" t="n"/>
      <c r="BW79" s="208" t="n"/>
    </row>
    <row r="80" hidden="1" ht="18.75" customHeight="1">
      <c r="A80" s="781" t="inlineStr">
        <is>
          <t>MATCH RECONSTRUÇÃO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208" t="n"/>
      <c r="BW80" s="208" t="n"/>
    </row>
    <row r="81" hidden="1" ht="18.75" customHeight="1">
      <c r="A81" s="781" t="inlineStr">
        <is>
          <t>COFFEE ADDICTIVE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208" t="n"/>
      <c r="BW81" s="208" t="n"/>
    </row>
    <row r="82" hidden="1" ht="18.75" customHeight="1">
      <c r="A82" s="781" t="inlineStr">
        <is>
          <t>MALBEC ICON</t>
        </is>
      </c>
      <c r="B82" s="731" t="n"/>
      <c r="C82" s="731" t="n"/>
      <c r="D82" s="775" t="n"/>
      <c r="F82" s="141" t="n">
        <v>73</v>
      </c>
      <c r="G82" s="141" t="n">
        <v>73</v>
      </c>
      <c r="H82" s="141" t="n">
        <v>50</v>
      </c>
      <c r="I82" s="141" t="n">
        <v>47</v>
      </c>
      <c r="J82" s="141" t="n">
        <v>39</v>
      </c>
      <c r="K82" s="141" t="n">
        <v>20</v>
      </c>
      <c r="L82" s="141" t="n">
        <v>6</v>
      </c>
      <c r="M82" s="141" t="n">
        <v>0</v>
      </c>
      <c r="N82" s="141" t="n">
        <v>0</v>
      </c>
      <c r="O82" s="141" t="n">
        <v>0</v>
      </c>
      <c r="P82" s="141" t="n">
        <v>0</v>
      </c>
      <c r="Q82" s="141" t="n">
        <v>0</v>
      </c>
      <c r="R82" s="141" t="n">
        <v>0</v>
      </c>
      <c r="S82" s="141" t="n">
        <v>0</v>
      </c>
      <c r="T82" s="141" t="n">
        <v>0</v>
      </c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208" t="n"/>
      <c r="BW82" s="208" t="n"/>
    </row>
    <row r="83" hidden="1" ht="18.75" customHeight="1">
      <c r="A83" s="781" t="inlineStr">
        <is>
          <t>MEN 2 EM 1</t>
        </is>
      </c>
      <c r="B83" s="731" t="n"/>
      <c r="C83" s="731" t="n"/>
      <c r="D83" s="775" t="n"/>
      <c r="F83" s="141" t="n">
        <v>2</v>
      </c>
      <c r="G83" s="141" t="n">
        <v>2</v>
      </c>
      <c r="H83" s="141" t="n">
        <v>2</v>
      </c>
      <c r="I83" s="141" t="n">
        <v>2</v>
      </c>
      <c r="J83" s="141" t="n">
        <v>1</v>
      </c>
      <c r="K83" s="141" t="n">
        <v>0</v>
      </c>
      <c r="L83" s="141" t="n">
        <v>0</v>
      </c>
      <c r="M83" s="141" t="n">
        <v>0</v>
      </c>
      <c r="N83" s="141" t="n">
        <v>0</v>
      </c>
      <c r="O83" s="141" t="n">
        <v>0</v>
      </c>
      <c r="P83" s="141" t="n">
        <v>0</v>
      </c>
      <c r="Q83" s="141" t="n">
        <v>0</v>
      </c>
      <c r="R83" s="141" t="n">
        <v>0</v>
      </c>
      <c r="S83" s="141" t="n">
        <v>0</v>
      </c>
      <c r="T83" s="141" t="n">
        <v>0</v>
      </c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208" t="n"/>
      <c r="BW83" s="208" t="n"/>
    </row>
    <row r="84" hidden="1" ht="18.75" customHeight="1">
      <c r="A84" s="781" t="inlineStr">
        <is>
          <t xml:space="preserve">PROTETOR SOLAR FPS 80 BOTIK 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208" t="n"/>
      <c r="BW84" s="208" t="n"/>
    </row>
    <row r="85" hidden="1" ht="18.75" customHeight="1">
      <c r="A85" s="781" t="inlineStr">
        <is>
          <t>GLAMOUR INTENSE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208" t="n"/>
      <c r="BW85" s="208" t="n"/>
    </row>
    <row r="86" hidden="1" ht="18.75" customHeight="1">
      <c r="A86" s="781" t="inlineStr">
        <is>
          <t>BOTI BABY SABONETE LIQUIDO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208" t="n"/>
      <c r="BW86" s="208" t="n"/>
    </row>
    <row r="87" hidden="1" ht="18.75" customHeight="1">
      <c r="A87" s="781" t="inlineStr">
        <is>
          <t xml:space="preserve">BOTI BABY LOÇÃO BANHO 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208" t="n"/>
      <c r="BW87" s="208" t="n"/>
    </row>
    <row r="88" hidden="1" ht="18.75" customHeight="1">
      <c r="A88" s="781" t="inlineStr">
        <is>
          <t xml:space="preserve">UOMINI SPIRIT 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208" t="n"/>
      <c r="BW88" s="208" t="n"/>
    </row>
    <row r="89" hidden="1" ht="18.75" customHeight="1">
      <c r="A89" s="781" t="inlineStr">
        <is>
          <t>HER CODE TOUCH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208" t="n"/>
      <c r="BW89" s="208" t="n"/>
    </row>
    <row r="90" hidden="1" ht="18.75" customHeight="1">
      <c r="A90" s="781" t="inlineStr">
        <is>
          <t>ZAAD VENTURE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208" t="n"/>
      <c r="BW90" s="208" t="n"/>
    </row>
    <row r="91" hidden="1" ht="18.75" customHeight="1">
      <c r="A91" s="781" t="inlineStr">
        <is>
          <t>NATIVA SPA CEREJA ROUGE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208" t="n"/>
      <c r="BW91" s="208" t="n"/>
    </row>
    <row r="92" hidden="1" ht="18.75" customHeight="1">
      <c r="A92" s="781" t="inlineStr">
        <is>
          <t>LILLY GARDENIA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208" t="n"/>
      <c r="BW92" s="208" t="n"/>
    </row>
    <row r="93" hidden="1" ht="18.75" customHeight="1">
      <c r="A93" s="781" t="inlineStr">
        <is>
          <t>EGEO CHOC HIGH</t>
        </is>
      </c>
      <c r="B93" s="731" t="n"/>
      <c r="C93" s="731" t="n"/>
      <c r="D93" s="775" t="n"/>
      <c r="F93" s="141" t="n">
        <v>2</v>
      </c>
      <c r="G93" s="141" t="n">
        <v>2</v>
      </c>
      <c r="H93" s="141" t="n">
        <v>2</v>
      </c>
      <c r="I93" s="141" t="n">
        <v>1</v>
      </c>
      <c r="J93" s="141" t="n">
        <v>0</v>
      </c>
      <c r="K93" s="141" t="n">
        <v>0</v>
      </c>
      <c r="L93" s="141" t="n">
        <v>0</v>
      </c>
      <c r="M93" s="141" t="n">
        <v>0</v>
      </c>
      <c r="N93" s="141" t="n">
        <v>0</v>
      </c>
      <c r="O93" s="141" t="n">
        <v>0</v>
      </c>
      <c r="P93" s="141" t="n">
        <v>0</v>
      </c>
      <c r="Q93" s="141" t="n">
        <v>0</v>
      </c>
      <c r="R93" s="141" t="n">
        <v>0</v>
      </c>
      <c r="S93" s="141" t="n">
        <v>0</v>
      </c>
      <c r="T93" s="141" t="n">
        <v>0</v>
      </c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208" t="n"/>
      <c r="BW93" s="208" t="n"/>
    </row>
    <row r="94" hidden="1" ht="18.75" customHeight="1">
      <c r="A94" s="781" t="inlineStr">
        <is>
          <t>FLORATTA RED PASSION</t>
        </is>
      </c>
      <c r="B94" s="731" t="n"/>
      <c r="C94" s="731" t="n"/>
      <c r="D94" s="775" t="n"/>
      <c r="F94" s="141" t="n">
        <v>0</v>
      </c>
      <c r="G94" s="141" t="n">
        <v>0</v>
      </c>
      <c r="H94" s="141" t="n">
        <v>50</v>
      </c>
      <c r="I94" s="141" t="n">
        <v>48</v>
      </c>
      <c r="J94" s="141" t="n">
        <v>40</v>
      </c>
      <c r="K94" s="141" t="n">
        <v>20</v>
      </c>
      <c r="L94" s="141" t="n">
        <v>0</v>
      </c>
      <c r="M94" s="141" t="n">
        <v>0</v>
      </c>
      <c r="N94" s="141" t="n">
        <v>0</v>
      </c>
      <c r="O94" s="141" t="n">
        <v>0</v>
      </c>
      <c r="P94" s="141" t="n">
        <v>0</v>
      </c>
      <c r="Q94" s="141" t="n">
        <v>0</v>
      </c>
      <c r="R94" s="141" t="n">
        <v>0</v>
      </c>
      <c r="S94" s="141" t="n">
        <v>0</v>
      </c>
      <c r="T94" s="141" t="n">
        <v>0</v>
      </c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208" t="n"/>
      <c r="BW94" s="208" t="n"/>
    </row>
    <row r="95" hidden="1" ht="18.75" customHeight="1">
      <c r="A95" s="781" t="inlineStr">
        <is>
          <t>CBEM HIDR. DOCURA NA PESSEGURA</t>
        </is>
      </c>
      <c r="B95" s="731" t="n"/>
      <c r="C95" s="731" t="n"/>
      <c r="D95" s="775" t="n"/>
      <c r="J95" s="141" t="n">
        <v>0</v>
      </c>
      <c r="K95" s="141" t="n">
        <v>226</v>
      </c>
      <c r="L95" s="141" t="n">
        <v>185</v>
      </c>
      <c r="M95" s="141" t="n">
        <v>170</v>
      </c>
      <c r="N95" s="141" t="n">
        <v>121</v>
      </c>
      <c r="O95" s="141" t="n">
        <v>115</v>
      </c>
      <c r="P95" s="141" t="n">
        <v>9</v>
      </c>
      <c r="Q95" s="141" t="n">
        <v>64</v>
      </c>
      <c r="R95" s="141" t="n">
        <v>55</v>
      </c>
      <c r="S95" s="141" t="n">
        <v>43</v>
      </c>
      <c r="T95" s="141" t="n">
        <v>5</v>
      </c>
      <c r="U95" s="141" t="n">
        <v>0</v>
      </c>
      <c r="V95" s="141" t="n">
        <v>0</v>
      </c>
      <c r="W95" s="141" t="n">
        <v>0</v>
      </c>
      <c r="X95" s="141" t="n">
        <v>0</v>
      </c>
      <c r="Y95" s="141" t="n">
        <v>0</v>
      </c>
      <c r="Z95" s="141" t="n">
        <v>0</v>
      </c>
      <c r="AA95" s="141" t="n">
        <v>0</v>
      </c>
      <c r="AB95" s="141" t="n">
        <v>0</v>
      </c>
      <c r="AC95" s="141" t="n">
        <v>0</v>
      </c>
      <c r="AD95" s="141" t="n">
        <v>0</v>
      </c>
      <c r="AE95" s="141" t="n">
        <v>0</v>
      </c>
      <c r="AF95" s="141" t="n">
        <v>0</v>
      </c>
      <c r="AG95" s="141" t="n">
        <v>0</v>
      </c>
      <c r="AH95" s="141" t="n">
        <v>0</v>
      </c>
      <c r="AI95" s="141" t="n">
        <v>0</v>
      </c>
      <c r="AJ95" s="141" t="n">
        <v>0</v>
      </c>
      <c r="AK95" s="141" t="n">
        <v>0</v>
      </c>
      <c r="AL95" s="141" t="n">
        <v>0</v>
      </c>
      <c r="AM95" s="141" t="n">
        <v>0</v>
      </c>
      <c r="AN95" s="141" t="n">
        <v>0</v>
      </c>
      <c r="AO95" s="141" t="n">
        <v>0</v>
      </c>
      <c r="AP95" s="141" t="n">
        <v>0</v>
      </c>
      <c r="AQ95" s="141" t="n">
        <v>0</v>
      </c>
      <c r="AR95" s="141" t="n">
        <v>0</v>
      </c>
      <c r="AS95" s="141" t="n">
        <v>0</v>
      </c>
      <c r="AT95" s="141" t="n">
        <v>0</v>
      </c>
      <c r="AU95" s="141" t="n">
        <v>0</v>
      </c>
      <c r="AV95" s="141" t="n">
        <v>0</v>
      </c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208" t="n"/>
      <c r="BW95" s="208" t="n"/>
    </row>
    <row r="96" hidden="1" ht="18.75" customHeight="1">
      <c r="A96" s="781" t="inlineStr">
        <is>
          <t>LILY BLANCHE</t>
        </is>
      </c>
      <c r="B96" s="731" t="n"/>
      <c r="C96" s="731" t="n"/>
      <c r="D96" s="775" t="n"/>
      <c r="M96" s="141" t="n">
        <v>0</v>
      </c>
      <c r="N96" s="141" t="n">
        <v>27</v>
      </c>
      <c r="O96" s="141" t="n">
        <v>20</v>
      </c>
      <c r="P96" s="141" t="n">
        <v>0</v>
      </c>
      <c r="Q96" s="141" t="n">
        <v>0</v>
      </c>
      <c r="R96" s="141" t="n">
        <v>0</v>
      </c>
      <c r="S96" s="141" t="n">
        <v>0</v>
      </c>
      <c r="T96" s="141" t="n">
        <v>0</v>
      </c>
      <c r="U96" s="141" t="n">
        <v>0</v>
      </c>
      <c r="V96" s="141" t="n">
        <v>0</v>
      </c>
      <c r="W96" s="141" t="n">
        <v>0</v>
      </c>
      <c r="X96" s="141" t="n">
        <v>0</v>
      </c>
      <c r="Y96" s="141" t="n">
        <v>0</v>
      </c>
      <c r="Z96" s="141" t="n">
        <v>0</v>
      </c>
      <c r="AA96" s="141" t="n">
        <v>0</v>
      </c>
      <c r="AB96" s="141" t="n">
        <v>0</v>
      </c>
      <c r="AC96" s="141" t="n">
        <v>0</v>
      </c>
      <c r="AD96" s="141" t="n">
        <v>0</v>
      </c>
      <c r="AE96" s="141" t="n">
        <v>0</v>
      </c>
      <c r="AF96" s="141" t="n">
        <v>0</v>
      </c>
      <c r="AG96" s="141" t="n">
        <v>0</v>
      </c>
      <c r="AH96" s="141" t="n">
        <v>0</v>
      </c>
      <c r="AI96" s="141" t="n">
        <v>0</v>
      </c>
      <c r="AJ96" s="141" t="n">
        <v>0</v>
      </c>
      <c r="AK96" s="141" t="n">
        <v>0</v>
      </c>
      <c r="AL96" s="141" t="n">
        <v>0</v>
      </c>
      <c r="AM96" s="141" t="n">
        <v>0</v>
      </c>
      <c r="AN96" s="141" t="n">
        <v>0</v>
      </c>
      <c r="AO96" s="141" t="n">
        <v>0</v>
      </c>
      <c r="AP96" s="141" t="n">
        <v>0</v>
      </c>
      <c r="AQ96" s="141" t="n">
        <v>0</v>
      </c>
      <c r="AR96" s="141" t="n">
        <v>0</v>
      </c>
      <c r="AS96" s="141" t="n">
        <v>0</v>
      </c>
      <c r="AT96" s="141" t="n">
        <v>0</v>
      </c>
      <c r="AU96" s="141" t="n">
        <v>0</v>
      </c>
      <c r="AV96" s="141" t="n">
        <v>0</v>
      </c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208" t="n"/>
      <c r="BW96" s="208" t="n"/>
    </row>
    <row r="97" hidden="1" ht="18.75" customHeight="1">
      <c r="A97" s="781" t="inlineStr">
        <is>
          <t>MEN NBA</t>
        </is>
      </c>
      <c r="B97" s="731" t="n"/>
      <c r="C97" s="731" t="n"/>
      <c r="D97" s="775" t="n"/>
      <c r="P97" s="141" t="n">
        <v>0</v>
      </c>
      <c r="Q97" s="141" t="n">
        <v>106</v>
      </c>
      <c r="R97" s="141" t="n">
        <v>100</v>
      </c>
      <c r="S97" s="141" t="n">
        <v>80</v>
      </c>
      <c r="T97" s="141" t="n">
        <v>55</v>
      </c>
      <c r="U97" s="141" t="n">
        <v>40</v>
      </c>
      <c r="V97" s="141" t="n">
        <v>22</v>
      </c>
      <c r="W97" s="141" t="n">
        <v>14</v>
      </c>
      <c r="X97" s="141" t="n">
        <v>9</v>
      </c>
      <c r="Y97" s="141" t="n">
        <v>0</v>
      </c>
      <c r="Z97" s="141" t="n">
        <v>3</v>
      </c>
      <c r="AA97" s="141" t="n">
        <v>0</v>
      </c>
      <c r="AB97" s="141" t="n">
        <v>0</v>
      </c>
      <c r="AC97" s="141" t="n">
        <v>0</v>
      </c>
      <c r="AD97" s="141" t="n">
        <v>0</v>
      </c>
      <c r="AE97" s="141" t="n">
        <v>0</v>
      </c>
      <c r="AF97" s="141" t="n">
        <v>0</v>
      </c>
      <c r="AG97" s="141" t="n">
        <v>0</v>
      </c>
      <c r="AH97" s="141" t="n">
        <v>0</v>
      </c>
      <c r="AI97" s="141" t="n">
        <v>0</v>
      </c>
      <c r="AJ97" s="141" t="n">
        <v>0</v>
      </c>
      <c r="AK97" s="141" t="n">
        <v>0</v>
      </c>
      <c r="AL97" s="141" t="n">
        <v>0</v>
      </c>
      <c r="AM97" s="141" t="n">
        <v>0</v>
      </c>
      <c r="AN97" s="141" t="n">
        <v>0</v>
      </c>
      <c r="AO97" s="141" t="n">
        <v>0</v>
      </c>
      <c r="AP97" s="141" t="n">
        <v>0</v>
      </c>
      <c r="AQ97" s="141" t="n">
        <v>0</v>
      </c>
      <c r="AR97" s="141" t="n">
        <v>0</v>
      </c>
      <c r="AS97" s="141" t="n">
        <v>0</v>
      </c>
      <c r="AT97" s="141" t="n">
        <v>0</v>
      </c>
      <c r="AU97" s="141" t="n">
        <v>0</v>
      </c>
      <c r="AV97" s="141" t="n">
        <v>0</v>
      </c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208" t="n"/>
      <c r="BW97" s="208" t="n"/>
    </row>
    <row r="98" hidden="1" ht="18.75" customHeight="1">
      <c r="A98" s="781" t="inlineStr">
        <is>
          <t>ARBO ATLANTICA</t>
        </is>
      </c>
      <c r="B98" s="731" t="n"/>
      <c r="C98" s="731" t="n"/>
      <c r="D98" s="775" t="n"/>
      <c r="S98" s="141" t="n">
        <v>0</v>
      </c>
      <c r="T98" s="141" t="n">
        <v>100</v>
      </c>
      <c r="U98" s="141" t="n">
        <v>100</v>
      </c>
      <c r="V98" s="141" t="n">
        <v>100</v>
      </c>
      <c r="W98" s="141" t="n">
        <v>100</v>
      </c>
      <c r="X98" s="141" t="n">
        <v>80</v>
      </c>
      <c r="Y98" s="141" t="n">
        <v>80</v>
      </c>
      <c r="Z98" s="141" t="n">
        <v>33</v>
      </c>
      <c r="AA98" s="141" t="n">
        <v>30</v>
      </c>
      <c r="AB98" s="141" t="n">
        <v>25</v>
      </c>
      <c r="AC98" s="141" t="n">
        <v>0</v>
      </c>
      <c r="AD98" s="141" t="n">
        <v>0</v>
      </c>
      <c r="AE98" s="141" t="n">
        <v>0</v>
      </c>
      <c r="AF98" s="141" t="n">
        <v>0</v>
      </c>
      <c r="AG98" s="141" t="n">
        <v>0</v>
      </c>
      <c r="AH98" s="141" t="n">
        <v>0</v>
      </c>
      <c r="AI98" s="141" t="n">
        <v>0</v>
      </c>
      <c r="AJ98" s="141" t="n">
        <v>0</v>
      </c>
      <c r="AK98" s="141" t="n">
        <v>0</v>
      </c>
      <c r="AL98" s="141" t="n">
        <v>0</v>
      </c>
      <c r="AM98" s="141" t="n">
        <v>0</v>
      </c>
      <c r="AN98" s="141" t="n">
        <v>0</v>
      </c>
      <c r="AO98" s="141" t="n">
        <v>0</v>
      </c>
      <c r="AP98" s="141" t="n">
        <v>0</v>
      </c>
      <c r="AQ98" s="141" t="n">
        <v>0</v>
      </c>
      <c r="AR98" s="141" t="n">
        <v>0</v>
      </c>
      <c r="AS98" s="141" t="n">
        <v>0</v>
      </c>
      <c r="AT98" s="141" t="n">
        <v>0</v>
      </c>
      <c r="AU98" s="141" t="n">
        <v>0</v>
      </c>
      <c r="AV98" s="141" t="n">
        <v>0</v>
      </c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208" t="n"/>
      <c r="BW98" s="208" t="n"/>
    </row>
    <row r="99" hidden="1" ht="18.75" customHeight="1">
      <c r="A99" s="781" t="inlineStr">
        <is>
          <t>QUASAR DEEP BLUE</t>
        </is>
      </c>
      <c r="B99" s="731" t="n"/>
      <c r="C99" s="731" t="n"/>
      <c r="D99" s="775" t="n"/>
      <c r="S99" s="141" t="n">
        <v>0</v>
      </c>
      <c r="T99" s="141" t="n">
        <v>100</v>
      </c>
      <c r="U99" s="141" t="n">
        <v>100</v>
      </c>
      <c r="V99" s="141" t="n">
        <v>100</v>
      </c>
      <c r="W99" s="141" t="n">
        <v>20</v>
      </c>
      <c r="X99" s="141" t="n">
        <v>20</v>
      </c>
      <c r="Y99" s="141" t="n">
        <v>10</v>
      </c>
      <c r="Z99" s="141" t="n">
        <v>38</v>
      </c>
      <c r="AA99" s="141" t="n">
        <v>30</v>
      </c>
      <c r="AB99" s="141" t="n">
        <v>21</v>
      </c>
      <c r="AC99" s="141" t="n">
        <v>0</v>
      </c>
      <c r="AD99" s="141" t="n">
        <v>0</v>
      </c>
      <c r="AE99" s="141" t="n">
        <v>0</v>
      </c>
      <c r="AF99" s="141" t="n">
        <v>0</v>
      </c>
      <c r="AG99" s="141" t="n">
        <v>0</v>
      </c>
      <c r="AH99" s="141" t="n">
        <v>0</v>
      </c>
      <c r="AI99" s="141" t="n">
        <v>0</v>
      </c>
      <c r="AJ99" s="141" t="n">
        <v>0</v>
      </c>
      <c r="AK99" s="141" t="n">
        <v>0</v>
      </c>
      <c r="AL99" s="141" t="n">
        <v>0</v>
      </c>
      <c r="AM99" s="141" t="n">
        <v>0</v>
      </c>
      <c r="AN99" s="141" t="n">
        <v>0</v>
      </c>
      <c r="AO99" s="141" t="n">
        <v>0</v>
      </c>
      <c r="AP99" s="141" t="n">
        <v>0</v>
      </c>
      <c r="AQ99" s="141" t="n">
        <v>0</v>
      </c>
      <c r="AR99" s="141" t="n">
        <v>0</v>
      </c>
      <c r="AS99" s="141" t="n">
        <v>0</v>
      </c>
      <c r="AT99" s="141" t="n">
        <v>0</v>
      </c>
      <c r="AU99" s="141" t="n">
        <v>0</v>
      </c>
      <c r="AV99" s="141" t="n">
        <v>0</v>
      </c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208" t="n"/>
      <c r="BW99" s="208" t="n"/>
    </row>
    <row r="100" hidden="1" ht="18.75" customHeight="1">
      <c r="A100" s="781" t="inlineStr">
        <is>
          <t>BOTICA 214 SEVILLA DOURADA</t>
        </is>
      </c>
      <c r="B100" s="731" t="n"/>
      <c r="C100" s="731" t="n"/>
      <c r="D100" s="775" t="n"/>
      <c r="V100" s="141" t="n">
        <v>0</v>
      </c>
      <c r="W100" s="141" t="n">
        <v>7</v>
      </c>
      <c r="X100" s="141" t="n">
        <v>7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208" t="n"/>
      <c r="BW100" s="208" t="n"/>
    </row>
    <row r="101" hidden="1">
      <c r="A101" s="482" t="inlineStr">
        <is>
          <t>BOTI SUN FPS 70 COR 1.0</t>
        </is>
      </c>
      <c r="B101" s="483" t="n"/>
      <c r="C101" s="483" t="n"/>
      <c r="D101" s="484" t="n"/>
      <c r="V101" s="141" t="n"/>
      <c r="W101" s="141" t="n"/>
      <c r="X101" s="141" t="n"/>
      <c r="Y101" s="413" t="n"/>
      <c r="Z101" s="141" t="n">
        <v>0</v>
      </c>
      <c r="AA101" s="141" t="n">
        <v>0</v>
      </c>
      <c r="AB101" s="141" t="n">
        <v>0</v>
      </c>
      <c r="AC101" s="141" t="n">
        <v>7</v>
      </c>
      <c r="AD101" s="141" t="n">
        <v>0</v>
      </c>
      <c r="AE101" s="141" t="n">
        <v>2</v>
      </c>
      <c r="AF101" s="141" t="n">
        <v>2</v>
      </c>
      <c r="AG101" s="141" t="n">
        <v>2</v>
      </c>
      <c r="AH101" s="141" t="n">
        <v>2</v>
      </c>
      <c r="AI101" s="141" t="n">
        <v>0</v>
      </c>
      <c r="AJ101" s="141" t="n">
        <v>0</v>
      </c>
      <c r="AK101" s="141" t="n">
        <v>0</v>
      </c>
      <c r="AL101" s="141" t="n">
        <v>0</v>
      </c>
      <c r="AM101" s="141" t="n">
        <v>0</v>
      </c>
      <c r="AN101" s="141" t="n">
        <v>0</v>
      </c>
      <c r="AO101" s="141" t="n">
        <v>0</v>
      </c>
      <c r="AP101" s="141" t="n">
        <v>0</v>
      </c>
      <c r="AQ101" s="141" t="n">
        <v>0</v>
      </c>
      <c r="AR101" s="141" t="n">
        <v>0</v>
      </c>
      <c r="AS101" s="141" t="n">
        <v>0</v>
      </c>
      <c r="AT101" s="141" t="n">
        <v>0</v>
      </c>
      <c r="AU101" s="141" t="n">
        <v>0</v>
      </c>
      <c r="AV101" s="141" t="n">
        <v>0</v>
      </c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208" t="n"/>
      <c r="BW101" s="208" t="n"/>
    </row>
    <row r="102" hidden="1">
      <c r="A102" s="482" t="inlineStr">
        <is>
          <t>BOTI SUN FPS 70 COR 2.0</t>
        </is>
      </c>
      <c r="B102" s="483" t="n"/>
      <c r="C102" s="483" t="n"/>
      <c r="D102" s="484" t="n"/>
      <c r="Z102" s="414" t="n">
        <v>0</v>
      </c>
      <c r="AA102" s="414" t="n">
        <v>0</v>
      </c>
      <c r="AB102" s="141" t="n">
        <v>0</v>
      </c>
      <c r="AC102" s="141" t="n">
        <v>1</v>
      </c>
      <c r="AD102" s="141" t="n">
        <v>0</v>
      </c>
      <c r="AE102" s="141" t="n">
        <v>0</v>
      </c>
      <c r="AF102" s="141" t="n">
        <v>0</v>
      </c>
      <c r="AG102" s="141" t="n">
        <v>0</v>
      </c>
      <c r="AH102" s="141" t="n">
        <v>0</v>
      </c>
      <c r="AI102" s="141" t="n">
        <v>0</v>
      </c>
      <c r="AJ102" s="141" t="n">
        <v>0</v>
      </c>
      <c r="AK102" s="141" t="n">
        <v>0</v>
      </c>
      <c r="AL102" s="141" t="n">
        <v>0</v>
      </c>
      <c r="AM102" s="141" t="n">
        <v>0</v>
      </c>
      <c r="AN102" s="141" t="n">
        <v>0</v>
      </c>
      <c r="AO102" s="141" t="n">
        <v>0</v>
      </c>
      <c r="AP102" s="141" t="n">
        <v>0</v>
      </c>
      <c r="AQ102" s="141" t="n">
        <v>0</v>
      </c>
      <c r="AR102" s="141" t="n">
        <v>0</v>
      </c>
      <c r="AS102" s="141" t="n">
        <v>0</v>
      </c>
      <c r="AT102" s="141" t="n">
        <v>0</v>
      </c>
      <c r="AU102" s="141" t="n">
        <v>0</v>
      </c>
      <c r="AV102" s="141" t="n">
        <v>0</v>
      </c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208" t="n"/>
      <c r="BW102" s="208" t="n"/>
    </row>
    <row r="103" hidden="1">
      <c r="A103" s="482" t="inlineStr">
        <is>
          <t>BOTI SUN FPS 70 COR 3.0</t>
        </is>
      </c>
      <c r="B103" s="483" t="n"/>
      <c r="C103" s="483" t="n"/>
      <c r="D103" s="484" t="n"/>
      <c r="Z103" s="414" t="n">
        <v>0</v>
      </c>
      <c r="AA103" s="414" t="n">
        <v>0</v>
      </c>
      <c r="AB103" s="141" t="n">
        <v>0</v>
      </c>
      <c r="AC103" s="141" t="n">
        <v>2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208" t="n"/>
      <c r="BW103" s="208" t="n"/>
    </row>
    <row r="104" hidden="1">
      <c r="A104" s="482" t="inlineStr">
        <is>
          <t>BOTI SUN FPS 70 COR 4.0</t>
        </is>
      </c>
      <c r="B104" s="483" t="n"/>
      <c r="C104" s="483" t="n"/>
      <c r="D104" s="484" t="n"/>
      <c r="Z104" s="414" t="n">
        <v>0</v>
      </c>
      <c r="AA104" s="414" t="n">
        <v>0</v>
      </c>
      <c r="AB104" s="141" t="n">
        <v>0</v>
      </c>
      <c r="AC104" s="141" t="n">
        <v>2</v>
      </c>
      <c r="AD104" s="141" t="n">
        <v>0</v>
      </c>
      <c r="AE104" s="141" t="n">
        <v>4</v>
      </c>
      <c r="AF104" s="141" t="n">
        <v>4</v>
      </c>
      <c r="AG104" s="141" t="n">
        <v>4</v>
      </c>
      <c r="AH104" s="141" t="n">
        <v>2</v>
      </c>
      <c r="AI104" s="141" t="n">
        <v>0</v>
      </c>
      <c r="AJ104" s="141" t="n">
        <v>0</v>
      </c>
      <c r="AK104" s="141" t="n">
        <v>0</v>
      </c>
      <c r="AL104" s="141" t="n">
        <v>0</v>
      </c>
      <c r="AM104" s="141" t="n">
        <v>0</v>
      </c>
      <c r="AN104" s="141" t="n">
        <v>0</v>
      </c>
      <c r="AO104" s="141" t="n">
        <v>0</v>
      </c>
      <c r="AP104" s="141" t="n">
        <v>0</v>
      </c>
      <c r="AQ104" s="141" t="n">
        <v>0</v>
      </c>
      <c r="AR104" s="141" t="n">
        <v>0</v>
      </c>
      <c r="AS104" s="141" t="n">
        <v>0</v>
      </c>
      <c r="AT104" s="141" t="n">
        <v>0</v>
      </c>
      <c r="AU104" s="141" t="n">
        <v>0</v>
      </c>
      <c r="AV104" s="141" t="n">
        <v>0</v>
      </c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208" t="n"/>
      <c r="BW104" s="208" t="n"/>
    </row>
    <row r="105" hidden="1">
      <c r="A105" s="482" t="inlineStr">
        <is>
          <t>BOTI SUN FPS 70 COR 5.0</t>
        </is>
      </c>
      <c r="B105" s="483" t="n"/>
      <c r="C105" s="483" t="n"/>
      <c r="D105" s="484" t="n"/>
      <c r="Z105" s="414" t="n">
        <v>0</v>
      </c>
      <c r="AA105" s="414" t="n">
        <v>0</v>
      </c>
      <c r="AB105" s="141" t="n">
        <v>0</v>
      </c>
      <c r="AC105" s="141" t="n">
        <v>8</v>
      </c>
      <c r="AD105" s="141" t="n">
        <v>0</v>
      </c>
      <c r="AE105" s="141" t="n">
        <v>5</v>
      </c>
      <c r="AF105" s="141" t="n">
        <v>5</v>
      </c>
      <c r="AG105" s="141" t="n">
        <v>5</v>
      </c>
      <c r="AH105" s="141" t="n">
        <v>2</v>
      </c>
      <c r="AI105" s="141" t="n">
        <v>0</v>
      </c>
      <c r="AJ105" s="141" t="n">
        <v>0</v>
      </c>
      <c r="AK105" s="141" t="n">
        <v>0</v>
      </c>
      <c r="AL105" s="141" t="n">
        <v>0</v>
      </c>
      <c r="AM105" s="141" t="n">
        <v>0</v>
      </c>
      <c r="AN105" s="141" t="n">
        <v>0</v>
      </c>
      <c r="AO105" s="141" t="n">
        <v>0</v>
      </c>
      <c r="AP105" s="141" t="n">
        <v>0</v>
      </c>
      <c r="AQ105" s="141" t="n">
        <v>0</v>
      </c>
      <c r="AR105" s="141" t="n">
        <v>0</v>
      </c>
      <c r="AS105" s="141" t="n">
        <v>0</v>
      </c>
      <c r="AT105" s="141" t="n">
        <v>0</v>
      </c>
      <c r="AU105" s="141" t="n">
        <v>0</v>
      </c>
      <c r="AV105" s="141" t="n">
        <v>0</v>
      </c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208" t="n"/>
      <c r="BW105" s="208" t="n"/>
    </row>
    <row r="106" hidden="1">
      <c r="A106" s="482" t="inlineStr">
        <is>
          <t>BOTI SUN FPS 70 COR 6.0</t>
        </is>
      </c>
      <c r="B106" s="483" t="n"/>
      <c r="C106" s="483" t="n"/>
      <c r="D106" s="484" t="n"/>
      <c r="Z106" s="414" t="n">
        <v>0</v>
      </c>
      <c r="AA106" s="414" t="n">
        <v>0</v>
      </c>
      <c r="AB106" s="141" t="n">
        <v>0</v>
      </c>
      <c r="AC106" s="141" t="n">
        <v>4</v>
      </c>
      <c r="AD106" s="141" t="n">
        <v>0</v>
      </c>
      <c r="AE106" s="141" t="n">
        <v>3</v>
      </c>
      <c r="AF106" s="141" t="n">
        <v>3</v>
      </c>
      <c r="AG106" s="141" t="n">
        <v>3</v>
      </c>
      <c r="AH106" s="141" t="n">
        <v>3</v>
      </c>
      <c r="AI106" s="141" t="n">
        <v>0</v>
      </c>
      <c r="AJ106" s="141" t="n">
        <v>0</v>
      </c>
      <c r="AK106" s="141" t="n">
        <v>0</v>
      </c>
      <c r="AL106" s="141" t="n">
        <v>0</v>
      </c>
      <c r="AM106" s="141" t="n">
        <v>0</v>
      </c>
      <c r="AN106" s="141" t="n">
        <v>0</v>
      </c>
      <c r="AO106" s="141" t="n">
        <v>0</v>
      </c>
      <c r="AP106" s="141" t="n">
        <v>0</v>
      </c>
      <c r="AQ106" s="141" t="n">
        <v>0</v>
      </c>
      <c r="AR106" s="141" t="n">
        <v>0</v>
      </c>
      <c r="AS106" s="141" t="n">
        <v>0</v>
      </c>
      <c r="AT106" s="141" t="n">
        <v>0</v>
      </c>
      <c r="AU106" s="141" t="n">
        <v>0</v>
      </c>
      <c r="AV106" s="141" t="n">
        <v>0</v>
      </c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208" t="n"/>
      <c r="BW106" s="208" t="n"/>
    </row>
    <row r="107" hidden="1">
      <c r="A107" s="482" t="inlineStr">
        <is>
          <t>BOTI SUN FPS 70 COR 7.0</t>
        </is>
      </c>
      <c r="B107" s="483" t="n"/>
      <c r="C107" s="483" t="n"/>
      <c r="D107" s="484" t="n"/>
      <c r="Z107" s="414" t="n">
        <v>0</v>
      </c>
      <c r="AA107" s="414" t="n">
        <v>0</v>
      </c>
      <c r="AB107" s="141" t="n">
        <v>0</v>
      </c>
      <c r="AC107" s="141" t="n">
        <v>3</v>
      </c>
      <c r="AD107" s="141" t="n">
        <v>0</v>
      </c>
      <c r="AE107" s="141" t="n">
        <v>3</v>
      </c>
      <c r="AF107" s="141" t="n">
        <v>3</v>
      </c>
      <c r="AG107" s="141" t="n">
        <v>3</v>
      </c>
      <c r="AH107" s="141" t="n">
        <v>3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208" t="n"/>
      <c r="BW107" s="208" t="n"/>
    </row>
    <row r="108" hidden="1" ht="18.75" customHeight="1">
      <c r="A108" s="781" t="inlineStr">
        <is>
          <t>EGEO COGU</t>
        </is>
      </c>
      <c r="B108" s="731" t="n"/>
      <c r="C108" s="731" t="n"/>
      <c r="D108" s="775" t="n"/>
      <c r="AD108" s="141" t="n">
        <v>0</v>
      </c>
      <c r="AE108" s="141" t="n">
        <v>25</v>
      </c>
      <c r="AF108" s="141" t="n">
        <v>20</v>
      </c>
      <c r="AG108" s="141" t="n">
        <v>2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208" t="n"/>
      <c r="BW108" s="208" t="n"/>
    </row>
    <row r="109" hidden="1" ht="18.75" customHeight="1">
      <c r="A109" s="781" t="inlineStr">
        <is>
          <t>HER CODE CLIMAX</t>
        </is>
      </c>
      <c r="B109" s="731" t="n"/>
      <c r="C109" s="731" t="n"/>
      <c r="D109" s="775" t="n"/>
      <c r="AD109" s="141" t="n"/>
      <c r="AE109" s="141" t="n"/>
      <c r="AF109" s="141" t="n"/>
      <c r="AG109" s="141" t="n">
        <v>0</v>
      </c>
      <c r="AH109" s="141" t="n">
        <v>5</v>
      </c>
      <c r="AI109" s="141" t="n">
        <v>0</v>
      </c>
      <c r="AJ109" s="141" t="n">
        <v>0</v>
      </c>
      <c r="AK109" s="141" t="n">
        <v>0</v>
      </c>
      <c r="AL109" s="141" t="n">
        <v>0</v>
      </c>
      <c r="AM109" s="141" t="n">
        <v>0</v>
      </c>
      <c r="AN109" s="141" t="n">
        <v>0</v>
      </c>
      <c r="AO109" s="141" t="n">
        <v>0</v>
      </c>
      <c r="AP109" s="141" t="n">
        <v>0</v>
      </c>
      <c r="AQ109" s="141" t="n">
        <v>0</v>
      </c>
      <c r="AR109" s="141" t="n">
        <v>0</v>
      </c>
      <c r="AS109" s="141" t="n">
        <v>0</v>
      </c>
      <c r="AT109" s="141" t="n">
        <v>0</v>
      </c>
      <c r="AU109" s="141" t="n">
        <v>0</v>
      </c>
      <c r="AV109" s="141" t="n">
        <v>0</v>
      </c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208" t="n"/>
      <c r="BW109" s="208" t="n"/>
    </row>
    <row r="110" hidden="1" ht="18.75" customHeight="1">
      <c r="A110" s="781" t="inlineStr">
        <is>
          <t>FLORATTA BOUQUET</t>
        </is>
      </c>
      <c r="B110" s="731" t="n"/>
      <c r="C110" s="731" t="n"/>
      <c r="D110" s="775" t="n"/>
      <c r="AK110" s="141" t="n">
        <v>0</v>
      </c>
      <c r="AL110" s="141" t="n">
        <v>11</v>
      </c>
      <c r="AM110" s="141" t="n">
        <v>3</v>
      </c>
      <c r="AN110" s="141" t="n">
        <v>3</v>
      </c>
      <c r="AO110" s="141" t="n">
        <v>0</v>
      </c>
      <c r="AP110" s="141" t="n">
        <v>0</v>
      </c>
      <c r="AQ110" s="141" t="n">
        <v>0</v>
      </c>
      <c r="AR110" s="141" t="n">
        <v>0</v>
      </c>
      <c r="AS110" s="141" t="n">
        <v>0</v>
      </c>
      <c r="AT110" s="141" t="n">
        <v>0</v>
      </c>
      <c r="AU110" s="141" t="n">
        <v>0</v>
      </c>
      <c r="AV110" s="141" t="n">
        <v>0</v>
      </c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208" t="n"/>
      <c r="BW110" s="208" t="n"/>
    </row>
    <row r="111">
      <c r="A111" s="781" t="inlineStr">
        <is>
          <t>EGEO DOLCE ILUSION</t>
        </is>
      </c>
      <c r="B111" s="731" t="n"/>
      <c r="C111" s="731" t="n"/>
      <c r="D111" s="775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>
        <v>0</v>
      </c>
      <c r="AV111" s="141" t="n">
        <v>190</v>
      </c>
      <c r="AW111" s="141" t="n">
        <v>190</v>
      </c>
      <c r="AX111" s="141" t="n">
        <v>171</v>
      </c>
      <c r="AY111" s="141" t="n">
        <v>150</v>
      </c>
      <c r="AZ111" s="141" t="n">
        <v>100</v>
      </c>
      <c r="BA111" s="141" t="n">
        <v>100</v>
      </c>
      <c r="BB111" s="141" t="n">
        <v>80</v>
      </c>
      <c r="BC111" s="141" t="n">
        <v>80</v>
      </c>
      <c r="BD111" s="141" t="n">
        <v>70</v>
      </c>
      <c r="BE111" s="141" t="n">
        <v>66</v>
      </c>
      <c r="BF111" s="141" t="n">
        <v>66</v>
      </c>
      <c r="BG111" s="141" t="n">
        <v>60</v>
      </c>
      <c r="BH111" s="141" t="n">
        <v>60</v>
      </c>
      <c r="BI111" s="141" t="n">
        <v>60</v>
      </c>
      <c r="BJ111" s="141" t="n">
        <v>60</v>
      </c>
      <c r="BK111" s="141" t="n">
        <v>0</v>
      </c>
      <c r="BL111" s="141" t="n">
        <v>0</v>
      </c>
      <c r="BM111" s="141" t="n">
        <v>0</v>
      </c>
      <c r="BN111" s="141" t="n">
        <v>0</v>
      </c>
      <c r="BO111" s="141" t="n">
        <v>0</v>
      </c>
      <c r="BP111" s="141" t="n">
        <v>0</v>
      </c>
      <c r="BQ111" s="141" t="n">
        <v>0</v>
      </c>
      <c r="BR111" s="141" t="n">
        <v>0</v>
      </c>
      <c r="BS111" s="141" t="n">
        <v>0</v>
      </c>
      <c r="BT111" s="141" t="n">
        <v>0</v>
      </c>
      <c r="BU111" s="141" t="n"/>
      <c r="BV111" s="208" t="n"/>
      <c r="BW111" s="208" t="n"/>
    </row>
    <row r="112">
      <c r="A112" s="781" t="inlineStr">
        <is>
          <t>HADYA</t>
        </is>
      </c>
      <c r="B112" s="731" t="n"/>
      <c r="C112" s="731" t="n"/>
      <c r="D112" s="775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>
        <v>0</v>
      </c>
      <c r="AV112" s="141" t="n">
        <v>99</v>
      </c>
      <c r="AW112" s="141" t="n">
        <v>99</v>
      </c>
      <c r="AX112" s="141" t="n">
        <v>84</v>
      </c>
      <c r="AY112" s="141" t="n">
        <v>75</v>
      </c>
      <c r="AZ112" s="141" t="n">
        <v>50</v>
      </c>
      <c r="BA112" s="141" t="n">
        <v>50</v>
      </c>
      <c r="BB112" s="141" t="n">
        <v>50</v>
      </c>
      <c r="BC112" s="141" t="n">
        <v>50</v>
      </c>
      <c r="BD112" s="141" t="n">
        <v>66</v>
      </c>
      <c r="BE112" s="141" t="n">
        <v>66</v>
      </c>
      <c r="BF112" s="141" t="n">
        <v>66</v>
      </c>
      <c r="BG112" s="141" t="n">
        <v>66</v>
      </c>
      <c r="BH112" s="141" t="n">
        <v>66</v>
      </c>
      <c r="BI112" s="141" t="n">
        <v>66</v>
      </c>
      <c r="BJ112" s="141" t="n">
        <v>66</v>
      </c>
      <c r="BK112" s="141" t="n">
        <v>0</v>
      </c>
      <c r="BL112" s="141" t="n">
        <v>0</v>
      </c>
      <c r="BM112" s="141" t="n">
        <v>0</v>
      </c>
      <c r="BN112" s="141" t="n">
        <v>0</v>
      </c>
      <c r="BO112" s="141" t="n">
        <v>0</v>
      </c>
      <c r="BP112" s="141" t="n">
        <v>0</v>
      </c>
      <c r="BQ112" s="141" t="n">
        <v>0</v>
      </c>
      <c r="BR112" s="141" t="n">
        <v>0</v>
      </c>
      <c r="BS112" s="141" t="n">
        <v>0</v>
      </c>
      <c r="BT112" s="141" t="n">
        <v>0</v>
      </c>
      <c r="BU112" s="141" t="n"/>
      <c r="BV112" s="208" t="n"/>
      <c r="BW112" s="208" t="n"/>
    </row>
    <row r="113">
      <c r="A113" s="781" t="inlineStr">
        <is>
          <t>CLASH</t>
        </is>
      </c>
      <c r="B113" s="731" t="n"/>
      <c r="C113" s="731" t="n"/>
      <c r="D113" s="775" t="n"/>
      <c r="BF113" s="141" t="n">
        <v>0</v>
      </c>
      <c r="BG113" s="141" t="n">
        <v>25</v>
      </c>
      <c r="BH113" s="141" t="n">
        <v>25</v>
      </c>
      <c r="BI113" s="141" t="n">
        <v>25</v>
      </c>
      <c r="BJ113" s="141" t="n">
        <v>25</v>
      </c>
      <c r="BK113" s="141" t="n">
        <v>17</v>
      </c>
      <c r="BL113" s="141" t="n">
        <v>17</v>
      </c>
      <c r="BM113" s="141" t="n">
        <v>17</v>
      </c>
      <c r="BN113" s="141" t="n">
        <v>17</v>
      </c>
      <c r="BO113" s="141" t="n">
        <v>17</v>
      </c>
      <c r="BP113" s="141" t="n">
        <v>6</v>
      </c>
      <c r="BQ113" s="141" t="n">
        <v>6</v>
      </c>
      <c r="BR113" s="141" t="n">
        <v>0</v>
      </c>
      <c r="BS113" s="141" t="n">
        <v>0</v>
      </c>
      <c r="BT113" s="141" t="n">
        <v>0</v>
      </c>
      <c r="BU113" s="141" t="n"/>
      <c r="BV113" s="208" t="n"/>
      <c r="BW113" s="208" t="n"/>
    </row>
    <row r="114">
      <c r="A114" s="781" t="inlineStr">
        <is>
          <t>BOTIK</t>
        </is>
      </c>
      <c r="B114" s="731" t="n"/>
      <c r="C114" s="731" t="n"/>
      <c r="D114" s="775" t="n"/>
      <c r="BF114" s="141" t="n">
        <v>0</v>
      </c>
      <c r="BG114" s="141" t="n">
        <v>0</v>
      </c>
      <c r="BH114" s="141" t="n">
        <v>70</v>
      </c>
      <c r="BI114" s="141" t="n">
        <v>70</v>
      </c>
      <c r="BJ114" s="141" t="n">
        <v>75</v>
      </c>
      <c r="BK114" s="141" t="n">
        <v>0</v>
      </c>
      <c r="BL114" s="141" t="n">
        <v>0</v>
      </c>
      <c r="BM114" s="141" t="n">
        <v>27</v>
      </c>
      <c r="BN114" s="141" t="n">
        <v>27</v>
      </c>
      <c r="BO114" s="141" t="n">
        <v>27</v>
      </c>
      <c r="BP114" s="141" t="n">
        <v>0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/>
      <c r="BV114" s="208" t="n"/>
      <c r="BW114" s="208" t="n"/>
    </row>
    <row r="115">
      <c r="A115" s="781" t="inlineStr">
        <is>
          <t>HIDRATANTE CEREJA DE FASES</t>
        </is>
      </c>
      <c r="B115" s="731" t="n"/>
      <c r="C115" s="731" t="n"/>
      <c r="D115" s="775" t="n"/>
      <c r="BF115" s="141" t="n"/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225</v>
      </c>
      <c r="BN115" s="141" t="n">
        <v>225</v>
      </c>
      <c r="BO115" s="141" t="n">
        <v>225</v>
      </c>
      <c r="BP115" s="141" t="n">
        <v>198</v>
      </c>
      <c r="BQ115" s="141" t="n">
        <v>198</v>
      </c>
      <c r="BR115" s="141" t="n">
        <v>198</v>
      </c>
      <c r="BS115" s="141" t="n">
        <v>170</v>
      </c>
      <c r="BT115" s="141" t="n">
        <v>150</v>
      </c>
      <c r="BU115" s="141" t="n"/>
      <c r="BV115" s="208" t="n"/>
      <c r="BW115" s="208" t="n"/>
    </row>
    <row r="116">
      <c r="A116" s="781" t="n"/>
      <c r="B116" s="731" t="n"/>
      <c r="C116" s="731" t="n"/>
      <c r="D116" s="775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208" t="n"/>
      <c r="BW116" s="208" t="n"/>
    </row>
  </sheetData>
  <mergeCells count="57">
    <mergeCell ref="A116:D116"/>
    <mergeCell ref="A97:D97"/>
    <mergeCell ref="A91:D91"/>
    <mergeCell ref="EW7:FE7"/>
    <mergeCell ref="A62:D62"/>
    <mergeCell ref="A100:D100"/>
    <mergeCell ref="A96:D96"/>
    <mergeCell ref="A109:D109"/>
    <mergeCell ref="A72:D72"/>
    <mergeCell ref="A112:D112"/>
    <mergeCell ref="A81:D81"/>
    <mergeCell ref="A63:D63"/>
    <mergeCell ref="A115:D115"/>
    <mergeCell ref="A93:D93"/>
    <mergeCell ref="A111:D111"/>
    <mergeCell ref="A68:D68"/>
    <mergeCell ref="A67:D67"/>
    <mergeCell ref="A114:D114"/>
    <mergeCell ref="A83:D83"/>
    <mergeCell ref="A77:D77"/>
    <mergeCell ref="A92:D92"/>
    <mergeCell ref="A64:D64"/>
    <mergeCell ref="A82:D82"/>
    <mergeCell ref="A73:D73"/>
    <mergeCell ref="A98:D98"/>
    <mergeCell ref="A5:A6"/>
    <mergeCell ref="A94:D94"/>
    <mergeCell ref="A110:D110"/>
    <mergeCell ref="A79:D79"/>
    <mergeCell ref="A70:D70"/>
    <mergeCell ref="A61:D61"/>
    <mergeCell ref="A88:D88"/>
    <mergeCell ref="A69:D69"/>
    <mergeCell ref="A78:D78"/>
    <mergeCell ref="A87:D87"/>
    <mergeCell ref="A65:D65"/>
    <mergeCell ref="A99:D99"/>
    <mergeCell ref="B5:B6"/>
    <mergeCell ref="A90:D90"/>
    <mergeCell ref="A108:D108"/>
    <mergeCell ref="D5:D6"/>
    <mergeCell ref="A66:D66"/>
    <mergeCell ref="A80:D80"/>
    <mergeCell ref="A75:D75"/>
    <mergeCell ref="B3:D3"/>
    <mergeCell ref="A84:D84"/>
    <mergeCell ref="A89:D89"/>
    <mergeCell ref="A74:D74"/>
    <mergeCell ref="A86:D86"/>
    <mergeCell ref="A1:BU1"/>
    <mergeCell ref="A95:D95"/>
    <mergeCell ref="A113:D113"/>
    <mergeCell ref="A71:D71"/>
    <mergeCell ref="A85:D85"/>
    <mergeCell ref="A76:D76"/>
    <mergeCell ref="B2:D2"/>
    <mergeCell ref="C5:C6"/>
  </mergeCells>
  <conditionalFormatting sqref="BX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fitToHeight="0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Planilha27">
    <tabColor theme="9"/>
    <outlinePr summaryBelow="1" summaryRight="1"/>
    <pageSetUpPr/>
  </sheetPr>
  <dimension ref="A1:LU116"/>
  <sheetViews>
    <sheetView showGridLines="0" topLeftCell="A2" zoomScale="80" zoomScaleNormal="80" workbookViewId="0">
      <selection activeCell="CF51" sqref="CF51"/>
    </sheetView>
  </sheetViews>
  <sheetFormatPr baseColWidth="8" defaultColWidth="9.140625" defaultRowHeight="18.75"/>
  <cols>
    <col width="31.42578125" customWidth="1" style="42" min="1" max="1"/>
    <col width="9.28515625" customWidth="1" style="5" min="2" max="2"/>
    <col width="14.42578125" customWidth="1" style="5" min="3" max="3"/>
    <col width="14.42578125" bestFit="1" customWidth="1" style="5" min="4" max="4"/>
    <col width="1.5703125" customWidth="1" style="5" min="5" max="5"/>
    <col hidden="1" width="8.42578125" customWidth="1" style="5" min="6" max="70"/>
    <col width="8.42578125" customWidth="1" style="5" min="71" max="72"/>
    <col width="9" customWidth="1" style="5" min="73" max="73"/>
    <col width="2" customWidth="1" style="29" min="74" max="74"/>
    <col width="15.7109375" bestFit="1" customWidth="1" style="29" min="75" max="75"/>
    <col width="1.28515625" customWidth="1" style="5" min="76" max="76"/>
    <col width="14.85546875" customWidth="1" style="71" min="77" max="77"/>
    <col width="1" customWidth="1" style="5" min="78" max="78"/>
    <col width="9.28515625" customWidth="1" style="29" min="79" max="82"/>
    <col width="8.7109375" customWidth="1" style="59" min="83" max="83"/>
    <col width="9.28515625" customWidth="1" style="29" min="84" max="84"/>
    <col hidden="1" width="9.28515625" customWidth="1" style="29" min="85" max="100"/>
    <col hidden="1" width="8.7109375" customWidth="1" style="59" min="101" max="101"/>
    <col hidden="1" width="9.28515625" customWidth="1" style="29" min="102" max="102"/>
    <col hidden="1" width="13" customWidth="1" style="29" min="103" max="103"/>
    <col hidden="1" width="9.28515625" customWidth="1" style="29" min="104" max="106"/>
    <col hidden="1" width="14.42578125" customWidth="1" style="29" min="107" max="107"/>
    <col hidden="1" width="9.28515625" customWidth="1" style="29" min="108" max="108"/>
    <col hidden="1" width="11.5703125" customWidth="1" style="29" min="109" max="109"/>
    <col hidden="1" width="9.7109375" customWidth="1" style="29" min="110" max="110"/>
    <col hidden="1" width="9.28515625" customWidth="1" style="29" min="111" max="112"/>
    <col hidden="1" width="8.140625" customWidth="1" style="29" min="113" max="113"/>
    <col hidden="1" width="9.28515625" customWidth="1" style="29" min="114" max="114"/>
    <col hidden="1" width="13" customWidth="1" style="29" min="115" max="115"/>
    <col hidden="1" width="9.28515625" customWidth="1" style="29" min="116" max="119"/>
    <col hidden="1" width="12" customWidth="1" style="59" min="120" max="120"/>
    <col hidden="1" width="17.5703125" customWidth="1" style="59" min="121" max="121"/>
    <col hidden="1" width="12.85546875" customWidth="1" style="29" min="122" max="122"/>
    <col hidden="1" width="8.7109375" customWidth="1" style="59" min="123" max="123"/>
    <col hidden="1" width="13.5703125" customWidth="1" style="29" min="124" max="124"/>
    <col hidden="1" width="14.85546875" customWidth="1" style="323" min="125" max="125"/>
    <col hidden="1" width="9.28515625" customWidth="1" style="29" min="126" max="126"/>
    <col hidden="1" width="13.140625" customWidth="1" style="29" min="127" max="127"/>
    <col hidden="1" width="13.5703125" customWidth="1" style="29" min="128" max="128"/>
    <col hidden="1" width="9.28515625" customWidth="1" style="29" min="129" max="129"/>
    <col hidden="1" width="14.85546875" customWidth="1" style="323" min="130" max="130"/>
    <col hidden="1" width="9.7109375" customWidth="1" style="29" min="131" max="131"/>
    <col hidden="1" width="9.28515625" customWidth="1" style="29" min="132" max="134"/>
    <col hidden="1" width="24.28515625" customWidth="1" style="29" min="135" max="135"/>
    <col hidden="1" width="13.5703125" customWidth="1" style="323" min="136" max="136"/>
    <col hidden="1" width="9.28515625" customWidth="1" style="29" min="137" max="137"/>
    <col hidden="1" width="12" customWidth="1" style="323" min="138" max="138"/>
    <col hidden="1" width="9.28515625" customWidth="1" style="29" min="139" max="140"/>
    <col hidden="1" width="12.7109375" customWidth="1" style="29" min="141" max="141"/>
    <col hidden="1" width="9.28515625" customWidth="1" style="29" min="142" max="149"/>
    <col width="3.85546875" customWidth="1" style="5" min="150" max="150"/>
    <col width="21.85546875" bestFit="1" customWidth="1" style="5" min="151" max="151"/>
    <col width="9.140625" customWidth="1" style="5" min="152" max="152"/>
    <col hidden="1" width="13" customWidth="1" style="5" min="153" max="156"/>
    <col width="9.140625" customWidth="1" style="5" min="157" max="16384"/>
  </cols>
  <sheetData>
    <row r="1" ht="23.25" customHeight="1">
      <c r="A1" s="488" t="inlineStr">
        <is>
          <t>Controle de Contagem Semanal - Antilhas</t>
        </is>
      </c>
      <c r="BV1" s="132" t="n"/>
      <c r="BW1" s="132" t="n"/>
      <c r="BX1" s="132" t="n"/>
      <c r="BY1" s="132" t="n"/>
      <c r="BZ1" s="132" t="n"/>
      <c r="CA1" s="132" t="n"/>
      <c r="CB1" s="132" t="n"/>
      <c r="CC1" s="132" t="n"/>
      <c r="CD1" s="132" t="n"/>
      <c r="CE1" s="149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49" t="n"/>
      <c r="CX1" s="132" t="n"/>
      <c r="CY1" s="132" t="n"/>
      <c r="CZ1" s="132" t="n"/>
      <c r="DA1" s="132" t="n"/>
      <c r="DB1" s="132" t="n"/>
      <c r="DC1" s="149" t="n"/>
      <c r="DD1" s="132" t="n"/>
      <c r="DE1" s="132" t="n"/>
      <c r="DF1" s="149" t="n"/>
      <c r="DG1" s="132" t="n"/>
      <c r="DH1" s="132" t="n"/>
      <c r="DI1" s="132" t="n"/>
      <c r="DJ1" s="132" t="n"/>
      <c r="DK1" s="132" t="n"/>
      <c r="DL1" s="132" t="n"/>
      <c r="DM1" s="132" t="n"/>
      <c r="DN1" s="132" t="n"/>
      <c r="DO1" s="132" t="n"/>
      <c r="DP1" s="149" t="n"/>
      <c r="DQ1" s="149" t="n"/>
      <c r="DR1" s="132" t="n"/>
      <c r="DS1" s="149" t="n"/>
      <c r="DT1" s="149" t="n"/>
      <c r="DU1" s="488" t="n"/>
      <c r="DV1" s="132" t="n"/>
      <c r="DW1" s="132" t="n"/>
      <c r="DX1" s="149" t="n"/>
      <c r="DY1" s="132" t="n"/>
      <c r="DZ1" s="488" t="n"/>
      <c r="EA1" s="149" t="n"/>
      <c r="EB1" s="132" t="n"/>
      <c r="EC1" s="132" t="n"/>
      <c r="ED1" s="132" t="n"/>
      <c r="EE1" s="132" t="n"/>
      <c r="EF1" s="488" t="n"/>
      <c r="EG1" s="132" t="n"/>
      <c r="EH1" s="488" t="n"/>
      <c r="EI1" s="132" t="n"/>
      <c r="EJ1" s="132" t="n"/>
      <c r="EK1" s="132" t="n"/>
      <c r="EL1" s="132" t="n"/>
      <c r="EM1" s="132" t="n"/>
      <c r="EN1" s="132" t="n"/>
      <c r="EO1" s="132" t="n"/>
      <c r="EP1" s="132" t="n"/>
      <c r="EQ1" s="132" t="n"/>
      <c r="ER1" s="132" t="n"/>
      <c r="ES1" s="132" t="n"/>
    </row>
    <row r="2">
      <c r="A2" s="43" t="inlineStr">
        <is>
          <t>LOJA:</t>
        </is>
      </c>
      <c r="B2" s="722" t="inlineStr">
        <is>
          <t>TAUSTE DUQUE</t>
        </is>
      </c>
      <c r="C2" s="723" t="n"/>
      <c r="D2" s="724" t="n"/>
      <c r="BV2" s="5" t="n"/>
      <c r="BW2" s="5" t="n"/>
      <c r="DC2" s="5" t="n"/>
      <c r="DF2" s="5" t="n"/>
      <c r="DT2" s="5" t="n"/>
      <c r="DX2" s="5" t="n"/>
      <c r="EA2" s="5" t="n"/>
    </row>
    <row r="3">
      <c r="A3" s="43" t="inlineStr">
        <is>
          <t>Responsável:</t>
        </is>
      </c>
      <c r="B3" s="725" t="inlineStr">
        <is>
          <t>MANU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BW3" s="5" t="n"/>
      <c r="DC3" s="726" t="n"/>
      <c r="DF3" s="726" t="n"/>
      <c r="EA3" s="726" t="n"/>
    </row>
    <row r="4" ht="8.25" customHeight="1">
      <c r="BV4" s="133" t="n"/>
      <c r="BY4" s="70" t="n"/>
      <c r="CE4" s="249" t="n"/>
      <c r="CW4" s="249" t="n"/>
      <c r="DC4" s="5" t="n"/>
      <c r="DF4" s="5" t="n"/>
      <c r="DP4" s="249" t="n"/>
      <c r="DQ4" s="249" t="n"/>
      <c r="DS4" s="249" t="n"/>
      <c r="DT4" s="5" t="n"/>
      <c r="DU4" s="324" t="n"/>
      <c r="DX4" s="5" t="n"/>
      <c r="DZ4" s="324" t="n"/>
      <c r="EA4" s="5" t="n"/>
      <c r="EF4" s="324" t="n"/>
      <c r="EH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0" t="n"/>
      <c r="BW5" s="44" t="inlineStr">
        <is>
          <t>Pendências</t>
        </is>
      </c>
      <c r="BY5" s="12" t="inlineStr">
        <is>
          <t>Novo Pedido</t>
        </is>
      </c>
      <c r="CA5" s="734" t="n">
        <v>46149</v>
      </c>
      <c r="CB5" s="734" t="n">
        <v>46142</v>
      </c>
      <c r="CC5" s="734" t="n">
        <v>46114</v>
      </c>
      <c r="CD5" s="734" t="n">
        <v>46107</v>
      </c>
      <c r="CE5" s="735" t="n">
        <v>46065</v>
      </c>
      <c r="CF5" s="734" t="n">
        <v>46099</v>
      </c>
      <c r="CG5" s="734" t="n">
        <v>46092</v>
      </c>
      <c r="CH5" s="734" t="n">
        <v>46084</v>
      </c>
      <c r="CI5" s="734" t="n">
        <v>46077</v>
      </c>
      <c r="CJ5" s="734" t="n">
        <v>46071</v>
      </c>
      <c r="CK5" s="734" t="n">
        <v>46048</v>
      </c>
      <c r="CL5" s="734" t="n">
        <v>46043</v>
      </c>
      <c r="CM5" s="734" t="n">
        <v>46035</v>
      </c>
      <c r="CN5" s="734" t="n">
        <v>46029</v>
      </c>
      <c r="CO5" s="734" t="n">
        <v>46017</v>
      </c>
      <c r="CP5" s="734" t="n">
        <v>46007</v>
      </c>
      <c r="CQ5" s="734" t="n">
        <v>46001</v>
      </c>
      <c r="CR5" s="734" t="n">
        <v>45994</v>
      </c>
      <c r="CS5" s="734" t="n">
        <v>45980</v>
      </c>
      <c r="CT5" s="734" t="n">
        <v>45973</v>
      </c>
      <c r="CU5" s="734" t="n">
        <v>45960</v>
      </c>
      <c r="CV5" s="734" t="n">
        <v>45951</v>
      </c>
      <c r="CW5" s="737" t="n">
        <v>45903</v>
      </c>
      <c r="CX5" s="734" t="n">
        <v>45937</v>
      </c>
      <c r="CY5" s="736" t="inlineStr">
        <is>
          <t>TRANSF.</t>
        </is>
      </c>
      <c r="CZ5" s="734" t="n">
        <v>45931</v>
      </c>
      <c r="DA5" s="734" t="n">
        <v>45923</v>
      </c>
      <c r="DB5" s="734" t="n">
        <v>45923</v>
      </c>
      <c r="DC5" s="738" t="inlineStr">
        <is>
          <t>TRANSF.</t>
        </is>
      </c>
      <c r="DD5" s="734" t="n">
        <v>45915</v>
      </c>
      <c r="DE5" s="736" t="inlineStr">
        <is>
          <t>TRANSF.</t>
        </is>
      </c>
      <c r="DF5" s="738" t="n">
        <v>45863</v>
      </c>
      <c r="DG5" s="734" t="n">
        <v>45909</v>
      </c>
      <c r="DH5" s="734" t="n">
        <v>45903</v>
      </c>
      <c r="DI5" s="734" t="n">
        <v>45895</v>
      </c>
      <c r="DJ5" s="734" t="n">
        <v>45888</v>
      </c>
      <c r="DK5" s="739" t="inlineStr">
        <is>
          <t>TRANSF.</t>
        </is>
      </c>
      <c r="DL5" s="734" t="n">
        <v>45881</v>
      </c>
      <c r="DM5" s="734" t="n">
        <v>45867</v>
      </c>
      <c r="DN5" s="734" t="n">
        <v>45860</v>
      </c>
      <c r="DO5" s="734" t="n">
        <v>45853</v>
      </c>
      <c r="DP5" s="739" t="inlineStr">
        <is>
          <t>TRANSF.</t>
        </is>
      </c>
      <c r="DQ5" s="739" t="inlineStr">
        <is>
          <t>AUTOMÁTICO</t>
        </is>
      </c>
      <c r="DR5" s="736" t="inlineStr">
        <is>
          <t>TRANSF.</t>
        </is>
      </c>
      <c r="DS5" s="739" t="n">
        <v>45791</v>
      </c>
      <c r="DT5" s="742" t="inlineStr">
        <is>
          <t>TRANSF.</t>
        </is>
      </c>
      <c r="DU5" s="740" t="inlineStr">
        <is>
          <t>TRANSF.</t>
        </is>
      </c>
      <c r="DV5" s="734" t="n">
        <v>45813</v>
      </c>
      <c r="DW5" s="736" t="inlineStr">
        <is>
          <t>TRANSF.</t>
        </is>
      </c>
      <c r="DX5" s="742" t="inlineStr">
        <is>
          <t>TRANSF.</t>
        </is>
      </c>
      <c r="DY5" s="734" t="n">
        <v>45798</v>
      </c>
      <c r="DZ5" s="740" t="inlineStr">
        <is>
          <t>TRANSF.</t>
        </is>
      </c>
      <c r="EA5" s="742" t="n">
        <v>45735</v>
      </c>
      <c r="EB5" s="734" t="n">
        <v>45790</v>
      </c>
      <c r="EC5" s="734" t="n">
        <v>45783</v>
      </c>
      <c r="ED5" s="734" t="n">
        <v>45749</v>
      </c>
      <c r="EE5" s="743" t="inlineStr">
        <is>
          <t>TRANSF. DISNEY/24</t>
        </is>
      </c>
      <c r="EF5" s="740" t="inlineStr">
        <is>
          <t>TRANSF.</t>
        </is>
      </c>
      <c r="EG5" s="734" t="n">
        <v>45743</v>
      </c>
      <c r="EH5" s="740" t="n">
        <v>45700</v>
      </c>
      <c r="EI5" s="734" t="n">
        <v>45734</v>
      </c>
      <c r="EJ5" s="734" t="n">
        <v>45728</v>
      </c>
      <c r="EK5" s="736" t="inlineStr">
        <is>
          <t>TRANSF.</t>
        </is>
      </c>
      <c r="EL5" s="734" t="n">
        <v>45722</v>
      </c>
      <c r="EM5" s="734" t="n">
        <v>45714</v>
      </c>
      <c r="EN5" s="734" t="n">
        <v>45706</v>
      </c>
      <c r="EO5" s="734" t="n">
        <v>45699</v>
      </c>
      <c r="EP5" s="734" t="n">
        <v>45664</v>
      </c>
      <c r="EQ5" s="734" t="n">
        <v>45660</v>
      </c>
      <c r="ER5" s="734" t="n">
        <v>45652</v>
      </c>
      <c r="ES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45859</v>
      </c>
      <c r="AE6" s="746" t="n">
        <v>45866</v>
      </c>
      <c r="AF6" s="746" t="n">
        <v>45873</v>
      </c>
      <c r="AG6" s="746" t="n">
        <v>45880</v>
      </c>
      <c r="AH6" s="746" t="n">
        <v>45887</v>
      </c>
      <c r="AI6" s="746" t="n">
        <v>45894</v>
      </c>
      <c r="AJ6" s="746" t="n">
        <v>45901</v>
      </c>
      <c r="AK6" s="746" t="n">
        <v>45908</v>
      </c>
      <c r="AL6" s="746" t="n">
        <v>45915</v>
      </c>
      <c r="AM6" s="746" t="n">
        <v>45922</v>
      </c>
      <c r="AN6" s="746" t="n">
        <v>45929</v>
      </c>
      <c r="AO6" s="746" t="n">
        <v>45936</v>
      </c>
      <c r="AP6" s="746" t="n">
        <v>45943</v>
      </c>
      <c r="AQ6" s="746" t="n">
        <v>45950</v>
      </c>
      <c r="AR6" s="746" t="n">
        <v>45957</v>
      </c>
      <c r="AS6" s="746" t="n">
        <v>45964</v>
      </c>
      <c r="AT6" s="746" t="n">
        <v>45971</v>
      </c>
      <c r="AU6" s="746" t="n">
        <v>45978</v>
      </c>
      <c r="AV6" s="746" t="n">
        <v>45985</v>
      </c>
      <c r="AW6" s="746" t="n">
        <v>45992</v>
      </c>
      <c r="AX6" s="746" t="n">
        <v>45999</v>
      </c>
      <c r="AY6" s="746" t="n">
        <v>46006</v>
      </c>
      <c r="AZ6" s="746" t="n">
        <v>46013</v>
      </c>
      <c r="BA6" s="746" t="n">
        <v>46020</v>
      </c>
      <c r="BB6" s="746" t="n">
        <v>46027</v>
      </c>
      <c r="BC6" s="746" t="n">
        <v>46034</v>
      </c>
      <c r="BD6" s="746" t="n">
        <v>46041</v>
      </c>
      <c r="BE6" s="746" t="n">
        <v>46048</v>
      </c>
      <c r="BF6" s="746" t="n">
        <v>46055</v>
      </c>
      <c r="BG6" s="746" t="n">
        <v>46062</v>
      </c>
      <c r="BH6" s="746" t="n">
        <v>46069</v>
      </c>
      <c r="BI6" s="746" t="n">
        <v>46076</v>
      </c>
      <c r="BJ6" s="746" t="n">
        <v>46083</v>
      </c>
      <c r="BK6" s="746" t="n">
        <v>46090</v>
      </c>
      <c r="BL6" s="746" t="n">
        <v>46097</v>
      </c>
      <c r="BM6" s="746" t="n">
        <v>46104</v>
      </c>
      <c r="BN6" s="746" t="n">
        <v>46111</v>
      </c>
      <c r="BO6" s="746" t="n">
        <v>46118</v>
      </c>
      <c r="BP6" s="746" t="n">
        <v>46125</v>
      </c>
      <c r="BQ6" s="746" t="n">
        <v>46132</v>
      </c>
      <c r="BR6" s="746" t="n">
        <v>46139</v>
      </c>
      <c r="BS6" s="746" t="n">
        <v>46146</v>
      </c>
      <c r="BT6" s="746" t="n">
        <v>46154</v>
      </c>
      <c r="BU6" s="748" t="inlineStr">
        <is>
          <t>USOU</t>
        </is>
      </c>
      <c r="BV6" s="749" t="n"/>
      <c r="BW6" s="750" t="n"/>
      <c r="BX6" s="751" t="n"/>
      <c r="BY6" s="752" t="n">
        <v>46156</v>
      </c>
      <c r="BZ6" s="751" t="n"/>
      <c r="CA6" s="734" t="n">
        <v>46155</v>
      </c>
      <c r="CB6" s="734" t="n">
        <v>46149</v>
      </c>
      <c r="CC6" s="734" t="n">
        <v>46122</v>
      </c>
      <c r="CD6" s="734" t="n">
        <v>46112</v>
      </c>
      <c r="CE6" s="735" t="n">
        <v>46112</v>
      </c>
      <c r="CF6" s="734" t="n">
        <v>46106</v>
      </c>
      <c r="CG6" s="734" t="n">
        <v>46100</v>
      </c>
      <c r="CH6" s="734" t="n">
        <v>46093</v>
      </c>
      <c r="CI6" s="734" t="n">
        <v>46084</v>
      </c>
      <c r="CJ6" s="734" t="n">
        <v>46077</v>
      </c>
      <c r="CK6" s="734" t="n">
        <v>46057</v>
      </c>
      <c r="CL6" s="734" t="n">
        <v>46048</v>
      </c>
      <c r="CM6" s="734" t="n">
        <v>46041</v>
      </c>
      <c r="CN6" s="734" t="n">
        <v>46035</v>
      </c>
      <c r="CO6" s="734" t="n">
        <v>46029</v>
      </c>
      <c r="CP6" s="734" t="n">
        <v>46013</v>
      </c>
      <c r="CQ6" s="734" t="n">
        <v>46009</v>
      </c>
      <c r="CR6" s="734" t="n">
        <v>46000</v>
      </c>
      <c r="CS6" s="734" t="n">
        <v>45993</v>
      </c>
      <c r="CT6" s="734" t="n">
        <v>45980</v>
      </c>
      <c r="CU6" s="734" t="n">
        <v>45968</v>
      </c>
      <c r="CV6" s="734" t="n">
        <v>45958</v>
      </c>
      <c r="CW6" s="753" t="n">
        <v>45958</v>
      </c>
      <c r="CX6" s="734" t="n">
        <v>45944</v>
      </c>
      <c r="CY6" s="736" t="n">
        <v>45939</v>
      </c>
      <c r="CZ6" s="734" t="n">
        <v>45939</v>
      </c>
      <c r="DA6" s="734" t="n">
        <v>45939</v>
      </c>
      <c r="DB6" s="734" t="n">
        <v>45929</v>
      </c>
      <c r="DC6" s="754" t="n">
        <v>45923</v>
      </c>
      <c r="DD6" s="734" t="n">
        <v>45922</v>
      </c>
      <c r="DE6" s="736" t="n">
        <v>45918</v>
      </c>
      <c r="DF6" s="754" t="n">
        <v>45917</v>
      </c>
      <c r="DG6" s="734" t="n">
        <v>45912</v>
      </c>
      <c r="DH6" s="734" t="n">
        <v>45908</v>
      </c>
      <c r="DI6" s="734" t="n">
        <v>45898</v>
      </c>
      <c r="DJ6" s="734" t="n">
        <v>45891</v>
      </c>
      <c r="DK6" s="739" t="n">
        <v>45888</v>
      </c>
      <c r="DL6" s="734" t="n">
        <v>45884</v>
      </c>
      <c r="DM6" s="734" t="n">
        <v>45874</v>
      </c>
      <c r="DN6" s="734" t="n">
        <v>45866</v>
      </c>
      <c r="DO6" s="734" t="n">
        <v>45861</v>
      </c>
      <c r="DP6" s="739" t="n">
        <v>45860</v>
      </c>
      <c r="DQ6" s="739" t="n">
        <v>45852</v>
      </c>
      <c r="DR6" s="736" t="n">
        <v>45851</v>
      </c>
      <c r="DS6" s="739" t="n">
        <v>45846</v>
      </c>
      <c r="DT6" s="755" t="n">
        <v>45826</v>
      </c>
      <c r="DU6" s="740" t="n">
        <v>45826</v>
      </c>
      <c r="DV6" s="734" t="n">
        <v>45819</v>
      </c>
      <c r="DW6" s="736" t="n">
        <v>45806</v>
      </c>
      <c r="DX6" s="755" t="n">
        <v>45803</v>
      </c>
      <c r="DY6" s="734" t="n">
        <v>45800</v>
      </c>
      <c r="DZ6" s="740" t="n">
        <v>45800</v>
      </c>
      <c r="EA6" s="755" t="n">
        <v>45797</v>
      </c>
      <c r="EB6" s="734" t="n">
        <v>45793</v>
      </c>
      <c r="EC6" s="734" t="n">
        <v>45789</v>
      </c>
      <c r="ED6" s="734" t="n">
        <v>45756</v>
      </c>
      <c r="EE6" s="743" t="n">
        <v>45761</v>
      </c>
      <c r="EF6" s="740" t="n">
        <v>45754</v>
      </c>
      <c r="EG6" s="734" t="n">
        <v>45750</v>
      </c>
      <c r="EH6" s="740" t="n">
        <v>45744</v>
      </c>
      <c r="EI6" s="734" t="n">
        <v>45743</v>
      </c>
      <c r="EJ6" s="734" t="n">
        <v>45733</v>
      </c>
      <c r="EK6" s="736" t="n">
        <v>45727</v>
      </c>
      <c r="EL6" s="734" t="n">
        <v>45727</v>
      </c>
      <c r="EM6" s="734" t="n">
        <v>45721</v>
      </c>
      <c r="EN6" s="734" t="n">
        <v>45715</v>
      </c>
      <c r="EO6" s="734" t="n">
        <v>45706</v>
      </c>
      <c r="EP6" s="734" t="n">
        <v>45670</v>
      </c>
      <c r="EQ6" s="734" t="n">
        <v>45665</v>
      </c>
      <c r="ER6" s="734" t="n">
        <v>45659</v>
      </c>
      <c r="ES6" s="734" t="n">
        <v>45653</v>
      </c>
      <c r="EU6" s="5" t="n"/>
      <c r="EV6" s="5" t="n"/>
      <c r="EW6" s="5" t="n"/>
      <c r="EX6" s="5" t="n"/>
      <c r="EY6" s="5" t="n"/>
      <c r="EZ6" s="5" t="n"/>
      <c r="FA6" s="5" t="n"/>
      <c r="FB6" s="5" t="n"/>
      <c r="FC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9" t="n"/>
      <c r="BW7" s="33" t="n"/>
      <c r="BX7" s="5" t="n"/>
      <c r="BY7" s="147" t="n"/>
      <c r="BZ7" s="5" t="n"/>
      <c r="CA7" s="13" t="n"/>
      <c r="CB7" s="13" t="n"/>
      <c r="CC7" s="13" t="n"/>
      <c r="CD7" s="13" t="n"/>
      <c r="CE7" s="13" t="inlineStr">
        <is>
          <t>MÃES</t>
        </is>
      </c>
      <c r="CF7" s="13" t="n"/>
      <c r="CG7" s="13" t="n"/>
      <c r="CH7" s="13" t="n"/>
      <c r="CI7" s="13" t="n"/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inlineStr">
        <is>
          <t>HA</t>
        </is>
      </c>
      <c r="DG7" s="13" t="n"/>
      <c r="DH7" s="13" t="n"/>
      <c r="DI7" s="13" t="n"/>
      <c r="DJ7" s="13" t="n"/>
      <c r="DK7" s="13" t="inlineStr">
        <is>
          <t>PAIS/25</t>
        </is>
      </c>
      <c r="DL7" s="13" t="n"/>
      <c r="DM7" s="13" t="n"/>
      <c r="DN7" s="13" t="n"/>
      <c r="DO7" s="13" t="n"/>
      <c r="DP7" s="13" t="inlineStr">
        <is>
          <t>PAIS/25</t>
        </is>
      </c>
      <c r="DQ7" s="13" t="n"/>
      <c r="DR7" s="13" t="n"/>
      <c r="DS7" s="13" t="n"/>
      <c r="DT7" s="13" t="inlineStr">
        <is>
          <t>NAMO/25</t>
        </is>
      </c>
      <c r="DU7" s="13" t="inlineStr">
        <is>
          <t>MÃES/25</t>
        </is>
      </c>
      <c r="DV7" s="13" t="n"/>
      <c r="DW7" s="320" t="n"/>
      <c r="DX7" s="13" t="inlineStr">
        <is>
          <t>NAMO/25</t>
        </is>
      </c>
      <c r="DY7" s="320" t="n"/>
      <c r="DZ7" s="13" t="inlineStr">
        <is>
          <t>MÃES/25</t>
        </is>
      </c>
      <c r="EA7" s="320" t="n"/>
      <c r="EB7" s="320" t="n"/>
      <c r="EC7" s="320" t="n"/>
      <c r="ED7" s="320" t="n"/>
      <c r="EE7" s="320" t="n"/>
      <c r="EF7" s="13" t="inlineStr">
        <is>
          <t>MÃES/25</t>
        </is>
      </c>
      <c r="EG7" s="320" t="n"/>
      <c r="EH7" s="13" t="inlineStr">
        <is>
          <t>MÃES/25</t>
        </is>
      </c>
      <c r="EI7" s="320" t="n"/>
      <c r="EJ7" s="13" t="n"/>
      <c r="EK7" s="13" t="n"/>
      <c r="EL7" s="13" t="n"/>
      <c r="EM7" s="13" t="n"/>
      <c r="EN7" s="13" t="n"/>
      <c r="EO7" s="13" t="n"/>
      <c r="EP7" s="13" t="n"/>
      <c r="EQ7" s="13" t="n"/>
      <c r="ER7" s="13" t="n"/>
      <c r="ES7" s="13" t="n"/>
      <c r="EU7" s="235" t="inlineStr">
        <is>
          <t>MÃES 2026</t>
        </is>
      </c>
      <c r="EV7" s="731" t="n"/>
      <c r="EW7" s="731" t="n"/>
      <c r="EX7" s="731" t="n"/>
      <c r="EY7" s="731" t="n"/>
      <c r="EZ7" s="731" t="n"/>
      <c r="FA7" s="731" t="n"/>
      <c r="FB7" s="731" t="n"/>
      <c r="FC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750</v>
      </c>
      <c r="E8" s="5" t="n"/>
      <c r="F8" s="697" t="n">
        <v>640</v>
      </c>
      <c r="G8" s="697">
        <f>600+EQ8</f>
        <v/>
      </c>
      <c r="H8" s="697" t="n">
        <v>1100</v>
      </c>
      <c r="I8" s="697" t="n">
        <v>1000</v>
      </c>
      <c r="J8" s="697" t="n">
        <v>900</v>
      </c>
      <c r="K8" s="697" t="n">
        <v>720</v>
      </c>
      <c r="L8" s="697" t="n">
        <v>680</v>
      </c>
      <c r="M8" s="697" t="n">
        <v>600</v>
      </c>
      <c r="N8" s="697" t="n">
        <v>520</v>
      </c>
      <c r="O8" s="697">
        <f>500+EM8</f>
        <v/>
      </c>
      <c r="P8" s="697" t="n">
        <v>700</v>
      </c>
      <c r="Q8" s="697" t="n">
        <v>420</v>
      </c>
      <c r="R8" s="697" t="n">
        <v>420</v>
      </c>
      <c r="S8" s="697" t="n">
        <v>1200</v>
      </c>
      <c r="T8" s="697" t="n">
        <v>1040</v>
      </c>
      <c r="U8" s="697" t="n">
        <v>820</v>
      </c>
      <c r="V8" s="697" t="n">
        <v>740</v>
      </c>
      <c r="W8" s="697" t="n">
        <v>660</v>
      </c>
      <c r="X8" s="697" t="n">
        <v>640</v>
      </c>
      <c r="Y8" s="697">
        <f>380+EC8</f>
        <v/>
      </c>
      <c r="Z8" s="697" t="n">
        <v>1180</v>
      </c>
      <c r="AA8" s="697" t="n">
        <v>1080</v>
      </c>
      <c r="AB8" s="697" t="n">
        <v>1040</v>
      </c>
      <c r="AC8" s="697" t="n">
        <v>940</v>
      </c>
      <c r="AD8" s="697" t="n">
        <v>743</v>
      </c>
      <c r="AE8" s="697" t="n">
        <v>520</v>
      </c>
      <c r="AF8" s="697">
        <f>460+DM8</f>
        <v/>
      </c>
      <c r="AG8" s="697" t="n">
        <v>600</v>
      </c>
      <c r="AH8" s="697" t="n">
        <v>900</v>
      </c>
      <c r="AI8" s="697" t="n">
        <v>840</v>
      </c>
      <c r="AJ8" s="697" t="n">
        <v>720</v>
      </c>
      <c r="AK8" s="697" t="n">
        <v>600</v>
      </c>
      <c r="AL8" s="697" t="n">
        <v>500</v>
      </c>
      <c r="AM8" s="697">
        <f>360+DD8</f>
        <v/>
      </c>
      <c r="AN8" s="697" t="n">
        <v>600</v>
      </c>
      <c r="AO8" s="697" t="n">
        <v>500</v>
      </c>
      <c r="AP8" s="697">
        <f>360+CX8</f>
        <v/>
      </c>
      <c r="AQ8" s="697" t="n">
        <v>480</v>
      </c>
      <c r="AR8" s="697">
        <f>440+CV8</f>
        <v/>
      </c>
      <c r="AS8" s="697" t="n">
        <v>640</v>
      </c>
      <c r="AT8" s="697" t="n">
        <v>480</v>
      </c>
      <c r="AU8" s="697">
        <f>320+CT8</f>
        <v/>
      </c>
      <c r="AV8" s="697" t="n">
        <v>480</v>
      </c>
      <c r="AW8" s="697">
        <f>380+CS8</f>
        <v/>
      </c>
      <c r="AX8" s="697">
        <f>500+CR8</f>
        <v/>
      </c>
      <c r="AY8" s="697">
        <f>600+CQ8</f>
        <v/>
      </c>
      <c r="AZ8" s="697">
        <f>600+CP8</f>
        <v/>
      </c>
      <c r="BA8" s="697" t="n">
        <v>750</v>
      </c>
      <c r="BB8" s="697" t="n">
        <v>680</v>
      </c>
      <c r="BC8" s="697">
        <f>480+CN8</f>
        <v/>
      </c>
      <c r="BD8" s="697" t="n">
        <v>720</v>
      </c>
      <c r="BE8" s="697" t="n">
        <v>600</v>
      </c>
      <c r="BF8" s="697" t="n">
        <v>460</v>
      </c>
      <c r="BG8" s="697" t="n">
        <v>340</v>
      </c>
      <c r="BH8" s="697" t="n">
        <v>160</v>
      </c>
      <c r="BI8" s="697">
        <f>100+CJ8</f>
        <v/>
      </c>
      <c r="BJ8" s="697" t="n">
        <v>480</v>
      </c>
      <c r="BK8" s="697">
        <f>400+CH8</f>
        <v/>
      </c>
      <c r="BL8" s="697" t="n">
        <v>560</v>
      </c>
      <c r="BM8" s="697" t="n">
        <v>380</v>
      </c>
      <c r="BN8" s="697">
        <f>300+CD8</f>
        <v/>
      </c>
      <c r="BO8" s="697">
        <f>540+CB8</f>
        <v/>
      </c>
      <c r="BP8" s="697" t="n">
        <v>500</v>
      </c>
      <c r="BQ8" s="697" t="n">
        <v>420</v>
      </c>
      <c r="BR8" s="697" t="n">
        <v>340</v>
      </c>
      <c r="BS8" s="697">
        <f>280+CB8</f>
        <v/>
      </c>
      <c r="BT8" s="697">
        <f>400+CA8</f>
        <v/>
      </c>
      <c r="BU8" s="192">
        <f>BS8+IF(NOT(ISBLANK(OFFSET(BU8,0,6))),N(OFFSET(BU8,0,6)),N(OFFSET(BU8,0,7)))-BT8</f>
        <v/>
      </c>
      <c r="BV8" s="129" t="n"/>
      <c r="BW8" s="22" t="n"/>
      <c r="BX8" s="5" t="n"/>
      <c r="BY8" s="27" t="n"/>
      <c r="BZ8" s="5" t="n"/>
      <c r="CA8" s="23" t="n">
        <v>300</v>
      </c>
      <c r="CB8" s="23" t="n">
        <v>300</v>
      </c>
      <c r="CC8" s="23" t="n">
        <v>300</v>
      </c>
      <c r="CD8" s="23" t="n">
        <v>300</v>
      </c>
      <c r="CE8" s="23" t="n"/>
      <c r="CF8" s="23" t="n"/>
      <c r="CG8" s="23" t="n"/>
      <c r="CH8" s="23" t="n">
        <v>300</v>
      </c>
      <c r="CI8" s="23" t="n"/>
      <c r="CJ8" s="23" t="n">
        <v>600</v>
      </c>
      <c r="CK8" s="23" t="n"/>
      <c r="CL8" s="23" t="n"/>
      <c r="CM8" s="23" t="n"/>
      <c r="CN8" s="23" t="n">
        <v>300</v>
      </c>
      <c r="CO8" s="23" t="n"/>
      <c r="CP8" s="23" t="n">
        <v>300</v>
      </c>
      <c r="CQ8" s="23" t="n">
        <v>300</v>
      </c>
      <c r="CR8" s="23" t="n">
        <v>300</v>
      </c>
      <c r="CS8" s="23" t="n">
        <v>300</v>
      </c>
      <c r="CT8" s="23" t="n">
        <v>300</v>
      </c>
      <c r="CU8" s="23" t="n"/>
      <c r="CV8" s="23" t="n">
        <v>300</v>
      </c>
      <c r="CW8" s="219" t="n"/>
      <c r="CX8" s="23" t="n">
        <v>300</v>
      </c>
      <c r="CY8" s="23" t="n"/>
      <c r="CZ8" s="23" t="n"/>
      <c r="DA8" s="23" t="n"/>
      <c r="DB8" s="23" t="n"/>
      <c r="DC8" s="219" t="n"/>
      <c r="DD8" s="23" t="n">
        <v>300</v>
      </c>
      <c r="DE8" s="23" t="n"/>
      <c r="DF8" s="219" t="n"/>
      <c r="DG8" s="23" t="n"/>
      <c r="DH8" s="23" t="n"/>
      <c r="DI8" s="23" t="n"/>
      <c r="DJ8" s="23" t="n"/>
      <c r="DK8" s="23" t="n"/>
      <c r="DL8" s="23" t="n">
        <v>300</v>
      </c>
      <c r="DM8" s="23" t="n">
        <v>300</v>
      </c>
      <c r="DN8" s="23" t="n"/>
      <c r="DO8" s="23" t="n"/>
      <c r="DP8" s="219" t="n"/>
      <c r="DQ8" s="219" t="n"/>
      <c r="DR8" s="23" t="n"/>
      <c r="DS8" s="219" t="n"/>
      <c r="DT8" s="219" t="n"/>
      <c r="DU8" s="219" t="n"/>
      <c r="DV8" s="23" t="n"/>
      <c r="DW8" s="23" t="n"/>
      <c r="DX8" s="219" t="n"/>
      <c r="DY8" s="23" t="n"/>
      <c r="DZ8" s="219" t="n"/>
      <c r="EA8" s="219" t="n"/>
      <c r="EB8" s="23" t="n">
        <v>600</v>
      </c>
      <c r="EC8" s="23" t="n">
        <v>300</v>
      </c>
      <c r="ED8" s="23" t="n"/>
      <c r="EE8" s="23" t="n"/>
      <c r="EF8" s="219" t="n"/>
      <c r="EG8" s="23" t="n"/>
      <c r="EH8" s="219" t="n"/>
      <c r="EI8" s="23" t="n">
        <v>900</v>
      </c>
      <c r="EJ8" s="23" t="n"/>
      <c r="EK8" s="23" t="n"/>
      <c r="EL8" s="23" t="n"/>
      <c r="EM8" s="23" t="n">
        <v>300</v>
      </c>
      <c r="EN8" s="23" t="n"/>
      <c r="EO8" s="23" t="n"/>
      <c r="EP8" s="23" t="n"/>
      <c r="EQ8" s="23" t="n">
        <v>600</v>
      </c>
      <c r="ER8" s="23" t="n"/>
      <c r="ES8" s="23" t="n"/>
      <c r="EU8" s="304" t="inlineStr">
        <is>
          <t xml:space="preserve">SACOLAS </t>
        </is>
      </c>
      <c r="EV8" s="235" t="inlineStr">
        <is>
          <t>PCT</t>
        </is>
      </c>
      <c r="EW8" s="746" t="n">
        <v>46118</v>
      </c>
      <c r="EX8" s="746" t="n">
        <v>46125</v>
      </c>
      <c r="EY8" s="746" t="n">
        <v>46132</v>
      </c>
      <c r="EZ8" s="746" t="n">
        <v>46139</v>
      </c>
      <c r="FA8" s="746" t="n">
        <v>46146</v>
      </c>
      <c r="FB8" s="746" t="n">
        <v>46154</v>
      </c>
      <c r="FC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>
        <f>440+ER9</f>
        <v/>
      </c>
      <c r="G9" s="697">
        <f>1600+EQ9</f>
        <v/>
      </c>
      <c r="H9" s="697" t="n">
        <v>2340</v>
      </c>
      <c r="I9" s="697" t="n">
        <v>2760</v>
      </c>
      <c r="J9" s="697" t="n">
        <v>2400</v>
      </c>
      <c r="K9" s="697" t="n">
        <v>2260</v>
      </c>
      <c r="L9" s="697" t="n">
        <v>1860</v>
      </c>
      <c r="M9" s="697">
        <f>1600+EO9</f>
        <v/>
      </c>
      <c r="N9" s="697" t="n">
        <v>1960</v>
      </c>
      <c r="O9" s="697" t="n">
        <v>1760</v>
      </c>
      <c r="P9" s="697">
        <f>1340+EL9</f>
        <v/>
      </c>
      <c r="Q9" s="697" t="n">
        <v>1730</v>
      </c>
      <c r="R9" s="697" t="n">
        <v>1480</v>
      </c>
      <c r="S9" s="697" t="n">
        <v>1200</v>
      </c>
      <c r="T9" s="697" t="n">
        <v>1000</v>
      </c>
      <c r="U9" s="697" t="n">
        <v>800</v>
      </c>
      <c r="V9" s="697" t="n">
        <v>800</v>
      </c>
      <c r="W9" s="697" t="n">
        <v>800</v>
      </c>
      <c r="X9" s="697" t="n">
        <v>800</v>
      </c>
      <c r="Y9" s="697" t="n">
        <v>800</v>
      </c>
      <c r="Z9" s="697" t="n">
        <v>780</v>
      </c>
      <c r="AA9" s="697">
        <f>520+600</f>
        <v/>
      </c>
      <c r="AB9" s="697" t="n">
        <v>880</v>
      </c>
      <c r="AC9" s="697">
        <f>740+DV9</f>
        <v/>
      </c>
      <c r="AD9" s="697">
        <f>959+DO9</f>
        <v/>
      </c>
      <c r="AE9" s="697" t="n">
        <v>720</v>
      </c>
      <c r="AF9" s="697">
        <f>540+DM9</f>
        <v/>
      </c>
      <c r="AG9" s="697" t="n">
        <v>600</v>
      </c>
      <c r="AH9" s="697" t="n">
        <v>1200</v>
      </c>
      <c r="AI9" s="697" t="n">
        <v>960</v>
      </c>
      <c r="AJ9" s="697" t="n">
        <v>720</v>
      </c>
      <c r="AK9" s="697">
        <f>440+DH9</f>
        <v/>
      </c>
      <c r="AL9" s="697" t="n">
        <v>720</v>
      </c>
      <c r="AM9" s="697">
        <f>500+DD9</f>
        <v/>
      </c>
      <c r="AN9" s="697" t="n">
        <v>680</v>
      </c>
      <c r="AO9" s="697">
        <f>660+CZ9</f>
        <v/>
      </c>
      <c r="AP9" s="697" t="n">
        <v>1000</v>
      </c>
      <c r="AQ9" s="697" t="n">
        <v>700</v>
      </c>
      <c r="AR9" s="697">
        <f>530+CV9</f>
        <v/>
      </c>
      <c r="AS9" s="697" t="n">
        <v>920</v>
      </c>
      <c r="AT9" s="697" t="n">
        <v>1100</v>
      </c>
      <c r="AU9" s="697" t="n">
        <v>920</v>
      </c>
      <c r="AV9" s="697" t="n">
        <v>920</v>
      </c>
      <c r="AW9" s="697" t="n">
        <v>880</v>
      </c>
      <c r="AX9" s="697" t="n">
        <v>880</v>
      </c>
      <c r="AY9" s="697">
        <f>500+CQ9</f>
        <v/>
      </c>
      <c r="AZ9" s="697">
        <f>640+CP9</f>
        <v/>
      </c>
      <c r="BA9" s="697" t="n">
        <v>480</v>
      </c>
      <c r="BB9" s="697" t="n">
        <v>400</v>
      </c>
      <c r="BC9" s="697">
        <f>860+CN9</f>
        <v/>
      </c>
      <c r="BD9" s="697">
        <f>1000+CM9</f>
        <v/>
      </c>
      <c r="BE9" s="697">
        <f>800+CL9</f>
        <v/>
      </c>
      <c r="BF9" s="697">
        <f>1000+CK9</f>
        <v/>
      </c>
      <c r="BG9" s="697" t="n">
        <v>1840</v>
      </c>
      <c r="BH9" s="697" t="n">
        <v>1520</v>
      </c>
      <c r="BI9" s="697">
        <f>1200+CJ9</f>
        <v/>
      </c>
      <c r="BJ9" s="697" t="n">
        <v>1440</v>
      </c>
      <c r="BK9" s="697" t="n">
        <v>1060</v>
      </c>
      <c r="BL9" s="697">
        <f>700+CG9</f>
        <v/>
      </c>
      <c r="BM9" s="697" t="n">
        <v>800</v>
      </c>
      <c r="BN9" s="697">
        <f>560+CD9</f>
        <v/>
      </c>
      <c r="BO9" s="697">
        <f>600+CB9</f>
        <v/>
      </c>
      <c r="BP9" s="697" t="n">
        <v>740</v>
      </c>
      <c r="BQ9" s="697" t="n">
        <v>740</v>
      </c>
      <c r="BR9" s="697" t="n">
        <v>720</v>
      </c>
      <c r="BS9" s="697" t="n">
        <v>720</v>
      </c>
      <c r="BT9" s="697" t="n">
        <v>600</v>
      </c>
      <c r="BU9" s="192">
        <f>BS9+IF(NOT(ISBLANK(OFFSET(BU9,0,6))),N(OFFSET(BU9,0,6)),N(OFFSET(BU9,0,7)))-BT9</f>
        <v/>
      </c>
      <c r="BV9" s="129" t="n"/>
      <c r="BW9" s="22" t="n"/>
      <c r="BX9" s="5" t="n"/>
      <c r="BY9" s="27" t="n"/>
      <c r="BZ9" s="5" t="n"/>
      <c r="CA9" s="23" t="n">
        <v>0</v>
      </c>
      <c r="CB9" s="23" t="n">
        <v>0</v>
      </c>
      <c r="CC9" s="23" t="n">
        <v>400</v>
      </c>
      <c r="CD9" s="23" t="n">
        <v>200</v>
      </c>
      <c r="CE9" s="219" t="n">
        <v>2000</v>
      </c>
      <c r="CF9" s="23" t="n"/>
      <c r="CG9" s="23" t="n">
        <v>400</v>
      </c>
      <c r="CH9" s="23" t="n"/>
      <c r="CI9" s="23" t="n"/>
      <c r="CJ9" s="23" t="n">
        <v>400</v>
      </c>
      <c r="CK9" s="23" t="n">
        <v>1200</v>
      </c>
      <c r="CL9" s="23" t="n">
        <v>400</v>
      </c>
      <c r="CM9" s="23" t="n">
        <v>200</v>
      </c>
      <c r="CN9" s="23" t="n">
        <v>400</v>
      </c>
      <c r="CO9" s="23" t="n">
        <v>600</v>
      </c>
      <c r="CP9" s="23" t="n">
        <v>1000</v>
      </c>
      <c r="CQ9" s="23" t="n">
        <v>600</v>
      </c>
      <c r="CR9" s="23" t="n"/>
      <c r="CS9" s="23" t="n"/>
      <c r="CT9" s="23" t="n"/>
      <c r="CU9" s="23" t="n">
        <v>200</v>
      </c>
      <c r="CV9" s="23" t="n">
        <v>400</v>
      </c>
      <c r="CW9" s="219" t="n">
        <v>2000</v>
      </c>
      <c r="CX9" s="23" t="n"/>
      <c r="CY9" s="23" t="n"/>
      <c r="CZ9" s="23" t="n">
        <v>600</v>
      </c>
      <c r="DA9" s="23" t="n"/>
      <c r="DB9" s="23" t="n">
        <v>200</v>
      </c>
      <c r="DC9" s="219" t="n"/>
      <c r="DD9" s="23" t="n">
        <v>400</v>
      </c>
      <c r="DE9" s="23" t="n"/>
      <c r="DF9" s="219" t="n"/>
      <c r="DG9" s="23" t="n">
        <v>200</v>
      </c>
      <c r="DH9" s="23" t="n">
        <v>400</v>
      </c>
      <c r="DI9" s="23" t="n"/>
      <c r="DJ9" s="23" t="n"/>
      <c r="DK9" s="23" t="n"/>
      <c r="DL9" s="23" t="n">
        <v>800</v>
      </c>
      <c r="DM9" s="23" t="n">
        <v>600</v>
      </c>
      <c r="DN9" s="23" t="n"/>
      <c r="DO9" s="23" t="n">
        <v>200</v>
      </c>
      <c r="DP9" s="219" t="n"/>
      <c r="DQ9" s="219" t="n"/>
      <c r="DR9" s="23" t="n"/>
      <c r="DS9" s="219" t="n"/>
      <c r="DT9" s="219" t="n"/>
      <c r="DU9" s="219" t="n"/>
      <c r="DV9" s="23" t="n">
        <v>400</v>
      </c>
      <c r="DW9" s="282" t="inlineStr">
        <is>
          <t>600 DE CD</t>
        </is>
      </c>
      <c r="DX9" s="219" t="n"/>
      <c r="DY9" s="23" t="n"/>
      <c r="DZ9" s="219" t="n"/>
      <c r="EA9" s="219" t="n"/>
      <c r="EB9" s="23" t="n"/>
      <c r="EC9" s="23" t="n"/>
      <c r="ED9" s="23" t="n"/>
      <c r="EE9" s="23" t="n"/>
      <c r="EF9" s="219" t="n"/>
      <c r="EG9" s="23" t="n"/>
      <c r="EH9" s="219" t="n">
        <v>1800</v>
      </c>
      <c r="EI9" s="23" t="n"/>
      <c r="EJ9" s="23" t="n"/>
      <c r="EK9" s="23" t="n"/>
      <c r="EL9" s="23" t="n">
        <v>600</v>
      </c>
      <c r="EM9" s="23" t="n"/>
      <c r="EN9" s="23" t="n">
        <v>200</v>
      </c>
      <c r="EO9" s="23" t="n">
        <v>400</v>
      </c>
      <c r="EP9" s="23" t="n">
        <v>600</v>
      </c>
      <c r="EQ9" s="23" t="n">
        <v>800</v>
      </c>
      <c r="ER9" s="23" t="n">
        <v>1600</v>
      </c>
      <c r="ES9" s="23" t="n">
        <v>400</v>
      </c>
      <c r="EU9" s="300" t="inlineStr">
        <is>
          <t xml:space="preserve">SACOLA P </t>
        </is>
      </c>
      <c r="EV9" s="162" t="n">
        <v>200</v>
      </c>
      <c r="EW9" s="697">
        <f>CE9</f>
        <v/>
      </c>
      <c r="EX9" s="697" t="n">
        <v>1640</v>
      </c>
      <c r="EY9" s="697" t="n">
        <v>1340</v>
      </c>
      <c r="EZ9" s="697" t="n">
        <v>1280</v>
      </c>
      <c r="FA9" s="697" t="n">
        <v>1140</v>
      </c>
      <c r="FB9" s="697" t="n">
        <v>360</v>
      </c>
      <c r="FC9" s="431">
        <f>FA9+IF(NOT(ISBLANK(OFFSET(FC9,0,6))),N(OFFSET(FC9,0,6)),N(OFFSET(FC9,0,7)))-FB9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 t="n">
        <v>960</v>
      </c>
      <c r="G10" s="697" t="n">
        <v>860</v>
      </c>
      <c r="H10" s="697" t="n">
        <v>800</v>
      </c>
      <c r="I10" s="697" t="n">
        <v>960</v>
      </c>
      <c r="J10" s="697" t="n">
        <v>840</v>
      </c>
      <c r="K10" s="697" t="n">
        <v>830</v>
      </c>
      <c r="L10" s="697" t="n">
        <v>740</v>
      </c>
      <c r="M10" s="697" t="n">
        <v>600</v>
      </c>
      <c r="N10" s="697" t="n">
        <v>480</v>
      </c>
      <c r="O10" s="697">
        <f>600+EM10</f>
        <v/>
      </c>
      <c r="P10" s="697">
        <f>660+EL10</f>
        <v/>
      </c>
      <c r="Q10" s="697" t="n">
        <v>700</v>
      </c>
      <c r="R10" s="697" t="n">
        <v>600</v>
      </c>
      <c r="S10" s="697" t="n">
        <v>400</v>
      </c>
      <c r="T10" s="697">
        <f>290+ED10</f>
        <v/>
      </c>
      <c r="U10" s="697" t="n">
        <v>600</v>
      </c>
      <c r="V10" s="697" t="n">
        <v>600</v>
      </c>
      <c r="W10" s="697" t="n">
        <v>600</v>
      </c>
      <c r="X10" s="697" t="n">
        <v>600</v>
      </c>
      <c r="Y10" s="697" t="n">
        <v>600</v>
      </c>
      <c r="Z10" s="697" t="n">
        <v>520</v>
      </c>
      <c r="AA10" s="697" t="n">
        <v>400</v>
      </c>
      <c r="AB10" s="697" t="n">
        <v>400</v>
      </c>
      <c r="AC10" s="697" t="n">
        <v>400</v>
      </c>
      <c r="AD10" s="697" t="n">
        <v>370</v>
      </c>
      <c r="AE10" s="697" t="n">
        <v>240</v>
      </c>
      <c r="AF10" s="697">
        <f>240+DM10</f>
        <v/>
      </c>
      <c r="AG10" s="697" t="n">
        <v>260</v>
      </c>
      <c r="AH10" s="697" t="n">
        <v>560</v>
      </c>
      <c r="AI10" s="697" t="n">
        <v>460</v>
      </c>
      <c r="AJ10" s="697" t="n">
        <v>460</v>
      </c>
      <c r="AK10" s="697" t="n">
        <v>80</v>
      </c>
      <c r="AL10" s="697" t="n">
        <v>310</v>
      </c>
      <c r="AM10" s="697">
        <f>160+DD10</f>
        <v/>
      </c>
      <c r="AN10" s="697" t="n">
        <v>440</v>
      </c>
      <c r="AO10" s="697">
        <f>340+CZ10</f>
        <v/>
      </c>
      <c r="AP10" s="697" t="n">
        <v>660</v>
      </c>
      <c r="AQ10" s="697" t="n">
        <v>440</v>
      </c>
      <c r="AR10" s="697">
        <f>320+CV10</f>
        <v/>
      </c>
      <c r="AS10" s="697" t="n">
        <v>680</v>
      </c>
      <c r="AT10" s="697" t="n">
        <v>680</v>
      </c>
      <c r="AU10" s="697" t="n">
        <v>600</v>
      </c>
      <c r="AV10" s="697" t="n">
        <v>600</v>
      </c>
      <c r="AW10" s="697" t="n">
        <v>600</v>
      </c>
      <c r="AX10" s="697" t="n">
        <v>600</v>
      </c>
      <c r="AY10" s="697">
        <f>600+CQ10</f>
        <v/>
      </c>
      <c r="AZ10" s="697" t="n">
        <v>460</v>
      </c>
      <c r="BA10" s="697" t="n">
        <v>100</v>
      </c>
      <c r="BB10" s="697" t="n">
        <v>0</v>
      </c>
      <c r="BC10" s="697">
        <f>200+CN10</f>
        <v/>
      </c>
      <c r="BD10" s="697" t="n">
        <v>800</v>
      </c>
      <c r="BE10" s="697">
        <f>600+CL10</f>
        <v/>
      </c>
      <c r="BF10" s="697" t="n">
        <v>780</v>
      </c>
      <c r="BG10" s="697" t="n">
        <v>700</v>
      </c>
      <c r="BH10" s="697" t="n">
        <v>640</v>
      </c>
      <c r="BI10" s="697" t="n">
        <v>560</v>
      </c>
      <c r="BJ10" s="697" t="n">
        <v>540</v>
      </c>
      <c r="BK10" s="697">
        <f>540+CH10</f>
        <v/>
      </c>
      <c r="BL10" s="697" t="n">
        <v>360</v>
      </c>
      <c r="BM10" s="697">
        <f>200+CF10</f>
        <v/>
      </c>
      <c r="BN10" s="697" t="n">
        <v>540</v>
      </c>
      <c r="BO10" s="697" t="n">
        <v>400</v>
      </c>
      <c r="BP10" s="697" t="n">
        <v>300</v>
      </c>
      <c r="BQ10" s="697" t="n">
        <v>300</v>
      </c>
      <c r="BR10" s="697" t="n">
        <v>280</v>
      </c>
      <c r="BS10" s="314" t="n">
        <v>480</v>
      </c>
      <c r="BT10" s="697" t="n">
        <v>340</v>
      </c>
      <c r="BU10" s="192">
        <f>BS10+IF(NOT(ISBLANK(OFFSET(BU10,0,6))),N(OFFSET(BU10,0,6)),N(OFFSET(BU10,0,7)))-BT10</f>
        <v/>
      </c>
      <c r="BV10" s="129" t="n"/>
      <c r="BW10" s="22" t="n"/>
      <c r="BX10" s="5" t="n"/>
      <c r="BY10" s="27" t="n"/>
      <c r="BZ10" s="5" t="n"/>
      <c r="CA10" s="23" t="n">
        <v>0</v>
      </c>
      <c r="CB10" s="23" t="n">
        <v>0</v>
      </c>
      <c r="CC10" s="23" t="n"/>
      <c r="CD10" s="23" t="n"/>
      <c r="CE10" s="219" t="n">
        <v>1000</v>
      </c>
      <c r="CF10" s="23" t="n">
        <v>400</v>
      </c>
      <c r="CG10" s="23" t="n"/>
      <c r="CH10" s="23" t="n">
        <v>200</v>
      </c>
      <c r="CI10" s="23" t="n"/>
      <c r="CJ10" s="23" t="n"/>
      <c r="CK10" s="23" t="n"/>
      <c r="CL10" s="23" t="n">
        <v>200</v>
      </c>
      <c r="CM10" s="23" t="n">
        <v>400</v>
      </c>
      <c r="CN10" s="23" t="n">
        <v>200</v>
      </c>
      <c r="CO10" s="23" t="n">
        <v>400</v>
      </c>
      <c r="CP10" s="23" t="n"/>
      <c r="CQ10" s="23" t="n">
        <v>200</v>
      </c>
      <c r="CR10" s="23" t="n"/>
      <c r="CS10" s="23" t="n"/>
      <c r="CT10" s="23" t="n"/>
      <c r="CU10" s="23" t="n"/>
      <c r="CV10" s="23" t="n">
        <v>200</v>
      </c>
      <c r="CW10" s="219" t="n">
        <v>1200</v>
      </c>
      <c r="CX10" s="23" t="n"/>
      <c r="CY10" s="23" t="n"/>
      <c r="CZ10" s="23" t="n">
        <v>400</v>
      </c>
      <c r="DA10" s="23" t="n"/>
      <c r="DB10" s="23" t="n">
        <v>200</v>
      </c>
      <c r="DC10" s="437" t="inlineStr">
        <is>
          <t>100 P/ MD</t>
        </is>
      </c>
      <c r="DD10" s="23" t="n">
        <v>200</v>
      </c>
      <c r="DE10" s="23" t="n"/>
      <c r="DF10" s="219" t="n">
        <v>200</v>
      </c>
      <c r="DG10" s="23" t="n">
        <v>400</v>
      </c>
      <c r="DH10" s="23" t="n"/>
      <c r="DI10" s="23" t="n"/>
      <c r="DJ10" s="23" t="n"/>
      <c r="DK10" s="23" t="n"/>
      <c r="DL10" s="23" t="n">
        <v>400</v>
      </c>
      <c r="DM10" s="23" t="n">
        <v>200</v>
      </c>
      <c r="DN10" s="23" t="n"/>
      <c r="DO10" s="23" t="n"/>
      <c r="DP10" s="219" t="n"/>
      <c r="DQ10" s="219" t="n"/>
      <c r="DR10" s="23" t="n"/>
      <c r="DS10" s="219" t="n">
        <v>600</v>
      </c>
      <c r="DT10" s="219" t="n"/>
      <c r="DU10" s="219" t="n"/>
      <c r="DV10" s="23" t="n"/>
      <c r="DW10" s="23" t="n"/>
      <c r="DX10" s="219" t="n"/>
      <c r="DY10" s="23" t="n"/>
      <c r="DZ10" s="219" t="n"/>
      <c r="EA10" s="219" t="n">
        <v>800</v>
      </c>
      <c r="EB10" s="23" t="n"/>
      <c r="EC10" s="23" t="n"/>
      <c r="ED10" s="23" t="n">
        <v>400</v>
      </c>
      <c r="EE10" s="333" t="inlineStr">
        <is>
          <t>50 P/ BSH</t>
        </is>
      </c>
      <c r="EF10" s="219" t="n"/>
      <c r="EG10" s="23" t="n"/>
      <c r="EH10" s="219" t="n">
        <v>1000</v>
      </c>
      <c r="EI10" s="23" t="n"/>
      <c r="EJ10" s="23" t="n"/>
      <c r="EK10" s="23" t="n"/>
      <c r="EL10" s="23" t="n">
        <v>200</v>
      </c>
      <c r="EM10" s="23" t="n">
        <v>200</v>
      </c>
      <c r="EN10" s="23" t="n">
        <v>200</v>
      </c>
      <c r="EO10" s="23" t="n"/>
      <c r="EP10" s="23" t="n">
        <v>200</v>
      </c>
      <c r="EQ10" s="23" t="n"/>
      <c r="ER10" s="23" t="n"/>
      <c r="ES10" s="23" t="n">
        <v>200</v>
      </c>
      <c r="EU10" s="65" t="inlineStr">
        <is>
          <t xml:space="preserve">SACOLA M </t>
        </is>
      </c>
      <c r="EV10" s="699" t="n">
        <v>200</v>
      </c>
      <c r="EW10" s="697">
        <f>CE10</f>
        <v/>
      </c>
      <c r="EX10" s="697" t="n">
        <v>840</v>
      </c>
      <c r="EY10" s="697" t="n">
        <v>640</v>
      </c>
      <c r="EZ10" s="697" t="n">
        <v>480</v>
      </c>
      <c r="FA10" s="697" t="n">
        <v>440</v>
      </c>
      <c r="FB10" s="697" t="n">
        <v>40</v>
      </c>
      <c r="FC10" s="431">
        <f>FA10+IF(NOT(ISBLANK(OFFSET(FC10,0,6))),N(OFFSET(FC10,0,6)),N(OFFSET(FC10,0,7)))-FB10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60</v>
      </c>
      <c r="R11" s="697" t="n">
        <v>60</v>
      </c>
      <c r="S11" s="697" t="n">
        <v>40</v>
      </c>
      <c r="T11" s="697" t="n">
        <v>40</v>
      </c>
      <c r="U11" s="697" t="n">
        <v>40</v>
      </c>
      <c r="V11" s="697" t="n">
        <v>40</v>
      </c>
      <c r="W11" s="697" t="n">
        <v>40</v>
      </c>
      <c r="X11" s="697" t="n">
        <v>40</v>
      </c>
      <c r="Y11" s="697">
        <f>40+EC11</f>
        <v/>
      </c>
      <c r="Z11" s="697" t="n">
        <v>140</v>
      </c>
      <c r="AA11" s="697" t="n">
        <v>140</v>
      </c>
      <c r="AB11" s="697" t="n">
        <v>100</v>
      </c>
      <c r="AC11" s="697" t="n">
        <v>100</v>
      </c>
      <c r="AD11" s="697" t="n">
        <v>60</v>
      </c>
      <c r="AE11" s="697" t="n">
        <v>60</v>
      </c>
      <c r="AF11" s="697" t="n">
        <v>60</v>
      </c>
      <c r="AG11" s="697" t="n">
        <v>45</v>
      </c>
      <c r="AH11" s="697" t="n">
        <v>40</v>
      </c>
      <c r="AI11" s="697" t="n">
        <v>20</v>
      </c>
      <c r="AJ11" s="697" t="n">
        <v>20</v>
      </c>
      <c r="AK11" s="697" t="n">
        <v>15</v>
      </c>
      <c r="AL11" s="697" t="n">
        <v>15</v>
      </c>
      <c r="AM11" s="697" t="n">
        <v>15</v>
      </c>
      <c r="AN11" s="697" t="n">
        <v>0</v>
      </c>
      <c r="AO11" s="697">
        <f>0+90</f>
        <v/>
      </c>
      <c r="AP11" s="697" t="n">
        <v>90</v>
      </c>
      <c r="AQ11" s="697" t="n">
        <v>75</v>
      </c>
      <c r="AR11" s="697" t="n">
        <v>57</v>
      </c>
      <c r="AS11" s="697" t="n">
        <v>57</v>
      </c>
      <c r="AT11" s="697" t="n">
        <v>57</v>
      </c>
      <c r="AU11" s="697" t="n">
        <v>57</v>
      </c>
      <c r="AV11" s="697" t="n">
        <v>57</v>
      </c>
      <c r="AW11" s="697" t="n">
        <v>57</v>
      </c>
      <c r="AX11" s="697" t="n">
        <v>50</v>
      </c>
      <c r="AY11" s="697">
        <f>0+CQ11</f>
        <v/>
      </c>
      <c r="AZ11" s="697" t="n">
        <v>60</v>
      </c>
      <c r="BA11" s="697" t="n">
        <v>20</v>
      </c>
      <c r="BB11" s="697" t="n">
        <v>20</v>
      </c>
      <c r="BC11" s="697" t="n">
        <v>100</v>
      </c>
      <c r="BD11" s="697" t="n">
        <v>100</v>
      </c>
      <c r="BE11" s="697" t="n">
        <v>100</v>
      </c>
      <c r="BF11" s="697" t="n">
        <v>100</v>
      </c>
      <c r="BG11" s="697" t="n">
        <v>80</v>
      </c>
      <c r="BH11" s="697" t="n">
        <v>60</v>
      </c>
      <c r="BI11" s="697">
        <f>60+CJ11</f>
        <v/>
      </c>
      <c r="BJ11" s="697" t="n">
        <v>160</v>
      </c>
      <c r="BK11" s="697" t="n">
        <v>160</v>
      </c>
      <c r="BL11" s="697" t="n">
        <v>120</v>
      </c>
      <c r="BM11" s="697" t="n">
        <v>120</v>
      </c>
      <c r="BN11" s="697" t="n">
        <v>120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192">
        <f>BS11+IF(NOT(ISBLANK(OFFSET(BU11,0,6))),N(OFFSET(BU11,0,6)),N(OFFSET(BU11,0,7)))-BT11</f>
        <v/>
      </c>
      <c r="BV11" s="129" t="n"/>
      <c r="BW11" s="22" t="n"/>
      <c r="BX11" s="5" t="n"/>
      <c r="BY11" s="27" t="n"/>
      <c r="BZ11" s="5" t="n"/>
      <c r="CA11" s="23" t="n">
        <v>0</v>
      </c>
      <c r="CB11" s="23" t="n">
        <v>0</v>
      </c>
      <c r="CC11" s="23" t="n"/>
      <c r="CD11" s="23" t="n"/>
      <c r="CE11" s="219" t="n">
        <v>100</v>
      </c>
      <c r="CF11" s="23" t="n"/>
      <c r="CG11" s="23" t="n"/>
      <c r="CH11" s="23" t="n"/>
      <c r="CI11" s="23" t="n"/>
      <c r="CJ11" s="23" t="n">
        <v>100</v>
      </c>
      <c r="CK11" s="23" t="n"/>
      <c r="CL11" s="23" t="n"/>
      <c r="CM11" s="23" t="n"/>
      <c r="CN11" s="23" t="n"/>
      <c r="CO11" s="23" t="n">
        <v>100</v>
      </c>
      <c r="CP11" s="23" t="n"/>
      <c r="CQ11" s="23" t="n">
        <v>100</v>
      </c>
      <c r="CR11" s="23" t="n"/>
      <c r="CS11" s="23" t="n"/>
      <c r="CT11" s="23" t="n"/>
      <c r="CU11" s="23" t="n"/>
      <c r="CV11" s="23" t="n"/>
      <c r="CW11" s="219" t="n">
        <v>100</v>
      </c>
      <c r="CX11" s="23" t="n"/>
      <c r="CY11" s="192" t="inlineStr">
        <is>
          <t>90 DE TTR</t>
        </is>
      </c>
      <c r="CZ11" s="23" t="n"/>
      <c r="DA11" s="23" t="n"/>
      <c r="DB11" s="23" t="n"/>
      <c r="DC11" s="219" t="n"/>
      <c r="DD11" s="23" t="n"/>
      <c r="DE11" s="23" t="n"/>
      <c r="DF11" s="219" t="n"/>
      <c r="DG11" s="23" t="n"/>
      <c r="DH11" s="23" t="n"/>
      <c r="DI11" s="23" t="n"/>
      <c r="DJ11" s="23" t="n"/>
      <c r="DK11" s="23" t="n"/>
      <c r="DL11" s="23" t="n"/>
      <c r="DM11" s="23" t="n"/>
      <c r="DN11" s="23" t="n"/>
      <c r="DO11" s="23" t="n"/>
      <c r="DP11" s="219" t="n"/>
      <c r="DQ11" s="219" t="n"/>
      <c r="DR11" s="23" t="n"/>
      <c r="DS11" s="219" t="n"/>
      <c r="DT11" s="219" t="n"/>
      <c r="DU11" s="219" t="n"/>
      <c r="DV11" s="23" t="n"/>
      <c r="DW11" s="23" t="n"/>
      <c r="DX11" s="219" t="n"/>
      <c r="DY11" s="23" t="n"/>
      <c r="DZ11" s="219" t="n"/>
      <c r="EA11" s="219" t="n"/>
      <c r="EB11" s="23" t="n"/>
      <c r="EC11" s="23" t="n">
        <v>100</v>
      </c>
      <c r="ED11" s="23" t="n"/>
      <c r="EE11" s="23" t="n"/>
      <c r="EF11" s="219" t="n"/>
      <c r="EG11" s="23" t="n"/>
      <c r="EH11" s="219" t="n">
        <v>100</v>
      </c>
      <c r="EI11" s="23" t="n"/>
      <c r="EJ11" s="23" t="n"/>
      <c r="EK11" s="23" t="n"/>
      <c r="EL11" s="23" t="n"/>
      <c r="EM11" s="23" t="n"/>
      <c r="EN11" s="23" t="n"/>
      <c r="EO11" s="23" t="n"/>
      <c r="EP11" s="23" t="n"/>
      <c r="EQ11" s="23" t="n"/>
      <c r="ER11" s="23" t="n"/>
      <c r="ES11" s="23" t="n"/>
      <c r="EU11" s="66" t="inlineStr">
        <is>
          <t xml:space="preserve">SACOLA G </t>
        </is>
      </c>
      <c r="EV11" s="699" t="n">
        <v>100</v>
      </c>
      <c r="EW11" s="697">
        <f>CE11</f>
        <v/>
      </c>
      <c r="EX11" s="697" t="n">
        <v>70</v>
      </c>
      <c r="EY11" s="697" t="n">
        <v>70</v>
      </c>
      <c r="EZ11" s="697" t="n">
        <v>70</v>
      </c>
      <c r="FA11" s="697" t="n">
        <v>60</v>
      </c>
      <c r="FB11" s="697" t="n">
        <v>10</v>
      </c>
      <c r="FC11" s="431">
        <f>FA11+IF(NOT(ISBLANK(OFFSET(FC11,0,6))),N(OFFSET(FC11,0,6)),N(OFFSET(FC11,0,7)))-FB11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W12" s="16" t="n"/>
      <c r="BX12" s="5" t="n"/>
      <c r="BY12" s="18" t="n"/>
      <c r="BZ12" s="5" t="n"/>
      <c r="CE12" s="47" t="n"/>
      <c r="CW12" s="47" t="n"/>
      <c r="DC12" s="64" t="n"/>
      <c r="DF12" s="64" t="n"/>
      <c r="DP12" s="47" t="n"/>
      <c r="DQ12" s="47" t="n"/>
      <c r="DS12" s="47" t="n"/>
      <c r="DT12" s="64" t="n"/>
      <c r="DU12" s="308" t="n"/>
      <c r="DX12" s="64" t="n"/>
      <c r="DZ12" s="308" t="n"/>
      <c r="EA12" s="64" t="n"/>
      <c r="EF12" s="308" t="n"/>
      <c r="EH12" s="308" t="n"/>
      <c r="EU12" s="35" t="n"/>
      <c r="EV12" s="2" t="n"/>
      <c r="EW12" s="4" t="n"/>
      <c r="EX12" s="4" t="n"/>
      <c r="EY12" s="4" t="n"/>
      <c r="EZ12" s="4" t="n"/>
      <c r="FA12" s="4" t="n"/>
      <c r="FB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45859</v>
      </c>
      <c r="AE13" s="746" t="n">
        <v>45866</v>
      </c>
      <c r="AF13" s="746" t="n">
        <v>45873</v>
      </c>
      <c r="AG13" s="746" t="n">
        <v>45880</v>
      </c>
      <c r="AH13" s="746" t="n">
        <v>45887</v>
      </c>
      <c r="AI13" s="746" t="n">
        <v>45894</v>
      </c>
      <c r="AJ13" s="746" t="n">
        <v>45901</v>
      </c>
      <c r="AK13" s="746" t="n">
        <v>45908</v>
      </c>
      <c r="AL13" s="746" t="n">
        <v>45915</v>
      </c>
      <c r="AM13" s="746" t="n">
        <v>45922</v>
      </c>
      <c r="AN13" s="746" t="n">
        <v>45929</v>
      </c>
      <c r="AO13" s="746" t="n">
        <v>45936</v>
      </c>
      <c r="AP13" s="746" t="n">
        <v>45943</v>
      </c>
      <c r="AQ13" s="746" t="n">
        <v>45950</v>
      </c>
      <c r="AR13" s="746" t="n">
        <v>45957</v>
      </c>
      <c r="AS13" s="746" t="n">
        <v>45964</v>
      </c>
      <c r="AT13" s="746" t="n">
        <v>45971</v>
      </c>
      <c r="AU13" s="746" t="n">
        <v>45978</v>
      </c>
      <c r="AV13" s="746" t="n">
        <v>45985</v>
      </c>
      <c r="AW13" s="746" t="n">
        <v>45992</v>
      </c>
      <c r="AX13" s="746" t="n">
        <v>45999</v>
      </c>
      <c r="AY13" s="746" t="n">
        <v>46006</v>
      </c>
      <c r="AZ13" s="746" t="n">
        <v>46013</v>
      </c>
      <c r="BA13" s="746" t="n">
        <v>46020</v>
      </c>
      <c r="BB13" s="746" t="n">
        <v>46027</v>
      </c>
      <c r="BC13" s="746" t="n">
        <v>46034</v>
      </c>
      <c r="BD13" s="746" t="n">
        <v>46041</v>
      </c>
      <c r="BE13" s="746" t="n">
        <v>46048</v>
      </c>
      <c r="BF13" s="746" t="n">
        <v>46055</v>
      </c>
      <c r="BG13" s="746" t="n">
        <v>46062</v>
      </c>
      <c r="BH13" s="746" t="n">
        <v>46069</v>
      </c>
      <c r="BI13" s="746" t="n">
        <v>46076</v>
      </c>
      <c r="BJ13" s="746" t="n">
        <v>46083</v>
      </c>
      <c r="BK13" s="746" t="n">
        <v>46090</v>
      </c>
      <c r="BL13" s="746" t="n">
        <v>46097</v>
      </c>
      <c r="BM13" s="746" t="n">
        <v>46104</v>
      </c>
      <c r="BN13" s="746" t="n">
        <v>46111</v>
      </c>
      <c r="BO13" s="746" t="n">
        <v>46118</v>
      </c>
      <c r="BP13" s="746" t="n">
        <v>46125</v>
      </c>
      <c r="BQ13" s="746" t="n">
        <v>46132</v>
      </c>
      <c r="BR13" s="746" t="n">
        <v>46139</v>
      </c>
      <c r="BS13" s="746" t="n">
        <v>46146</v>
      </c>
      <c r="BT13" s="746" t="n">
        <v>46154</v>
      </c>
      <c r="BU13" s="748" t="inlineStr">
        <is>
          <t>USOU</t>
        </is>
      </c>
      <c r="BW13" s="44" t="inlineStr">
        <is>
          <t>Pendências</t>
        </is>
      </c>
      <c r="BX13" s="5" t="n"/>
      <c r="BY13" s="12" t="inlineStr">
        <is>
          <t>Novo Pedido</t>
        </is>
      </c>
      <c r="BZ13" s="5" t="n"/>
      <c r="CA13" s="734" t="n">
        <v>46149</v>
      </c>
      <c r="CB13" s="734" t="n">
        <v>46142</v>
      </c>
      <c r="CC13" s="734" t="n">
        <v>46114</v>
      </c>
      <c r="CD13" s="734" t="n">
        <v>46107</v>
      </c>
      <c r="CE13" s="735" t="n">
        <v>46065</v>
      </c>
      <c r="CF13" s="734" t="n">
        <v>46099</v>
      </c>
      <c r="CG13" s="734" t="n">
        <v>46092</v>
      </c>
      <c r="CH13" s="734" t="n">
        <v>46084</v>
      </c>
      <c r="CI13" s="734" t="n">
        <v>46077</v>
      </c>
      <c r="CJ13" s="734" t="n">
        <v>46071</v>
      </c>
      <c r="CK13" s="734" t="n">
        <v>46048</v>
      </c>
      <c r="CL13" s="734" t="n">
        <v>46043</v>
      </c>
      <c r="CM13" s="734" t="n">
        <v>46035</v>
      </c>
      <c r="CN13" s="734" t="n">
        <v>46029</v>
      </c>
      <c r="CO13" s="734" t="n">
        <v>46017</v>
      </c>
      <c r="CP13" s="734" t="n">
        <v>46007</v>
      </c>
      <c r="CQ13" s="734" t="n">
        <v>46001</v>
      </c>
      <c r="CR13" s="734" t="n">
        <v>45994</v>
      </c>
      <c r="CS13" s="734" t="n">
        <v>45980</v>
      </c>
      <c r="CT13" s="734" t="n">
        <v>45973</v>
      </c>
      <c r="CU13" s="734" t="n">
        <v>45960</v>
      </c>
      <c r="CV13" s="734" t="n">
        <v>45951</v>
      </c>
      <c r="CW13" s="737" t="n">
        <v>45903</v>
      </c>
      <c r="CX13" s="734" t="n">
        <v>45937</v>
      </c>
      <c r="CY13" s="736" t="n">
        <v>45939</v>
      </c>
      <c r="CZ13" s="734" t="n">
        <v>45931</v>
      </c>
      <c r="DA13" s="734" t="n">
        <v>45923</v>
      </c>
      <c r="DB13" s="734" t="n">
        <v>45923</v>
      </c>
      <c r="DC13" s="754" t="n">
        <v>45923</v>
      </c>
      <c r="DD13" s="734" t="n">
        <v>45915</v>
      </c>
      <c r="DE13" s="736" t="n">
        <v>45918</v>
      </c>
      <c r="DF13" s="738" t="n">
        <v>45863</v>
      </c>
      <c r="DG13" s="734" t="n">
        <v>45909</v>
      </c>
      <c r="DH13" s="734" t="n">
        <v>45903</v>
      </c>
      <c r="DI13" s="734" t="n">
        <v>45895</v>
      </c>
      <c r="DJ13" s="734" t="n">
        <v>45888</v>
      </c>
      <c r="DK13" s="739" t="n">
        <v>45888</v>
      </c>
      <c r="DL13" s="734" t="n">
        <v>45881</v>
      </c>
      <c r="DM13" s="734" t="n">
        <v>45867</v>
      </c>
      <c r="DN13" s="734" t="n">
        <v>45860</v>
      </c>
      <c r="DO13" s="734" t="n">
        <v>45853</v>
      </c>
      <c r="DP13" s="739" t="n">
        <v>45860</v>
      </c>
      <c r="DQ13" s="739" t="n">
        <v>45852</v>
      </c>
      <c r="DR13" s="736" t="n">
        <v>45851</v>
      </c>
      <c r="DS13" s="739" t="n">
        <v>45791</v>
      </c>
      <c r="DT13" s="755" t="n">
        <v>45826</v>
      </c>
      <c r="DU13" s="740" t="n">
        <v>45826</v>
      </c>
      <c r="DV13" s="734" t="n">
        <v>45813</v>
      </c>
      <c r="DW13" s="736" t="n">
        <v>45806</v>
      </c>
      <c r="DX13" s="755" t="n">
        <v>45803</v>
      </c>
      <c r="DY13" s="734" t="n">
        <v>45798</v>
      </c>
      <c r="DZ13" s="740" t="n">
        <v>45800</v>
      </c>
      <c r="EA13" s="742" t="n">
        <v>45735</v>
      </c>
      <c r="EB13" s="734" t="n">
        <v>45790</v>
      </c>
      <c r="EC13" s="734" t="n">
        <v>45783</v>
      </c>
      <c r="ED13" s="734" t="n">
        <v>45749</v>
      </c>
      <c r="EE13" s="743" t="n">
        <v>45761</v>
      </c>
      <c r="EF13" s="740" t="n">
        <v>45754</v>
      </c>
      <c r="EG13" s="734" t="n">
        <v>45743</v>
      </c>
      <c r="EH13" s="740" t="n">
        <v>45700</v>
      </c>
      <c r="EI13" s="734" t="n">
        <v>45734</v>
      </c>
      <c r="EJ13" s="734" t="n">
        <v>45728</v>
      </c>
      <c r="EK13" s="736" t="n">
        <v>45727</v>
      </c>
      <c r="EL13" s="734" t="n">
        <v>45722</v>
      </c>
      <c r="EM13" s="734" t="n">
        <v>45714</v>
      </c>
      <c r="EN13" s="734" t="n">
        <v>45706</v>
      </c>
      <c r="EO13" s="734" t="n">
        <v>45699</v>
      </c>
      <c r="EP13" s="734" t="n">
        <v>45664</v>
      </c>
      <c r="EQ13" s="734" t="n">
        <v>45660</v>
      </c>
      <c r="ER13" s="734" t="n">
        <v>45652</v>
      </c>
      <c r="ES13" s="734" t="n">
        <v>45643</v>
      </c>
      <c r="EU13" s="304" t="inlineStr">
        <is>
          <t>DIVERSOS</t>
        </is>
      </c>
      <c r="EV13" s="235" t="inlineStr">
        <is>
          <t>PCT</t>
        </is>
      </c>
      <c r="EW13" s="746" t="n">
        <v>46118</v>
      </c>
      <c r="EX13" s="746" t="n">
        <v>46125</v>
      </c>
      <c r="EY13" s="746" t="n">
        <v>46132</v>
      </c>
      <c r="EZ13" s="746" t="n">
        <v>46139</v>
      </c>
      <c r="FA13" s="746" t="n">
        <v>46146</v>
      </c>
      <c r="FB13" s="746" t="n">
        <v>46154</v>
      </c>
      <c r="FC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 t="n">
        <v>5</v>
      </c>
      <c r="G14" s="697">
        <f>4+EQ14</f>
        <v/>
      </c>
      <c r="H14" s="697" t="n">
        <v>5</v>
      </c>
      <c r="I14" s="697" t="n">
        <v>7</v>
      </c>
      <c r="J14" s="697" t="n">
        <v>6</v>
      </c>
      <c r="K14" s="697" t="n">
        <v>6</v>
      </c>
      <c r="L14" s="697" t="n">
        <v>5</v>
      </c>
      <c r="M14" s="697" t="n">
        <v>4</v>
      </c>
      <c r="N14" s="697" t="n">
        <v>4</v>
      </c>
      <c r="O14" s="697" t="n">
        <v>3</v>
      </c>
      <c r="P14" s="697">
        <f>3+EL14</f>
        <v/>
      </c>
      <c r="Q14" s="697" t="n">
        <v>2</v>
      </c>
      <c r="R14" s="697" t="n">
        <v>0</v>
      </c>
      <c r="S14" s="697" t="n">
        <v>3</v>
      </c>
      <c r="T14" s="697" t="n">
        <v>5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2</v>
      </c>
      <c r="Z14" s="697" t="n">
        <v>4</v>
      </c>
      <c r="AA14" s="697" t="n">
        <v>3</v>
      </c>
      <c r="AB14" s="697" t="n">
        <v>3</v>
      </c>
      <c r="AC14" s="697">
        <f>3+DV14</f>
        <v/>
      </c>
      <c r="AD14" s="697">
        <f>4+DO14</f>
        <v/>
      </c>
      <c r="AE14" s="697" t="n">
        <v>5</v>
      </c>
      <c r="AF14" s="697" t="n">
        <v>5</v>
      </c>
      <c r="AG14" s="697" t="n">
        <v>3</v>
      </c>
      <c r="AH14" s="697" t="n">
        <v>3</v>
      </c>
      <c r="AI14" s="697" t="n">
        <v>4</v>
      </c>
      <c r="AJ14" s="697" t="n">
        <v>3</v>
      </c>
      <c r="AK14" s="697">
        <f>2+DH14</f>
        <v/>
      </c>
      <c r="AL14" s="697" t="n">
        <v>3</v>
      </c>
      <c r="AM14" s="697">
        <f>3+DD14</f>
        <v/>
      </c>
      <c r="AN14" s="697" t="n">
        <v>3</v>
      </c>
      <c r="AO14" s="697">
        <f>2+CZ14</f>
        <v/>
      </c>
      <c r="AP14" s="697">
        <f>3+CX14</f>
        <v/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3+CT14</f>
        <v/>
      </c>
      <c r="AV14" s="697" t="n">
        <v>4</v>
      </c>
      <c r="AW14" s="697" t="n">
        <v>3</v>
      </c>
      <c r="AX14" s="697">
        <f>2+CR14</f>
        <v/>
      </c>
      <c r="AY14" s="697">
        <f>1+CQ14</f>
        <v/>
      </c>
      <c r="AZ14" s="697" t="n">
        <v>5</v>
      </c>
      <c r="BA14" s="697" t="n">
        <v>1</v>
      </c>
      <c r="BB14" s="697" t="n">
        <v>0</v>
      </c>
      <c r="BC14" s="697">
        <f>5+CN14</f>
        <v/>
      </c>
      <c r="BD14" s="697">
        <f>9+CM14</f>
        <v/>
      </c>
      <c r="BE14" s="697" t="n">
        <v>9</v>
      </c>
      <c r="BF14" s="697">
        <f>9+CK14</f>
        <v/>
      </c>
      <c r="BG14" s="697" t="n">
        <v>18</v>
      </c>
      <c r="BH14" s="697" t="n">
        <v>15</v>
      </c>
      <c r="BI14" s="697" t="n">
        <v>13</v>
      </c>
      <c r="BJ14" s="697" t="n">
        <v>13</v>
      </c>
      <c r="BK14" s="697" t="n">
        <v>11</v>
      </c>
      <c r="BL14" s="697" t="n">
        <v>9</v>
      </c>
      <c r="BM14" s="697">
        <f>9+CF14</f>
        <v/>
      </c>
      <c r="BN14" s="697" t="n">
        <v>9</v>
      </c>
      <c r="BO14" s="697">
        <f>8+CB14</f>
        <v/>
      </c>
      <c r="BP14" s="697" t="n">
        <v>9</v>
      </c>
      <c r="BQ14" s="697" t="n">
        <v>9</v>
      </c>
      <c r="BR14" s="697" t="n">
        <v>9</v>
      </c>
      <c r="BS14" s="697">
        <f>9+CB14</f>
        <v/>
      </c>
      <c r="BT14" s="697" t="n">
        <v>8</v>
      </c>
      <c r="BU14" s="192">
        <f>BS14+IF(NOT(ISBLANK(OFFSET(BU14,0,6))),N(OFFSET(BU14,0,6)),N(OFFSET(BU14,0,7)))-BT14</f>
        <v/>
      </c>
      <c r="BW14" s="22" t="n"/>
      <c r="BX14" s="726" t="n"/>
      <c r="BY14" s="27" t="n">
        <v>4</v>
      </c>
      <c r="BZ14" s="5" t="n"/>
      <c r="CA14" s="23" t="n">
        <v>0</v>
      </c>
      <c r="CB14" s="23" t="n">
        <v>5</v>
      </c>
      <c r="CC14" s="23" t="n">
        <v>3</v>
      </c>
      <c r="CD14" s="23" t="n"/>
      <c r="CE14" s="219" t="n">
        <v>9</v>
      </c>
      <c r="CF14" s="23" t="n">
        <v>3</v>
      </c>
      <c r="CG14" s="23" t="n"/>
      <c r="CH14" s="23" t="n"/>
      <c r="CI14" s="23" t="n"/>
      <c r="CJ14" s="23" t="n"/>
      <c r="CK14" s="23" t="n">
        <v>10</v>
      </c>
      <c r="CL14" s="23" t="n"/>
      <c r="CM14" s="23" t="n">
        <v>5</v>
      </c>
      <c r="CN14" s="23" t="n">
        <v>5</v>
      </c>
      <c r="CO14" s="23" t="n">
        <v>6</v>
      </c>
      <c r="CP14" s="23" t="n"/>
      <c r="CQ14" s="23" t="n">
        <v>10</v>
      </c>
      <c r="CR14" s="23" t="n">
        <v>1</v>
      </c>
      <c r="CS14" s="23" t="n"/>
      <c r="CT14" s="23" t="n">
        <v>1</v>
      </c>
      <c r="CU14" s="23" t="n"/>
      <c r="CV14" s="23" t="n"/>
      <c r="CW14" s="219" t="n">
        <v>10</v>
      </c>
      <c r="CX14" s="23" t="n">
        <v>2</v>
      </c>
      <c r="CY14" s="23" t="n"/>
      <c r="CZ14" s="23" t="n">
        <v>1</v>
      </c>
      <c r="DA14" s="23" t="n"/>
      <c r="DB14" s="23" t="n"/>
      <c r="DC14" s="437" t="inlineStr">
        <is>
          <t>100 P/ MD</t>
        </is>
      </c>
      <c r="DD14" s="23" t="n">
        <v>1</v>
      </c>
      <c r="DE14" s="23" t="n"/>
      <c r="DF14" s="219" t="n">
        <v>200</v>
      </c>
      <c r="DG14" s="23" t="n">
        <v>2</v>
      </c>
      <c r="DH14" s="23" t="n">
        <v>1</v>
      </c>
      <c r="DI14" s="23" t="n"/>
      <c r="DJ14" s="23" t="n">
        <v>1</v>
      </c>
      <c r="DK14" s="23" t="n"/>
      <c r="DL14" s="23" t="n">
        <v>1</v>
      </c>
      <c r="DM14" s="23" t="n"/>
      <c r="DN14" s="23" t="n"/>
      <c r="DO14" s="23" t="n">
        <v>1</v>
      </c>
      <c r="DP14" s="219" t="n"/>
      <c r="DQ14" s="219" t="n"/>
      <c r="DR14" s="23" t="n"/>
      <c r="DS14" s="219" t="n">
        <v>5</v>
      </c>
      <c r="DT14" s="219" t="n"/>
      <c r="DU14" s="219" t="n"/>
      <c r="DV14" s="23" t="n">
        <v>1</v>
      </c>
      <c r="DW14" s="23" t="n"/>
      <c r="DX14" s="219" t="n"/>
      <c r="DY14" s="23" t="n"/>
      <c r="DZ14" s="219" t="n"/>
      <c r="EA14" s="219" t="n">
        <v>2</v>
      </c>
      <c r="EB14" s="23" t="n">
        <v>4</v>
      </c>
      <c r="EC14" s="23" t="n"/>
      <c r="ED14" s="23" t="n"/>
      <c r="EE14" s="23" t="n"/>
      <c r="EF14" s="219" t="n"/>
      <c r="EG14" s="23" t="n">
        <v>3</v>
      </c>
      <c r="EH14" s="219" t="n">
        <v>8</v>
      </c>
      <c r="EI14" s="23" t="n">
        <v>3</v>
      </c>
      <c r="EJ14" s="23" t="n"/>
      <c r="EK14" s="23" t="n"/>
      <c r="EL14" s="23" t="n"/>
      <c r="EM14" s="23" t="n"/>
      <c r="EN14" s="23" t="n"/>
      <c r="EO14" s="23" t="n"/>
      <c r="EP14" s="23" t="n">
        <v>2</v>
      </c>
      <c r="EQ14" s="23" t="n">
        <v>1</v>
      </c>
      <c r="ER14" s="23" t="n"/>
      <c r="ES14" s="23" t="n">
        <v>3</v>
      </c>
      <c r="EU14" s="300" t="inlineStr">
        <is>
          <t>PAPEL DE SEDA</t>
        </is>
      </c>
      <c r="EV14" s="162" t="n">
        <v>200</v>
      </c>
      <c r="EW14" s="697">
        <f>CE14</f>
        <v/>
      </c>
      <c r="EX14" s="697" t="n">
        <v>5</v>
      </c>
      <c r="EY14" s="697" t="n">
        <v>5</v>
      </c>
      <c r="EZ14" s="697" t="n">
        <v>3</v>
      </c>
      <c r="FA14" s="697" t="n">
        <v>0</v>
      </c>
      <c r="FB14" s="697" t="n">
        <v>0</v>
      </c>
      <c r="FC14" s="431">
        <f>FA14+IF(NOT(ISBLANK(OFFSET(FC14,0,6))),N(OFFSET(FC14,0,6)),N(OFFSET(FC14,0,7)))-FB14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3</v>
      </c>
      <c r="G15" s="697" t="n">
        <v>2</v>
      </c>
      <c r="H15" s="697" t="n">
        <v>2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2</v>
      </c>
      <c r="O15" s="697">
        <f>2+EM15</f>
        <v/>
      </c>
      <c r="P15" s="697">
        <f>3-1</f>
        <v/>
      </c>
      <c r="Q15" s="697">
        <f>2+EJ15+1</f>
        <v/>
      </c>
      <c r="R15" s="697" t="n">
        <v>4</v>
      </c>
      <c r="S15" s="697" t="n">
        <v>4</v>
      </c>
      <c r="T15" s="697" t="n">
        <v>4</v>
      </c>
      <c r="U15" s="697" t="n">
        <v>4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3</v>
      </c>
      <c r="AA15" s="697" t="n">
        <v>3</v>
      </c>
      <c r="AB15" s="697" t="n">
        <v>3</v>
      </c>
      <c r="AC15" s="697" t="n">
        <v>3</v>
      </c>
      <c r="AD15" s="697" t="n">
        <v>1</v>
      </c>
      <c r="AE15" s="697">
        <f>2+DN15</f>
        <v/>
      </c>
      <c r="AF15" s="697" t="n">
        <v>4</v>
      </c>
      <c r="AG15" s="697" t="n">
        <v>4</v>
      </c>
      <c r="AH15" s="697" t="n">
        <v>4</v>
      </c>
      <c r="AI15" s="697" t="n">
        <v>4</v>
      </c>
      <c r="AJ15" s="697" t="n">
        <v>4</v>
      </c>
      <c r="AK15" s="697" t="n">
        <v>4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3</v>
      </c>
      <c r="AQ15" s="697" t="n">
        <v>3</v>
      </c>
      <c r="AR15" s="697" t="n">
        <v>3</v>
      </c>
      <c r="AS15" s="697" t="n">
        <v>3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>
        <f>1+CQ15</f>
        <v/>
      </c>
      <c r="AZ15" s="697">
        <f>1+CP15</f>
        <v/>
      </c>
      <c r="BA15" s="697" t="n">
        <v>5</v>
      </c>
      <c r="BB15" s="697" t="n">
        <v>5</v>
      </c>
      <c r="BC15" s="697" t="n">
        <v>4</v>
      </c>
      <c r="BD15" s="697">
        <f>4+CM15</f>
        <v/>
      </c>
      <c r="BE15" s="697" t="n">
        <v>6</v>
      </c>
      <c r="BF15" s="697" t="n">
        <v>6</v>
      </c>
      <c r="BG15" s="697" t="n">
        <v>6</v>
      </c>
      <c r="BH15" s="697" t="n">
        <v>6</v>
      </c>
      <c r="BI15" s="697" t="n">
        <v>6</v>
      </c>
      <c r="BJ15" s="697" t="n">
        <v>6</v>
      </c>
      <c r="BK15" s="697" t="n">
        <v>5</v>
      </c>
      <c r="BL15" s="697" t="n">
        <v>5</v>
      </c>
      <c r="BM15" s="697" t="n">
        <v>5</v>
      </c>
      <c r="BN15" s="697" t="n">
        <v>4</v>
      </c>
      <c r="BO15" s="697" t="n">
        <v>4</v>
      </c>
      <c r="BP15" s="697" t="n">
        <v>4</v>
      </c>
      <c r="BQ15" s="697" t="n">
        <v>3</v>
      </c>
      <c r="BR15" s="697" t="n">
        <v>2</v>
      </c>
      <c r="BS15" s="697" t="n">
        <v>2</v>
      </c>
      <c r="BT15" s="697" t="n">
        <v>1</v>
      </c>
      <c r="BU15" s="192">
        <f>BS15+IF(NOT(ISBLANK(OFFSET(BU15,0,6))),N(OFFSET(BU15,0,6)),N(OFFSET(BU15,0,7)))-BT15</f>
        <v/>
      </c>
      <c r="BW15" s="22" t="n"/>
      <c r="BX15" s="726" t="n"/>
      <c r="BY15" s="27" t="n"/>
      <c r="BZ15" s="5" t="n"/>
      <c r="CA15" s="23" t="n">
        <v>0</v>
      </c>
      <c r="CB15" s="23" t="n">
        <v>0</v>
      </c>
      <c r="CC15" s="23" t="n"/>
      <c r="CD15" s="23" t="n"/>
      <c r="CE15" s="219" t="n">
        <v>4</v>
      </c>
      <c r="CF15" s="23" t="n"/>
      <c r="CG15" s="23" t="n"/>
      <c r="CH15" s="23" t="n"/>
      <c r="CI15" s="23" t="n"/>
      <c r="CJ15" s="23" t="n"/>
      <c r="CK15" s="23" t="n"/>
      <c r="CL15" s="23" t="n"/>
      <c r="CM15" s="23" t="n">
        <v>2</v>
      </c>
      <c r="CN15" s="23" t="n"/>
      <c r="CO15" s="23" t="n">
        <v>1</v>
      </c>
      <c r="CP15" s="23" t="n">
        <v>4</v>
      </c>
      <c r="CQ15" s="23" t="n">
        <v>1</v>
      </c>
      <c r="CR15" s="23" t="n"/>
      <c r="CS15" s="23" t="n"/>
      <c r="CT15" s="23" t="n"/>
      <c r="CU15" s="23" t="n"/>
      <c r="CV15" s="23" t="n"/>
      <c r="CW15" s="219" t="n">
        <v>7</v>
      </c>
      <c r="CX15" s="23" t="n"/>
      <c r="CY15" s="23" t="n"/>
      <c r="CZ15" s="23" t="n"/>
      <c r="DA15" s="23" t="n"/>
      <c r="DB15" s="23" t="n"/>
      <c r="DC15" s="437" t="inlineStr">
        <is>
          <t>100 P/ MD</t>
        </is>
      </c>
      <c r="DD15" s="23" t="n"/>
      <c r="DE15" s="23" t="n"/>
      <c r="DF15" s="219" t="n">
        <v>200</v>
      </c>
      <c r="DG15" s="23" t="n"/>
      <c r="DH15" s="23" t="n"/>
      <c r="DI15" s="23" t="n"/>
      <c r="DJ15" s="23" t="n"/>
      <c r="DK15" s="23" t="n"/>
      <c r="DL15" s="23" t="n"/>
      <c r="DM15" s="23" t="n"/>
      <c r="DN15" s="23" t="n">
        <v>2</v>
      </c>
      <c r="DO15" s="23" t="n"/>
      <c r="DP15" s="219" t="n"/>
      <c r="DQ15" s="219" t="n"/>
      <c r="DR15" s="23" t="n"/>
      <c r="DS15" s="219" t="n"/>
      <c r="DT15" s="219" t="n"/>
      <c r="DU15" s="219" t="n"/>
      <c r="DV15" s="23" t="n"/>
      <c r="DW15" s="23" t="n"/>
      <c r="DX15" s="219" t="n"/>
      <c r="DY15" s="23" t="n"/>
      <c r="DZ15" s="219" t="n"/>
      <c r="EA15" s="219" t="n">
        <v>2</v>
      </c>
      <c r="EB15" s="23" t="n">
        <v>1</v>
      </c>
      <c r="EC15" s="23" t="n"/>
      <c r="ED15" s="23" t="n"/>
      <c r="EE15" s="23" t="n"/>
      <c r="EF15" s="219" t="n"/>
      <c r="EG15" s="23" t="n"/>
      <c r="EH15" s="219" t="n"/>
      <c r="EI15" s="23" t="n"/>
      <c r="EJ15" s="23" t="n">
        <v>1</v>
      </c>
      <c r="EK15" s="282" t="inlineStr">
        <is>
          <t>01 P/ BSH</t>
        </is>
      </c>
      <c r="EL15" s="23" t="n"/>
      <c r="EM15" s="23" t="n">
        <v>2</v>
      </c>
      <c r="EN15" s="23" t="n"/>
      <c r="EO15" s="23" t="n"/>
      <c r="EP15" s="23" t="n">
        <v>1</v>
      </c>
      <c r="EQ15" s="23" t="n"/>
      <c r="ER15" s="23" t="n"/>
      <c r="ES15" s="23" t="n">
        <v>2</v>
      </c>
      <c r="EU15" s="65" t="inlineStr">
        <is>
          <t>ADESIVOS</t>
        </is>
      </c>
      <c r="EV15" s="699" t="n">
        <v>200</v>
      </c>
      <c r="EW15" s="697">
        <f>CE15</f>
        <v/>
      </c>
      <c r="EX15" s="697" t="n">
        <v>3</v>
      </c>
      <c r="EY15" s="697" t="n">
        <v>2</v>
      </c>
      <c r="EZ15" s="697" t="n">
        <v>2</v>
      </c>
      <c r="FA15" s="697" t="n">
        <v>0</v>
      </c>
      <c r="FB15" s="697" t="n">
        <v>0</v>
      </c>
      <c r="FC15" s="431">
        <f>FA15+IF(NOT(ISBLANK(OFFSET(FC15,0,6))),N(OFFSET(FC15,0,6)),N(OFFSET(FC15,0,7)))-FB15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0+ER16</f>
        <v/>
      </c>
      <c r="G16" s="697">
        <f>4+EQ16</f>
        <v/>
      </c>
      <c r="H16" s="697" t="n">
        <v>5</v>
      </c>
      <c r="I16" s="697" t="n">
        <v>5</v>
      </c>
      <c r="J16" s="697" t="n">
        <v>4</v>
      </c>
      <c r="K16" s="697" t="n">
        <v>4</v>
      </c>
      <c r="L16" s="697" t="n">
        <v>2</v>
      </c>
      <c r="M16" s="697">
        <f>2+EO16</f>
        <v/>
      </c>
      <c r="N16" s="697" t="n">
        <v>4</v>
      </c>
      <c r="O16" s="697" t="n">
        <v>3</v>
      </c>
      <c r="P16" s="697">
        <f>1+EL16</f>
        <v/>
      </c>
      <c r="Q16" s="697" t="n">
        <v>0</v>
      </c>
      <c r="R16" s="697" t="n">
        <v>0</v>
      </c>
      <c r="S16" s="697" t="n">
        <v>4</v>
      </c>
      <c r="T16" s="697">
        <f>3+ED16</f>
        <v/>
      </c>
      <c r="U16" s="697" t="n">
        <v>4</v>
      </c>
      <c r="V16" s="697" t="n">
        <v>3</v>
      </c>
      <c r="W16" s="697" t="n">
        <v>2</v>
      </c>
      <c r="X16" s="697" t="n">
        <v>1</v>
      </c>
      <c r="Y16" s="697">
        <f>0+EC16</f>
        <v/>
      </c>
      <c r="Z16" s="697" t="n">
        <v>4</v>
      </c>
      <c r="AA16" s="697" t="n">
        <v>3</v>
      </c>
      <c r="AB16" s="697" t="n">
        <v>2</v>
      </c>
      <c r="AC16" s="697">
        <f>0+DV16</f>
        <v/>
      </c>
      <c r="AD16" s="697">
        <f>4+DO16</f>
        <v/>
      </c>
      <c r="AE16" s="697" t="n">
        <v>5</v>
      </c>
      <c r="AF16" s="697">
        <f>3+DM16</f>
        <v/>
      </c>
      <c r="AG16" s="697" t="n">
        <v>2</v>
      </c>
      <c r="AH16" s="697" t="n">
        <v>6</v>
      </c>
      <c r="AI16" s="697" t="n">
        <v>6</v>
      </c>
      <c r="AJ16" s="697" t="n">
        <v>5</v>
      </c>
      <c r="AK16" s="697">
        <f>4+DH16</f>
        <v/>
      </c>
      <c r="AL16" s="697" t="n">
        <v>5</v>
      </c>
      <c r="AM16" s="697">
        <f>3+DD16</f>
        <v/>
      </c>
      <c r="AN16" s="697" t="n">
        <v>4</v>
      </c>
      <c r="AO16" s="697">
        <f>4+CZ16</f>
        <v/>
      </c>
      <c r="AP16" s="697" t="n">
        <v>6</v>
      </c>
      <c r="AQ16" s="697" t="n">
        <v>4</v>
      </c>
      <c r="AR16" s="697" t="n">
        <v>3</v>
      </c>
      <c r="AS16" s="697" t="n">
        <v>2</v>
      </c>
      <c r="AT16" s="697" t="n">
        <v>2</v>
      </c>
      <c r="AU16" s="697">
        <f>0+CT16</f>
        <v/>
      </c>
      <c r="AV16" s="697" t="n">
        <v>1</v>
      </c>
      <c r="AW16" s="697">
        <f>0+CS16</f>
        <v/>
      </c>
      <c r="AX16" s="697">
        <f>0+CR16</f>
        <v/>
      </c>
      <c r="AY16" s="697">
        <f>3+CQ16</f>
        <v/>
      </c>
      <c r="AZ16" s="697" t="n">
        <v>9</v>
      </c>
      <c r="BA16" s="697" t="n">
        <v>5</v>
      </c>
      <c r="BB16" s="697" t="n">
        <v>4</v>
      </c>
      <c r="BC16" s="697">
        <f>3+CN16</f>
        <v/>
      </c>
      <c r="BD16" s="697">
        <f>4+CM16</f>
        <v/>
      </c>
      <c r="BE16" s="697">
        <f>2+CL16</f>
        <v/>
      </c>
      <c r="BF16" s="697">
        <f>4+CK16</f>
        <v/>
      </c>
      <c r="BG16" s="697" t="n">
        <v>7</v>
      </c>
      <c r="BH16" s="697" t="n">
        <v>6</v>
      </c>
      <c r="BI16" s="697">
        <f>5+CJ16</f>
        <v/>
      </c>
      <c r="BJ16" s="697" t="n">
        <v>5</v>
      </c>
      <c r="BK16" s="697">
        <f>3+CH16</f>
        <v/>
      </c>
      <c r="BL16" s="697">
        <f>3+CG16</f>
        <v/>
      </c>
      <c r="BM16" s="697" t="n">
        <v>4</v>
      </c>
      <c r="BN16" s="697">
        <f>2+CD16</f>
        <v/>
      </c>
      <c r="BO16" s="697">
        <f>2+CB16</f>
        <v/>
      </c>
      <c r="BP16" s="697" t="n">
        <v>3</v>
      </c>
      <c r="BQ16" s="697" t="n">
        <v>2</v>
      </c>
      <c r="BR16" s="697" t="n">
        <v>0</v>
      </c>
      <c r="BS16" s="697">
        <f>0+CB16</f>
        <v/>
      </c>
      <c r="BT16" s="697" t="n">
        <v>0</v>
      </c>
      <c r="BU16" s="192">
        <f>BS16+IF(NOT(ISBLANK(OFFSET(BU16,0,6))),N(OFFSET(BU16,0,6)),N(OFFSET(BU16,0,7)))-BT16</f>
        <v/>
      </c>
      <c r="BW16" s="22" t="n"/>
      <c r="BX16" s="2" t="n"/>
      <c r="BY16" s="27" t="n">
        <v>6</v>
      </c>
      <c r="BZ16" s="5" t="n"/>
      <c r="CA16" s="23" t="n">
        <v>0</v>
      </c>
      <c r="CB16" s="23" t="n">
        <v>5</v>
      </c>
      <c r="CC16" s="23" t="n">
        <v>2</v>
      </c>
      <c r="CD16" s="23" t="n">
        <v>1</v>
      </c>
      <c r="CE16" s="23" t="n"/>
      <c r="CF16" s="23" t="n"/>
      <c r="CG16" s="23" t="n">
        <v>2</v>
      </c>
      <c r="CH16" s="23" t="n">
        <v>1</v>
      </c>
      <c r="CI16" s="23" t="n"/>
      <c r="CJ16" s="23" t="n">
        <v>1</v>
      </c>
      <c r="CK16" s="23" t="n">
        <v>4</v>
      </c>
      <c r="CL16" s="23" t="n">
        <v>2</v>
      </c>
      <c r="CM16" s="23" t="n">
        <v>1</v>
      </c>
      <c r="CN16" s="23" t="n">
        <v>2</v>
      </c>
      <c r="CO16" s="23" t="n"/>
      <c r="CP16" s="23" t="n"/>
      <c r="CQ16" s="23" t="n">
        <v>8</v>
      </c>
      <c r="CR16" s="23" t="n">
        <v>3</v>
      </c>
      <c r="CS16" s="23" t="n">
        <v>4</v>
      </c>
      <c r="CT16" s="23" t="n">
        <v>2</v>
      </c>
      <c r="CU16" s="23" t="n">
        <v>1</v>
      </c>
      <c r="CV16" s="23" t="n"/>
      <c r="CW16" s="219" t="n"/>
      <c r="CX16" s="23" t="n"/>
      <c r="CY16" s="23" t="n"/>
      <c r="CZ16" s="23" t="n">
        <v>2</v>
      </c>
      <c r="DA16" s="23" t="n"/>
      <c r="DB16" s="23" t="n">
        <v>2</v>
      </c>
      <c r="DC16" s="219" t="n"/>
      <c r="DD16" s="23" t="n">
        <v>1</v>
      </c>
      <c r="DE16" s="23" t="n"/>
      <c r="DF16" s="219" t="n"/>
      <c r="DG16" s="23" t="n">
        <v>1</v>
      </c>
      <c r="DH16" s="23" t="n">
        <v>1</v>
      </c>
      <c r="DI16" s="23" t="n"/>
      <c r="DJ16" s="23" t="n"/>
      <c r="DK16" s="23" t="n"/>
      <c r="DL16" s="23" t="n">
        <v>6</v>
      </c>
      <c r="DM16" s="23" t="n">
        <v>1</v>
      </c>
      <c r="DN16" s="23" t="n"/>
      <c r="DO16" s="23" t="n">
        <v>2</v>
      </c>
      <c r="DP16" s="219" t="n"/>
      <c r="DQ16" s="219" t="n"/>
      <c r="DR16" s="23" t="n"/>
      <c r="DS16" s="219" t="n"/>
      <c r="DT16" s="219" t="n"/>
      <c r="DU16" s="219" t="n"/>
      <c r="DV16" s="23" t="n">
        <v>4</v>
      </c>
      <c r="DW16" s="23" t="n"/>
      <c r="DX16" s="219" t="n"/>
      <c r="DY16" s="23" t="n"/>
      <c r="DZ16" s="219" t="n"/>
      <c r="EA16" s="219" t="n"/>
      <c r="EB16" s="23" t="n"/>
      <c r="EC16" s="23" t="n">
        <v>5</v>
      </c>
      <c r="ED16" s="23" t="n">
        <v>2</v>
      </c>
      <c r="EE16" s="23" t="n"/>
      <c r="EF16" s="219" t="n"/>
      <c r="EG16" s="23" t="n"/>
      <c r="EH16" s="219" t="n">
        <v>3</v>
      </c>
      <c r="EI16" s="23" t="n">
        <v>5</v>
      </c>
      <c r="EJ16" s="23" t="n"/>
      <c r="EK16" s="23" t="n"/>
      <c r="EL16" s="23" t="n"/>
      <c r="EM16" s="23" t="n"/>
      <c r="EN16" s="23" t="n"/>
      <c r="EO16" s="23" t="n">
        <v>3</v>
      </c>
      <c r="EP16" s="23" t="n"/>
      <c r="EQ16" s="23" t="n">
        <v>2</v>
      </c>
      <c r="ER16" s="23" t="n">
        <v>4</v>
      </c>
      <c r="ES16" s="23" t="n"/>
    </row>
    <row r="17" customFormat="1" s="3">
      <c r="A17" s="37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3+ER17</f>
        <v/>
      </c>
      <c r="G17" s="697">
        <f>4+EQ17</f>
        <v/>
      </c>
      <c r="H17" s="697" t="n">
        <v>4</v>
      </c>
      <c r="I17" s="697" t="n">
        <v>4</v>
      </c>
      <c r="J17" s="697" t="n">
        <v>3</v>
      </c>
      <c r="K17" s="697" t="n">
        <v>3</v>
      </c>
      <c r="L17" s="697" t="n">
        <v>3</v>
      </c>
      <c r="M17" s="697" t="n">
        <v>3</v>
      </c>
      <c r="N17" s="697" t="n">
        <v>2</v>
      </c>
      <c r="O17" s="697">
        <f>2+EM17</f>
        <v/>
      </c>
      <c r="P17" s="697">
        <f>6-2</f>
        <v/>
      </c>
      <c r="Q17" s="697" t="n">
        <v>3</v>
      </c>
      <c r="R17" s="697" t="n">
        <v>3</v>
      </c>
      <c r="S17" s="697" t="n">
        <v>5</v>
      </c>
      <c r="T17" s="697" t="n">
        <v>5</v>
      </c>
      <c r="U17" s="697" t="n">
        <v>3</v>
      </c>
      <c r="V17" s="697" t="n">
        <v>3</v>
      </c>
      <c r="W17" s="697" t="n">
        <v>3</v>
      </c>
      <c r="X17" s="697" t="n">
        <v>3</v>
      </c>
      <c r="Y17" s="697" t="n">
        <v>3</v>
      </c>
      <c r="Z17" s="697" t="n">
        <v>4</v>
      </c>
      <c r="AA17" s="697" t="n">
        <v>3</v>
      </c>
      <c r="AB17" s="697" t="n">
        <v>2</v>
      </c>
      <c r="AC17" s="697">
        <f>2+DV17</f>
        <v/>
      </c>
      <c r="AD17" s="697" t="n">
        <v>2</v>
      </c>
      <c r="AE17" s="697">
        <f>1+DN17</f>
        <v/>
      </c>
      <c r="AF17" s="697">
        <f>2+DM17</f>
        <v/>
      </c>
      <c r="AG17" s="697" t="n">
        <v>2</v>
      </c>
      <c r="AH17" s="697" t="n">
        <v>3</v>
      </c>
      <c r="AI17" s="697" t="n">
        <v>3</v>
      </c>
      <c r="AJ17" s="697" t="n">
        <v>2</v>
      </c>
      <c r="AK17" s="697">
        <f>2+DH17</f>
        <v/>
      </c>
      <c r="AL17" s="697" t="n">
        <v>3</v>
      </c>
      <c r="AM17" s="697" t="n">
        <v>3</v>
      </c>
      <c r="AN17" s="697" t="n">
        <v>2</v>
      </c>
      <c r="AO17" s="697">
        <f>2+CZ17</f>
        <v/>
      </c>
      <c r="AP17" s="697" t="n">
        <v>2</v>
      </c>
      <c r="AQ17" s="697" t="n">
        <v>2</v>
      </c>
      <c r="AR17" s="697">
        <f>1+CV17</f>
        <v/>
      </c>
      <c r="AS17" s="697" t="n">
        <v>2</v>
      </c>
      <c r="AT17" s="697" t="n">
        <v>2</v>
      </c>
      <c r="AU17" s="697">
        <f>2+CT17</f>
        <v/>
      </c>
      <c r="AV17" s="697" t="n">
        <v>4</v>
      </c>
      <c r="AW17" s="697" t="n">
        <v>3</v>
      </c>
      <c r="AX17" s="697">
        <f>3+CR17</f>
        <v/>
      </c>
      <c r="AY17" s="697">
        <f>4+CQ17</f>
        <v/>
      </c>
      <c r="AZ17" s="697" t="n">
        <v>5</v>
      </c>
      <c r="BA17" s="697" t="n">
        <v>4</v>
      </c>
      <c r="BB17" s="697" t="n">
        <v>4</v>
      </c>
      <c r="BC17" s="697" t="n">
        <v>4</v>
      </c>
      <c r="BD17" s="697" t="n">
        <v>3</v>
      </c>
      <c r="BE17" s="697">
        <f>3+CL17</f>
        <v/>
      </c>
      <c r="BF17" s="697" t="n">
        <v>5</v>
      </c>
      <c r="BG17" s="697" t="n">
        <v>4</v>
      </c>
      <c r="BH17" s="697" t="n">
        <v>4</v>
      </c>
      <c r="BI17" s="697" t="n">
        <v>4</v>
      </c>
      <c r="BJ17" s="697" t="n">
        <v>3</v>
      </c>
      <c r="BK17" s="697">
        <f>3+CH17</f>
        <v/>
      </c>
      <c r="BL17" s="697" t="n">
        <v>4</v>
      </c>
      <c r="BM17" s="697" t="n">
        <v>3</v>
      </c>
      <c r="BN17" s="697">
        <f>3+CD17</f>
        <v/>
      </c>
      <c r="BO17" s="697" t="n">
        <v>3</v>
      </c>
      <c r="BP17" s="697" t="n">
        <v>3</v>
      </c>
      <c r="BQ17" s="697" t="n">
        <v>3</v>
      </c>
      <c r="BR17" s="697" t="n">
        <v>3</v>
      </c>
      <c r="BS17" s="697" t="n">
        <v>2</v>
      </c>
      <c r="BT17" s="697">
        <f>1+CA17</f>
        <v/>
      </c>
      <c r="BU17" s="192">
        <f>BS17+IF(NOT(ISBLANK(OFFSET(BU17,0,6))),N(OFFSET(BU17,0,6)),N(OFFSET(BU17,0,7)))-BT17</f>
        <v/>
      </c>
      <c r="BW17" s="22" t="n"/>
      <c r="BX17" s="2" t="n"/>
      <c r="BY17" s="27" t="n">
        <v>2</v>
      </c>
      <c r="BZ17" s="5" t="n"/>
      <c r="CA17" s="23" t="n">
        <v>1</v>
      </c>
      <c r="CB17" s="23" t="n">
        <v>0</v>
      </c>
      <c r="CC17" s="23" t="n"/>
      <c r="CD17" s="23" t="n">
        <v>1</v>
      </c>
      <c r="CE17" s="23" t="n"/>
      <c r="CF17" s="23" t="n"/>
      <c r="CG17" s="23" t="n"/>
      <c r="CH17" s="23" t="n">
        <v>1</v>
      </c>
      <c r="CI17" s="23" t="n"/>
      <c r="CJ17" s="23" t="n"/>
      <c r="CK17" s="23" t="n"/>
      <c r="CL17" s="23" t="n">
        <v>2</v>
      </c>
      <c r="CM17" s="23" t="n"/>
      <c r="CN17" s="23" t="n"/>
      <c r="CO17" s="23" t="n"/>
      <c r="CP17" s="23" t="n"/>
      <c r="CQ17" s="23" t="n">
        <v>2</v>
      </c>
      <c r="CR17" s="23" t="n">
        <v>1</v>
      </c>
      <c r="CS17" s="23" t="n"/>
      <c r="CT17" s="23" t="n">
        <v>2</v>
      </c>
      <c r="CU17" s="23" t="n">
        <v>1</v>
      </c>
      <c r="CV17" s="23" t="n">
        <v>1</v>
      </c>
      <c r="CW17" s="219" t="n"/>
      <c r="CX17" s="23" t="n"/>
      <c r="CY17" s="23" t="n"/>
      <c r="CZ17" s="23" t="n">
        <v>1</v>
      </c>
      <c r="DA17" s="23" t="n"/>
      <c r="DB17" s="23" t="n"/>
      <c r="DC17" s="219" t="n"/>
      <c r="DD17" s="23" t="n"/>
      <c r="DE17" s="23" t="n"/>
      <c r="DF17" s="219" t="n"/>
      <c r="DG17" s="23" t="n"/>
      <c r="DH17" s="23" t="n">
        <v>1</v>
      </c>
      <c r="DI17" s="23" t="n"/>
      <c r="DJ17" s="23" t="n"/>
      <c r="DK17" s="23" t="n"/>
      <c r="DL17" s="23" t="n">
        <v>1</v>
      </c>
      <c r="DM17" s="23" t="n">
        <v>1</v>
      </c>
      <c r="DN17" s="23" t="n">
        <v>1</v>
      </c>
      <c r="DO17" s="23" t="n"/>
      <c r="DP17" s="219" t="n"/>
      <c r="DQ17" s="219" t="n"/>
      <c r="DR17" s="23" t="n"/>
      <c r="DS17" s="219" t="n"/>
      <c r="DT17" s="219" t="n"/>
      <c r="DU17" s="219" t="n"/>
      <c r="DV17" s="23" t="n">
        <v>1</v>
      </c>
      <c r="DW17" s="23" t="n"/>
      <c r="DX17" s="219" t="n"/>
      <c r="DY17" s="23" t="n"/>
      <c r="DZ17" s="219" t="n"/>
      <c r="EA17" s="219" t="n"/>
      <c r="EB17" s="23" t="n">
        <v>1</v>
      </c>
      <c r="EC17" s="23" t="n"/>
      <c r="ED17" s="23" t="n"/>
      <c r="EE17" s="23" t="n"/>
      <c r="EF17" s="219" t="n"/>
      <c r="EG17" s="23" t="n"/>
      <c r="EH17" s="219" t="n"/>
      <c r="EI17" s="23" t="n">
        <v>3</v>
      </c>
      <c r="EJ17" s="23" t="n"/>
      <c r="EK17" s="282" t="inlineStr">
        <is>
          <t>02 P/ BSH</t>
        </is>
      </c>
      <c r="EL17" s="23" t="n"/>
      <c r="EM17" s="23" t="n">
        <v>4</v>
      </c>
      <c r="EN17" s="23" t="n"/>
      <c r="EO17" s="23" t="n"/>
      <c r="EP17" s="23" t="n"/>
      <c r="EQ17" s="23" t="n">
        <v>1</v>
      </c>
      <c r="ER17" s="23" t="n">
        <v>1</v>
      </c>
      <c r="ES17" s="23" t="n"/>
    </row>
    <row r="18" ht="14.25" customFormat="1" customHeight="1" s="3">
      <c r="A18" s="35" t="n"/>
      <c r="C18" s="763" t="n"/>
      <c r="D18" s="450" t="n"/>
      <c r="BW18" s="48" t="n"/>
      <c r="BY18" s="28" t="n"/>
      <c r="BZ18" s="5" t="n"/>
      <c r="CE18" s="250" t="n"/>
      <c r="DC18" s="372" t="n"/>
      <c r="DF18" s="372" t="n"/>
      <c r="DP18" s="250" t="n"/>
      <c r="DQ18" s="250" t="n"/>
      <c r="DS18" s="250" t="n"/>
      <c r="DT18" s="372" t="n"/>
      <c r="DU18" s="19" t="n"/>
      <c r="DX18" s="372" t="n"/>
      <c r="DZ18" s="19" t="n"/>
      <c r="EA18" s="372" t="n"/>
      <c r="EF18" s="19" t="n"/>
      <c r="EH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45859</v>
      </c>
      <c r="AE19" s="746" t="n">
        <v>45866</v>
      </c>
      <c r="AF19" s="746" t="n">
        <v>45873</v>
      </c>
      <c r="AG19" s="746" t="n">
        <v>45880</v>
      </c>
      <c r="AH19" s="746" t="n">
        <v>45887</v>
      </c>
      <c r="AI19" s="746" t="n">
        <v>45894</v>
      </c>
      <c r="AJ19" s="746" t="n">
        <v>45901</v>
      </c>
      <c r="AK19" s="746" t="n">
        <v>45908</v>
      </c>
      <c r="AL19" s="746" t="n">
        <v>45915</v>
      </c>
      <c r="AM19" s="746" t="n">
        <v>45922</v>
      </c>
      <c r="AN19" s="746" t="n">
        <v>45929</v>
      </c>
      <c r="AO19" s="746" t="n">
        <v>45936</v>
      </c>
      <c r="AP19" s="746" t="n">
        <v>45943</v>
      </c>
      <c r="AQ19" s="746" t="n">
        <v>45950</v>
      </c>
      <c r="AR19" s="746" t="n">
        <v>45957</v>
      </c>
      <c r="AS19" s="746" t="n">
        <v>45964</v>
      </c>
      <c r="AT19" s="746" t="n">
        <v>45971</v>
      </c>
      <c r="AU19" s="746" t="n">
        <v>45978</v>
      </c>
      <c r="AV19" s="746" t="n">
        <v>45985</v>
      </c>
      <c r="AW19" s="746" t="n">
        <v>45992</v>
      </c>
      <c r="AX19" s="746" t="n">
        <v>45999</v>
      </c>
      <c r="AY19" s="746" t="n">
        <v>46006</v>
      </c>
      <c r="AZ19" s="746" t="n">
        <v>46013</v>
      </c>
      <c r="BA19" s="746" t="n">
        <v>46020</v>
      </c>
      <c r="BB19" s="746" t="n">
        <v>46027</v>
      </c>
      <c r="BC19" s="746" t="n">
        <v>46034</v>
      </c>
      <c r="BD19" s="746" t="n">
        <v>46041</v>
      </c>
      <c r="BE19" s="746" t="n">
        <v>46048</v>
      </c>
      <c r="BF19" s="746" t="n">
        <v>46055</v>
      </c>
      <c r="BG19" s="746" t="n">
        <v>46062</v>
      </c>
      <c r="BH19" s="746" t="n">
        <v>46069</v>
      </c>
      <c r="BI19" s="746" t="n">
        <v>46076</v>
      </c>
      <c r="BJ19" s="746" t="n">
        <v>46083</v>
      </c>
      <c r="BK19" s="746" t="n">
        <v>46090</v>
      </c>
      <c r="BL19" s="746" t="n">
        <v>46097</v>
      </c>
      <c r="BM19" s="746" t="n">
        <v>46104</v>
      </c>
      <c r="BN19" s="746" t="n">
        <v>46111</v>
      </c>
      <c r="BO19" s="746" t="n">
        <v>46118</v>
      </c>
      <c r="BP19" s="746" t="n">
        <v>46125</v>
      </c>
      <c r="BQ19" s="746" t="n">
        <v>46132</v>
      </c>
      <c r="BR19" s="746" t="n">
        <v>46139</v>
      </c>
      <c r="BS19" s="746" t="n">
        <v>46146</v>
      </c>
      <c r="BT19" s="746" t="n">
        <v>46154</v>
      </c>
      <c r="BU19" s="748" t="inlineStr">
        <is>
          <t>USOU</t>
        </is>
      </c>
      <c r="BW19" s="44" t="inlineStr">
        <is>
          <t>Pendências</t>
        </is>
      </c>
      <c r="BX19" s="5" t="n"/>
      <c r="BY19" s="12" t="inlineStr">
        <is>
          <t>Novo Pedido</t>
        </is>
      </c>
      <c r="BZ19" s="19" t="n"/>
      <c r="CA19" s="734" t="n">
        <v>46149</v>
      </c>
      <c r="CB19" s="734" t="n">
        <v>46142</v>
      </c>
      <c r="CC19" s="734" t="n">
        <v>46114</v>
      </c>
      <c r="CD19" s="734" t="n">
        <v>46107</v>
      </c>
      <c r="CE19" s="735" t="n">
        <v>46065</v>
      </c>
      <c r="CF19" s="734" t="n">
        <v>46099</v>
      </c>
      <c r="CG19" s="734" t="n">
        <v>46092</v>
      </c>
      <c r="CH19" s="734" t="n">
        <v>46084</v>
      </c>
      <c r="CI19" s="734" t="n">
        <v>46077</v>
      </c>
      <c r="CJ19" s="734" t="n">
        <v>46071</v>
      </c>
      <c r="CK19" s="734" t="n">
        <v>46048</v>
      </c>
      <c r="CL19" s="734" t="n">
        <v>46043</v>
      </c>
      <c r="CM19" s="734" t="n">
        <v>46035</v>
      </c>
      <c r="CN19" s="734" t="n">
        <v>46029</v>
      </c>
      <c r="CO19" s="734" t="n">
        <v>46017</v>
      </c>
      <c r="CP19" s="734" t="n">
        <v>46007</v>
      </c>
      <c r="CQ19" s="734" t="n">
        <v>46001</v>
      </c>
      <c r="CR19" s="734" t="n">
        <v>45994</v>
      </c>
      <c r="CS19" s="734" t="n">
        <v>45980</v>
      </c>
      <c r="CT19" s="734" t="n">
        <v>45973</v>
      </c>
      <c r="CU19" s="734" t="n">
        <v>45960</v>
      </c>
      <c r="CV19" s="734" t="n">
        <v>45951</v>
      </c>
      <c r="CW19" s="737" t="n">
        <v>45903</v>
      </c>
      <c r="CX19" s="734" t="n">
        <v>45937</v>
      </c>
      <c r="CY19" s="736" t="n">
        <v>45939</v>
      </c>
      <c r="CZ19" s="734" t="n">
        <v>45931</v>
      </c>
      <c r="DA19" s="734" t="n">
        <v>45923</v>
      </c>
      <c r="DB19" s="734" t="n">
        <v>45923</v>
      </c>
      <c r="DC19" s="754" t="n">
        <v>45923</v>
      </c>
      <c r="DD19" s="734" t="n">
        <v>45915</v>
      </c>
      <c r="DE19" s="736" t="n">
        <v>45918</v>
      </c>
      <c r="DF19" s="738" t="n">
        <v>45863</v>
      </c>
      <c r="DG19" s="734" t="n">
        <v>45909</v>
      </c>
      <c r="DH19" s="734" t="n">
        <v>45903</v>
      </c>
      <c r="DI19" s="734" t="n">
        <v>45895</v>
      </c>
      <c r="DJ19" s="734" t="n">
        <v>45888</v>
      </c>
      <c r="DK19" s="739" t="n">
        <v>45888</v>
      </c>
      <c r="DL19" s="734" t="n">
        <v>45881</v>
      </c>
      <c r="DM19" s="734" t="n">
        <v>45867</v>
      </c>
      <c r="DN19" s="734" t="n">
        <v>45860</v>
      </c>
      <c r="DO19" s="734" t="n">
        <v>45853</v>
      </c>
      <c r="DP19" s="739" t="n">
        <v>45860</v>
      </c>
      <c r="DQ19" s="739" t="n">
        <v>45852</v>
      </c>
      <c r="DR19" s="736" t="n">
        <v>45851</v>
      </c>
      <c r="DS19" s="739" t="n">
        <v>45791</v>
      </c>
      <c r="DT19" s="755" t="n">
        <v>45826</v>
      </c>
      <c r="DU19" s="740" t="n">
        <v>45826</v>
      </c>
      <c r="DV19" s="734" t="n">
        <v>45813</v>
      </c>
      <c r="DW19" s="736" t="n">
        <v>45806</v>
      </c>
      <c r="DX19" s="755" t="n">
        <v>45803</v>
      </c>
      <c r="DY19" s="734" t="n">
        <v>45798</v>
      </c>
      <c r="DZ19" s="740" t="n">
        <v>45800</v>
      </c>
      <c r="EA19" s="742" t="n">
        <v>45735</v>
      </c>
      <c r="EB19" s="734" t="n">
        <v>45790</v>
      </c>
      <c r="EC19" s="734" t="n">
        <v>45783</v>
      </c>
      <c r="ED19" s="734" t="n">
        <v>45749</v>
      </c>
      <c r="EE19" s="743" t="n">
        <v>45761</v>
      </c>
      <c r="EF19" s="740" t="n">
        <v>45754</v>
      </c>
      <c r="EG19" s="734" t="n">
        <v>45743</v>
      </c>
      <c r="EH19" s="740" t="n">
        <v>45700</v>
      </c>
      <c r="EI19" s="734" t="n">
        <v>45734</v>
      </c>
      <c r="EJ19" s="734" t="n">
        <v>45728</v>
      </c>
      <c r="EK19" s="736" t="n">
        <v>45727</v>
      </c>
      <c r="EL19" s="734" t="n">
        <v>45722</v>
      </c>
      <c r="EM19" s="734" t="n">
        <v>45714</v>
      </c>
      <c r="EN19" s="734" t="n">
        <v>45706</v>
      </c>
      <c r="EO19" s="734" t="n">
        <v>45699</v>
      </c>
      <c r="EP19" s="734" t="n">
        <v>45664</v>
      </c>
      <c r="EQ19" s="734" t="n">
        <v>45660</v>
      </c>
      <c r="ER19" s="734" t="n">
        <v>45652</v>
      </c>
      <c r="ES19" s="734" t="n">
        <v>45643</v>
      </c>
      <c r="EU19" s="304" t="inlineStr">
        <is>
          <t>CAIXAS</t>
        </is>
      </c>
      <c r="EV19" s="235" t="inlineStr">
        <is>
          <t>PCT</t>
        </is>
      </c>
      <c r="EW19" s="746" t="n">
        <v>46118</v>
      </c>
      <c r="EX19" s="746" t="n">
        <v>46125</v>
      </c>
      <c r="EY19" s="746" t="n">
        <v>46132</v>
      </c>
      <c r="EZ19" s="746" t="n">
        <v>46139</v>
      </c>
      <c r="FA19" s="746" t="n">
        <v>46146</v>
      </c>
      <c r="FB19" s="746" t="n">
        <v>46154</v>
      </c>
      <c r="FC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250</v>
      </c>
      <c r="G20" s="697" t="n">
        <v>268</v>
      </c>
      <c r="H20" s="697" t="n">
        <v>234</v>
      </c>
      <c r="I20" s="697" t="n">
        <v>213</v>
      </c>
      <c r="J20" s="697" t="n">
        <v>199</v>
      </c>
      <c r="K20" s="697" t="n">
        <v>187</v>
      </c>
      <c r="L20" s="697" t="n">
        <v>167</v>
      </c>
      <c r="M20" s="697">
        <f>153+EO20</f>
        <v/>
      </c>
      <c r="N20" s="697" t="n">
        <v>284</v>
      </c>
      <c r="O20" s="697" t="n">
        <v>256</v>
      </c>
      <c r="P20" s="697" t="n">
        <v>198</v>
      </c>
      <c r="Q20" s="697">
        <f>155+EJ20</f>
        <v/>
      </c>
      <c r="R20" s="697" t="n">
        <v>269</v>
      </c>
      <c r="S20" s="697" t="n">
        <v>197</v>
      </c>
      <c r="T20" s="697">
        <f>161+ED20</f>
        <v/>
      </c>
      <c r="U20" s="697" t="n">
        <v>266</v>
      </c>
      <c r="V20" s="697" t="n">
        <v>257</v>
      </c>
      <c r="W20" s="697" t="n">
        <v>257</v>
      </c>
      <c r="X20" s="697" t="n">
        <v>250</v>
      </c>
      <c r="Y20" s="697" t="n">
        <v>250</v>
      </c>
      <c r="Z20" s="697" t="n">
        <v>250</v>
      </c>
      <c r="AA20" s="697" t="n">
        <v>240</v>
      </c>
      <c r="AB20" s="697" t="n">
        <v>232</v>
      </c>
      <c r="AC20" s="697" t="n">
        <v>224</v>
      </c>
      <c r="AD20" s="697" t="n">
        <v>140</v>
      </c>
      <c r="AE20" s="697">
        <f>136+DN20</f>
        <v/>
      </c>
      <c r="AF20" s="697" t="n">
        <v>281</v>
      </c>
      <c r="AG20" s="697" t="n">
        <v>220</v>
      </c>
      <c r="AH20" s="697" t="n">
        <v>193</v>
      </c>
      <c r="AI20" s="697" t="n">
        <v>310</v>
      </c>
      <c r="AJ20" s="697" t="n">
        <v>277</v>
      </c>
      <c r="AK20" s="697" t="n">
        <v>237</v>
      </c>
      <c r="AL20" s="697" t="n">
        <v>186</v>
      </c>
      <c r="AM20" s="697" t="n">
        <v>300</v>
      </c>
      <c r="AN20" s="697" t="n">
        <v>271</v>
      </c>
      <c r="AO20" s="697" t="n">
        <v>231</v>
      </c>
      <c r="AP20" s="697" t="n">
        <v>193</v>
      </c>
      <c r="AQ20" s="697" t="n">
        <v>172</v>
      </c>
      <c r="AR20" s="697">
        <f>145+CV20</f>
        <v/>
      </c>
      <c r="AS20" s="697" t="n">
        <v>270</v>
      </c>
      <c r="AT20" s="697" t="n">
        <v>267</v>
      </c>
      <c r="AU20" s="697" t="n">
        <v>264</v>
      </c>
      <c r="AV20" s="697" t="n">
        <v>263</v>
      </c>
      <c r="AW20" s="697" t="n">
        <v>273</v>
      </c>
      <c r="AX20" s="697" t="n">
        <v>272</v>
      </c>
      <c r="AY20" s="697" t="n">
        <v>274</v>
      </c>
      <c r="AZ20" s="697" t="n">
        <v>256</v>
      </c>
      <c r="BA20" s="697" t="n">
        <v>251</v>
      </c>
      <c r="BB20" s="697" t="n">
        <v>246</v>
      </c>
      <c r="BC20" s="697" t="n">
        <v>237</v>
      </c>
      <c r="BD20" s="697" t="n">
        <v>234</v>
      </c>
      <c r="BE20" s="697" t="n">
        <v>234</v>
      </c>
      <c r="BF20" s="697" t="n">
        <v>233</v>
      </c>
      <c r="BG20" s="697" t="n">
        <v>237</v>
      </c>
      <c r="BH20" s="697" t="n">
        <v>235</v>
      </c>
      <c r="BI20" s="697" t="n">
        <v>233</v>
      </c>
      <c r="BJ20" s="697" t="n">
        <v>233</v>
      </c>
      <c r="BK20" s="697" t="n">
        <v>222</v>
      </c>
      <c r="BL20" s="697" t="n">
        <v>221</v>
      </c>
      <c r="BM20" s="697" t="n">
        <v>201</v>
      </c>
      <c r="BN20" s="697" t="n">
        <v>195</v>
      </c>
      <c r="BO20" s="697" t="n"/>
      <c r="BP20" s="697" t="n"/>
      <c r="BQ20" s="697" t="n"/>
      <c r="BR20" s="697" t="n">
        <v>113</v>
      </c>
      <c r="BS20" s="697" t="n">
        <v>106</v>
      </c>
      <c r="BT20" s="697" t="n">
        <v>105</v>
      </c>
      <c r="BU20" s="192">
        <f>BS20+IF(NOT(ISBLANK(OFFSET(BU20,0,6))),N(OFFSET(BU20,0,6)),N(OFFSET(BU20,0,7)))-BT20</f>
        <v/>
      </c>
      <c r="BV20" s="50" t="n"/>
      <c r="BW20" s="22" t="n"/>
      <c r="BX20" s="2" t="n"/>
      <c r="BY20" s="27" t="n"/>
      <c r="BZ20" s="2" t="n"/>
      <c r="CA20" s="23" t="n">
        <v>0</v>
      </c>
      <c r="CB20" s="23" t="n">
        <v>0</v>
      </c>
      <c r="CC20" s="23" t="n"/>
      <c r="CD20" s="23" t="n"/>
      <c r="CE20" s="219" t="n"/>
      <c r="CF20" s="23" t="n"/>
      <c r="CG20" s="23" t="n"/>
      <c r="CH20" s="23" t="n"/>
      <c r="CI20" s="23" t="n"/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>
        <v>150</v>
      </c>
      <c r="CW20" s="219" t="n">
        <v>150</v>
      </c>
      <c r="CX20" s="23" t="n"/>
      <c r="CY20" s="23" t="n"/>
      <c r="CZ20" s="23" t="n"/>
      <c r="DA20" s="23" t="n"/>
      <c r="DB20" s="23" t="n"/>
      <c r="DC20" s="219" t="n"/>
      <c r="DD20" s="23" t="n">
        <v>150</v>
      </c>
      <c r="DE20" s="23" t="n"/>
      <c r="DF20" s="219" t="n"/>
      <c r="DG20" s="23" t="n"/>
      <c r="DH20" s="23" t="n"/>
      <c r="DI20" s="23" t="n"/>
      <c r="DJ20" s="23" t="n">
        <v>150</v>
      </c>
      <c r="DK20" s="23" t="n"/>
      <c r="DL20" s="23" t="n"/>
      <c r="DM20" s="23" t="n"/>
      <c r="DN20" s="23" t="n">
        <v>150</v>
      </c>
      <c r="DO20" s="23" t="n"/>
      <c r="DP20" s="219" t="n"/>
      <c r="DQ20" s="219" t="n"/>
      <c r="DR20" s="23" t="n"/>
      <c r="DS20" s="219" t="n"/>
      <c r="DT20" s="219" t="n"/>
      <c r="DU20" s="292" t="inlineStr">
        <is>
          <t>27 P/ BSH</t>
        </is>
      </c>
      <c r="DV20" s="23" t="n"/>
      <c r="DW20" s="23" t="n"/>
      <c r="DX20" s="219" t="n"/>
      <c r="DY20" s="23" t="n"/>
      <c r="DZ20" s="219" t="n"/>
      <c r="EA20" s="219" t="n"/>
      <c r="EB20" s="23" t="n"/>
      <c r="EC20" s="23" t="n"/>
      <c r="ED20" s="23" t="n">
        <v>150</v>
      </c>
      <c r="EE20" s="23" t="n"/>
      <c r="EF20" s="292" t="inlineStr">
        <is>
          <t>100 P/ MD</t>
        </is>
      </c>
      <c r="EG20" s="23" t="n"/>
      <c r="EH20" s="219" t="n">
        <v>300</v>
      </c>
      <c r="EI20" s="23" t="n"/>
      <c r="EJ20" s="23" t="n">
        <v>150</v>
      </c>
      <c r="EK20" s="23" t="n"/>
      <c r="EL20" s="23" t="n"/>
      <c r="EM20" s="23" t="n"/>
      <c r="EN20" s="23" t="n"/>
      <c r="EO20" s="23" t="n">
        <v>150</v>
      </c>
      <c r="EP20" s="23" t="n"/>
      <c r="EQ20" s="23" t="n"/>
      <c r="ER20" s="23" t="n"/>
      <c r="ES20" s="23" t="n"/>
      <c r="EU20" s="300" t="inlineStr">
        <is>
          <t>CAIXA P</t>
        </is>
      </c>
      <c r="EV20" s="162" t="n">
        <v>150</v>
      </c>
      <c r="EW20" s="697" t="n">
        <v>0</v>
      </c>
      <c r="EX20" s="697" t="n"/>
      <c r="EY20" s="697" t="n"/>
      <c r="EZ20" s="697" t="n">
        <v>99</v>
      </c>
      <c r="FA20" s="697" t="n">
        <v>97</v>
      </c>
      <c r="FB20" s="697" t="n"/>
      <c r="FC20" s="431">
        <f>FA20+IF(NOT(ISBLANK(OFFSET(FC20,0,6))),N(OFFSET(FC20,0,6)),N(OFFSET(FC20,0,7)))-FB20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262</v>
      </c>
      <c r="G21" s="697" t="n">
        <v>262</v>
      </c>
      <c r="H21" s="697" t="n">
        <v>249</v>
      </c>
      <c r="I21" s="697" t="n">
        <v>212</v>
      </c>
      <c r="J21" s="697" t="n">
        <v>196</v>
      </c>
      <c r="K21" s="697" t="n">
        <v>156</v>
      </c>
      <c r="L21" s="697" t="n">
        <v>112</v>
      </c>
      <c r="M21" s="697">
        <f>76+EO21</f>
        <v/>
      </c>
      <c r="N21" s="697" t="n">
        <v>146</v>
      </c>
      <c r="O21" s="697">
        <f>194+EM21</f>
        <v/>
      </c>
      <c r="P21" s="697" t="n">
        <v>314</v>
      </c>
      <c r="Q21" s="697" t="n">
        <v>248</v>
      </c>
      <c r="R21" s="314" t="n">
        <v>186</v>
      </c>
      <c r="S21" s="697" t="n">
        <v>228</v>
      </c>
      <c r="T21" s="697">
        <f>166+ED21</f>
        <v/>
      </c>
      <c r="U21" s="697" t="n">
        <v>209</v>
      </c>
      <c r="V21" s="697" t="n">
        <v>196</v>
      </c>
      <c r="W21" s="697" t="n">
        <v>202</v>
      </c>
      <c r="X21" s="697" t="n">
        <v>202</v>
      </c>
      <c r="Y21" s="697" t="n">
        <v>131</v>
      </c>
      <c r="Z21" s="697" t="n">
        <v>78</v>
      </c>
      <c r="AA21" s="697">
        <f>25+DY21</f>
        <v/>
      </c>
      <c r="AB21" s="697" t="n">
        <v>92</v>
      </c>
      <c r="AC21" s="697">
        <f>60+DV21+30</f>
        <v/>
      </c>
      <c r="AD21" s="697">
        <f>60+DO21</f>
        <v/>
      </c>
      <c r="AE21" s="697" t="n">
        <v>126</v>
      </c>
      <c r="AF21" s="697">
        <f>93+DM21</f>
        <v/>
      </c>
      <c r="AG21" s="697" t="n">
        <v>95</v>
      </c>
      <c r="AH21" s="697" t="n">
        <v>250</v>
      </c>
      <c r="AI21" s="697" t="n">
        <v>196</v>
      </c>
      <c r="AJ21" s="697">
        <f>144+DI21</f>
        <v/>
      </c>
      <c r="AK21" s="697" t="n">
        <v>289</v>
      </c>
      <c r="AL21" s="697" t="n">
        <v>237</v>
      </c>
      <c r="AM21" s="697" t="n">
        <v>276</v>
      </c>
      <c r="AN21" s="697" t="n">
        <v>221</v>
      </c>
      <c r="AO21" s="697">
        <f>162+DA21</f>
        <v/>
      </c>
      <c r="AP21" s="697" t="n">
        <v>200</v>
      </c>
      <c r="AQ21" s="697" t="n">
        <v>179</v>
      </c>
      <c r="AR21" s="697" t="n">
        <v>136</v>
      </c>
      <c r="AS21" s="697" t="n">
        <v>105</v>
      </c>
      <c r="AT21" s="697" t="n">
        <v>97</v>
      </c>
      <c r="AU21" s="697" t="n">
        <v>94</v>
      </c>
      <c r="AV21" s="697" t="n">
        <v>88</v>
      </c>
      <c r="AW21" s="697" t="n">
        <v>87</v>
      </c>
      <c r="AX21" s="697" t="n">
        <v>87</v>
      </c>
      <c r="AY21" s="697">
        <f>89+CQ21</f>
        <v/>
      </c>
      <c r="AZ21" s="697" t="n">
        <v>131</v>
      </c>
      <c r="BA21" s="697" t="n">
        <v>143</v>
      </c>
      <c r="BB21" s="697" t="n">
        <v>148</v>
      </c>
      <c r="BC21" s="697">
        <f>20+CN21</f>
        <v/>
      </c>
      <c r="BD21" s="697">
        <f>110+CM21</f>
        <v/>
      </c>
      <c r="BE21" s="697" t="n">
        <v>292</v>
      </c>
      <c r="BF21" s="697" t="n">
        <v>280</v>
      </c>
      <c r="BG21" s="697" t="n">
        <v>289</v>
      </c>
      <c r="BH21" s="697" t="n">
        <v>274</v>
      </c>
      <c r="BI21" s="697" t="n">
        <v>256</v>
      </c>
      <c r="BJ21" s="697" t="n">
        <v>250</v>
      </c>
      <c r="BK21" s="697" t="n">
        <v>231</v>
      </c>
      <c r="BL21" s="697" t="n">
        <v>219</v>
      </c>
      <c r="BM21" s="697" t="n">
        <v>200</v>
      </c>
      <c r="BN21" s="697" t="n">
        <v>189</v>
      </c>
      <c r="BO21" s="697" t="n"/>
      <c r="BP21" s="697" t="n"/>
      <c r="BQ21" s="697" t="n"/>
      <c r="BR21" s="697" t="n">
        <v>263</v>
      </c>
      <c r="BS21" s="697" t="n">
        <v>262</v>
      </c>
      <c r="BT21" s="697" t="n">
        <v>257</v>
      </c>
      <c r="BU21" s="192">
        <f>BS21+IF(NOT(ISBLANK(OFFSET(BU21,0,6))),N(OFFSET(BU21,0,6)),N(OFFSET(BU21,0,7)))-BT21</f>
        <v/>
      </c>
      <c r="BV21" s="50" t="n"/>
      <c r="BW21" s="22" t="n"/>
      <c r="BX21" s="2" t="n"/>
      <c r="BY21" s="27" t="n"/>
      <c r="BZ21" s="2" t="n"/>
      <c r="CA21" s="23" t="n">
        <v>0</v>
      </c>
      <c r="CB21" s="23" t="n">
        <v>0</v>
      </c>
      <c r="CC21" s="23" t="n">
        <v>100</v>
      </c>
      <c r="CD21" s="23" t="n"/>
      <c r="CE21" s="219" t="n">
        <v>200</v>
      </c>
      <c r="CF21" s="23" t="n"/>
      <c r="CG21" s="23" t="n"/>
      <c r="CH21" s="23" t="n"/>
      <c r="CI21" s="23" t="n"/>
      <c r="CJ21" s="23" t="n"/>
      <c r="CK21" s="23" t="n"/>
      <c r="CL21" s="23" t="n">
        <v>100</v>
      </c>
      <c r="CM21" s="23" t="n">
        <v>100</v>
      </c>
      <c r="CN21" s="23" t="n">
        <v>100</v>
      </c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19" t="n">
        <v>200</v>
      </c>
      <c r="CX21" s="23" t="n"/>
      <c r="CY21" s="23" t="n"/>
      <c r="CZ21" s="23" t="n"/>
      <c r="DA21" s="23" t="n">
        <v>100</v>
      </c>
      <c r="DB21" s="23" t="n"/>
      <c r="DC21" s="437" t="inlineStr">
        <is>
          <t>10 DE SHN</t>
        </is>
      </c>
      <c r="DD21" s="23" t="n">
        <v>100</v>
      </c>
      <c r="DE21" s="23" t="n"/>
      <c r="DF21" s="219" t="n"/>
      <c r="DG21" s="23" t="n"/>
      <c r="DH21" s="23" t="n"/>
      <c r="DI21" s="23" t="n">
        <v>200</v>
      </c>
      <c r="DJ21" s="23" t="n"/>
      <c r="DK21" s="419" t="inlineStr">
        <is>
          <t>20 P/ BSH</t>
        </is>
      </c>
      <c r="DL21" s="23" t="n">
        <v>200</v>
      </c>
      <c r="DM21" s="23" t="n">
        <v>100</v>
      </c>
      <c r="DN21" s="23" t="n"/>
      <c r="DO21" s="23" t="n">
        <v>100</v>
      </c>
      <c r="DP21" s="292" t="inlineStr">
        <is>
          <t>35 P/ GV</t>
        </is>
      </c>
      <c r="DQ21" s="219" t="n"/>
      <c r="DR21" s="282" t="inlineStr">
        <is>
          <t>30 DE BSH</t>
        </is>
      </c>
      <c r="DS21" s="219" t="n">
        <v>100</v>
      </c>
      <c r="DT21" s="376" t="inlineStr">
        <is>
          <t>03 P/ BSH</t>
        </is>
      </c>
      <c r="DU21" s="219" t="n"/>
      <c r="DV21" s="23" t="n">
        <v>100</v>
      </c>
      <c r="DW21" s="23" t="n"/>
      <c r="DX21" s="376" t="inlineStr">
        <is>
          <t>50 P/ GV</t>
        </is>
      </c>
      <c r="DY21" s="23" t="n">
        <v>100</v>
      </c>
      <c r="DZ21" s="219" t="n"/>
      <c r="EA21" s="219" t="n">
        <v>100</v>
      </c>
      <c r="EB21" s="23" t="n"/>
      <c r="EC21" s="23" t="n"/>
      <c r="ED21" s="23" t="n">
        <v>100</v>
      </c>
      <c r="EE21" s="23" t="n"/>
      <c r="EF21" s="219" t="n"/>
      <c r="EG21" s="23" t="n"/>
      <c r="EH21" s="219" t="n">
        <v>200</v>
      </c>
      <c r="EI21" s="23" t="n">
        <v>100</v>
      </c>
      <c r="EJ21" s="23" t="n"/>
      <c r="EK21" s="23" t="n"/>
      <c r="EL21" s="23" t="n"/>
      <c r="EM21" s="23" t="n">
        <v>200</v>
      </c>
      <c r="EN21" s="23" t="n">
        <v>100</v>
      </c>
      <c r="EO21" s="23" t="n">
        <v>100</v>
      </c>
      <c r="EP21" s="23" t="n"/>
      <c r="EQ21" s="23" t="n"/>
      <c r="ER21" s="23" t="n"/>
      <c r="ES21" s="23" t="n"/>
      <c r="EU21" s="65" t="inlineStr">
        <is>
          <t>CAIXA M</t>
        </is>
      </c>
      <c r="EV21" s="699" t="n">
        <v>100</v>
      </c>
      <c r="EW21" s="697">
        <f>CE21</f>
        <v/>
      </c>
      <c r="EX21" s="697" t="n"/>
      <c r="EY21" s="697" t="n"/>
      <c r="EZ21" s="697" t="n">
        <v>168</v>
      </c>
      <c r="FA21" s="697" t="n">
        <v>149</v>
      </c>
      <c r="FB21" s="697" t="n"/>
      <c r="FC21" s="431">
        <f>FA21+IF(NOT(ISBLANK(OFFSET(FC21,0,6))),N(OFFSET(FC21,0,6)),N(OFFSET(FC21,0,7)))-FB21</f>
        <v/>
      </c>
    </row>
    <row r="22" customForma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22</v>
      </c>
      <c r="G22" s="697" t="n">
        <v>26</v>
      </c>
      <c r="H22" s="697" t="n">
        <v>25</v>
      </c>
      <c r="I22" s="697" t="n">
        <v>25</v>
      </c>
      <c r="J22" s="697" t="n">
        <v>22</v>
      </c>
      <c r="K22" s="697" t="n">
        <v>24</v>
      </c>
      <c r="L22" s="697" t="n">
        <v>24</v>
      </c>
      <c r="M22" s="697" t="n">
        <v>24</v>
      </c>
      <c r="N22" s="697" t="n">
        <v>24</v>
      </c>
      <c r="O22" s="697" t="n">
        <v>23</v>
      </c>
      <c r="P22" s="697" t="n">
        <v>21</v>
      </c>
      <c r="Q22" s="697" t="n">
        <v>21</v>
      </c>
      <c r="R22" s="697" t="n">
        <v>21</v>
      </c>
      <c r="S22" s="697" t="n">
        <v>20</v>
      </c>
      <c r="T22" s="697" t="n">
        <v>20</v>
      </c>
      <c r="U22" s="697" t="n">
        <v>18</v>
      </c>
      <c r="V22" s="697" t="n">
        <v>18</v>
      </c>
      <c r="W22" s="697" t="n">
        <v>18</v>
      </c>
      <c r="X22" s="697" t="n">
        <v>18</v>
      </c>
      <c r="Y22" s="697" t="n">
        <v>18</v>
      </c>
      <c r="Z22" s="697" t="n">
        <v>18</v>
      </c>
      <c r="AA22" s="697" t="n">
        <v>16</v>
      </c>
      <c r="AB22" s="697" t="n">
        <v>15</v>
      </c>
      <c r="AC22" s="697" t="n">
        <v>15</v>
      </c>
      <c r="AD22" s="697" t="n">
        <v>15</v>
      </c>
      <c r="AE22" s="697" t="n">
        <v>14</v>
      </c>
      <c r="AF22" s="697" t="n">
        <v>0</v>
      </c>
      <c r="AG22" s="697" t="n">
        <v>0</v>
      </c>
      <c r="AH22" s="697" t="n">
        <v>0</v>
      </c>
      <c r="AI22" s="697" t="n">
        <v>0</v>
      </c>
      <c r="AJ22" s="697" t="n">
        <v>0</v>
      </c>
      <c r="AK22" s="697" t="n">
        <v>0</v>
      </c>
      <c r="AL22" s="697">
        <f>0+30</f>
        <v/>
      </c>
      <c r="AM22" s="697" t="n">
        <v>28</v>
      </c>
      <c r="AN22" s="697" t="n">
        <v>30</v>
      </c>
      <c r="AO22" s="697" t="n">
        <v>30</v>
      </c>
      <c r="AP22" s="697" t="n">
        <v>29</v>
      </c>
      <c r="AQ22" s="697" t="n">
        <v>29</v>
      </c>
      <c r="AR22" s="697" t="n">
        <v>28</v>
      </c>
      <c r="AS22" s="697" t="n">
        <v>28</v>
      </c>
      <c r="AT22" s="697" t="n">
        <v>28</v>
      </c>
      <c r="AU22" s="697" t="n">
        <v>28</v>
      </c>
      <c r="AV22" s="697" t="n">
        <v>28</v>
      </c>
      <c r="AW22" s="697" t="n">
        <v>26</v>
      </c>
      <c r="AX22" s="697" t="n">
        <v>26</v>
      </c>
      <c r="AY22" s="697" t="n">
        <v>26</v>
      </c>
      <c r="AZ22" s="697" t="n">
        <v>26</v>
      </c>
      <c r="BA22" s="697" t="n">
        <v>25</v>
      </c>
      <c r="BB22" s="697" t="n">
        <v>25</v>
      </c>
      <c r="BC22" s="697" t="n">
        <v>25</v>
      </c>
      <c r="BD22" s="697" t="n">
        <v>25</v>
      </c>
      <c r="BE22" s="697" t="n">
        <v>19</v>
      </c>
      <c r="BF22" s="697" t="n">
        <v>19</v>
      </c>
      <c r="BG22" s="697" t="n">
        <v>18</v>
      </c>
      <c r="BH22" s="697" t="n">
        <v>18</v>
      </c>
      <c r="BI22" s="697" t="n">
        <v>18</v>
      </c>
      <c r="BJ22" s="697" t="n">
        <v>18</v>
      </c>
      <c r="BK22" s="697" t="n">
        <v>17</v>
      </c>
      <c r="BL22" s="697" t="n">
        <v>17</v>
      </c>
      <c r="BM22" s="697" t="n">
        <v>17</v>
      </c>
      <c r="BN22" s="697" t="n">
        <v>16</v>
      </c>
      <c r="BO22" s="697" t="n">
        <v>15</v>
      </c>
      <c r="BP22" s="697" t="n">
        <v>14</v>
      </c>
      <c r="BQ22" s="697" t="n">
        <v>13</v>
      </c>
      <c r="BR22" s="697" t="n">
        <v>13</v>
      </c>
      <c r="BS22" s="697" t="n">
        <v>13</v>
      </c>
      <c r="BT22" s="697" t="n">
        <v>11</v>
      </c>
      <c r="BU22" s="192">
        <f>BS22+IF(NOT(ISBLANK(OFFSET(BU22,0,6))),N(OFFSET(BU22,0,6)),N(OFFSET(BU22,0,7)))-BT22</f>
        <v/>
      </c>
      <c r="BV22" s="50" t="n"/>
      <c r="BW22" s="22" t="n"/>
      <c r="BX22" s="726" t="n"/>
      <c r="BY22" s="27" t="n"/>
      <c r="BZ22" s="726" t="n"/>
      <c r="CA22" s="23" t="n">
        <v>0</v>
      </c>
      <c r="CB22" s="23" t="n">
        <v>0</v>
      </c>
      <c r="CC22" s="23" t="n"/>
      <c r="CD22" s="23" t="n"/>
      <c r="CE22" s="219" t="n">
        <v>200</v>
      </c>
      <c r="CF22" s="23" t="n"/>
      <c r="CG22" s="23" t="n"/>
      <c r="CH22" s="23" t="n"/>
      <c r="CI22" s="23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443" t="n">
        <v>400</v>
      </c>
      <c r="CX22" s="23" t="n"/>
      <c r="CY22" s="23" t="n"/>
      <c r="CZ22" s="23" t="n"/>
      <c r="DA22" s="23" t="n"/>
      <c r="DB22" s="23" t="n"/>
      <c r="DC22" s="219" t="n"/>
      <c r="DD22" s="23" t="n"/>
      <c r="DE22" s="192" t="inlineStr">
        <is>
          <t>30 DE TTR</t>
        </is>
      </c>
      <c r="DF22" s="219" t="n"/>
      <c r="DG22" s="23" t="n"/>
      <c r="DH22" s="23" t="n"/>
      <c r="DI22" s="23" t="n"/>
      <c r="DJ22" s="23" t="n"/>
      <c r="DK22" s="23" t="n"/>
      <c r="DL22" s="23" t="n"/>
      <c r="DM22" s="23" t="n"/>
      <c r="DN22" s="23" t="n"/>
      <c r="DO22" s="23" t="n"/>
      <c r="DP22" s="219" t="n"/>
      <c r="DQ22" s="219" t="n"/>
      <c r="DR22" s="23" t="n"/>
      <c r="DS22" s="219" t="n">
        <v>150</v>
      </c>
      <c r="DT22" s="219" t="n"/>
      <c r="DU22" s="219" t="n"/>
      <c r="DV22" s="23" t="n"/>
      <c r="DW22" s="23" t="n"/>
      <c r="DX22" s="376" t="inlineStr">
        <is>
          <t>50 P/ GV</t>
        </is>
      </c>
      <c r="DY22" s="23" t="n"/>
      <c r="DZ22" s="219" t="n"/>
      <c r="EA22" s="219" t="n">
        <v>100</v>
      </c>
      <c r="EB22" s="23" t="n"/>
      <c r="EC22" s="23" t="n"/>
      <c r="ED22" s="23" t="n"/>
      <c r="EE22" s="23" t="n"/>
      <c r="EF22" s="219" t="n"/>
      <c r="EG22" s="23" t="n"/>
      <c r="EH22" s="219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U22" s="66" t="inlineStr">
        <is>
          <t>CARTUCHO P</t>
        </is>
      </c>
      <c r="EV22" s="699" t="n">
        <v>200</v>
      </c>
      <c r="EW22" s="697">
        <f>CE22</f>
        <v/>
      </c>
      <c r="EX22" s="697" t="n"/>
      <c r="EY22" s="697" t="n"/>
      <c r="EZ22" s="697" t="n">
        <v>173</v>
      </c>
      <c r="FA22" s="697" t="n">
        <v>157</v>
      </c>
      <c r="FB22" s="697" t="n"/>
      <c r="FC22" s="431">
        <f>FA22+IF(NOT(ISBLANK(OFFSET(FC22,0,6))),N(OFFSET(FC22,0,6)),N(OFFSET(FC22,0,7)))-FB22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D23" s="697" t="n"/>
      <c r="BE23" s="697" t="n">
        <v>0</v>
      </c>
      <c r="BF23" s="697">
        <f>0+CK23</f>
        <v/>
      </c>
      <c r="BG23" s="314" t="n">
        <v>271</v>
      </c>
      <c r="BH23" s="697" t="n">
        <v>102</v>
      </c>
      <c r="BI23" s="697" t="n">
        <v>72</v>
      </c>
      <c r="BJ23" s="697">
        <f>33+CI23</f>
        <v/>
      </c>
      <c r="BK23" s="697" t="n">
        <v>145</v>
      </c>
      <c r="BL23" s="697" t="n">
        <v>125</v>
      </c>
      <c r="BM23" s="697">
        <f>100+CF23</f>
        <v/>
      </c>
      <c r="BN23" s="697" t="n">
        <v>74</v>
      </c>
      <c r="BO23" s="697">
        <f>182+CB23</f>
        <v/>
      </c>
      <c r="BP23" s="697" t="n"/>
      <c r="BQ23" s="697" t="n"/>
      <c r="BR23" s="697" t="n">
        <v>459</v>
      </c>
      <c r="BS23" s="697" t="n">
        <v>459</v>
      </c>
      <c r="BT23" s="697" t="n"/>
      <c r="BU23" s="192">
        <f>BS23+IF(NOT(ISBLANK(OFFSET(BU23,0,6))),N(OFFSET(BU23,0,6)),N(OFFSET(BU23,0,7)))-BT23</f>
        <v/>
      </c>
      <c r="BW23" s="22" t="n"/>
      <c r="BY23" s="27" t="n"/>
      <c r="CA23" s="23" t="n">
        <v>0</v>
      </c>
      <c r="CB23" s="23" t="n">
        <v>0</v>
      </c>
      <c r="CC23" s="23" t="n">
        <v>300</v>
      </c>
      <c r="CD23" s="23" t="n"/>
      <c r="CE23" s="219" t="n">
        <v>150</v>
      </c>
      <c r="CF23" s="23" t="n">
        <v>150</v>
      </c>
      <c r="CG23" s="23" t="n"/>
      <c r="CH23" s="23" t="n"/>
      <c r="CI23" s="23" t="n">
        <v>150</v>
      </c>
      <c r="CJ23" s="23" t="n"/>
      <c r="CK23" s="23" t="n">
        <v>150</v>
      </c>
      <c r="CL23" s="23" t="n"/>
      <c r="CM23" s="23" t="n"/>
      <c r="CN23" s="23" t="n"/>
      <c r="CO23" s="23" t="n"/>
      <c r="CP23" s="23" t="n"/>
      <c r="CQ23" s="23" t="n"/>
      <c r="CR23" s="23" t="n"/>
      <c r="CS23" s="23" t="n"/>
      <c r="CT23" s="29" t="n"/>
      <c r="CU23" s="29" t="n"/>
      <c r="CV23" s="29" t="n"/>
      <c r="CW23" s="326" t="n">
        <v>300</v>
      </c>
      <c r="CX23" s="29" t="n"/>
      <c r="CY23" s="29" t="n"/>
      <c r="CZ23" s="29" t="n"/>
      <c r="DA23" s="29" t="n"/>
      <c r="DB23" s="29" t="n"/>
      <c r="DC23" s="5" t="n"/>
      <c r="DD23" s="29" t="n"/>
      <c r="DE23" s="29" t="n"/>
      <c r="DF23" s="5" t="n"/>
      <c r="DG23" s="29" t="n"/>
      <c r="DH23" s="29" t="n"/>
      <c r="DI23" s="29" t="n"/>
      <c r="DJ23" s="29" t="n"/>
      <c r="DK23" s="29" t="n"/>
      <c r="DL23" s="29" t="n"/>
      <c r="DM23" s="29" t="n"/>
      <c r="DN23" s="29" t="n"/>
      <c r="DO23" s="29" t="n"/>
      <c r="DP23" s="5" t="n"/>
      <c r="DQ23" s="219" t="n">
        <v>25</v>
      </c>
      <c r="DR23" s="29" t="n"/>
      <c r="DS23" s="5" t="n"/>
      <c r="DT23" s="5" t="n"/>
      <c r="DV23" s="29" t="n"/>
      <c r="DX23" s="5" t="n"/>
      <c r="DZ23" s="292" t="inlineStr">
        <is>
          <t>50 DE BSH</t>
        </is>
      </c>
      <c r="EA23" s="5" t="n"/>
      <c r="EH23" s="326" t="n">
        <v>200</v>
      </c>
      <c r="EU23" s="66" t="inlineStr">
        <is>
          <t>CARTUCHO M</t>
        </is>
      </c>
      <c r="EV23" s="699" t="n">
        <v>150</v>
      </c>
      <c r="EW23" s="697">
        <f>CE23</f>
        <v/>
      </c>
      <c r="EX23" s="697" t="n"/>
      <c r="EY23" s="697" t="n"/>
      <c r="EZ23" s="697" t="n">
        <v>125</v>
      </c>
      <c r="FA23" s="697" t="n">
        <v>111</v>
      </c>
      <c r="FB23" s="697" t="n"/>
      <c r="FC23" s="431">
        <f>FA23+IF(NOT(ISBLANK(OFFSET(FC23,0,6))),N(OFFSET(FC23,0,6)),N(OFFSET(FC23,0,7)))-FB23</f>
        <v/>
      </c>
    </row>
    <row r="24">
      <c r="CA24" s="29" t="n"/>
      <c r="CB24" s="29" t="n"/>
      <c r="CC24" s="29" t="n"/>
      <c r="CD24" s="29" t="n"/>
      <c r="CE24" s="5" t="n"/>
      <c r="CF24" s="29" t="n"/>
      <c r="CG24" s="29" t="n"/>
      <c r="CH24" s="29" t="n"/>
      <c r="CI24" s="29" t="n"/>
      <c r="CJ24" s="29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327" t="n"/>
      <c r="CX24" s="29" t="n"/>
      <c r="CY24" s="29" t="n"/>
      <c r="CZ24" s="29" t="n"/>
      <c r="DA24" s="29" t="n"/>
      <c r="DB24" s="29" t="n"/>
      <c r="DC24" s="5" t="n"/>
      <c r="DD24" s="29" t="n"/>
      <c r="DE24" s="29" t="n"/>
      <c r="DF24" s="5" t="n"/>
      <c r="DG24" s="29" t="n"/>
      <c r="DH24" s="29" t="n"/>
      <c r="DI24" s="29" t="n"/>
      <c r="DJ24" s="29" t="n"/>
      <c r="DK24" s="29" t="n"/>
      <c r="DL24" s="29" t="n"/>
      <c r="DM24" s="29" t="n"/>
      <c r="DN24" s="29" t="n"/>
      <c r="DO24" s="29" t="n"/>
      <c r="DP24" s="5" t="n"/>
      <c r="DQ24" s="219" t="n"/>
      <c r="DR24" s="29" t="n"/>
      <c r="DS24" s="5" t="n"/>
      <c r="DT24" s="5" t="n"/>
      <c r="DV24" s="29" t="n"/>
      <c r="DX24" s="5" t="n"/>
      <c r="DZ24" s="460" t="n"/>
      <c r="EA24" s="5" t="n"/>
      <c r="EH24" s="326" t="n"/>
      <c r="EU24" s="5" t="n"/>
      <c r="EV24" s="5" t="n"/>
      <c r="EW24" s="5" t="n"/>
      <c r="EX24" s="5" t="n"/>
      <c r="EY24" s="5" t="n"/>
      <c r="EZ24" s="5" t="n"/>
      <c r="FA24" s="5" t="n"/>
      <c r="FB24" s="5" t="n"/>
      <c r="FC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45859</v>
      </c>
      <c r="AE25" s="746" t="n">
        <v>45866</v>
      </c>
      <c r="AF25" s="746" t="n">
        <v>45873</v>
      </c>
      <c r="AG25" s="746" t="n">
        <v>45880</v>
      </c>
      <c r="AH25" s="746" t="n">
        <v>45887</v>
      </c>
      <c r="AI25" s="746" t="n">
        <v>45894</v>
      </c>
      <c r="AJ25" s="746" t="n">
        <v>45901</v>
      </c>
      <c r="AK25" s="746" t="n">
        <v>45908</v>
      </c>
      <c r="AL25" s="746" t="n">
        <v>45915</v>
      </c>
      <c r="AM25" s="746" t="n">
        <v>45922</v>
      </c>
      <c r="AN25" s="746" t="n">
        <v>45929</v>
      </c>
      <c r="AO25" s="746" t="n">
        <v>45936</v>
      </c>
      <c r="AP25" s="746" t="n">
        <v>45943</v>
      </c>
      <c r="AQ25" s="746" t="n">
        <v>45950</v>
      </c>
      <c r="AR25" s="746" t="n">
        <v>45957</v>
      </c>
      <c r="AS25" s="746" t="n">
        <v>45964</v>
      </c>
      <c r="AT25" s="746" t="n">
        <v>45971</v>
      </c>
      <c r="AU25" s="746" t="n">
        <v>45978</v>
      </c>
      <c r="AV25" s="746" t="n">
        <v>45985</v>
      </c>
      <c r="AW25" s="746" t="n">
        <v>45992</v>
      </c>
      <c r="AX25" s="746" t="n">
        <v>45999</v>
      </c>
      <c r="AY25" s="746" t="n">
        <v>46006</v>
      </c>
      <c r="AZ25" s="746" t="n">
        <v>46013</v>
      </c>
      <c r="BA25" s="746" t="n">
        <v>46020</v>
      </c>
      <c r="BB25" s="746" t="n">
        <v>46027</v>
      </c>
      <c r="BC25" s="746" t="n">
        <v>46034</v>
      </c>
      <c r="BD25" s="746" t="n">
        <v>46041</v>
      </c>
      <c r="BE25" s="746" t="n">
        <v>46048</v>
      </c>
      <c r="BF25" s="746" t="n">
        <v>46055</v>
      </c>
      <c r="BG25" s="746" t="n">
        <v>46062</v>
      </c>
      <c r="BH25" s="746" t="n">
        <v>46069</v>
      </c>
      <c r="BI25" s="746" t="n">
        <v>46076</v>
      </c>
      <c r="BJ25" s="746" t="n">
        <v>46083</v>
      </c>
      <c r="BK25" s="746" t="n">
        <v>46090</v>
      </c>
      <c r="BL25" s="746" t="n">
        <v>46097</v>
      </c>
      <c r="BM25" s="746" t="n">
        <v>46104</v>
      </c>
      <c r="BN25" s="746" t="n">
        <v>46111</v>
      </c>
      <c r="BO25" s="746" t="n">
        <v>46118</v>
      </c>
      <c r="BP25" s="746" t="n">
        <v>46125</v>
      </c>
      <c r="BQ25" s="746" t="n">
        <v>46132</v>
      </c>
      <c r="BR25" s="746" t="n">
        <v>46139</v>
      </c>
      <c r="BS25" s="746" t="n">
        <v>46146</v>
      </c>
      <c r="BT25" s="746" t="n">
        <v>46154</v>
      </c>
      <c r="BU25" s="758" t="inlineStr">
        <is>
          <t>USOU</t>
        </is>
      </c>
      <c r="CA25" s="29" t="n"/>
      <c r="CB25" s="29" t="n"/>
      <c r="CC25" s="29" t="n"/>
      <c r="CD25" s="29" t="n"/>
      <c r="CE25" s="5" t="n"/>
      <c r="CF25" s="29" t="n"/>
      <c r="CG25" s="29" t="n"/>
      <c r="CH25" s="29" t="n"/>
      <c r="CI25" s="29" t="n"/>
      <c r="CJ25" s="29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5" t="n"/>
      <c r="CX25" s="29" t="n"/>
      <c r="CY25" s="29" t="n"/>
      <c r="CZ25" s="29" t="n"/>
      <c r="DA25" s="29" t="n"/>
      <c r="DB25" s="29" t="n"/>
      <c r="DC25" s="5" t="n"/>
      <c r="DD25" s="29" t="n"/>
      <c r="DE25" s="29" t="n"/>
      <c r="DF25" s="5" t="n"/>
      <c r="DG25" s="29" t="n"/>
      <c r="DH25" s="29" t="n"/>
      <c r="DI25" s="29" t="n"/>
      <c r="DJ25" s="29" t="n"/>
      <c r="DK25" s="29" t="n"/>
      <c r="DL25" s="29" t="n"/>
      <c r="DM25" s="29" t="n"/>
      <c r="DN25" s="29" t="n"/>
      <c r="DO25" s="29" t="n"/>
      <c r="DP25" s="5" t="n"/>
      <c r="DQ25" s="219" t="n">
        <v>25</v>
      </c>
      <c r="DR25" s="29" t="n"/>
      <c r="DS25" s="5" t="n"/>
      <c r="DT25" s="5" t="n"/>
      <c r="DV25" s="29" t="n"/>
      <c r="DX25" s="5" t="n"/>
      <c r="EA25" s="5" t="n"/>
      <c r="EH25" s="326" t="n">
        <v>150</v>
      </c>
      <c r="EU25" s="5" t="n"/>
      <c r="EV25" s="5" t="n"/>
      <c r="EW25" s="5" t="n"/>
      <c r="EX25" s="5" t="n"/>
      <c r="EY25" s="5" t="n"/>
      <c r="EZ25" s="5" t="n"/>
      <c r="FA25" s="5" t="n"/>
      <c r="FB25" s="5" t="n"/>
      <c r="FC25" s="5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1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/>
      <c r="BC26" s="697" t="n"/>
      <c r="BD26" s="697" t="n"/>
      <c r="BE26" s="697" t="n"/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192">
        <f>BS26+IF(NOT(ISBLANK(OFFSET(BU26,0,6))),N(OFFSET(BU26,0,6)),N(OFFSET(BU26,0,7)))-BT26</f>
        <v/>
      </c>
      <c r="CA26" s="29" t="n"/>
      <c r="CB26" s="29" t="n"/>
      <c r="CC26" s="29" t="n"/>
      <c r="CD26" s="29" t="n"/>
      <c r="CE26" s="5" t="n"/>
      <c r="CF26" s="29" t="n"/>
      <c r="CG26" s="29" t="n"/>
      <c r="CH26" s="29" t="n"/>
      <c r="CI26" s="29" t="n"/>
      <c r="CJ26" s="29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5" t="n"/>
      <c r="CX26" s="29" t="n"/>
      <c r="CY26" s="29" t="n"/>
      <c r="CZ26" s="29" t="n"/>
      <c r="DA26" s="29" t="n"/>
      <c r="DB26" s="29" t="n"/>
      <c r="DC26" s="5" t="n"/>
      <c r="DD26" s="29" t="n"/>
      <c r="DE26" s="29" t="n"/>
      <c r="DF26" s="5" t="n"/>
      <c r="DG26" s="29" t="n"/>
      <c r="DH26" s="29" t="n"/>
      <c r="DI26" s="29" t="n"/>
      <c r="DJ26" s="29" t="n"/>
      <c r="DK26" s="29" t="n"/>
      <c r="DL26" s="29" t="n"/>
      <c r="DM26" s="29" t="n"/>
      <c r="DN26" s="29" t="n"/>
      <c r="DO26" s="29" t="n"/>
      <c r="DP26" s="5" t="n"/>
      <c r="DQ26" s="219" t="n">
        <v>25</v>
      </c>
      <c r="DR26" s="29" t="n"/>
      <c r="DS26" s="5" t="n"/>
      <c r="DT26" s="5" t="n"/>
      <c r="DU26" s="327" t="n"/>
      <c r="DV26" s="29" t="n"/>
      <c r="DX26" s="5" t="n"/>
      <c r="DZ26" s="327" t="n"/>
      <c r="EA26" s="5" t="n"/>
      <c r="EF26" s="327" t="n"/>
      <c r="EH26" s="327" t="n"/>
      <c r="EU26" s="5" t="n"/>
      <c r="EV26" s="5" t="n"/>
      <c r="EW26" s="5" t="n"/>
      <c r="EX26" s="5" t="n"/>
      <c r="EY26" s="5" t="n"/>
      <c r="EZ26" s="5" t="n"/>
      <c r="FA26" s="5" t="n"/>
      <c r="FB26" s="5" t="n"/>
      <c r="FC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205</v>
      </c>
      <c r="G27" s="697" t="n">
        <v>197</v>
      </c>
      <c r="H27" s="697" t="n">
        <v>197</v>
      </c>
      <c r="I27" s="697" t="n">
        <v>197</v>
      </c>
      <c r="J27" s="697" t="n">
        <v>197</v>
      </c>
      <c r="K27" s="697" t="n">
        <v>194</v>
      </c>
      <c r="L27" s="697" t="n">
        <v>196</v>
      </c>
      <c r="M27" s="697" t="n">
        <v>196</v>
      </c>
      <c r="N27" s="697" t="n">
        <v>190</v>
      </c>
      <c r="O27" s="697" t="n">
        <v>190</v>
      </c>
      <c r="P27" s="697" t="n">
        <v>190</v>
      </c>
      <c r="Q27" s="697" t="n">
        <v>186</v>
      </c>
      <c r="R27" s="697" t="n">
        <v>186</v>
      </c>
      <c r="S27" s="697" t="n">
        <v>197</v>
      </c>
      <c r="T27" s="697" t="n">
        <v>197</v>
      </c>
      <c r="U27" s="697" t="n">
        <v>197</v>
      </c>
      <c r="V27" s="697" t="n">
        <v>197</v>
      </c>
      <c r="W27" s="697" t="n">
        <v>197</v>
      </c>
      <c r="X27" s="697" t="n">
        <v>181</v>
      </c>
      <c r="Y27" s="697" t="n">
        <v>181</v>
      </c>
      <c r="Z27" s="697" t="n">
        <v>181</v>
      </c>
      <c r="AA27" s="697" t="n">
        <v>153</v>
      </c>
      <c r="AB27" s="697" t="n">
        <v>153</v>
      </c>
      <c r="AC27" s="697" t="n">
        <v>153</v>
      </c>
      <c r="AD27" s="697" t="n">
        <v>153</v>
      </c>
      <c r="AE27" s="697" t="n">
        <v>169</v>
      </c>
      <c r="AF27" s="697" t="n">
        <v>162</v>
      </c>
      <c r="AG27" s="697" t="n">
        <v>166</v>
      </c>
      <c r="AH27" s="697" t="n">
        <v>166</v>
      </c>
      <c r="AI27" s="697" t="n">
        <v>165</v>
      </c>
      <c r="AJ27" s="697" t="n">
        <v>163</v>
      </c>
      <c r="AK27" s="697" t="n">
        <v>163</v>
      </c>
      <c r="AL27" s="697" t="n">
        <v>163</v>
      </c>
      <c r="AM27" s="697" t="n">
        <v>163</v>
      </c>
      <c r="AN27" s="697" t="n">
        <v>163</v>
      </c>
      <c r="AO27" s="697" t="n">
        <v>155</v>
      </c>
      <c r="AP27" s="697" t="n">
        <v>162</v>
      </c>
      <c r="AQ27" s="697" t="n">
        <v>162</v>
      </c>
      <c r="AR27" s="697" t="n">
        <v>162</v>
      </c>
      <c r="AS27" s="697" t="n">
        <v>162</v>
      </c>
      <c r="AT27" s="697" t="n">
        <v>162</v>
      </c>
      <c r="AU27" s="697" t="n">
        <v>149</v>
      </c>
      <c r="AV27" s="697" t="n">
        <v>142</v>
      </c>
      <c r="AW27" s="697" t="n">
        <v>101</v>
      </c>
      <c r="AX27" s="697" t="n">
        <v>101</v>
      </c>
      <c r="AY27" s="697" t="n">
        <v>101</v>
      </c>
      <c r="AZ27" s="697" t="n">
        <v>98</v>
      </c>
      <c r="BA27" s="697" t="n">
        <v>98</v>
      </c>
      <c r="BB27" s="697" t="n">
        <v>98</v>
      </c>
      <c r="BC27" s="697" t="n">
        <v>98</v>
      </c>
      <c r="BD27" s="697" t="n">
        <v>98</v>
      </c>
      <c r="BE27" s="697" t="n">
        <v>148</v>
      </c>
      <c r="BF27" s="697" t="n">
        <v>148</v>
      </c>
      <c r="BG27" s="697" t="n">
        <v>146</v>
      </c>
      <c r="BH27" s="697" t="n">
        <v>145</v>
      </c>
      <c r="BI27" s="697" t="n">
        <v>145</v>
      </c>
      <c r="BJ27" s="697" t="n">
        <v>145</v>
      </c>
      <c r="BK27" s="697" t="n">
        <v>145</v>
      </c>
      <c r="BL27" s="697" t="n">
        <v>141</v>
      </c>
      <c r="BM27" s="697" t="n">
        <v>141</v>
      </c>
      <c r="BN27" s="697" t="n">
        <v>141</v>
      </c>
      <c r="BO27" s="697" t="n">
        <v>141</v>
      </c>
      <c r="BP27" s="697" t="n">
        <v>146</v>
      </c>
      <c r="BQ27" s="697" t="n">
        <v>146</v>
      </c>
      <c r="BR27" s="697" t="n">
        <v>146</v>
      </c>
      <c r="BS27" s="697" t="n">
        <v>146</v>
      </c>
      <c r="BT27" s="697" t="n">
        <v>146</v>
      </c>
      <c r="BU27" s="192">
        <f>BS27+IF(NOT(ISBLANK(OFFSET(BU27,0,6))),N(OFFSET(BU27,0,6)),N(OFFSET(BU27,0,7)))-BT27</f>
        <v/>
      </c>
      <c r="CA27" s="29" t="n"/>
      <c r="CB27" s="29" t="n"/>
      <c r="CC27" s="29" t="n"/>
      <c r="CD27" s="29" t="n"/>
      <c r="CE27" s="5" t="n"/>
      <c r="CF27" s="29" t="n"/>
      <c r="CG27" s="29" t="n"/>
      <c r="CH27" s="29" t="n"/>
      <c r="CI27" s="29" t="n"/>
      <c r="CJ27" s="29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5" t="n"/>
      <c r="CX27" s="29" t="n"/>
      <c r="CY27" s="29" t="n"/>
      <c r="CZ27" s="29" t="n"/>
      <c r="DA27" s="29" t="n"/>
      <c r="DB27" s="29" t="n"/>
      <c r="DC27" s="5" t="n"/>
      <c r="DD27" s="29" t="n"/>
      <c r="DE27" s="29" t="n"/>
      <c r="DF27" s="5" t="n"/>
      <c r="DG27" s="29" t="n"/>
      <c r="DH27" s="29" t="n"/>
      <c r="DI27" s="29" t="n"/>
      <c r="DJ27" s="29" t="n"/>
      <c r="DK27" s="29" t="n"/>
      <c r="DL27" s="29" t="n"/>
      <c r="DM27" s="29" t="n"/>
      <c r="DN27" s="29" t="n"/>
      <c r="DO27" s="29" t="n"/>
      <c r="DP27" s="5" t="n"/>
      <c r="DQ27" s="5" t="n"/>
      <c r="DR27" s="29" t="n"/>
      <c r="DS27" s="5" t="n"/>
      <c r="DT27" s="5" t="n"/>
      <c r="DU27" s="327" t="n"/>
      <c r="DV27" s="29" t="n"/>
      <c r="DX27" s="5" t="n"/>
      <c r="DZ27" s="327" t="n"/>
      <c r="EA27" s="5" t="n"/>
      <c r="EF27" s="327" t="n"/>
      <c r="EH27" s="327" t="n"/>
      <c r="EU27" s="5" t="n"/>
      <c r="EV27" s="5" t="n"/>
      <c r="EW27" s="5" t="n"/>
      <c r="EX27" s="5" t="n"/>
      <c r="EY27" s="5" t="n"/>
      <c r="EZ27" s="5" t="n"/>
      <c r="FA27" s="5" t="n"/>
      <c r="FB27" s="5" t="n"/>
      <c r="FC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2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192">
        <f>BS28+IF(NOT(ISBLANK(OFFSET(BU28,0,6))),N(OFFSET(BU28,0,6)),N(OFFSET(BU28,0,7)))-BT28</f>
        <v/>
      </c>
      <c r="CA28" s="29" t="n"/>
      <c r="CB28" s="29" t="n"/>
      <c r="CC28" s="29" t="n"/>
      <c r="CD28" s="29" t="n"/>
      <c r="CE28" s="5" t="n"/>
      <c r="CF28" s="29" t="n"/>
      <c r="CG28" s="29" t="n"/>
      <c r="CH28" s="29" t="n"/>
      <c r="CI28" s="29" t="n"/>
      <c r="CJ28" s="29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5" t="n"/>
      <c r="CX28" s="29" t="n"/>
      <c r="CY28" s="29" t="n"/>
      <c r="CZ28" s="29" t="n"/>
      <c r="DA28" s="29" t="n"/>
      <c r="DB28" s="29" t="n"/>
      <c r="DC28" s="5" t="n"/>
      <c r="DD28" s="29" t="n"/>
      <c r="DE28" s="29" t="n"/>
      <c r="DF28" s="5" t="n"/>
      <c r="DG28" s="29" t="n"/>
      <c r="DH28" s="29" t="n"/>
      <c r="DI28" s="29" t="n"/>
      <c r="DJ28" s="29" t="n"/>
      <c r="DK28" s="29" t="n"/>
      <c r="DL28" s="29" t="n"/>
      <c r="DM28" s="29" t="n"/>
      <c r="DN28" s="29" t="n"/>
      <c r="DO28" s="29" t="n"/>
      <c r="DP28" s="5" t="n"/>
      <c r="DQ28" s="5" t="n"/>
      <c r="DR28" s="29" t="n"/>
      <c r="DS28" s="5" t="n"/>
      <c r="DT28" s="5" t="n"/>
      <c r="DU28" s="327" t="n"/>
      <c r="DV28" s="29" t="n"/>
      <c r="DX28" s="5" t="n"/>
      <c r="DZ28" s="327" t="n"/>
      <c r="EA28" s="5" t="n"/>
      <c r="EF28" s="327" t="n"/>
      <c r="EH28" s="327" t="n"/>
      <c r="EU28" s="5" t="n"/>
      <c r="EV28" s="5" t="n"/>
      <c r="EW28" s="5" t="n"/>
      <c r="EX28" s="5" t="n"/>
      <c r="EY28" s="5" t="n"/>
      <c r="EZ28" s="5" t="n"/>
      <c r="FA28" s="5" t="n"/>
      <c r="FB28" s="5" t="n"/>
      <c r="FC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29</v>
      </c>
      <c r="G29" s="699" t="n">
        <v>20</v>
      </c>
      <c r="H29" s="697" t="n">
        <v>8</v>
      </c>
      <c r="I29" s="697" t="n">
        <v>7</v>
      </c>
      <c r="J29" s="697" t="n">
        <v>7</v>
      </c>
      <c r="K29" s="697" t="n">
        <v>4</v>
      </c>
      <c r="L29" s="697" t="n">
        <v>4</v>
      </c>
      <c r="M29" s="697" t="n">
        <v>3</v>
      </c>
      <c r="N29" s="697" t="n">
        <v>3</v>
      </c>
      <c r="O29" s="697" t="n">
        <v>4</v>
      </c>
      <c r="P29" s="697" t="n">
        <v>4</v>
      </c>
      <c r="Q29" s="697" t="n">
        <v>3</v>
      </c>
      <c r="R29" s="697" t="n">
        <v>3</v>
      </c>
      <c r="S29" s="697" t="n">
        <v>2</v>
      </c>
      <c r="T29" s="697" t="n">
        <v>2</v>
      </c>
      <c r="U29" s="697" t="n">
        <v>2</v>
      </c>
      <c r="V29" s="697" t="n">
        <v>2</v>
      </c>
      <c r="W29" s="697" t="n">
        <v>2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192">
        <f>BS29+IF(NOT(ISBLANK(OFFSET(BU29,0,6))),N(OFFSET(BU29,0,6)),N(OFFSET(BU29,0,7)))-BT29</f>
        <v/>
      </c>
      <c r="CA29" s="29" t="n"/>
      <c r="CB29" s="29" t="n"/>
      <c r="CC29" s="29" t="n"/>
      <c r="CD29" s="29" t="n"/>
      <c r="CE29" s="5" t="n"/>
      <c r="CF29" s="29" t="n"/>
      <c r="CG29" s="29" t="n"/>
      <c r="CH29" s="29" t="n"/>
      <c r="CI29" s="29" t="n"/>
      <c r="CJ29" s="29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5" t="n"/>
      <c r="CX29" s="29" t="n"/>
      <c r="CY29" s="29" t="n"/>
      <c r="CZ29" s="29" t="n"/>
      <c r="DA29" s="29" t="n"/>
      <c r="DB29" s="29" t="n"/>
      <c r="DC29" s="5" t="n"/>
      <c r="DD29" s="29" t="n"/>
      <c r="DE29" s="29" t="n"/>
      <c r="DF29" s="5" t="n"/>
      <c r="DG29" s="29" t="n"/>
      <c r="DH29" s="29" t="n"/>
      <c r="DI29" s="29" t="n"/>
      <c r="DJ29" s="29" t="n"/>
      <c r="DK29" s="29" t="n"/>
      <c r="DL29" s="29" t="n"/>
      <c r="DM29" s="29" t="n"/>
      <c r="DN29" s="29" t="n"/>
      <c r="DO29" s="29" t="n"/>
      <c r="DP29" s="5" t="n"/>
      <c r="DQ29" s="5" t="n"/>
      <c r="DR29" s="29" t="n"/>
      <c r="DS29" s="5" t="n"/>
      <c r="DT29" s="5" t="n"/>
      <c r="DU29" s="327" t="n"/>
      <c r="DV29" s="29" t="n"/>
      <c r="DX29" s="5" t="n"/>
      <c r="DZ29" s="327" t="n"/>
      <c r="EA29" s="5" t="n"/>
      <c r="EF29" s="327" t="n"/>
      <c r="EH29" s="327" t="n"/>
      <c r="EU29" s="5" t="n"/>
      <c r="EV29" s="5" t="n"/>
      <c r="EW29" s="5" t="n"/>
      <c r="EX29" s="5" t="n"/>
      <c r="EY29" s="5" t="n"/>
      <c r="EZ29" s="5" t="n"/>
      <c r="FA29" s="5" t="n"/>
      <c r="FB29" s="5" t="n"/>
      <c r="FC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192">
        <f>BS30+IF(NOT(ISBLANK(OFFSET(BU30,0,6))),N(OFFSET(BU30,0,6)),N(OFFSET(BU30,0,7)))-BT30</f>
        <v/>
      </c>
      <c r="CA30" s="29" t="n"/>
      <c r="CB30" s="29" t="n"/>
      <c r="CC30" s="29" t="n"/>
      <c r="CD30" s="29" t="n"/>
      <c r="CE30" s="5" t="n"/>
      <c r="CF30" s="29" t="n"/>
      <c r="CG30" s="29" t="n"/>
      <c r="CH30" s="29" t="n"/>
      <c r="CI30" s="29" t="n"/>
      <c r="CJ30" s="29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5" t="n"/>
      <c r="CX30" s="29" t="n"/>
      <c r="CY30" s="29" t="n"/>
      <c r="CZ30" s="29" t="n"/>
      <c r="DA30" s="29" t="n"/>
      <c r="DB30" s="29" t="n"/>
      <c r="DC30" s="29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5" t="n"/>
      <c r="DQ30" s="5" t="n"/>
      <c r="DR30" s="29" t="n"/>
      <c r="DS30" s="5" t="n"/>
      <c r="DT30" s="29" t="n"/>
      <c r="DU30" s="327" t="n"/>
      <c r="DV30" s="29" t="n"/>
      <c r="DX30" s="29" t="n"/>
      <c r="DZ30" s="327" t="n"/>
      <c r="EA30" s="29" t="n"/>
      <c r="EF30" s="327" t="n"/>
      <c r="EH30" s="327" t="n"/>
      <c r="EU30" s="5" t="n"/>
      <c r="EV30" s="5" t="n"/>
      <c r="EW30" s="5" t="n"/>
      <c r="EX30" s="5" t="n"/>
      <c r="EY30" s="5" t="n"/>
      <c r="EZ30" s="5" t="n"/>
      <c r="FA30" s="5" t="n"/>
      <c r="FB30" s="5" t="n"/>
      <c r="FC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192">
        <f>BS31+IF(NOT(ISBLANK(OFFSET(BU31,0,6))),N(OFFSET(BU31,0,6)),N(OFFSET(BU31,0,7)))-BT31</f>
        <v/>
      </c>
      <c r="CA31" s="29" t="n"/>
      <c r="CB31" s="29" t="n"/>
      <c r="CC31" s="29" t="n"/>
      <c r="CD31" s="29" t="n"/>
      <c r="CE31" s="5" t="n"/>
      <c r="CF31" s="29" t="n"/>
      <c r="CG31" s="29" t="n"/>
      <c r="CH31" s="29" t="n"/>
      <c r="CI31" s="29" t="n"/>
      <c r="CJ31" s="29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5" t="n"/>
      <c r="CX31" s="29" t="n"/>
      <c r="CY31" s="29" t="n"/>
      <c r="CZ31" s="29" t="n"/>
      <c r="DA31" s="29" t="n"/>
      <c r="DB31" s="29" t="n"/>
      <c r="DD31" s="29" t="n"/>
      <c r="DE31" s="29" t="n"/>
      <c r="DG31" s="29" t="n"/>
      <c r="DH31" s="29" t="n"/>
      <c r="DI31" s="29" t="n"/>
      <c r="DJ31" s="29" t="n"/>
      <c r="DK31" s="29" t="n"/>
      <c r="DL31" s="29" t="n"/>
      <c r="DM31" s="29" t="n"/>
      <c r="DN31" s="29" t="n"/>
      <c r="DO31" s="29" t="n"/>
      <c r="DP31" s="5" t="n"/>
      <c r="DQ31" s="5" t="n"/>
      <c r="DR31" s="29" t="n"/>
      <c r="DS31" s="5" t="n"/>
      <c r="DU31" s="327" t="n"/>
      <c r="DV31" s="29" t="n"/>
      <c r="DZ31" s="327" t="n"/>
      <c r="EF31" s="327" t="n"/>
      <c r="EH31" s="327" t="n"/>
      <c r="EU31" s="5" t="n"/>
      <c r="EV31" s="5" t="n"/>
      <c r="EW31" s="5" t="n"/>
      <c r="EX31" s="5" t="n"/>
      <c r="EY31" s="5" t="n"/>
      <c r="EZ31" s="5" t="n"/>
      <c r="FA31" s="5" t="n"/>
      <c r="FB31" s="5" t="n"/>
      <c r="FC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8</v>
      </c>
      <c r="G32" s="699" t="n">
        <v>0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192">
        <f>BS32+IF(NOT(ISBLANK(OFFSET(BU32,0,6))),N(OFFSET(BU32,0,6)),N(OFFSET(BU32,0,7)))-BT32</f>
        <v/>
      </c>
      <c r="CA32" s="29" t="n"/>
      <c r="CB32" s="29" t="n"/>
      <c r="CC32" s="29" t="n"/>
      <c r="CD32" s="29" t="n"/>
      <c r="CE32" s="5" t="n"/>
      <c r="CF32" s="29" t="n"/>
      <c r="CG32" s="29" t="n"/>
      <c r="CH32" s="29" t="n"/>
      <c r="CI32" s="29" t="n"/>
      <c r="CJ32" s="29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5" t="n"/>
      <c r="CX32" s="29" t="n"/>
      <c r="CY32" s="29" t="n"/>
      <c r="CZ32" s="29" t="n"/>
      <c r="DA32" s="29" t="n"/>
      <c r="DB32" s="29" t="n"/>
      <c r="DD32" s="29" t="n"/>
      <c r="DE32" s="29" t="n"/>
      <c r="DG32" s="29" t="n"/>
      <c r="DH32" s="29" t="n"/>
      <c r="DI32" s="29" t="n"/>
      <c r="DJ32" s="29" t="n"/>
      <c r="DK32" s="29" t="n"/>
      <c r="DL32" s="29" t="n"/>
      <c r="DM32" s="29" t="n"/>
      <c r="DN32" s="29" t="n"/>
      <c r="DO32" s="29" t="n"/>
      <c r="DP32" s="5" t="n"/>
      <c r="DQ32" s="5" t="n"/>
      <c r="DR32" s="29" t="n"/>
      <c r="DS32" s="5" t="n"/>
      <c r="DU32" s="327" t="n"/>
      <c r="DV32" s="29" t="n"/>
      <c r="DZ32" s="327" t="n"/>
      <c r="EF32" s="327" t="n"/>
      <c r="EH32" s="327" t="n"/>
      <c r="EU32" s="5" t="n"/>
      <c r="EV32" s="5" t="n"/>
      <c r="EW32" s="5" t="n"/>
      <c r="EX32" s="5" t="n"/>
      <c r="EY32" s="5" t="n"/>
      <c r="EZ32" s="5" t="n"/>
      <c r="FA32" s="5" t="n"/>
      <c r="FB32" s="5" t="n"/>
      <c r="FC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</v>
      </c>
      <c r="G33" s="699" t="n">
        <v>1</v>
      </c>
      <c r="H33" s="697" t="n">
        <v>1</v>
      </c>
      <c r="I33" s="697" t="n">
        <v>1</v>
      </c>
      <c r="J33" s="697" t="n">
        <v>1</v>
      </c>
      <c r="K33" s="697" t="n">
        <v>1</v>
      </c>
      <c r="L33" s="697" t="n">
        <v>1</v>
      </c>
      <c r="M33" s="697" t="n">
        <v>1</v>
      </c>
      <c r="N33" s="697" t="n">
        <v>1</v>
      </c>
      <c r="O33" s="697" t="n">
        <v>1</v>
      </c>
      <c r="P33" s="697" t="n">
        <v>1</v>
      </c>
      <c r="Q33" s="697" t="n">
        <v>1</v>
      </c>
      <c r="R33" s="697" t="n">
        <v>1</v>
      </c>
      <c r="S33" s="697" t="n">
        <v>1</v>
      </c>
      <c r="T33" s="697" t="n">
        <v>1</v>
      </c>
      <c r="U33" s="697" t="n">
        <v>1</v>
      </c>
      <c r="V33" s="697" t="n">
        <v>1</v>
      </c>
      <c r="W33" s="697" t="n">
        <v>1</v>
      </c>
      <c r="X33" s="697" t="n">
        <v>1</v>
      </c>
      <c r="Y33" s="697" t="n">
        <v>1</v>
      </c>
      <c r="Z33" s="697" t="n">
        <v>1</v>
      </c>
      <c r="AA33" s="697" t="n">
        <v>1</v>
      </c>
      <c r="AB33" s="697" t="n">
        <v>1</v>
      </c>
      <c r="AC33" s="697" t="n">
        <v>1</v>
      </c>
      <c r="AD33" s="697" t="n">
        <v>1</v>
      </c>
      <c r="AE33" s="697" t="n">
        <v>1</v>
      </c>
      <c r="AF33" s="697" t="n">
        <v>1</v>
      </c>
      <c r="AG33" s="697" t="n">
        <v>1</v>
      </c>
      <c r="AH33" s="697" t="n">
        <v>1</v>
      </c>
      <c r="AI33" s="697" t="n">
        <v>1</v>
      </c>
      <c r="AJ33" s="697" t="n">
        <v>1</v>
      </c>
      <c r="AK33" s="697" t="n">
        <v>1</v>
      </c>
      <c r="AL33" s="697" t="n">
        <v>1</v>
      </c>
      <c r="AM33" s="697" t="n">
        <v>1</v>
      </c>
      <c r="AN33" s="697" t="n">
        <v>1</v>
      </c>
      <c r="AO33" s="697" t="n">
        <v>1</v>
      </c>
      <c r="AP33" s="697" t="n">
        <v>0</v>
      </c>
      <c r="AQ33" s="697" t="n">
        <v>0</v>
      </c>
      <c r="AR33" s="697" t="n">
        <v>0</v>
      </c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192">
        <f>BS33+IF(NOT(ISBLANK(OFFSET(BU33,0,6))),N(OFFSET(BU33,0,6)),N(OFFSET(BU33,0,7)))-BT33</f>
        <v/>
      </c>
      <c r="CA33" s="29" t="n"/>
      <c r="CB33" s="29" t="n"/>
      <c r="CC33" s="29" t="n"/>
      <c r="CD33" s="29" t="n"/>
      <c r="CE33" s="5" t="n"/>
      <c r="CF33" s="29" t="n"/>
      <c r="CG33" s="29" t="n"/>
      <c r="CH33" s="29" t="n"/>
      <c r="CI33" s="29" t="n"/>
      <c r="CJ33" s="29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5" t="n"/>
      <c r="CX33" s="29" t="n"/>
      <c r="CY33" s="29" t="n"/>
      <c r="CZ33" s="29" t="n"/>
      <c r="DA33" s="29" t="n"/>
      <c r="DB33" s="29" t="n"/>
      <c r="DD33" s="29" t="n"/>
      <c r="DE33" s="29" t="n"/>
      <c r="DG33" s="29" t="n"/>
      <c r="DH33" s="29" t="n"/>
      <c r="DI33" s="29" t="n"/>
      <c r="DJ33" s="29" t="n"/>
      <c r="DK33" s="29" t="n"/>
      <c r="DL33" s="29" t="n"/>
      <c r="DM33" s="29" t="n"/>
      <c r="DN33" s="29" t="n"/>
      <c r="DO33" s="29" t="n"/>
      <c r="DP33" s="5" t="n"/>
      <c r="DQ33" s="5" t="n"/>
      <c r="DR33" s="29" t="n"/>
      <c r="DS33" s="5" t="n"/>
      <c r="DU33" s="327" t="n"/>
      <c r="DV33" s="29" t="n"/>
      <c r="DZ33" s="327" t="n"/>
      <c r="EF33" s="327" t="n"/>
      <c r="EH33" s="327" t="n"/>
      <c r="EU33" s="5" t="n"/>
      <c r="EV33" s="5" t="n"/>
      <c r="EW33" s="5" t="n"/>
      <c r="EX33" s="5" t="n"/>
      <c r="EY33" s="5" t="n"/>
      <c r="EZ33" s="5" t="n"/>
      <c r="FA33" s="5" t="n"/>
      <c r="FB33" s="5" t="n"/>
      <c r="FC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15</v>
      </c>
      <c r="G34" s="699" t="n">
        <v>15</v>
      </c>
      <c r="H34" s="697" t="n">
        <v>15</v>
      </c>
      <c r="I34" s="697" t="n">
        <v>15</v>
      </c>
      <c r="J34" s="697" t="n">
        <v>15</v>
      </c>
      <c r="K34" s="697" t="n">
        <v>15</v>
      </c>
      <c r="L34" s="697" t="n">
        <v>15</v>
      </c>
      <c r="M34" s="697" t="n">
        <v>15</v>
      </c>
      <c r="N34" s="697" t="n">
        <v>15</v>
      </c>
      <c r="O34" s="697" t="n">
        <v>15</v>
      </c>
      <c r="P34" s="697" t="n">
        <v>15</v>
      </c>
      <c r="Q34" s="697" t="n">
        <v>15</v>
      </c>
      <c r="R34" s="697" t="n">
        <v>15</v>
      </c>
      <c r="S34" s="697" t="n">
        <v>15</v>
      </c>
      <c r="T34" s="697" t="n">
        <v>15</v>
      </c>
      <c r="U34" s="697" t="n">
        <v>15</v>
      </c>
      <c r="V34" s="697" t="n">
        <v>15</v>
      </c>
      <c r="W34" s="697" t="n">
        <v>15</v>
      </c>
      <c r="X34" s="697" t="n">
        <v>15</v>
      </c>
      <c r="Y34" s="697" t="n">
        <v>15</v>
      </c>
      <c r="Z34" s="697" t="n">
        <v>15</v>
      </c>
      <c r="AA34" s="697" t="n">
        <v>15</v>
      </c>
      <c r="AB34" s="697" t="n">
        <v>15</v>
      </c>
      <c r="AC34" s="697" t="n">
        <v>15</v>
      </c>
      <c r="AD34" s="697" t="n">
        <v>15</v>
      </c>
      <c r="AE34" s="697" t="n">
        <v>15</v>
      </c>
      <c r="AF34" s="697" t="n">
        <v>15</v>
      </c>
      <c r="AG34" s="697" t="n">
        <v>15</v>
      </c>
      <c r="AH34" s="697" t="n">
        <v>15</v>
      </c>
      <c r="AI34" s="697" t="n">
        <v>15</v>
      </c>
      <c r="AJ34" s="697" t="n">
        <v>15</v>
      </c>
      <c r="AK34" s="697" t="n">
        <v>15</v>
      </c>
      <c r="AL34" s="697" t="n">
        <v>15</v>
      </c>
      <c r="AM34" s="697" t="n">
        <v>15</v>
      </c>
      <c r="AN34" s="697" t="n">
        <v>15</v>
      </c>
      <c r="AO34" s="697" t="n">
        <v>15</v>
      </c>
      <c r="AP34" s="697" t="n">
        <v>0</v>
      </c>
      <c r="AQ34" s="697" t="n">
        <v>0</v>
      </c>
      <c r="AR34" s="697" t="n">
        <v>0</v>
      </c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192">
        <f>BS34+IF(NOT(ISBLANK(OFFSET(BU34,0,6))),N(OFFSET(BU34,0,6)),N(OFFSET(BU34,0,7)))-BT34</f>
        <v/>
      </c>
      <c r="CA34" s="29" t="n"/>
      <c r="CB34" s="29" t="n"/>
      <c r="CC34" s="29" t="n"/>
      <c r="CD34" s="29" t="n"/>
      <c r="CE34" s="5" t="n"/>
      <c r="CF34" s="29" t="n"/>
      <c r="CG34" s="29" t="n"/>
      <c r="CH34" s="29" t="n"/>
      <c r="CI34" s="29" t="n"/>
      <c r="CJ34" s="29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5" t="n"/>
      <c r="CX34" s="29" t="n"/>
      <c r="CY34" s="29" t="n"/>
      <c r="CZ34" s="29" t="n"/>
      <c r="DA34" s="29" t="n"/>
      <c r="DB34" s="29" t="n"/>
      <c r="DD34" s="29" t="n"/>
      <c r="DE34" s="29" t="n"/>
      <c r="DG34" s="29" t="n"/>
      <c r="DH34" s="29" t="n"/>
      <c r="DI34" s="29" t="n"/>
      <c r="DJ34" s="29" t="n"/>
      <c r="DK34" s="29" t="n"/>
      <c r="DL34" s="29" t="n"/>
      <c r="DM34" s="29" t="n"/>
      <c r="DN34" s="29" t="n"/>
      <c r="DO34" s="29" t="n"/>
      <c r="DP34" s="5" t="n"/>
      <c r="DQ34" s="5" t="n"/>
      <c r="DR34" s="29" t="n"/>
      <c r="DS34" s="5" t="n"/>
      <c r="DU34" s="327" t="n"/>
      <c r="DV34" s="29" t="n"/>
      <c r="DZ34" s="327" t="n"/>
      <c r="EF34" s="327" t="n"/>
      <c r="EH34" s="327" t="n"/>
      <c r="EU34" s="5" t="n"/>
      <c r="EV34" s="5" t="n"/>
      <c r="EW34" s="5" t="n"/>
      <c r="EX34" s="5" t="n"/>
      <c r="EY34" s="5" t="n"/>
      <c r="EZ34" s="5" t="n"/>
      <c r="FA34" s="5" t="n"/>
      <c r="FB34" s="5" t="n"/>
      <c r="FC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109</v>
      </c>
      <c r="AA35" s="699" t="n">
        <v>100</v>
      </c>
      <c r="AB35" s="699" t="n">
        <v>94</v>
      </c>
      <c r="AC35" s="699" t="n">
        <v>88</v>
      </c>
      <c r="AD35" s="699" t="n">
        <v>33</v>
      </c>
      <c r="AE35" s="699" t="n">
        <v>24</v>
      </c>
      <c r="AF35" s="699" t="n">
        <v>9</v>
      </c>
      <c r="AG35" s="699" t="n">
        <v>3</v>
      </c>
      <c r="AH35" s="699" t="n">
        <v>6</v>
      </c>
      <c r="AI35" s="699" t="n">
        <v>5</v>
      </c>
      <c r="AJ35" s="699" t="n">
        <v>5</v>
      </c>
      <c r="AK35" s="699" t="n">
        <v>5</v>
      </c>
      <c r="AL35" s="699" t="n">
        <v>5</v>
      </c>
      <c r="AM35" s="699" t="n">
        <v>4</v>
      </c>
      <c r="AN35" s="699" t="n">
        <v>2</v>
      </c>
      <c r="AO35" s="699" t="n">
        <v>1</v>
      </c>
      <c r="AP35" s="699" t="n">
        <v>0</v>
      </c>
      <c r="AQ35" s="699" t="n">
        <v>0</v>
      </c>
      <c r="AR35" s="699" t="n">
        <v>0</v>
      </c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192">
        <f>BS35+IF(NOT(ISBLANK(OFFSET(BU35,0,6))),N(OFFSET(BU35,0,6)),N(OFFSET(BU35,0,7)))-BT35</f>
        <v/>
      </c>
      <c r="CA35" s="29" t="n"/>
      <c r="CB35" s="29" t="n"/>
      <c r="CC35" s="29" t="n"/>
      <c r="CD35" s="29" t="n"/>
      <c r="CE35" s="5" t="n"/>
      <c r="CF35" s="29" t="n"/>
      <c r="CG35" s="29" t="n"/>
      <c r="CH35" s="29" t="n"/>
      <c r="CI35" s="29" t="n"/>
      <c r="CJ35" s="29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5" t="n"/>
      <c r="CX35" s="29" t="n"/>
      <c r="CY35" s="29" t="n"/>
      <c r="CZ35" s="29" t="n"/>
      <c r="DA35" s="29" t="n"/>
      <c r="DB35" s="29" t="n"/>
      <c r="DD35" s="29" t="n"/>
      <c r="DE35" s="29" t="n"/>
      <c r="DG35" s="29" t="n"/>
      <c r="DH35" s="29" t="n"/>
      <c r="DI35" s="29" t="n"/>
      <c r="DJ35" s="29" t="n"/>
      <c r="DK35" s="29" t="n"/>
      <c r="DL35" s="29" t="n"/>
      <c r="DM35" s="29" t="n"/>
      <c r="DN35" s="29" t="n"/>
      <c r="DO35" s="29" t="n"/>
      <c r="DP35" s="5" t="n"/>
      <c r="DQ35" s="5" t="n"/>
      <c r="DR35" s="29" t="n"/>
      <c r="DS35" s="5" t="n"/>
      <c r="DU35" s="327" t="n"/>
      <c r="DV35" s="29" t="n"/>
      <c r="DZ35" s="327" t="n"/>
      <c r="EF35" s="327" t="n"/>
      <c r="EH35" s="327" t="n"/>
      <c r="EU35" s="5" t="n"/>
      <c r="EV35" s="5" t="n"/>
      <c r="EW35" s="5" t="n"/>
      <c r="EX35" s="5" t="n"/>
      <c r="EY35" s="5" t="n"/>
      <c r="EZ35" s="5" t="n"/>
      <c r="FA35" s="5" t="n"/>
      <c r="FB35" s="5" t="n"/>
      <c r="FC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63</v>
      </c>
      <c r="AA36" s="699" t="n">
        <v>62</v>
      </c>
      <c r="AB36" s="699" t="n">
        <v>60</v>
      </c>
      <c r="AC36" s="699" t="n">
        <v>0</v>
      </c>
      <c r="AD36" s="699" t="n">
        <v>0</v>
      </c>
      <c r="AE36" s="699" t="n"/>
      <c r="AF36" s="699" t="n"/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192">
        <f>BS36+IF(NOT(ISBLANK(OFFSET(BU36,0,6))),N(OFFSET(BU36,0,6)),N(OFFSET(BU36,0,7)))-BT36</f>
        <v/>
      </c>
      <c r="CA36" s="29" t="n"/>
      <c r="CB36" s="29" t="n"/>
      <c r="CC36" s="29" t="n"/>
      <c r="CD36" s="29" t="n"/>
      <c r="CE36" s="5" t="n"/>
      <c r="CF36" s="29" t="n"/>
      <c r="CG36" s="29" t="n"/>
      <c r="CH36" s="29" t="n"/>
      <c r="CI36" s="29" t="n"/>
      <c r="CJ36" s="29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5" t="n"/>
      <c r="CX36" s="29" t="n"/>
      <c r="CY36" s="29" t="n"/>
      <c r="CZ36" s="29" t="n"/>
      <c r="DA36" s="29" t="n"/>
      <c r="DB36" s="29" t="n"/>
      <c r="DD36" s="29" t="n"/>
      <c r="DE36" s="29" t="n"/>
      <c r="DG36" s="29" t="n"/>
      <c r="DH36" s="29" t="n"/>
      <c r="DI36" s="29" t="n"/>
      <c r="DJ36" s="29" t="n"/>
      <c r="DK36" s="29" t="n"/>
      <c r="DL36" s="29" t="n"/>
      <c r="DM36" s="29" t="n"/>
      <c r="DN36" s="29" t="n"/>
      <c r="DO36" s="29" t="n"/>
      <c r="DP36" s="5" t="n"/>
      <c r="DQ36" s="5" t="n"/>
      <c r="DR36" s="29" t="n"/>
      <c r="DS36" s="5" t="n"/>
      <c r="DU36" s="327" t="n"/>
      <c r="DV36" s="29" t="n"/>
      <c r="DZ36" s="327" t="n"/>
      <c r="EF36" s="327" t="n"/>
      <c r="EH36" s="327" t="n"/>
      <c r="EU36" s="5" t="n"/>
      <c r="EV36" s="5" t="n"/>
      <c r="EW36" s="5" t="n"/>
      <c r="EX36" s="5" t="n"/>
      <c r="EY36" s="5" t="n"/>
      <c r="EZ36" s="5" t="n"/>
      <c r="FA36" s="5" t="n"/>
      <c r="FB36" s="5" t="n"/>
      <c r="FC36" s="5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/>
      <c r="AF37" s="699" t="n"/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192">
        <f>BS37+IF(NOT(ISBLANK(OFFSET(BU37,0,6))),N(OFFSET(BU37,0,6)),N(OFFSET(BU37,0,7)))-BT37</f>
        <v/>
      </c>
      <c r="CA37" s="29" t="n"/>
      <c r="CB37" s="29" t="n"/>
      <c r="CC37" s="29" t="n"/>
      <c r="CD37" s="29" t="n"/>
      <c r="CE37" s="5" t="n"/>
      <c r="CF37" s="29" t="n"/>
      <c r="CG37" s="29" t="n"/>
      <c r="CH37" s="29" t="n"/>
      <c r="CI37" s="29" t="n"/>
      <c r="CJ37" s="29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5" t="n"/>
      <c r="CX37" s="29" t="n"/>
      <c r="CY37" s="29" t="n"/>
      <c r="CZ37" s="29" t="n"/>
      <c r="DA37" s="29" t="n"/>
      <c r="DB37" s="29" t="n"/>
      <c r="DD37" s="29" t="n"/>
      <c r="DE37" s="29" t="n"/>
      <c r="DG37" s="29" t="n"/>
      <c r="DH37" s="29" t="n"/>
      <c r="DI37" s="29" t="n"/>
      <c r="DJ37" s="29" t="n"/>
      <c r="DK37" s="29" t="n"/>
      <c r="DL37" s="29" t="n"/>
      <c r="DM37" s="29" t="n"/>
      <c r="DN37" s="29" t="n"/>
      <c r="DO37" s="29" t="n"/>
      <c r="DP37" s="5" t="n"/>
      <c r="DQ37" s="5" t="n"/>
      <c r="DR37" s="29" t="n"/>
      <c r="DS37" s="5" t="n"/>
      <c r="DU37" s="327" t="n"/>
      <c r="DV37" s="29" t="n"/>
      <c r="DZ37" s="327" t="n"/>
      <c r="EF37" s="327" t="n"/>
      <c r="EH37" s="327" t="n"/>
      <c r="EU37" s="5" t="n"/>
      <c r="EV37" s="5" t="n"/>
      <c r="EW37" s="5" t="n"/>
      <c r="EX37" s="5" t="n"/>
      <c r="EY37" s="5" t="n"/>
      <c r="EZ37" s="5" t="n"/>
      <c r="FA37" s="5" t="n"/>
      <c r="FB37" s="5" t="n"/>
      <c r="FC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0+50</f>
        <v/>
      </c>
      <c r="AA38" s="218" t="n">
        <v>-19</v>
      </c>
      <c r="AB38" s="699" t="n">
        <v>20</v>
      </c>
      <c r="AC38" s="699" t="n">
        <v>9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192">
        <f>BS38+IF(NOT(ISBLANK(OFFSET(BU38,0,6))),N(OFFSET(BU38,0,6)),N(OFFSET(BU38,0,7)))-BT38</f>
        <v/>
      </c>
      <c r="CA38" s="29" t="n"/>
      <c r="CB38" s="29" t="n"/>
      <c r="CC38" s="29" t="n"/>
      <c r="CD38" s="29" t="n"/>
      <c r="CE38" s="5" t="n"/>
      <c r="CF38" s="29" t="n"/>
      <c r="CG38" s="29" t="n"/>
      <c r="CH38" s="29" t="n"/>
      <c r="CI38" s="29" t="n"/>
      <c r="CJ38" s="29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5" t="n"/>
      <c r="CX38" s="29" t="n"/>
      <c r="CY38" s="29" t="n"/>
      <c r="CZ38" s="29" t="n"/>
      <c r="DA38" s="29" t="n"/>
      <c r="DB38" s="29" t="n"/>
      <c r="DD38" s="29" t="n"/>
      <c r="DE38" s="29" t="n"/>
      <c r="DG38" s="29" t="n"/>
      <c r="DH38" s="29" t="n"/>
      <c r="DI38" s="29" t="n"/>
      <c r="DJ38" s="29" t="n"/>
      <c r="DK38" s="29" t="n"/>
      <c r="DL38" s="29" t="n"/>
      <c r="DM38" s="29" t="n"/>
      <c r="DN38" s="29" t="n"/>
      <c r="DO38" s="29" t="n"/>
      <c r="DP38" s="5" t="n"/>
      <c r="DQ38" s="5" t="n"/>
      <c r="DR38" s="29" t="n"/>
      <c r="DS38" s="5" t="n"/>
      <c r="DU38" s="327" t="n"/>
      <c r="DV38" s="29" t="n"/>
      <c r="DZ38" s="327" t="n"/>
      <c r="EF38" s="327" t="n"/>
      <c r="EH38" s="327" t="n"/>
      <c r="EU38" s="5" t="n"/>
      <c r="EV38" s="5" t="n"/>
      <c r="EW38" s="5" t="n"/>
      <c r="EX38" s="5" t="n"/>
      <c r="EY38" s="5" t="n"/>
      <c r="EZ38" s="5" t="n"/>
      <c r="FA38" s="5" t="n"/>
      <c r="FB38" s="5" t="n"/>
      <c r="FC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/>
      <c r="AF39" s="699" t="n"/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192">
        <f>BS39+IF(NOT(ISBLANK(OFFSET(BU39,0,6))),N(OFFSET(BU39,0,6)),N(OFFSET(BU39,0,7)))-BT39</f>
        <v/>
      </c>
      <c r="CA39" s="29" t="n"/>
      <c r="CB39" s="29" t="n"/>
      <c r="CC39" s="29" t="n"/>
      <c r="CD39" s="29" t="n"/>
      <c r="CE39" s="51" t="n"/>
      <c r="CF39" s="29" t="n"/>
      <c r="CG39" s="29" t="n"/>
      <c r="CH39" s="29" t="n"/>
      <c r="CI39" s="29" t="n"/>
      <c r="CJ39" s="29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5" t="n"/>
      <c r="CX39" s="29" t="n"/>
      <c r="CY39" s="29" t="n"/>
      <c r="CZ39" s="29" t="n"/>
      <c r="DA39" s="29" t="n"/>
      <c r="DB39" s="29" t="n"/>
      <c r="DD39" s="29" t="n"/>
      <c r="DE39" s="29" t="n"/>
      <c r="DG39" s="29" t="n"/>
      <c r="DH39" s="29" t="n"/>
      <c r="DI39" s="29" t="n"/>
      <c r="DJ39" s="29" t="n"/>
      <c r="DK39" s="29" t="n"/>
      <c r="DL39" s="29" t="n"/>
      <c r="DM39" s="29" t="n"/>
      <c r="DN39" s="29" t="n"/>
      <c r="DO39" s="29" t="n"/>
      <c r="DP39" s="5" t="n"/>
      <c r="DQ39" s="5" t="n"/>
      <c r="DR39" s="29" t="n"/>
      <c r="DS39" s="5" t="n"/>
      <c r="DU39" s="327" t="n"/>
      <c r="DV39" s="29" t="n"/>
      <c r="DZ39" s="327" t="n"/>
      <c r="EF39" s="327" t="n"/>
      <c r="EH39" s="327" t="n"/>
      <c r="EU39" s="5" t="n"/>
      <c r="EV39" s="5" t="n"/>
      <c r="EW39" s="5" t="n"/>
      <c r="EX39" s="5" t="n"/>
      <c r="EY39" s="5" t="n"/>
      <c r="EZ39" s="5" t="n"/>
      <c r="FA39" s="5" t="n"/>
      <c r="FB39" s="5" t="n"/>
      <c r="FC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699" t="n">
        <v>2</v>
      </c>
      <c r="AD40" s="699" t="n">
        <v>2</v>
      </c>
      <c r="AE40" s="699" t="n">
        <v>2</v>
      </c>
      <c r="AF40" s="699" t="n">
        <v>2</v>
      </c>
      <c r="AG40" s="699" t="n">
        <v>2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192">
        <f>BS40+IF(NOT(ISBLANK(OFFSET(BU40,0,6))),N(OFFSET(BU40,0,6)),N(OFFSET(BU40,0,7)))-BT40</f>
        <v/>
      </c>
      <c r="CA40" s="29" t="n"/>
      <c r="CB40" s="29" t="n"/>
      <c r="CC40" s="29" t="n"/>
      <c r="CD40" s="29" t="n"/>
      <c r="CE40" s="51" t="n"/>
      <c r="CF40" s="29" t="n"/>
      <c r="CG40" s="29" t="n"/>
      <c r="CH40" s="29" t="n"/>
      <c r="CI40" s="29" t="n"/>
      <c r="CJ40" s="29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5" t="n"/>
      <c r="CX40" s="29" t="n"/>
      <c r="CY40" s="29" t="n"/>
      <c r="CZ40" s="29" t="n"/>
      <c r="DA40" s="29" t="n"/>
      <c r="DB40" s="29" t="n"/>
      <c r="DD40" s="29" t="n"/>
      <c r="DE40" s="29" t="n"/>
      <c r="DG40" s="29" t="n"/>
      <c r="DH40" s="29" t="n"/>
      <c r="DI40" s="29" t="n"/>
      <c r="DJ40" s="29" t="n"/>
      <c r="DK40" s="29" t="n"/>
      <c r="DL40" s="29" t="n"/>
      <c r="DM40" s="29" t="n"/>
      <c r="DN40" s="29" t="n"/>
      <c r="DO40" s="29" t="n"/>
      <c r="DP40" s="5" t="n"/>
      <c r="DQ40" s="5" t="n"/>
      <c r="DR40" s="29" t="n"/>
      <c r="DS40" s="5" t="n"/>
      <c r="DU40" s="327" t="n"/>
      <c r="DV40" s="29" t="n"/>
      <c r="DZ40" s="327" t="n"/>
      <c r="EF40" s="327" t="n"/>
      <c r="EH40" s="327" t="n"/>
      <c r="EU40" s="5" t="n"/>
      <c r="EV40" s="5" t="n"/>
      <c r="EW40" s="5" t="n"/>
      <c r="EX40" s="5" t="n"/>
      <c r="EY40" s="5" t="n"/>
      <c r="EZ40" s="5" t="n"/>
      <c r="FA40" s="5" t="n"/>
      <c r="FB40" s="5" t="n"/>
      <c r="FC40" s="5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699" t="n">
        <v>3</v>
      </c>
      <c r="AK41" s="699" t="n">
        <v>2</v>
      </c>
      <c r="AL41" s="699" t="n">
        <v>2</v>
      </c>
      <c r="AM41" s="699" t="n">
        <v>2</v>
      </c>
      <c r="AN41" s="699" t="n">
        <v>2</v>
      </c>
      <c r="AO41" s="699" t="n">
        <v>2</v>
      </c>
      <c r="AP41" s="699" t="n">
        <v>0</v>
      </c>
      <c r="AQ41" s="699" t="n">
        <v>0</v>
      </c>
      <c r="AR41" s="699" t="n">
        <v>0</v>
      </c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192">
        <f>BS41+IF(NOT(ISBLANK(OFFSET(BU41,0,6))),N(OFFSET(BU41,0,6)),N(OFFSET(BU41,0,7)))-BT41</f>
        <v/>
      </c>
      <c r="CA41" s="29" t="n"/>
      <c r="CB41" s="29" t="n"/>
      <c r="CC41" s="29" t="n"/>
      <c r="CD41" s="29" t="n"/>
      <c r="CE41" s="573" t="n"/>
      <c r="CF41" s="29" t="n"/>
      <c r="CG41" s="29" t="n"/>
      <c r="CH41" s="29" t="n"/>
      <c r="CI41" s="29" t="n"/>
      <c r="CJ41" s="29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5" t="n"/>
      <c r="CX41" s="29" t="n"/>
      <c r="CY41" s="29" t="n"/>
      <c r="CZ41" s="29" t="n"/>
      <c r="DA41" s="29" t="n"/>
      <c r="DB41" s="29" t="n"/>
      <c r="DD41" s="29" t="n"/>
      <c r="DE41" s="29" t="n"/>
      <c r="DG41" s="29" t="n"/>
      <c r="DH41" s="29" t="n"/>
      <c r="DI41" s="29" t="n"/>
      <c r="DJ41" s="29" t="n"/>
      <c r="DK41" s="29" t="n"/>
      <c r="DL41" s="29" t="n"/>
      <c r="DM41" s="29" t="n"/>
      <c r="DN41" s="29" t="n"/>
      <c r="DO41" s="29" t="n"/>
      <c r="DP41" s="5" t="n"/>
      <c r="DQ41" s="5" t="n"/>
      <c r="DR41" s="29" t="n"/>
      <c r="DS41" s="5" t="n"/>
      <c r="DU41" s="327" t="n"/>
      <c r="DV41" s="29" t="n"/>
      <c r="DZ41" s="327" t="n"/>
      <c r="EF41" s="327" t="n"/>
      <c r="EH41" s="327" t="n"/>
      <c r="EU41" s="573" t="n"/>
      <c r="EV41" s="573" t="n"/>
      <c r="EW41" s="573" t="n"/>
      <c r="EX41" s="573" t="n"/>
      <c r="EY41" s="573" t="n"/>
      <c r="EZ41" s="573" t="n"/>
      <c r="FA41" s="573" t="n"/>
      <c r="FB41" s="573" t="n"/>
      <c r="FC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699" t="n">
        <v>46</v>
      </c>
      <c r="AK42" s="699" t="n">
        <v>43</v>
      </c>
      <c r="AL42" s="699" t="n">
        <v>42</v>
      </c>
      <c r="AM42" s="699" t="n">
        <v>39</v>
      </c>
      <c r="AN42" s="699" t="n">
        <v>39</v>
      </c>
      <c r="AO42" s="699" t="n">
        <v>38</v>
      </c>
      <c r="AP42" s="699" t="n">
        <v>26</v>
      </c>
      <c r="AQ42" s="699" t="n">
        <v>9</v>
      </c>
      <c r="AR42" s="699" t="n">
        <v>3</v>
      </c>
      <c r="AS42" s="699" t="n">
        <v>3</v>
      </c>
      <c r="AT42" s="699" t="n">
        <v>3</v>
      </c>
      <c r="AU42" s="699" t="n">
        <v>3</v>
      </c>
      <c r="AV42" s="699" t="n">
        <v>3</v>
      </c>
      <c r="AW42" s="699" t="n">
        <v>0</v>
      </c>
      <c r="AX42" s="699" t="n">
        <v>0</v>
      </c>
      <c r="AY42" s="699" t="n">
        <v>0</v>
      </c>
      <c r="AZ42" s="699" t="n">
        <v>0</v>
      </c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192">
        <f>BS42+IF(NOT(ISBLANK(OFFSET(BU42,0,6))),N(OFFSET(BU42,0,6)),N(OFFSET(BU42,0,7)))-BT42</f>
        <v/>
      </c>
      <c r="CA42" s="29" t="n"/>
      <c r="CB42" s="29" t="n"/>
      <c r="CC42" s="29" t="n"/>
      <c r="CD42" s="29" t="n"/>
      <c r="CE42" s="573" t="n"/>
      <c r="CF42" s="29" t="n"/>
      <c r="CG42" s="29" t="n"/>
      <c r="CH42" s="29" t="n"/>
      <c r="CI42" s="29" t="n"/>
      <c r="CJ42" s="29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5" t="n"/>
      <c r="CX42" s="29" t="n"/>
      <c r="CY42" s="29" t="n"/>
      <c r="CZ42" s="29" t="n"/>
      <c r="DA42" s="29" t="n"/>
      <c r="DB42" s="29" t="n"/>
      <c r="DD42" s="29" t="n"/>
      <c r="DE42" s="29" t="n"/>
      <c r="DG42" s="29" t="n"/>
      <c r="DH42" s="29" t="n"/>
      <c r="DI42" s="29" t="n"/>
      <c r="DJ42" s="29" t="n"/>
      <c r="DK42" s="29" t="n"/>
      <c r="DL42" s="29" t="n"/>
      <c r="DM42" s="29" t="n"/>
      <c r="DN42" s="29" t="n"/>
      <c r="DO42" s="29" t="n"/>
      <c r="DP42" s="5" t="n"/>
      <c r="DQ42" s="5" t="n"/>
      <c r="DR42" s="29" t="n"/>
      <c r="DS42" s="5" t="n"/>
      <c r="DU42" s="327" t="n"/>
      <c r="DV42" s="29" t="n"/>
      <c r="DZ42" s="327" t="n"/>
      <c r="EF42" s="327" t="n"/>
      <c r="EH42" s="327" t="n"/>
      <c r="EU42" s="573" t="n"/>
      <c r="EV42" s="573" t="n"/>
      <c r="EW42" s="573" t="n"/>
      <c r="EX42" s="573" t="n"/>
      <c r="EY42" s="573" t="n"/>
      <c r="EZ42" s="573" t="n"/>
      <c r="FA42" s="573" t="n"/>
      <c r="FB42" s="573" t="n"/>
      <c r="FC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699" t="n">
        <v>1</v>
      </c>
      <c r="AK43" s="699" t="n">
        <v>0</v>
      </c>
      <c r="AL43" s="699" t="n">
        <v>0</v>
      </c>
      <c r="AM43" s="699" t="n">
        <v>0</v>
      </c>
      <c r="AN43" s="699" t="n">
        <v>0</v>
      </c>
      <c r="AO43" s="699" t="n">
        <v>0</v>
      </c>
      <c r="AP43" s="699" t="n"/>
      <c r="AQ43" s="699" t="n"/>
      <c r="AR43" s="699" t="n"/>
      <c r="AS43" s="699" t="n"/>
      <c r="AT43" s="699" t="n"/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192">
        <f>BS43+IF(NOT(ISBLANK(OFFSET(BU43,0,6))),N(OFFSET(BU43,0,6)),N(OFFSET(BU43,0,7)))-BT43</f>
        <v/>
      </c>
      <c r="CA43" s="29" t="n"/>
      <c r="CB43" s="29" t="n"/>
      <c r="CC43" s="29" t="n"/>
      <c r="CD43" s="29" t="n"/>
      <c r="CE43" s="573" t="n"/>
      <c r="CF43" s="29" t="n"/>
      <c r="CG43" s="29" t="n"/>
      <c r="CH43" s="29" t="n"/>
      <c r="CI43" s="29" t="n"/>
      <c r="CJ43" s="29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5" t="n"/>
      <c r="CX43" s="29" t="n"/>
      <c r="CY43" s="29" t="n"/>
      <c r="CZ43" s="29" t="n"/>
      <c r="DA43" s="29" t="n"/>
      <c r="DB43" s="29" t="n"/>
      <c r="DD43" s="29" t="n"/>
      <c r="DE43" s="29" t="n"/>
      <c r="DG43" s="29" t="n"/>
      <c r="DH43" s="29" t="n"/>
      <c r="DI43" s="29" t="n"/>
      <c r="DJ43" s="29" t="n"/>
      <c r="DK43" s="29" t="n"/>
      <c r="DL43" s="29" t="n"/>
      <c r="DM43" s="29" t="n"/>
      <c r="DN43" s="29" t="n"/>
      <c r="DO43" s="29" t="n"/>
      <c r="DP43" s="5" t="n"/>
      <c r="DQ43" s="5" t="n"/>
      <c r="DR43" s="29" t="n"/>
      <c r="DS43" s="5" t="n"/>
      <c r="DU43" s="327" t="n"/>
      <c r="DV43" s="29" t="n"/>
      <c r="DZ43" s="327" t="n"/>
      <c r="EF43" s="327" t="n"/>
      <c r="EH43" s="327" t="n"/>
      <c r="EU43" s="573" t="n"/>
      <c r="EV43" s="573" t="n"/>
      <c r="EW43" s="573" t="n"/>
      <c r="EX43" s="573" t="n"/>
      <c r="EY43" s="573" t="n"/>
      <c r="EZ43" s="573" t="n"/>
      <c r="FA43" s="573" t="n"/>
      <c r="FB43" s="573" t="n"/>
      <c r="FC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AY44" s="699" t="n">
        <v>129</v>
      </c>
      <c r="AZ44" s="699" t="n">
        <v>108</v>
      </c>
      <c r="BA44" s="699" t="n">
        <v>82</v>
      </c>
      <c r="BB44" s="699" t="n">
        <v>76</v>
      </c>
      <c r="BC44" s="699" t="n">
        <v>68</v>
      </c>
      <c r="BD44" s="699" t="n">
        <v>61</v>
      </c>
      <c r="BE44" s="699" t="n">
        <v>54</v>
      </c>
      <c r="BF44" s="699" t="n">
        <v>47</v>
      </c>
      <c r="BG44" s="699" t="n">
        <v>47</v>
      </c>
      <c r="BH44" s="699" t="n">
        <v>43</v>
      </c>
      <c r="BI44" s="699" t="n">
        <v>35</v>
      </c>
      <c r="BJ44" s="699" t="n">
        <v>22</v>
      </c>
      <c r="BK44" s="699" t="n">
        <v>4</v>
      </c>
      <c r="BL44" s="699" t="n">
        <v>0</v>
      </c>
      <c r="BM44" s="699" t="n">
        <v>0</v>
      </c>
      <c r="BN44" s="699" t="n"/>
      <c r="BO44" s="699" t="n"/>
      <c r="BP44" s="699" t="n"/>
      <c r="BQ44" s="699" t="n"/>
      <c r="BR44" s="699" t="n"/>
      <c r="BS44" s="699" t="n"/>
      <c r="BT44" s="699" t="n"/>
      <c r="BU44" s="192">
        <f>BS44+IF(NOT(ISBLANK(OFFSET(BU44,0,6))),N(OFFSET(BU44,0,6)),N(OFFSET(BU44,0,7)))-BT44</f>
        <v/>
      </c>
      <c r="BV44" s="50" t="n"/>
      <c r="BX44" s="29" t="n"/>
      <c r="BY44" s="29" t="n"/>
      <c r="BZ44" s="29" t="n"/>
      <c r="CE44" s="573" t="n"/>
      <c r="CW44" s="5" t="n"/>
      <c r="DP44" s="5" t="n"/>
      <c r="DQ44" s="5" t="n"/>
      <c r="DS44" s="5" t="n"/>
      <c r="DT44" s="173" t="n"/>
      <c r="DU44" s="327" t="n"/>
      <c r="DX44" s="173" t="n"/>
      <c r="DZ44" s="327" t="n"/>
      <c r="EA44" s="173" t="n"/>
      <c r="EF44" s="327" t="n"/>
      <c r="EH44" s="327" t="n"/>
      <c r="EU44" s="573" t="n"/>
      <c r="EV44" s="573" t="n"/>
      <c r="EW44" s="573" t="n"/>
      <c r="EX44" s="573" t="n"/>
      <c r="EY44" s="573" t="n"/>
      <c r="EZ44" s="573" t="n"/>
      <c r="FA44" s="573" t="n"/>
      <c r="FB44" s="573" t="n"/>
      <c r="FC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AY45" s="699" t="n">
        <v>142</v>
      </c>
      <c r="AZ45" s="699" t="n">
        <v>83</v>
      </c>
      <c r="BA45" s="699" t="n">
        <v>43</v>
      </c>
      <c r="BB45" s="699" t="n">
        <v>40</v>
      </c>
      <c r="BC45" s="699" t="n">
        <v>0</v>
      </c>
      <c r="BD45" s="699" t="n">
        <v>0</v>
      </c>
      <c r="BE45" s="699" t="n">
        <v>0</v>
      </c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192">
        <f>BS45+IF(NOT(ISBLANK(OFFSET(BU45,0,6))),N(OFFSET(BU45,0,6)),N(OFFSET(BU45,0,7)))-BT45</f>
        <v/>
      </c>
      <c r="BV45" s="50" t="n"/>
      <c r="BX45" s="29" t="n"/>
      <c r="BY45" s="29" t="n"/>
      <c r="BZ45" s="29" t="n"/>
      <c r="CW45" s="5" t="n"/>
      <c r="DP45" s="5" t="n"/>
      <c r="DQ45" s="5" t="n"/>
      <c r="DS45" s="5" t="n"/>
      <c r="DT45" s="173" t="n"/>
      <c r="DU45" s="327" t="n"/>
      <c r="DX45" s="173" t="n"/>
      <c r="DZ45" s="327" t="n"/>
      <c r="EA45" s="173" t="n"/>
      <c r="EF45" s="327" t="n"/>
      <c r="EH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AY46" s="699" t="n">
        <v>213</v>
      </c>
      <c r="AZ46" s="699" t="n">
        <v>19</v>
      </c>
      <c r="BA46" s="699" t="n">
        <v>-8</v>
      </c>
      <c r="BB46" s="699" t="n">
        <v>-9</v>
      </c>
      <c r="BC46" s="699" t="n">
        <v>0</v>
      </c>
      <c r="BD46" s="699" t="n">
        <v>0</v>
      </c>
      <c r="BE46" s="699" t="n">
        <v>0</v>
      </c>
      <c r="BF46" s="699" t="n"/>
      <c r="BG46" s="699" t="n"/>
      <c r="BH46" s="699" t="n"/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192">
        <f>BS46+IF(NOT(ISBLANK(OFFSET(BU46,0,6))),N(OFFSET(BU46,0,6)),N(OFFSET(BU46,0,7)))-BT46</f>
        <v/>
      </c>
      <c r="BV46" s="50" t="n"/>
      <c r="BX46" s="29" t="n"/>
      <c r="BY46" s="29" t="n"/>
      <c r="BZ46" s="29" t="n"/>
      <c r="CW46" s="5" t="n"/>
      <c r="DP46" s="5" t="n"/>
      <c r="DQ46" s="5" t="n"/>
      <c r="DS46" s="5" t="n"/>
      <c r="DT46" s="173" t="n"/>
      <c r="DU46" s="327" t="n"/>
      <c r="DX46" s="173" t="n"/>
      <c r="DZ46" s="327" t="n"/>
      <c r="EA46" s="173" t="n"/>
      <c r="EF46" s="327" t="n"/>
      <c r="EH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AY47" s="699" t="n">
        <v>173</v>
      </c>
      <c r="AZ47" s="699" t="n">
        <v>49</v>
      </c>
      <c r="BA47" s="699" t="n">
        <v>7</v>
      </c>
      <c r="BB47" s="699" t="n">
        <v>7</v>
      </c>
      <c r="BC47" s="699" t="n">
        <v>0</v>
      </c>
      <c r="BD47" s="699" t="n">
        <v>0</v>
      </c>
      <c r="BE47" s="699" t="n">
        <v>0</v>
      </c>
      <c r="BF47" s="699" t="n">
        <v>0</v>
      </c>
      <c r="BG47" s="699" t="n">
        <v>3</v>
      </c>
      <c r="BH47" s="699" t="n">
        <v>3</v>
      </c>
      <c r="BI47" s="699" t="n">
        <v>3</v>
      </c>
      <c r="BJ47" s="699" t="n">
        <v>3</v>
      </c>
      <c r="BK47" s="699" t="n">
        <v>2</v>
      </c>
      <c r="BL47" s="699" t="n">
        <v>2</v>
      </c>
      <c r="BM47" s="699" t="n">
        <v>2</v>
      </c>
      <c r="BN47" s="699" t="n">
        <v>2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>
        <v>0</v>
      </c>
      <c r="BT47" s="699" t="n"/>
      <c r="BU47" s="192">
        <f>BS47+IF(NOT(ISBLANK(OFFSET(BU47,0,6))),N(OFFSET(BU47,0,6)),N(OFFSET(BU47,0,7)))-BT47</f>
        <v/>
      </c>
      <c r="BV47" s="50" t="n"/>
      <c r="BX47" s="29" t="n"/>
      <c r="BY47" s="29" t="n"/>
      <c r="BZ47" s="29" t="n"/>
      <c r="CE47" s="5" t="n"/>
      <c r="CW47" s="5" t="n"/>
      <c r="DP47" s="5" t="n"/>
      <c r="DQ47" s="5" t="n"/>
      <c r="DS47" s="5" t="n"/>
      <c r="DT47" s="173" t="n"/>
      <c r="DU47" s="327" t="n"/>
      <c r="DX47" s="173" t="n"/>
      <c r="DZ47" s="327" t="n"/>
      <c r="EA47" s="173" t="n"/>
      <c r="EF47" s="327" t="n"/>
      <c r="EH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AY48" s="699" t="n"/>
      <c r="AZ48" s="699" t="n"/>
      <c r="BA48" s="699" t="n">
        <v>0</v>
      </c>
      <c r="BB48" s="699" t="n">
        <v>0</v>
      </c>
      <c r="BC48" s="699" t="n">
        <v>0</v>
      </c>
      <c r="BD48" s="699" t="n">
        <v>0</v>
      </c>
      <c r="BE48" s="699" t="n">
        <v>0</v>
      </c>
      <c r="BF48" s="699" t="n"/>
      <c r="BG48" s="699" t="n"/>
      <c r="BH48" s="699" t="n"/>
      <c r="BI48" s="699" t="n"/>
      <c r="BJ48" s="699" t="n"/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192">
        <f>BS48+IF(NOT(ISBLANK(OFFSET(BU48,0,6))),N(OFFSET(BU48,0,6)),N(OFFSET(BU48,0,7)))-BT48</f>
        <v/>
      </c>
      <c r="BV48" s="50" t="n"/>
      <c r="BX48" s="29" t="n"/>
      <c r="BY48" s="29" t="n"/>
      <c r="BZ48" s="29" t="n"/>
      <c r="CW48" s="5" t="n"/>
      <c r="DP48" s="5" t="n"/>
      <c r="DQ48" s="5" t="n"/>
      <c r="DS48" s="5" t="n"/>
      <c r="DT48" s="173" t="n"/>
      <c r="DU48" s="327" t="n"/>
      <c r="DX48" s="173" t="n"/>
      <c r="DZ48" s="327" t="n"/>
      <c r="EA48" s="173" t="n"/>
      <c r="EF48" s="327" t="n"/>
      <c r="EH48" s="327" t="n"/>
    </row>
    <row r="49">
      <c r="C49" s="726" t="n"/>
      <c r="D49" s="726" t="n"/>
      <c r="BU49" s="573" t="n"/>
      <c r="BV49" s="50" t="n"/>
      <c r="BX49" s="29" t="n"/>
      <c r="BY49" s="29" t="n"/>
      <c r="BZ49" s="29" t="n"/>
      <c r="CW49" s="5" t="n"/>
      <c r="DP49" s="5" t="n"/>
      <c r="DQ49" s="5" t="n"/>
      <c r="DS49" s="5" t="n"/>
      <c r="DT49" s="173" t="n"/>
      <c r="DU49" s="327" t="n"/>
      <c r="DX49" s="173" t="n"/>
      <c r="DZ49" s="327" t="n"/>
      <c r="EA49" s="173" t="n"/>
      <c r="EF49" s="327" t="n"/>
      <c r="EH49" s="327" t="n"/>
    </row>
    <row r="50" ht="21" customHeight="1">
      <c r="A50" s="380" t="inlineStr">
        <is>
          <t>SOBRAS DATAS COMEMORATIVAS</t>
        </is>
      </c>
      <c r="B50" s="380" t="n"/>
      <c r="C50" s="380" t="n"/>
      <c r="BU50" s="573" t="n"/>
      <c r="BV50" s="50" t="n"/>
      <c r="BW50" s="573" t="n"/>
      <c r="BX50" s="29" t="n"/>
      <c r="BY50" s="29" t="n"/>
      <c r="BZ50" s="29" t="n"/>
      <c r="CW50" s="51" t="n"/>
      <c r="DP50" s="51" t="n"/>
      <c r="DQ50" s="51" t="n"/>
      <c r="DS50" s="5" t="n"/>
      <c r="DT50" s="174" t="n"/>
      <c r="DU50" s="327" t="n"/>
      <c r="DX50" s="174" t="n"/>
      <c r="DZ50" s="327" t="n"/>
      <c r="EA50" s="174" t="n"/>
      <c r="EF50" s="327" t="n"/>
      <c r="EH50" s="327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0" t="n"/>
      <c r="BW51" s="573" t="n"/>
      <c r="BX51" s="29" t="n"/>
      <c r="BY51" s="29" t="n"/>
      <c r="BZ51" s="29" t="n"/>
      <c r="CW51" s="51" t="n"/>
      <c r="DH51" s="59" t="n"/>
      <c r="DI51" s="59" t="n"/>
      <c r="DJ51" s="59" t="n"/>
      <c r="DK51" s="59" t="n"/>
      <c r="DL51" s="59" t="n"/>
      <c r="DM51" s="59" t="n"/>
      <c r="DN51" s="59" t="n"/>
      <c r="DO51" s="59" t="n"/>
      <c r="DP51" s="51" t="n"/>
      <c r="DQ51" s="51" t="n"/>
      <c r="DR51" s="59" t="n"/>
      <c r="DS51" s="51" t="n"/>
      <c r="DT51" s="174" t="n"/>
      <c r="DU51" s="327" t="n"/>
      <c r="DV51" s="59" t="n"/>
      <c r="DX51" s="174" t="n"/>
      <c r="DZ51" s="327" t="n"/>
      <c r="EA51" s="174" t="n"/>
      <c r="EF51" s="327" t="n"/>
      <c r="EH51" s="327" t="n"/>
    </row>
    <row r="52">
      <c r="A52" s="170" t="inlineStr">
        <is>
          <t>OVERBAG P PAIS/22</t>
        </is>
      </c>
      <c r="B52" s="177" t="n"/>
      <c r="C52" s="178" t="n">
        <v>30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W52" s="573" t="n"/>
      <c r="DC52" s="173" t="n"/>
      <c r="DF52" s="173" t="n"/>
      <c r="DH52" s="573" t="n"/>
      <c r="DI52" s="573" t="n"/>
      <c r="DJ52" s="573" t="n"/>
      <c r="DK52" s="573" t="n"/>
      <c r="DL52" s="573" t="n"/>
      <c r="DM52" s="573" t="n"/>
      <c r="DN52" s="573" t="n"/>
      <c r="DO52" s="573" t="n"/>
      <c r="DP52" s="573" t="n"/>
      <c r="DQ52" s="573" t="n"/>
      <c r="DR52" s="573" t="n"/>
      <c r="DS52" s="51" t="n"/>
      <c r="DU52" s="327" t="n"/>
      <c r="DV52" s="573" t="n"/>
      <c r="DW52" s="59" t="n"/>
      <c r="DY52" s="59" t="n"/>
      <c r="DZ52" s="327" t="n"/>
      <c r="EB52" s="59" t="n"/>
      <c r="EC52" s="59" t="n"/>
      <c r="ED52" s="59" t="n"/>
      <c r="EE52" s="59" t="n"/>
      <c r="EF52" s="327" t="n"/>
      <c r="EG52" s="59" t="n"/>
      <c r="EH52" s="327" t="n"/>
      <c r="EI52" s="59" t="n"/>
      <c r="EJ52" s="59" t="n"/>
      <c r="EK52" s="59" t="n"/>
      <c r="EL52" s="59" t="n"/>
      <c r="EM52" s="59" t="n"/>
      <c r="EN52" s="59" t="n"/>
      <c r="EO52" s="59" t="n"/>
      <c r="EP52" s="59" t="n"/>
      <c r="EQ52" s="59" t="n"/>
      <c r="ER52" s="59" t="n"/>
      <c r="ES52" s="59" t="n"/>
      <c r="ET52" s="573" t="n"/>
      <c r="FD52" s="2" t="n"/>
      <c r="FE52" s="2" t="n"/>
      <c r="FF52" s="2" t="n"/>
      <c r="FG52" s="2" t="n"/>
      <c r="FH52" s="2" t="n"/>
      <c r="FI52" s="2" t="n"/>
      <c r="FJ52" s="2" t="n"/>
      <c r="FK52" s="2" t="n"/>
      <c r="FL52" s="2" t="n"/>
      <c r="FM52" s="2" t="n"/>
      <c r="FN52" s="2" t="n"/>
      <c r="FO52" s="2" t="n"/>
      <c r="FP52" s="50" t="n"/>
      <c r="FQ52" s="50" t="n"/>
      <c r="FR52" s="50" t="n"/>
      <c r="FS52" s="50" t="n"/>
      <c r="FT52" s="50" t="n"/>
      <c r="FU52" s="50" t="n"/>
      <c r="FV52" s="50" t="n"/>
      <c r="FW52" s="50" t="n"/>
      <c r="FX52" s="50" t="n"/>
      <c r="FY52" s="50" t="n"/>
      <c r="FZ52" s="50" t="n"/>
      <c r="GA52" s="50" t="n"/>
      <c r="GB52" s="50" t="n"/>
      <c r="GC52" s="50" t="n"/>
      <c r="GD52" s="50" t="n"/>
      <c r="GE52" s="50" t="n"/>
      <c r="GF52" s="50" t="n"/>
      <c r="GG52" s="50" t="n"/>
      <c r="GH52" s="50" t="n"/>
      <c r="GI52" s="50" t="n"/>
      <c r="GJ52" s="50" t="n"/>
      <c r="GK52" s="50" t="n"/>
      <c r="GL52" s="50" t="n"/>
      <c r="GM52" s="50" t="n"/>
      <c r="GN52" s="50" t="n"/>
      <c r="GO52" s="50" t="n"/>
      <c r="GP52" s="50" t="n"/>
      <c r="GQ52" s="50" t="n"/>
      <c r="GR52" s="50" t="n"/>
      <c r="GS52" s="50" t="n"/>
      <c r="GT52" s="50" t="n"/>
      <c r="GU52" s="50" t="n"/>
      <c r="GV52" s="29" t="n"/>
      <c r="GW52" s="29" t="n"/>
      <c r="GX52" s="29" t="n"/>
      <c r="GY52" s="29" t="n"/>
      <c r="GZ52" s="29" t="n"/>
      <c r="HA52" s="29" t="n"/>
      <c r="HB52" s="29" t="n"/>
      <c r="HC52" s="50" t="n"/>
      <c r="HD52" s="50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50" t="n"/>
      <c r="HT52" s="50" t="n"/>
      <c r="HU52" s="50" t="n"/>
      <c r="HV52" s="50" t="n"/>
      <c r="HW52" s="50" t="n"/>
      <c r="HX52" s="50" t="n"/>
      <c r="HY52" s="50" t="n"/>
      <c r="HZ52" s="2" t="n"/>
      <c r="IA52" s="2" t="n"/>
      <c r="IB52" s="2" t="n"/>
      <c r="IC52" s="2" t="n"/>
      <c r="ID52" s="2" t="n"/>
      <c r="IE52" s="173" t="n"/>
      <c r="IF52" s="173" t="n"/>
      <c r="IG52" s="173" t="n"/>
      <c r="IH52" s="2" t="n"/>
      <c r="II52" s="2" t="n"/>
      <c r="IJ52" s="2" t="n"/>
      <c r="IK52" s="29" t="n"/>
      <c r="IL52" s="2" t="n"/>
      <c r="IM52" s="173" t="n"/>
      <c r="IN52" s="2" t="n"/>
      <c r="IO52" s="2" t="n"/>
      <c r="IP52" s="2" t="n"/>
      <c r="IQ52" s="2" t="n"/>
      <c r="IR52" s="173" t="n"/>
      <c r="IS52" s="2" t="n"/>
      <c r="IT52" s="29" t="n"/>
      <c r="IU52" s="2" t="n"/>
      <c r="IV52" s="2" t="n"/>
      <c r="IW52" s="2" t="n"/>
      <c r="IX52" s="2" t="n"/>
      <c r="IY52" s="173" t="n"/>
      <c r="IZ52" s="2" t="n"/>
      <c r="JA52" s="2" t="n"/>
      <c r="JB52" s="2" t="n"/>
      <c r="JC52" s="2" t="n"/>
      <c r="JD52" s="2" t="n"/>
      <c r="JE52" s="2" t="n"/>
      <c r="JF52" s="2" t="n"/>
      <c r="JG52" s="29" t="n"/>
      <c r="JH52" s="29" t="n"/>
      <c r="JI52" s="29" t="n"/>
      <c r="JJ52" s="138" t="n"/>
      <c r="JK52" s="29" t="n"/>
      <c r="JL52" s="29" t="n"/>
      <c r="JM52" s="29" t="n"/>
      <c r="JN52" s="29" t="n"/>
      <c r="JO52" s="29" t="n"/>
      <c r="JP52" s="29" t="n"/>
      <c r="JQ52" s="138" t="n"/>
      <c r="JR52" s="29" t="n"/>
      <c r="JS52" s="29" t="n"/>
      <c r="JT52" s="29" t="n"/>
      <c r="JV52" s="29" t="n"/>
      <c r="JW52" s="29" t="n"/>
      <c r="JX52" s="29" t="n"/>
      <c r="JZ52" s="29" t="n"/>
      <c r="KA52" s="29" t="n"/>
      <c r="KF52" s="29" t="n"/>
      <c r="KG52" s="29" t="n"/>
      <c r="KH52" s="29" t="n"/>
      <c r="KJ52" s="29" t="n"/>
      <c r="KK52" s="29" t="n"/>
      <c r="KL52" s="29" t="n"/>
      <c r="KN52" s="29" t="n"/>
      <c r="KO52" s="29" t="n"/>
      <c r="KP52" s="29" t="n"/>
      <c r="KQ52" s="29" t="n"/>
      <c r="KR52" s="29" t="n"/>
      <c r="KS52" s="29" t="n"/>
      <c r="KU52" s="29" t="n"/>
      <c r="KV52" s="29" t="n"/>
      <c r="KW52" s="29" t="n"/>
      <c r="KX52" s="29" t="n"/>
      <c r="KY52" s="29" t="n"/>
      <c r="KZ52" s="29" t="n"/>
      <c r="LB52" s="29" t="n"/>
      <c r="LD52" s="29" t="n"/>
      <c r="LE52" s="29" t="n"/>
      <c r="LF52" s="29" t="n"/>
      <c r="LG52" s="29" t="n"/>
      <c r="LH52" s="29" t="n"/>
      <c r="LI52" s="29" t="n"/>
      <c r="LK52" s="29" t="n"/>
      <c r="LN52" s="29" t="n"/>
      <c r="LR52" s="29" t="n"/>
      <c r="LS52" s="29" t="n"/>
      <c r="LT52" s="29" t="n"/>
    </row>
    <row r="53">
      <c r="A53" s="170" t="inlineStr">
        <is>
          <t>OVERBAG M PAIS/22</t>
        </is>
      </c>
      <c r="B53" s="171" t="n"/>
      <c r="C53" s="172" t="n">
        <v>99</v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W53" s="573" t="n"/>
      <c r="CY53" s="59" t="n"/>
      <c r="DC53" s="174" t="n"/>
      <c r="DE53" s="59" t="n"/>
      <c r="DF53" s="174" t="n"/>
      <c r="DG53" s="59" t="n"/>
      <c r="DH53" s="573" t="n"/>
      <c r="DI53" s="573" t="n"/>
      <c r="DJ53" s="573" t="n"/>
      <c r="DK53" s="573" t="n"/>
      <c r="DL53" s="573" t="n"/>
      <c r="DM53" s="573" t="n"/>
      <c r="DN53" s="573" t="n"/>
      <c r="DO53" s="573" t="n"/>
      <c r="DP53" s="573" t="n"/>
      <c r="DQ53" s="573" t="n"/>
      <c r="DR53" s="573" t="n"/>
      <c r="DS53" s="573" t="n"/>
      <c r="DU53" s="327" t="n"/>
      <c r="DV53" s="573" t="n"/>
      <c r="DW53" s="573" t="n"/>
      <c r="DY53" s="573" t="n"/>
      <c r="DZ53" s="327" t="n"/>
      <c r="EB53" s="573" t="n"/>
      <c r="EC53" s="573" t="n"/>
      <c r="ED53" s="573" t="n"/>
      <c r="EE53" s="573" t="n"/>
      <c r="EF53" s="327" t="n"/>
      <c r="EG53" s="573" t="n"/>
      <c r="EH53" s="327" t="n"/>
      <c r="EI53" s="573" t="n"/>
      <c r="EJ53" s="573" t="n"/>
      <c r="EK53" s="573" t="n"/>
      <c r="EL53" s="573" t="n"/>
      <c r="EM53" s="573" t="n"/>
      <c r="EN53" s="573" t="n"/>
      <c r="EO53" s="573" t="n"/>
      <c r="EP53" s="573" t="n"/>
      <c r="EQ53" s="573" t="n"/>
      <c r="ER53" s="573" t="n"/>
      <c r="ES53" s="573" t="n"/>
      <c r="ET53" s="573" t="n"/>
      <c r="FD53" s="2" t="n"/>
      <c r="FE53" s="2" t="n"/>
      <c r="FF53" s="2" t="n"/>
      <c r="FG53" s="2" t="n"/>
      <c r="FH53" s="2" t="n"/>
      <c r="FI53" s="2" t="n"/>
      <c r="FJ53" s="2" t="n"/>
      <c r="FK53" s="2" t="n"/>
      <c r="FL53" s="2" t="n"/>
      <c r="FM53" s="2" t="n"/>
      <c r="FN53" s="2" t="n"/>
      <c r="FO53" s="2" t="n"/>
      <c r="FP53" s="29" t="n"/>
      <c r="FQ53" s="29" t="n"/>
      <c r="FR53" s="29" t="n"/>
      <c r="FS53" s="29" t="n"/>
      <c r="FT53" s="29" t="n"/>
      <c r="FU53" s="29" t="n"/>
      <c r="FV53" s="29" t="n"/>
      <c r="FW53" s="29" t="n"/>
      <c r="FX53" s="29" t="n"/>
      <c r="FY53" s="29" t="n"/>
      <c r="FZ53" s="29" t="n"/>
      <c r="GA53" s="29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174" t="n"/>
      <c r="IF53" s="174" t="n"/>
      <c r="IG53" s="174" t="n"/>
      <c r="IH53" s="29" t="n"/>
      <c r="II53" s="29" t="n"/>
      <c r="IJ53" s="29" t="n"/>
      <c r="IK53" s="29" t="n"/>
      <c r="IL53" s="29" t="n"/>
      <c r="IM53" s="174" t="n"/>
      <c r="IN53" s="29" t="n"/>
      <c r="IO53" s="29" t="n"/>
      <c r="IP53" s="29" t="n"/>
      <c r="IQ53" s="29" t="n"/>
      <c r="IR53" s="174" t="n"/>
      <c r="IS53" s="29" t="n"/>
      <c r="IT53" s="29" t="n"/>
      <c r="IU53" s="29" t="n"/>
      <c r="IV53" s="29" t="n"/>
      <c r="IW53" s="29" t="n"/>
      <c r="IX53" s="29" t="n"/>
      <c r="IY53" s="174" t="n"/>
      <c r="IZ53" s="29" t="n"/>
      <c r="JA53" s="29" t="n"/>
      <c r="JB53" s="29" t="n"/>
      <c r="JC53" s="29" t="n"/>
      <c r="JD53" s="29" t="n"/>
      <c r="JE53" s="29" t="n"/>
      <c r="JF53" s="29" t="n"/>
      <c r="JG53" s="29" t="n"/>
      <c r="JH53" s="29" t="n"/>
      <c r="JI53" s="29" t="n"/>
      <c r="JJ53" s="138" t="n"/>
      <c r="JK53" s="29" t="n"/>
      <c r="JL53" s="29" t="n"/>
      <c r="JM53" s="29" t="n"/>
      <c r="JN53" s="29" t="n"/>
      <c r="JO53" s="29" t="n"/>
      <c r="JP53" s="29" t="n"/>
      <c r="JQ53" s="138" t="n"/>
      <c r="JR53" s="29" t="n"/>
      <c r="JS53" s="29" t="n"/>
      <c r="JT53" s="29" t="n"/>
      <c r="JV53" s="29" t="n"/>
      <c r="JW53" s="29" t="n"/>
      <c r="JX53" s="29" t="n"/>
      <c r="JZ53" s="29" t="n"/>
      <c r="KA53" s="29" t="n"/>
      <c r="KF53" s="29" t="n"/>
      <c r="KG53" s="29" t="n"/>
      <c r="KH53" s="29" t="n"/>
      <c r="KJ53" s="29" t="n"/>
      <c r="KK53" s="29" t="n"/>
      <c r="KL53" s="29" t="n"/>
      <c r="KN53" s="29" t="n"/>
      <c r="KO53" s="29" t="n"/>
      <c r="KP53" s="29" t="n"/>
      <c r="KQ53" s="29" t="n"/>
      <c r="KR53" s="29" t="n"/>
      <c r="KS53" s="29" t="n"/>
      <c r="KU53" s="29" t="n"/>
      <c r="KV53" s="29" t="n"/>
      <c r="KW53" s="29" t="n"/>
      <c r="KX53" s="29" t="n"/>
      <c r="KY53" s="29" t="n"/>
      <c r="KZ53" s="29" t="n"/>
      <c r="LB53" s="29" t="n"/>
      <c r="LD53" s="29" t="n"/>
      <c r="LE53" s="29" t="n"/>
      <c r="LF53" s="29" t="n"/>
      <c r="LG53" s="29" t="n"/>
      <c r="LH53" s="29" t="n"/>
      <c r="LI53" s="29" t="n"/>
      <c r="LK53" s="29" t="n"/>
      <c r="LN53" s="29" t="n"/>
      <c r="LR53" s="29" t="n"/>
      <c r="LS53" s="29" t="n"/>
      <c r="LT53" s="29" t="n"/>
    </row>
    <row r="54">
      <c r="A54" s="170" t="inlineStr">
        <is>
          <t>OVERBAG G PAIS/22</t>
        </is>
      </c>
      <c r="B54" s="171" t="n"/>
      <c r="C54" s="172" t="n">
        <v>88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9" t="n"/>
      <c r="CB54" s="59" t="n"/>
      <c r="CC54" s="59" t="n"/>
      <c r="CD54" s="59" t="n"/>
      <c r="CF54" s="59" t="n"/>
      <c r="CG54" s="59" t="n"/>
      <c r="CH54" s="59" t="n"/>
      <c r="CI54" s="59" t="n"/>
      <c r="CJ54" s="59" t="n"/>
      <c r="CP54" s="59" t="n"/>
      <c r="CQ54" s="59" t="n"/>
      <c r="CR54" s="59" t="n"/>
      <c r="CS54" s="59" t="n"/>
      <c r="CT54" s="59" t="n"/>
      <c r="CU54" s="59" t="n"/>
      <c r="CV54" s="59" t="n"/>
      <c r="CW54" s="573" t="n"/>
      <c r="CX54" s="59" t="n"/>
      <c r="CY54" s="573" t="n"/>
      <c r="CZ54" s="59" t="n"/>
      <c r="DA54" s="59" t="n"/>
      <c r="DB54" s="59" t="n"/>
      <c r="DC54" s="174" t="n"/>
      <c r="DD54" s="59" t="n"/>
      <c r="DE54" s="573" t="n"/>
      <c r="DF54" s="174" t="n"/>
      <c r="DG54" s="573" t="n"/>
      <c r="DP54" s="573" t="n"/>
      <c r="DQ54" s="573" t="n"/>
      <c r="DS54" s="573" t="n"/>
      <c r="DU54" s="327" t="n"/>
      <c r="DW54" s="573" t="n"/>
      <c r="DY54" s="573" t="n"/>
      <c r="DZ54" s="327" t="n"/>
      <c r="EB54" s="573" t="n"/>
      <c r="EC54" s="573" t="n"/>
      <c r="ED54" s="573" t="n"/>
      <c r="EE54" s="573" t="n"/>
      <c r="EF54" s="327" t="n"/>
      <c r="EG54" s="573" t="n"/>
      <c r="EH54" s="327" t="n"/>
      <c r="EI54" s="573" t="n"/>
      <c r="EJ54" s="573" t="n"/>
      <c r="EK54" s="573" t="n"/>
      <c r="EL54" s="573" t="n"/>
      <c r="EM54" s="573" t="n"/>
      <c r="EN54" s="573" t="n"/>
      <c r="EO54" s="573" t="n"/>
      <c r="EP54" s="573" t="n"/>
      <c r="EQ54" s="573" t="n"/>
      <c r="ER54" s="573" t="n"/>
      <c r="ES54" s="573" t="n"/>
      <c r="ET54" s="573" t="n"/>
      <c r="FD54" s="2" t="n"/>
      <c r="FE54" s="2" t="n"/>
      <c r="FF54" s="2" t="n"/>
      <c r="FG54" s="2" t="n"/>
      <c r="FH54" s="2" t="n"/>
      <c r="FI54" s="2" t="n"/>
      <c r="FJ54" s="2" t="n"/>
      <c r="FK54" s="2" t="n"/>
      <c r="FL54" s="2" t="n"/>
      <c r="FM54" s="2" t="n"/>
      <c r="FN54" s="2" t="n"/>
      <c r="FO54" s="2" t="n"/>
      <c r="FP54" s="29" t="n"/>
      <c r="FQ54" s="29" t="n"/>
      <c r="FR54" s="29" t="n"/>
      <c r="FS54" s="29" t="n"/>
      <c r="FT54" s="29" t="n"/>
      <c r="FU54" s="29" t="n"/>
      <c r="FV54" s="29" t="n"/>
      <c r="FW54" s="29" t="n"/>
      <c r="FX54" s="29" t="n"/>
      <c r="FY54" s="29" t="n"/>
      <c r="FZ54" s="29" t="n"/>
      <c r="GA54" s="29" t="n"/>
      <c r="GB54" s="29" t="n"/>
      <c r="GC54" s="29" t="n"/>
      <c r="GD54" s="29" t="n"/>
      <c r="GE54" s="29" t="n"/>
      <c r="GF54" s="29" t="n"/>
      <c r="GG54" s="29" t="n"/>
      <c r="GH54" s="29" t="n"/>
      <c r="GI54" s="29" t="n"/>
      <c r="GJ54" s="29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174" t="n"/>
      <c r="IF54" s="174" t="n"/>
      <c r="IG54" s="174" t="n"/>
      <c r="IH54" s="29" t="n"/>
      <c r="II54" s="29" t="n"/>
      <c r="IJ54" s="29" t="n"/>
      <c r="IK54" s="29" t="n"/>
      <c r="IL54" s="29" t="n"/>
      <c r="IM54" s="174" t="n"/>
      <c r="IN54" s="29" t="n"/>
      <c r="IO54" s="29" t="n"/>
      <c r="IP54" s="29" t="n"/>
      <c r="IQ54" s="29" t="n"/>
      <c r="IR54" s="174" t="n"/>
      <c r="IS54" s="29" t="n"/>
      <c r="IT54" s="29" t="n"/>
      <c r="IU54" s="29" t="n"/>
      <c r="IV54" s="29" t="n"/>
      <c r="IW54" s="29" t="n"/>
      <c r="IX54" s="29" t="n"/>
      <c r="IY54" s="174" t="n"/>
      <c r="IZ54" s="29" t="n"/>
      <c r="JA54" s="29" t="n"/>
      <c r="JB54" s="29" t="n"/>
      <c r="JC54" s="29" t="n"/>
      <c r="JD54" s="29" t="n"/>
      <c r="JE54" s="29" t="n"/>
      <c r="JF54" s="29" t="n"/>
      <c r="JG54" s="29" t="n"/>
      <c r="JH54" s="29" t="n"/>
      <c r="JI54" s="29" t="n"/>
      <c r="JJ54" s="71" t="n"/>
      <c r="JK54" s="29" t="n"/>
      <c r="JL54" s="29" t="n"/>
      <c r="JM54" s="29" t="n"/>
      <c r="JN54" s="29" t="n"/>
      <c r="JO54" s="29" t="n"/>
      <c r="JP54" s="29" t="n"/>
      <c r="JQ54" s="71" t="n"/>
      <c r="JR54" s="29" t="n"/>
      <c r="JS54" s="29" t="n"/>
      <c r="JT54" s="29" t="n"/>
      <c r="JU54" s="29" t="n"/>
      <c r="JV54" s="29" t="n"/>
      <c r="JW54" s="29" t="n"/>
      <c r="JX54" s="29" t="n"/>
      <c r="JY54" s="29" t="n"/>
      <c r="JZ54" s="29" t="n"/>
      <c r="KA54" s="29" t="n"/>
      <c r="KB54" s="29" t="n"/>
      <c r="KC54" s="29" t="n"/>
      <c r="KD54" s="29" t="n"/>
      <c r="KE54" s="29" t="n"/>
      <c r="KF54" s="29" t="n"/>
      <c r="KG54" s="29" t="n"/>
      <c r="KH54" s="29" t="n"/>
      <c r="KI54" s="29" t="n"/>
      <c r="KJ54" s="29" t="n"/>
      <c r="KK54" s="29" t="n"/>
      <c r="KL54" s="29" t="n"/>
      <c r="KM54" s="29" t="n"/>
      <c r="KN54" s="29" t="n"/>
      <c r="KO54" s="29" t="n"/>
      <c r="KP54" s="29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</row>
    <row r="55">
      <c r="A55" s="389" t="n"/>
      <c r="B55" s="390" t="n"/>
      <c r="C55" s="390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F55" s="573" t="n"/>
      <c r="CG55" s="573" t="n"/>
      <c r="CH55" s="573" t="n"/>
      <c r="CI55" s="573" t="n"/>
      <c r="CJ55" s="573" t="n"/>
      <c r="CP55" s="573" t="n"/>
      <c r="CQ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D55" s="573" t="n"/>
      <c r="DE55" s="573" t="n"/>
      <c r="DG55" s="573" t="n"/>
      <c r="DP55" s="573" t="n"/>
      <c r="DQ55" s="573" t="n"/>
      <c r="DS55" s="573" t="n"/>
      <c r="DU55" s="327" t="n"/>
      <c r="DW55" s="573" t="n"/>
      <c r="DY55" s="573" t="n"/>
      <c r="DZ55" s="327" t="n"/>
      <c r="EB55" s="573" t="n"/>
      <c r="EC55" s="573" t="n"/>
      <c r="ED55" s="573" t="n"/>
      <c r="EE55" s="573" t="n"/>
      <c r="EF55" s="327" t="n"/>
      <c r="EG55" s="573" t="n"/>
      <c r="EH55" s="327" t="n"/>
      <c r="EI55" s="573" t="n"/>
      <c r="EJ55" s="573" t="n"/>
      <c r="EK55" s="573" t="n"/>
      <c r="EL55" s="573" t="n"/>
      <c r="EM55" s="573" t="n"/>
      <c r="EN55" s="573" t="n"/>
      <c r="EO55" s="573" t="n"/>
      <c r="EP55" s="573" t="n"/>
      <c r="EQ55" s="573" t="n"/>
      <c r="ER55" s="573" t="n"/>
      <c r="ES55" s="573" t="n"/>
      <c r="ET55" s="573" t="n"/>
      <c r="FD55" s="2" t="n"/>
      <c r="FE55" s="2" t="n"/>
      <c r="FF55" s="2" t="n"/>
      <c r="FG55" s="2" t="n"/>
      <c r="FH55" s="2" t="n"/>
      <c r="FI55" s="2" t="n"/>
      <c r="FJ55" s="2" t="n"/>
      <c r="FK55" s="2" t="n"/>
      <c r="FL55" s="2" t="n"/>
      <c r="FM55" s="2" t="n"/>
      <c r="FN55" s="2" t="n"/>
      <c r="FO55" s="2" t="n"/>
      <c r="FP55" s="29" t="n"/>
      <c r="FQ55" s="29" t="n"/>
      <c r="FR55" s="29" t="n"/>
      <c r="FS55" s="29" t="n"/>
      <c r="FT55" s="29" t="n"/>
      <c r="FU55" s="29" t="n"/>
      <c r="FV55" s="29" t="n"/>
      <c r="FW55" s="29" t="n"/>
      <c r="FX55" s="29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176" t="n"/>
      <c r="IF55" s="176" t="n"/>
      <c r="IG55" s="176" t="n"/>
      <c r="IH55" s="29" t="n"/>
      <c r="II55" s="29" t="n"/>
      <c r="IJ55" s="29" t="n"/>
      <c r="IK55" s="29" t="n"/>
      <c r="IL55" s="29" t="n"/>
      <c r="IM55" s="176" t="n"/>
      <c r="IN55" s="29" t="n"/>
      <c r="IO55" s="29" t="n"/>
      <c r="IP55" s="29" t="n"/>
      <c r="IQ55" s="29" t="n"/>
      <c r="IR55" s="176" t="n"/>
      <c r="IS55" s="29" t="n"/>
      <c r="IT55" s="29" t="n"/>
      <c r="IU55" s="29" t="n"/>
      <c r="IV55" s="29" t="n"/>
      <c r="IW55" s="29" t="n"/>
      <c r="IX55" s="29" t="n"/>
      <c r="IY55" s="176" t="n"/>
      <c r="IZ55" s="29" t="n"/>
      <c r="JA55" s="29" t="n"/>
      <c r="JB55" s="29" t="n"/>
      <c r="JC55" s="29" t="n"/>
      <c r="JD55" s="29" t="n"/>
      <c r="JE55" s="29" t="n"/>
      <c r="JF55" s="29" t="n"/>
      <c r="JG55" s="29" t="n"/>
      <c r="JH55" s="29" t="n"/>
      <c r="JI55" s="29" t="n"/>
      <c r="JJ55" s="71" t="n"/>
      <c r="JK55" s="29" t="n"/>
      <c r="JL55" s="29" t="n"/>
      <c r="JM55" s="29" t="n"/>
      <c r="JN55" s="29" t="n"/>
      <c r="JO55" s="29" t="n"/>
      <c r="JP55" s="29" t="n"/>
      <c r="JQ55" s="71" t="n"/>
      <c r="JR55" s="29" t="n"/>
      <c r="JS55" s="29" t="n"/>
      <c r="JT55" s="29" t="n"/>
      <c r="JU55" s="29" t="n"/>
      <c r="JV55" s="29" t="n"/>
      <c r="JW55" s="29" t="n"/>
      <c r="JX55" s="29" t="n"/>
      <c r="JY55" s="29" t="n"/>
      <c r="JZ55" s="29" t="n"/>
      <c r="KA55" s="29" t="n"/>
      <c r="KB55" s="29" t="n"/>
      <c r="KC55" s="29" t="n"/>
      <c r="KD55" s="29" t="n"/>
      <c r="KE55" s="29" t="n"/>
      <c r="KF55" s="29" t="n"/>
      <c r="KG55" s="29" t="n"/>
      <c r="KH55" s="29" t="n"/>
      <c r="KI55" s="29" t="n"/>
      <c r="KJ55" s="29" t="n"/>
      <c r="KK55" s="29" t="n"/>
      <c r="KL55" s="29" t="n"/>
      <c r="KM55" s="29" t="n"/>
      <c r="KN55" s="29" t="n"/>
      <c r="KO55" s="29" t="n"/>
      <c r="KP55" s="29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</row>
    <row r="56" customFormat="1" s="29">
      <c r="A56" s="175" t="inlineStr">
        <is>
          <t>ADESIVOS NAMORADOS/23</t>
        </is>
      </c>
      <c r="B56" s="171" t="n"/>
      <c r="C56" s="172" t="n">
        <v>14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1" t="n"/>
      <c r="BX56" s="573" t="n"/>
      <c r="BY56" s="573" t="n"/>
      <c r="BZ56" s="573" t="n"/>
      <c r="CA56" s="573" t="n"/>
      <c r="CB56" s="573" t="n"/>
      <c r="CC56" s="573" t="n"/>
      <c r="CD56" s="573" t="n"/>
      <c r="CE56" s="59" t="n"/>
      <c r="CF56" s="573" t="n"/>
      <c r="CG56" s="573" t="n"/>
      <c r="CH56" s="573" t="n"/>
      <c r="CI56" s="573" t="n"/>
      <c r="CJ56" s="573" t="n"/>
      <c r="CK56" s="59" t="n"/>
      <c r="CL56" s="59" t="n"/>
      <c r="CM56" s="59" t="n"/>
      <c r="CN56" s="59" t="n"/>
      <c r="CP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Z56" s="573" t="n"/>
      <c r="DA56" s="573" t="n"/>
      <c r="DB56" s="573" t="n"/>
      <c r="DD56" s="573" t="n"/>
      <c r="DP56" s="573" t="n"/>
      <c r="DQ56" s="573" t="n"/>
      <c r="DS56" s="573" t="n"/>
      <c r="DT56" s="5" t="n"/>
      <c r="DU56" s="327" t="n"/>
      <c r="DW56" s="573" t="n"/>
      <c r="DX56" s="5" t="n"/>
      <c r="DZ56" s="327" t="n"/>
      <c r="EA56" s="5" t="n"/>
      <c r="EF56" s="327" t="n"/>
      <c r="EH56" s="327" t="n"/>
      <c r="ET56" s="573" t="n"/>
      <c r="EU56" s="5" t="n"/>
      <c r="EV56" s="5" t="n"/>
      <c r="EW56" s="5" t="n"/>
      <c r="EX56" s="5" t="n"/>
      <c r="EY56" s="5" t="n"/>
      <c r="EZ56" s="5" t="n"/>
      <c r="FA56" s="5" t="n"/>
      <c r="FB56" s="5" t="n"/>
      <c r="FC56" s="5" t="n"/>
      <c r="FD56" s="2" t="n"/>
      <c r="FE56" s="2" t="n"/>
      <c r="FF56" s="2" t="n"/>
      <c r="FG56" s="2" t="n"/>
      <c r="FH56" s="2" t="n"/>
      <c r="FI56" s="2" t="n"/>
      <c r="FJ56" s="2" t="n"/>
      <c r="FK56" s="2" t="n"/>
      <c r="FL56" s="2" t="n"/>
      <c r="FM56" s="2" t="n"/>
      <c r="FN56" s="2" t="n"/>
      <c r="FO56" s="2" t="n"/>
      <c r="IE56" s="176" t="n"/>
      <c r="IF56" s="176" t="n"/>
      <c r="IG56" s="176" t="n"/>
      <c r="IM56" s="176" t="n"/>
      <c r="IR56" s="176" t="n"/>
      <c r="IY56" s="176" t="n"/>
      <c r="JJ56" s="71" t="n"/>
      <c r="JQ56" s="71" t="n"/>
    </row>
    <row r="57" customFormat="1" s="29">
      <c r="A57" s="175" t="inlineStr">
        <is>
          <t>TAG NAMORADOS/2023</t>
        </is>
      </c>
      <c r="B57" s="171" t="n"/>
      <c r="C57" s="172" t="n">
        <v>81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X57" s="573" t="n"/>
      <c r="BY57" s="573" t="n"/>
      <c r="BZ57" s="573" t="n"/>
      <c r="CE57" s="59" t="n"/>
      <c r="CK57" s="573" t="n"/>
      <c r="CL57" s="573" t="n"/>
      <c r="CM57" s="573" t="n"/>
      <c r="CN57" s="573" t="n"/>
      <c r="CW57" s="5" t="n"/>
      <c r="DP57" s="573" t="n"/>
      <c r="DQ57" s="573" t="n"/>
      <c r="DS57" s="573" t="n"/>
      <c r="DT57" s="5" t="n"/>
      <c r="DU57" s="327" t="n"/>
      <c r="DX57" s="5" t="n"/>
      <c r="DZ57" s="327" t="n"/>
      <c r="EA57" s="5" t="n"/>
      <c r="EF57" s="327" t="n"/>
      <c r="EH57" s="327" t="n"/>
      <c r="ET57" s="573" t="n"/>
      <c r="EU57" s="5" t="n"/>
      <c r="EV57" s="5" t="n"/>
      <c r="EW57" s="5" t="n"/>
      <c r="EX57" s="5" t="n"/>
      <c r="EY57" s="5" t="n"/>
      <c r="EZ57" s="5" t="n"/>
      <c r="FA57" s="5" t="n"/>
      <c r="FB57" s="5" t="n"/>
      <c r="FC57" s="5" t="n"/>
      <c r="FD57" s="2" t="n"/>
      <c r="FE57" s="2" t="n"/>
      <c r="FF57" s="2" t="n"/>
      <c r="FG57" s="2" t="n"/>
      <c r="FH57" s="2" t="n"/>
      <c r="FI57" s="2" t="n"/>
      <c r="FJ57" s="2" t="n"/>
      <c r="FK57" s="2" t="n"/>
      <c r="FL57" s="2" t="n"/>
      <c r="FM57" s="2" t="n"/>
      <c r="FN57" s="2" t="n"/>
      <c r="FO57" s="2" t="n"/>
      <c r="HX57" s="573" t="n"/>
      <c r="HY57" s="71" t="n"/>
      <c r="HZ57" s="573" t="n"/>
      <c r="IE57" s="173" t="n"/>
      <c r="IF57" s="173" t="n"/>
      <c r="IG57" s="173" t="n"/>
      <c r="IM57" s="173" t="n"/>
      <c r="IR57" s="173" t="n"/>
      <c r="IY57" s="173" t="n"/>
      <c r="JG57" s="71" t="n"/>
      <c r="JJ57" s="71" t="n"/>
    </row>
    <row r="58" customFormat="1" s="29">
      <c r="A58" s="389" t="n"/>
      <c r="B58" s="390" t="n"/>
      <c r="C58" s="390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X58" s="573" t="n"/>
      <c r="BY58" s="573" t="n"/>
      <c r="BZ58" s="573" t="n"/>
      <c r="CE58" s="59" t="n"/>
      <c r="CK58" s="573" t="n"/>
      <c r="CL58" s="573" t="n"/>
      <c r="CM58" s="573" t="n"/>
      <c r="CN58" s="573" t="n"/>
      <c r="CW58" s="41" t="n"/>
      <c r="DP58" s="573" t="n"/>
      <c r="DQ58" s="573" t="n"/>
      <c r="DS58" s="573" t="n"/>
      <c r="DT58" s="5" t="n"/>
      <c r="DU58" s="327" t="n"/>
      <c r="DX58" s="5" t="n"/>
      <c r="DZ58" s="327" t="n"/>
      <c r="EA58" s="5" t="n"/>
      <c r="EF58" s="327" t="n"/>
      <c r="EH58" s="327" t="n"/>
      <c r="ET58" s="573" t="n"/>
      <c r="EU58" s="5" t="n"/>
      <c r="EV58" s="5" t="n"/>
      <c r="EW58" s="5" t="n"/>
      <c r="EX58" s="5" t="n"/>
      <c r="EY58" s="5" t="n"/>
      <c r="EZ58" s="5" t="n"/>
      <c r="FA58" s="5" t="n"/>
      <c r="FB58" s="5" t="n"/>
      <c r="FC58" s="5" t="n"/>
      <c r="FD58" s="2" t="n"/>
      <c r="FE58" s="2" t="n"/>
      <c r="FF58" s="2" t="n"/>
      <c r="FG58" s="2" t="n"/>
      <c r="FH58" s="2" t="n"/>
      <c r="FI58" s="2" t="n"/>
      <c r="FJ58" s="2" t="n"/>
      <c r="FK58" s="2" t="n"/>
      <c r="FL58" s="2" t="n"/>
      <c r="FM58" s="2" t="n"/>
      <c r="FN58" s="2" t="n"/>
      <c r="FO58" s="2" t="n"/>
      <c r="HX58" s="573" t="n"/>
      <c r="HY58" s="71" t="n"/>
      <c r="HZ58" s="573" t="n"/>
      <c r="IE58" s="173" t="n"/>
      <c r="IF58" s="173" t="n"/>
      <c r="IG58" s="173" t="n"/>
      <c r="IM58" s="173" t="n"/>
      <c r="IR58" s="173" t="n"/>
      <c r="IY58" s="173" t="n"/>
      <c r="JG58" s="71" t="n"/>
      <c r="JJ58" s="71" t="n"/>
    </row>
    <row r="59" customFormat="1" s="29">
      <c r="A59" s="247" t="inlineStr">
        <is>
          <t>TAG PAIS/24</t>
        </is>
      </c>
      <c r="B59" s="248" t="n"/>
      <c r="C59" s="172" t="n">
        <v>300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" t="n"/>
      <c r="BX59" s="573" t="n"/>
      <c r="BY59" s="573" t="n"/>
      <c r="BZ59" s="573" t="n"/>
      <c r="CE59" s="59" t="n"/>
      <c r="CW59" s="41" t="n"/>
      <c r="DC59" s="5" t="n"/>
      <c r="DF59" s="5" t="n"/>
      <c r="DP59" s="573" t="n"/>
      <c r="DQ59" s="573" t="n"/>
      <c r="DS59" s="573" t="n"/>
      <c r="DT59" s="5" t="n"/>
      <c r="DU59" s="327" t="n"/>
      <c r="DX59" s="5" t="n"/>
      <c r="DZ59" s="327" t="n"/>
      <c r="EA59" s="5" t="n"/>
      <c r="EF59" s="327" t="n"/>
      <c r="EH59" s="327" t="n"/>
      <c r="ET59" s="573" t="n"/>
      <c r="EU59" s="5" t="n"/>
      <c r="EV59" s="5" t="n"/>
      <c r="EW59" s="5" t="n"/>
      <c r="EX59" s="5" t="n"/>
      <c r="EY59" s="5" t="n"/>
      <c r="EZ59" s="5" t="n"/>
      <c r="FA59" s="5" t="n"/>
      <c r="FB59" s="5" t="n"/>
      <c r="FC59" s="5" t="n"/>
      <c r="FD59" s="2" t="n"/>
      <c r="FE59" s="2" t="n"/>
      <c r="FF59" s="2" t="n"/>
      <c r="FG59" s="2" t="n"/>
      <c r="FH59" s="2" t="n"/>
      <c r="FI59" s="2" t="n"/>
      <c r="FJ59" s="2" t="n"/>
      <c r="FK59" s="2" t="n"/>
      <c r="FL59" s="2" t="n"/>
      <c r="FM59" s="2" t="n"/>
      <c r="FN59" s="2" t="n"/>
      <c r="FO59" s="2" t="n"/>
      <c r="GV59" s="50" t="n"/>
      <c r="GW59" s="50" t="n"/>
      <c r="GX59" s="50" t="n"/>
      <c r="GY59" s="50" t="n"/>
      <c r="GZ59" s="50" t="n"/>
      <c r="HA59" s="50" t="n"/>
      <c r="HB59" s="50" t="n"/>
      <c r="HE59" s="50" t="n"/>
      <c r="HF59" s="50" t="n"/>
      <c r="HG59" s="50" t="n"/>
      <c r="HH59" s="50" t="n"/>
      <c r="HI59" s="50" t="n"/>
      <c r="HJ59" s="50" t="n"/>
      <c r="HK59" s="50" t="n"/>
      <c r="HL59" s="50" t="n"/>
      <c r="HM59" s="50" t="n"/>
      <c r="HN59" s="50" t="n"/>
      <c r="HO59" s="50" t="n"/>
      <c r="HP59" s="50" t="n"/>
      <c r="HQ59" s="50" t="n"/>
      <c r="HR59" s="50" t="n"/>
      <c r="HX59" s="573" t="n"/>
      <c r="HY59" s="71" t="n"/>
      <c r="HZ59" s="573" t="n"/>
      <c r="IE59" s="62" t="n"/>
      <c r="IF59" s="62" t="n"/>
      <c r="IG59" s="62" t="n"/>
      <c r="IK59" s="5" t="n"/>
      <c r="IM59" s="62" t="n"/>
      <c r="IR59" s="62" t="n"/>
      <c r="IT59" s="5" t="n"/>
      <c r="IY59" s="62" t="n"/>
      <c r="JG59" s="71" t="n"/>
      <c r="JJ59" s="71" t="n"/>
    </row>
    <row r="60" customFormat="1" s="29">
      <c r="A60" s="42" t="n"/>
      <c r="B60" s="573" t="n"/>
      <c r="C60" s="573" t="n"/>
      <c r="D60" s="573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" t="n"/>
      <c r="BW60" s="5" t="n"/>
      <c r="BX60" s="573" t="n"/>
      <c r="BY60" s="71" t="n"/>
      <c r="BZ60" s="573" t="n"/>
      <c r="CE60" s="59" t="n"/>
      <c r="DC60" s="5" t="n"/>
      <c r="DF60" s="5" t="n"/>
      <c r="DP60" s="5" t="n"/>
      <c r="DQ60" s="5" t="n"/>
      <c r="DS60" s="573" t="n"/>
      <c r="DT60" s="5" t="n"/>
      <c r="DU60" s="327" t="n"/>
      <c r="DX60" s="5" t="n"/>
      <c r="DZ60" s="327" t="n"/>
      <c r="EA60" s="5" t="n"/>
      <c r="EF60" s="327" t="n"/>
      <c r="EH60" s="327" t="n"/>
      <c r="EU60" s="5" t="n"/>
      <c r="EV60" s="5" t="n"/>
      <c r="EW60" s="5" t="n"/>
      <c r="EX60" s="5" t="n"/>
      <c r="EY60" s="5" t="n"/>
      <c r="EZ60" s="5" t="n"/>
      <c r="FA60" s="5" t="n"/>
      <c r="FB60" s="5" t="n"/>
      <c r="FC60" s="5" t="n"/>
    </row>
    <row r="6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45859</v>
      </c>
      <c r="AE61" s="776" t="n">
        <v>45866</v>
      </c>
      <c r="AF61" s="776" t="n">
        <v>45873</v>
      </c>
      <c r="AG61" s="776" t="n">
        <v>45880</v>
      </c>
      <c r="AH61" s="776" t="n">
        <v>45887</v>
      </c>
      <c r="AI61" s="776" t="n">
        <v>45894</v>
      </c>
      <c r="AJ61" s="776" t="n">
        <v>45901</v>
      </c>
      <c r="AK61" s="776" t="n">
        <v>45908</v>
      </c>
      <c r="AL61" s="776" t="n">
        <v>45915</v>
      </c>
      <c r="AM61" s="776" t="n">
        <v>45922</v>
      </c>
      <c r="AN61" s="776" t="n">
        <v>45929</v>
      </c>
      <c r="AO61" s="776" t="n">
        <v>45936</v>
      </c>
      <c r="AP61" s="776" t="n">
        <v>45943</v>
      </c>
      <c r="AQ61" s="776" t="n">
        <v>45950</v>
      </c>
      <c r="AR61" s="776" t="n">
        <v>45957</v>
      </c>
      <c r="AS61" s="776" t="n">
        <v>45964</v>
      </c>
      <c r="AT61" s="776" t="n">
        <v>45971</v>
      </c>
      <c r="AU61" s="776" t="n">
        <v>45978</v>
      </c>
      <c r="AV61" s="776" t="n">
        <v>45985</v>
      </c>
      <c r="AW61" s="776" t="n">
        <v>45992</v>
      </c>
      <c r="AX61" s="776" t="n">
        <v>45999</v>
      </c>
      <c r="AY61" s="776" t="n">
        <v>46006</v>
      </c>
      <c r="AZ61" s="776" t="n">
        <v>46013</v>
      </c>
      <c r="BA61" s="776" t="n">
        <v>46020</v>
      </c>
      <c r="BB61" s="776" t="n">
        <v>46027</v>
      </c>
      <c r="BC61" s="776" t="n">
        <v>46034</v>
      </c>
      <c r="BD61" s="776" t="n">
        <v>46041</v>
      </c>
      <c r="BE61" s="776" t="n">
        <v>46048</v>
      </c>
      <c r="BF61" s="776" t="n">
        <v>46055</v>
      </c>
      <c r="BG61" s="776" t="n">
        <v>46062</v>
      </c>
      <c r="BH61" s="776" t="n">
        <v>46069</v>
      </c>
      <c r="BI61" s="776" t="n">
        <v>46076</v>
      </c>
      <c r="BJ61" s="776" t="n">
        <v>46083</v>
      </c>
      <c r="BK61" s="776" t="n">
        <v>46090</v>
      </c>
      <c r="BL61" s="776" t="n">
        <v>46097</v>
      </c>
      <c r="BM61" s="776" t="n">
        <v>46104</v>
      </c>
      <c r="BN61" s="776" t="n">
        <v>46111</v>
      </c>
      <c r="BO61" s="776" t="n">
        <v>46118</v>
      </c>
      <c r="BP61" s="776" t="n">
        <v>46125</v>
      </c>
      <c r="BQ61" s="776" t="n">
        <v>46132</v>
      </c>
      <c r="BR61" s="776" t="n">
        <v>46139</v>
      </c>
      <c r="BS61" s="776" t="n">
        <v>46146</v>
      </c>
      <c r="BT61" s="776" t="n">
        <v>46154</v>
      </c>
      <c r="BV61" s="50" t="n"/>
      <c r="BW61" s="5" t="n"/>
      <c r="DC61" s="5" t="n"/>
      <c r="DF61" s="5" t="n"/>
      <c r="DP61" s="5" t="n"/>
      <c r="DQ61" s="5" t="n"/>
      <c r="DS61" s="5" t="n"/>
      <c r="DT61" s="5" t="n"/>
      <c r="DU61" s="327" t="n"/>
      <c r="DX61" s="5" t="n"/>
      <c r="DZ61" s="327" t="n"/>
      <c r="EA61" s="5" t="n"/>
      <c r="EF61" s="327" t="n"/>
      <c r="EH61" s="327" t="n"/>
    </row>
    <row r="62" hidden="1" ht="18.75" customHeight="1">
      <c r="A62" s="781" t="inlineStr">
        <is>
          <t>CELEBRE AGORA FEM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V62" s="50" t="n"/>
      <c r="DC62" s="5" t="n"/>
      <c r="DF62" s="5" t="n"/>
      <c r="DP62" s="41" t="n"/>
      <c r="DQ62" s="41" t="n"/>
      <c r="DS62" s="5" t="n"/>
      <c r="DT62" s="5" t="n"/>
      <c r="DU62" s="327" t="n"/>
      <c r="DX62" s="5" t="n"/>
      <c r="DZ62" s="327" t="n"/>
      <c r="EA62" s="5" t="n"/>
      <c r="EF62" s="327" t="n"/>
      <c r="EH62" s="327" t="n"/>
    </row>
    <row r="63" hidden="1" ht="18.75" customFormat="1" customHeight="1" s="29">
      <c r="A63" s="781" t="inlineStr">
        <is>
          <t>VITAMINA C BOTIK</t>
        </is>
      </c>
      <c r="B63" s="731" t="n"/>
      <c r="C63" s="731" t="n"/>
      <c r="D63" s="775" t="n"/>
      <c r="E63" s="573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5" t="n"/>
      <c r="BX63" s="573" t="n"/>
      <c r="BY63" s="71" t="n"/>
      <c r="BZ63" s="573" t="n"/>
      <c r="CE63" s="59" t="n"/>
      <c r="DC63" s="5" t="n"/>
      <c r="DF63" s="5" t="n"/>
      <c r="DP63" s="41" t="n"/>
      <c r="DQ63" s="41" t="n"/>
      <c r="DS63" s="41" t="n"/>
      <c r="DT63" s="5" t="n"/>
      <c r="DU63" s="328" t="n"/>
      <c r="DX63" s="5" t="n"/>
      <c r="DZ63" s="328" t="n"/>
      <c r="EA63" s="5" t="n"/>
      <c r="EF63" s="328" t="n"/>
      <c r="EH63" s="328" t="n"/>
      <c r="EU63" s="5" t="n"/>
      <c r="EV63" s="5" t="n"/>
      <c r="EW63" s="5" t="n"/>
      <c r="EX63" s="5" t="n"/>
      <c r="EY63" s="5" t="n"/>
      <c r="EZ63" s="5" t="n"/>
      <c r="FA63" s="5" t="n"/>
      <c r="FB63" s="5" t="n"/>
      <c r="FC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5" t="n"/>
      <c r="BX64" s="5" t="n"/>
      <c r="BY64" s="71" t="n"/>
      <c r="BZ64" s="5" t="n"/>
      <c r="CE64" s="59" t="n"/>
      <c r="CW64" s="5" t="n"/>
      <c r="DC64" s="5" t="n"/>
      <c r="DF64" s="5" t="n"/>
      <c r="DP64" s="41" t="n"/>
      <c r="DQ64" s="41" t="n"/>
      <c r="DS64" s="41" t="n"/>
      <c r="DT64" s="5" t="n"/>
      <c r="DU64" s="328" t="n"/>
      <c r="DX64" s="5" t="n"/>
      <c r="DZ64" s="328" t="n"/>
      <c r="EA64" s="5" t="n"/>
      <c r="EF64" s="328" t="n"/>
      <c r="EH64" s="328" t="n"/>
      <c r="EU64" s="5" t="n"/>
      <c r="EV64" s="5" t="n"/>
      <c r="EW64" s="5" t="n"/>
      <c r="EX64" s="5" t="n"/>
      <c r="EY64" s="5" t="n"/>
      <c r="EZ64" s="5" t="n"/>
      <c r="FA64" s="5" t="n"/>
      <c r="FB64" s="5" t="n"/>
      <c r="FC64" s="5" t="n"/>
    </row>
    <row r="65" hidden="1" ht="18.75" customHeight="1">
      <c r="A65" s="781" t="inlineStr">
        <is>
          <t>shampoo antiqueda malbec club</t>
        </is>
      </c>
      <c r="B65" s="731" t="n"/>
      <c r="C65" s="731" t="n"/>
      <c r="D65" s="775" t="n"/>
      <c r="E65" s="573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CW65" s="5" t="n"/>
      <c r="DC65" s="5" t="n"/>
      <c r="DF65" s="5" t="n"/>
      <c r="DS65" s="41" t="n"/>
      <c r="DU65" s="329" t="n"/>
      <c r="DZ65" s="329" t="n"/>
      <c r="EF65" s="329" t="n"/>
      <c r="EH65" s="329" t="n"/>
    </row>
    <row r="66" hidden="1" ht="18.75" customHeight="1">
      <c r="A66" s="781" t="inlineStr">
        <is>
          <t>condicionaor antiqueda malbec club</t>
        </is>
      </c>
      <c r="B66" s="731" t="n"/>
      <c r="C66" s="731" t="n"/>
      <c r="D66" s="775" t="n"/>
      <c r="E66" s="573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CW66" s="5" t="n"/>
      <c r="DC66" s="5" t="n"/>
      <c r="DF66" s="5" t="n"/>
      <c r="DT66" s="5" t="n"/>
      <c r="DU66" s="329" t="n"/>
      <c r="DX66" s="5" t="n"/>
      <c r="DZ66" s="329" t="n"/>
      <c r="EA66" s="5" t="n"/>
      <c r="EF66" s="329" t="n"/>
      <c r="EH66" s="329" t="n"/>
    </row>
    <row r="67" hidden="1" ht="18.75" customHeight="1">
      <c r="A67" s="781" t="inlineStr">
        <is>
          <t>shampoo anticaspa malbec club</t>
        </is>
      </c>
      <c r="B67" s="731" t="n"/>
      <c r="C67" s="731" t="n"/>
      <c r="D67" s="775" t="n"/>
      <c r="E67" s="573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DC67" s="5" t="n"/>
      <c r="DF67" s="5" t="n"/>
      <c r="DU67" s="329" t="n"/>
      <c r="DZ67" s="329" t="n"/>
      <c r="EF67" s="329" t="n"/>
      <c r="EH67" s="329" t="n"/>
    </row>
    <row r="68" hidden="1" ht="18.75" customHeight="1">
      <c r="A68" s="781" t="inlineStr">
        <is>
          <t>condicionador  anticaspa malbec club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DC68" s="5" t="n"/>
      <c r="DF68" s="5" t="n"/>
      <c r="DU68" s="329" t="n"/>
      <c r="DZ68" s="329" t="n"/>
      <c r="EF68" s="329" t="n"/>
      <c r="EH68" s="329" t="n"/>
    </row>
    <row r="69" hidden="1" ht="18.75" customHeight="1">
      <c r="A69" s="781" t="inlineStr">
        <is>
          <t>botik aloe vera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DC69" s="5" t="n"/>
      <c r="DF69" s="5" t="n"/>
      <c r="DT69" s="173" t="n"/>
      <c r="DU69" s="329" t="n"/>
      <c r="DX69" s="173" t="n"/>
      <c r="DZ69" s="329" t="n"/>
      <c r="EA69" s="173" t="n"/>
      <c r="EF69" s="329" t="n"/>
      <c r="EH69" s="329" t="n"/>
    </row>
    <row r="70" hidden="1" ht="18.75" customHeight="1">
      <c r="A70" s="781" t="inlineStr">
        <is>
          <t>botik rosa mosqueta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DT70" s="173" t="n"/>
      <c r="DU70" s="329" t="n"/>
      <c r="DX70" s="173" t="n"/>
      <c r="DZ70" s="329" t="n"/>
      <c r="EA70" s="173" t="n"/>
      <c r="EF70" s="329" t="n"/>
      <c r="EH70" s="329" t="n"/>
    </row>
    <row r="71" hidden="1" ht="18.75" customHeight="1">
      <c r="A71" s="781" t="inlineStr">
        <is>
          <t>portinari absoluto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CO71" s="59" t="n"/>
      <c r="DC71" s="5" t="n"/>
      <c r="DF71" s="5" t="n"/>
      <c r="DP71" s="5" t="n"/>
      <c r="DQ71" s="5" t="n"/>
      <c r="DT71" s="173" t="n"/>
      <c r="DU71" s="327" t="n"/>
      <c r="DX71" s="173" t="n"/>
      <c r="DZ71" s="327" t="n"/>
      <c r="EA71" s="173" t="n"/>
      <c r="EF71" s="327" t="n"/>
      <c r="EH71" s="327" t="n"/>
    </row>
    <row r="72" hidden="1" ht="18.75" customHeight="1">
      <c r="A72" s="781" t="inlineStr">
        <is>
          <t>quasar vision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CO72" s="573" t="n"/>
      <c r="DP72" s="5" t="n"/>
      <c r="DQ72" s="5" t="n"/>
      <c r="DS72" s="5" t="n"/>
      <c r="DU72" s="327" t="n"/>
      <c r="DZ72" s="327" t="n"/>
      <c r="EF72" s="327" t="n"/>
      <c r="EH72" s="327" t="n"/>
    </row>
    <row r="73" hidden="1" ht="18.75" customHeight="1">
      <c r="A73" s="781" t="inlineStr">
        <is>
          <t xml:space="preserve">Lily Soleil 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CO73" s="573" t="n"/>
      <c r="DP73" s="5" t="n"/>
      <c r="DQ73" s="5" t="n"/>
      <c r="DS73" s="5" t="n"/>
      <c r="DU73" s="327" t="n"/>
      <c r="DZ73" s="327" t="n"/>
      <c r="EF73" s="327" t="n"/>
      <c r="EH73" s="327" t="n"/>
    </row>
    <row r="74" hidden="1" ht="18.75" customHeight="1">
      <c r="A74" s="781" t="inlineStr">
        <is>
          <t>quasar blue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DC74" s="173" t="n"/>
      <c r="DF74" s="173" t="n"/>
      <c r="DS74" s="5" t="n"/>
    </row>
    <row r="75" hidden="1" ht="18.75" customHeight="1">
      <c r="A75" s="781" t="inlineStr">
        <is>
          <t>arbo puro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DC75" s="173" t="n"/>
      <c r="DF75" s="173" t="n"/>
    </row>
    <row r="76" hidden="1" ht="18.75" customHeight="1">
      <c r="A76" s="781" t="inlineStr">
        <is>
          <t>cbem banana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DC76" s="173" t="n"/>
      <c r="DF76" s="173" t="n"/>
    </row>
    <row r="77" hidden="1" ht="18.75" customHeight="1">
      <c r="A77" s="781" t="inlineStr">
        <is>
          <t>cbem maça verde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</row>
    <row r="79" hidden="1" ht="18.75" customHeight="1">
      <c r="A79" s="781" t="inlineStr">
        <is>
          <t>DR BOTICA CRIATIVIDADE</t>
        </is>
      </c>
      <c r="B79" s="731" t="n"/>
      <c r="C79" s="731" t="n"/>
      <c r="D79" s="775" t="n"/>
      <c r="F79" s="141" t="n">
        <v>1</v>
      </c>
      <c r="G79" s="141" t="n">
        <v>1</v>
      </c>
      <c r="H79" s="141" t="n">
        <v>0</v>
      </c>
      <c r="I79" s="141" t="n">
        <v>0</v>
      </c>
      <c r="J79" s="141" t="n">
        <v>0</v>
      </c>
      <c r="K79" s="141" t="n">
        <v>0</v>
      </c>
      <c r="L79" s="141" t="n">
        <v>0</v>
      </c>
      <c r="M79" s="141" t="n">
        <v>0</v>
      </c>
      <c r="N79" s="141" t="n">
        <v>0</v>
      </c>
      <c r="O79" s="141" t="n">
        <v>0</v>
      </c>
      <c r="P79" s="141" t="n">
        <v>0</v>
      </c>
      <c r="Q79" s="141" t="n">
        <v>0</v>
      </c>
      <c r="R79" s="141" t="n">
        <v>0</v>
      </c>
      <c r="S79" s="141" t="n">
        <v>0</v>
      </c>
      <c r="T79" s="141" t="n">
        <v>0</v>
      </c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</row>
    <row r="80" hidden="1" ht="18.75" customHeight="1">
      <c r="A80" s="781" t="inlineStr">
        <is>
          <t>MATCH RECONSTRUÇÃO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</row>
    <row r="81" hidden="1" ht="18.75" customHeight="1">
      <c r="A81" s="781" t="inlineStr">
        <is>
          <t>COFFEE ADDICTIVE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</row>
    <row r="82" hidden="1" ht="18.75" customHeight="1">
      <c r="A82" s="781" t="inlineStr">
        <is>
          <t>MALBEC ICON</t>
        </is>
      </c>
      <c r="B82" s="731" t="n"/>
      <c r="C82" s="731" t="n"/>
      <c r="D82" s="775" t="n"/>
      <c r="F82" s="141" t="n">
        <v>73</v>
      </c>
      <c r="G82" s="141" t="n">
        <v>73</v>
      </c>
      <c r="H82" s="141" t="n">
        <v>50</v>
      </c>
      <c r="I82" s="141" t="n">
        <v>47</v>
      </c>
      <c r="J82" s="141" t="n">
        <v>39</v>
      </c>
      <c r="K82" s="141" t="n">
        <v>20</v>
      </c>
      <c r="L82" s="141" t="n">
        <v>6</v>
      </c>
      <c r="M82" s="141" t="n">
        <v>0</v>
      </c>
      <c r="N82" s="141" t="n">
        <v>0</v>
      </c>
      <c r="O82" s="141" t="n">
        <v>0</v>
      </c>
      <c r="P82" s="141" t="n">
        <v>0</v>
      </c>
      <c r="Q82" s="141" t="n">
        <v>0</v>
      </c>
      <c r="R82" s="141" t="n">
        <v>0</v>
      </c>
      <c r="S82" s="141" t="n">
        <v>0</v>
      </c>
      <c r="T82" s="141" t="n">
        <v>0</v>
      </c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</row>
    <row r="83" hidden="1" ht="18.75" customHeight="1">
      <c r="A83" s="781" t="inlineStr">
        <is>
          <t>MEN 2 EM 1</t>
        </is>
      </c>
      <c r="B83" s="731" t="n"/>
      <c r="C83" s="731" t="n"/>
      <c r="D83" s="775" t="n"/>
      <c r="F83" s="141" t="n">
        <v>2</v>
      </c>
      <c r="G83" s="141" t="n">
        <v>2</v>
      </c>
      <c r="H83" s="141" t="n">
        <v>2</v>
      </c>
      <c r="I83" s="141" t="n">
        <v>2</v>
      </c>
      <c r="J83" s="141" t="n">
        <v>1</v>
      </c>
      <c r="K83" s="141" t="n">
        <v>0</v>
      </c>
      <c r="L83" s="141" t="n">
        <v>0</v>
      </c>
      <c r="M83" s="141" t="n">
        <v>0</v>
      </c>
      <c r="N83" s="141" t="n">
        <v>0</v>
      </c>
      <c r="O83" s="141" t="n">
        <v>0</v>
      </c>
      <c r="P83" s="141" t="n">
        <v>0</v>
      </c>
      <c r="Q83" s="141" t="n">
        <v>0</v>
      </c>
      <c r="R83" s="141" t="n">
        <v>0</v>
      </c>
      <c r="S83" s="141" t="n">
        <v>0</v>
      </c>
      <c r="T83" s="141" t="n">
        <v>0</v>
      </c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</row>
    <row r="84" hidden="1" ht="18.75" customHeight="1">
      <c r="A84" s="781" t="inlineStr">
        <is>
          <t xml:space="preserve">PROTETOR SOLAR FPS 80 BOTIK 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</row>
    <row r="85" hidden="1" ht="18.75" customHeight="1">
      <c r="A85" s="781" t="inlineStr">
        <is>
          <t>GLAMOUR INTENSE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</row>
    <row r="86" hidden="1" ht="18.75" customHeight="1">
      <c r="A86" s="781" t="inlineStr">
        <is>
          <t>BOTI BABY SABONETE LIQUIDO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</row>
    <row r="87" hidden="1" ht="18.75" customHeight="1">
      <c r="A87" s="781" t="inlineStr">
        <is>
          <t xml:space="preserve">BOTI BABY LOÇÃO BANHO 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</row>
    <row r="88" hidden="1" ht="18.75" customHeight="1">
      <c r="A88" s="781" t="inlineStr">
        <is>
          <t xml:space="preserve">UOMINI SPIRIT 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</row>
    <row r="89" hidden="1" ht="18.75" customHeight="1">
      <c r="A89" s="781" t="inlineStr">
        <is>
          <t>HER CODE TOUCH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</row>
    <row r="90" hidden="1" ht="18.75" customHeight="1">
      <c r="A90" s="781" t="inlineStr">
        <is>
          <t>ZAAD VENTURE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</row>
    <row r="91" hidden="1" ht="18.75" customHeight="1">
      <c r="A91" s="781" t="inlineStr">
        <is>
          <t>NATIVA SPA CEREJA ROUGE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</row>
    <row r="92" hidden="1" ht="18.75" customHeight="1">
      <c r="A92" s="781" t="inlineStr">
        <is>
          <t>LILLY GARDENIA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</row>
    <row r="93" hidden="1" ht="18.75" customHeight="1">
      <c r="A93" s="781" t="inlineStr">
        <is>
          <t>EGEO CHOC HIGH</t>
        </is>
      </c>
      <c r="B93" s="731" t="n"/>
      <c r="C93" s="731" t="n"/>
      <c r="D93" s="775" t="n"/>
      <c r="F93" s="141" t="n">
        <v>2</v>
      </c>
      <c r="G93" s="141" t="n">
        <v>2</v>
      </c>
      <c r="H93" s="141" t="n">
        <v>2</v>
      </c>
      <c r="I93" s="141" t="n">
        <v>1</v>
      </c>
      <c r="J93" s="141" t="n">
        <v>0</v>
      </c>
      <c r="K93" s="141" t="n">
        <v>0</v>
      </c>
      <c r="L93" s="141" t="n">
        <v>0</v>
      </c>
      <c r="M93" s="141" t="n">
        <v>0</v>
      </c>
      <c r="N93" s="141" t="n">
        <v>0</v>
      </c>
      <c r="O93" s="141" t="n">
        <v>0</v>
      </c>
      <c r="P93" s="141" t="n">
        <v>0</v>
      </c>
      <c r="Q93" s="141" t="n">
        <v>0</v>
      </c>
      <c r="R93" s="141" t="n">
        <v>0</v>
      </c>
      <c r="S93" s="141" t="n">
        <v>0</v>
      </c>
      <c r="T93" s="141" t="n">
        <v>0</v>
      </c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</row>
    <row r="94" hidden="1" ht="18.75" customHeight="1">
      <c r="A94" s="781" t="inlineStr">
        <is>
          <t>FLORATTA RED PASSION</t>
        </is>
      </c>
      <c r="B94" s="731" t="n"/>
      <c r="C94" s="731" t="n"/>
      <c r="D94" s="775" t="n"/>
      <c r="F94" s="141" t="n">
        <v>0</v>
      </c>
      <c r="G94" s="141" t="n">
        <v>0</v>
      </c>
      <c r="H94" s="141" t="n">
        <v>50</v>
      </c>
      <c r="I94" s="141" t="n">
        <v>48</v>
      </c>
      <c r="J94" s="141" t="n">
        <v>40</v>
      </c>
      <c r="K94" s="141" t="n">
        <v>20</v>
      </c>
      <c r="L94" s="141" t="n">
        <v>0</v>
      </c>
      <c r="M94" s="141" t="n">
        <v>0</v>
      </c>
      <c r="N94" s="141" t="n">
        <v>0</v>
      </c>
      <c r="O94" s="141" t="n">
        <v>0</v>
      </c>
      <c r="P94" s="141" t="n">
        <v>0</v>
      </c>
      <c r="Q94" s="141" t="n">
        <v>0</v>
      </c>
      <c r="R94" s="141" t="n">
        <v>0</v>
      </c>
      <c r="S94" s="141" t="n">
        <v>0</v>
      </c>
      <c r="T94" s="141" t="n">
        <v>0</v>
      </c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</row>
    <row r="95" hidden="1" ht="18.75" customHeight="1">
      <c r="A95" s="781" t="inlineStr">
        <is>
          <t>CBEM HIDR. DOCURA NA PESSEGURA</t>
        </is>
      </c>
      <c r="B95" s="731" t="n"/>
      <c r="C95" s="731" t="n"/>
      <c r="D95" s="775" t="n"/>
      <c r="J95" s="141" t="n">
        <v>0</v>
      </c>
      <c r="K95" s="141" t="n">
        <v>226</v>
      </c>
      <c r="L95" s="141" t="n">
        <v>185</v>
      </c>
      <c r="M95" s="141" t="n">
        <v>170</v>
      </c>
      <c r="N95" s="141" t="n">
        <v>121</v>
      </c>
      <c r="O95" s="141" t="n">
        <v>115</v>
      </c>
      <c r="P95" s="141" t="n">
        <v>9</v>
      </c>
      <c r="Q95" s="141" t="n">
        <v>64</v>
      </c>
      <c r="R95" s="141" t="n">
        <v>55</v>
      </c>
      <c r="S95" s="141" t="n">
        <v>43</v>
      </c>
      <c r="T95" s="141" t="n">
        <v>5</v>
      </c>
      <c r="U95" s="141" t="n">
        <v>0</v>
      </c>
      <c r="V95" s="141" t="n">
        <v>0</v>
      </c>
      <c r="W95" s="141" t="n">
        <v>0</v>
      </c>
      <c r="X95" s="141" t="n">
        <v>0</v>
      </c>
      <c r="Y95" s="141" t="n">
        <v>0</v>
      </c>
      <c r="Z95" s="141" t="n">
        <v>0</v>
      </c>
      <c r="AA95" s="141" t="n">
        <v>0</v>
      </c>
      <c r="AB95" s="141" t="n">
        <v>0</v>
      </c>
      <c r="AC95" s="141" t="n">
        <v>0</v>
      </c>
      <c r="AD95" s="141" t="n">
        <v>0</v>
      </c>
      <c r="AE95" s="141" t="n">
        <v>0</v>
      </c>
      <c r="AF95" s="141" t="n">
        <v>0</v>
      </c>
      <c r="AG95" s="141" t="n">
        <v>0</v>
      </c>
      <c r="AH95" s="141" t="n">
        <v>0</v>
      </c>
      <c r="AI95" s="141" t="n">
        <v>0</v>
      </c>
      <c r="AJ95" s="141" t="n">
        <v>0</v>
      </c>
      <c r="AK95" s="141" t="n">
        <v>0</v>
      </c>
      <c r="AL95" s="141" t="n">
        <v>0</v>
      </c>
      <c r="AM95" s="141" t="n">
        <v>0</v>
      </c>
      <c r="AN95" s="141" t="n">
        <v>0</v>
      </c>
      <c r="AO95" s="141" t="n">
        <v>0</v>
      </c>
      <c r="AP95" s="141" t="n">
        <v>0</v>
      </c>
      <c r="AQ95" s="141" t="n">
        <v>0</v>
      </c>
      <c r="AR95" s="141" t="n">
        <v>0</v>
      </c>
      <c r="AS95" s="141" t="n">
        <v>0</v>
      </c>
      <c r="AT95" s="141" t="n">
        <v>0</v>
      </c>
      <c r="AU95" s="141" t="n">
        <v>0</v>
      </c>
      <c r="AV95" s="141" t="n">
        <v>0</v>
      </c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</row>
    <row r="96" hidden="1" ht="18.75" customHeight="1">
      <c r="A96" s="781" t="inlineStr">
        <is>
          <t>LILY BLANCHE</t>
        </is>
      </c>
      <c r="B96" s="731" t="n"/>
      <c r="C96" s="731" t="n"/>
      <c r="D96" s="775" t="n"/>
      <c r="M96" s="141" t="n">
        <v>0</v>
      </c>
      <c r="N96" s="141" t="n">
        <v>27</v>
      </c>
      <c r="O96" s="141" t="n">
        <v>20</v>
      </c>
      <c r="P96" s="141" t="n">
        <v>0</v>
      </c>
      <c r="Q96" s="141" t="n">
        <v>0</v>
      </c>
      <c r="R96" s="141" t="n">
        <v>0</v>
      </c>
      <c r="S96" s="141" t="n">
        <v>0</v>
      </c>
      <c r="T96" s="141" t="n">
        <v>0</v>
      </c>
      <c r="U96" s="141" t="n">
        <v>0</v>
      </c>
      <c r="V96" s="141" t="n">
        <v>0</v>
      </c>
      <c r="W96" s="141" t="n">
        <v>0</v>
      </c>
      <c r="X96" s="141" t="n">
        <v>0</v>
      </c>
      <c r="Y96" s="141" t="n">
        <v>0</v>
      </c>
      <c r="Z96" s="141" t="n">
        <v>0</v>
      </c>
      <c r="AA96" s="141" t="n">
        <v>0</v>
      </c>
      <c r="AB96" s="141" t="n">
        <v>0</v>
      </c>
      <c r="AC96" s="141" t="n">
        <v>0</v>
      </c>
      <c r="AD96" s="141" t="n">
        <v>0</v>
      </c>
      <c r="AE96" s="141" t="n">
        <v>0</v>
      </c>
      <c r="AF96" s="141" t="n">
        <v>0</v>
      </c>
      <c r="AG96" s="141" t="n">
        <v>0</v>
      </c>
      <c r="AH96" s="141" t="n">
        <v>0</v>
      </c>
      <c r="AI96" s="141" t="n">
        <v>0</v>
      </c>
      <c r="AJ96" s="141" t="n">
        <v>0</v>
      </c>
      <c r="AK96" s="141" t="n">
        <v>0</v>
      </c>
      <c r="AL96" s="141" t="n">
        <v>0</v>
      </c>
      <c r="AM96" s="141" t="n">
        <v>0</v>
      </c>
      <c r="AN96" s="141" t="n">
        <v>0</v>
      </c>
      <c r="AO96" s="141" t="n">
        <v>0</v>
      </c>
      <c r="AP96" s="141" t="n">
        <v>0</v>
      </c>
      <c r="AQ96" s="141" t="n">
        <v>0</v>
      </c>
      <c r="AR96" s="141" t="n">
        <v>0</v>
      </c>
      <c r="AS96" s="141" t="n">
        <v>0</v>
      </c>
      <c r="AT96" s="141" t="n">
        <v>0</v>
      </c>
      <c r="AU96" s="141" t="n">
        <v>0</v>
      </c>
      <c r="AV96" s="141" t="n">
        <v>0</v>
      </c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</row>
    <row r="97" hidden="1" ht="18.75" customHeight="1">
      <c r="A97" s="781" t="inlineStr">
        <is>
          <t>MEN NBA</t>
        </is>
      </c>
      <c r="B97" s="731" t="n"/>
      <c r="C97" s="731" t="n"/>
      <c r="D97" s="775" t="n"/>
      <c r="P97" s="141" t="n">
        <v>0</v>
      </c>
      <c r="Q97" s="141" t="n">
        <v>106</v>
      </c>
      <c r="R97" s="141" t="n">
        <v>100</v>
      </c>
      <c r="S97" s="141" t="n">
        <v>80</v>
      </c>
      <c r="T97" s="141" t="n">
        <v>55</v>
      </c>
      <c r="U97" s="141" t="n">
        <v>40</v>
      </c>
      <c r="V97" s="141" t="n">
        <v>22</v>
      </c>
      <c r="W97" s="141" t="n">
        <v>14</v>
      </c>
      <c r="X97" s="141" t="n">
        <v>9</v>
      </c>
      <c r="Y97" s="141" t="n">
        <v>0</v>
      </c>
      <c r="Z97" s="141" t="n">
        <v>3</v>
      </c>
      <c r="AA97" s="141" t="n">
        <v>0</v>
      </c>
      <c r="AB97" s="141" t="n">
        <v>0</v>
      </c>
      <c r="AC97" s="141" t="n">
        <v>0</v>
      </c>
      <c r="AD97" s="141" t="n">
        <v>0</v>
      </c>
      <c r="AE97" s="141" t="n">
        <v>0</v>
      </c>
      <c r="AF97" s="141" t="n">
        <v>0</v>
      </c>
      <c r="AG97" s="141" t="n">
        <v>0</v>
      </c>
      <c r="AH97" s="141" t="n">
        <v>0</v>
      </c>
      <c r="AI97" s="141" t="n">
        <v>0</v>
      </c>
      <c r="AJ97" s="141" t="n">
        <v>0</v>
      </c>
      <c r="AK97" s="141" t="n">
        <v>0</v>
      </c>
      <c r="AL97" s="141" t="n">
        <v>0</v>
      </c>
      <c r="AM97" s="141" t="n">
        <v>0</v>
      </c>
      <c r="AN97" s="141" t="n">
        <v>0</v>
      </c>
      <c r="AO97" s="141" t="n">
        <v>0</v>
      </c>
      <c r="AP97" s="141" t="n">
        <v>0</v>
      </c>
      <c r="AQ97" s="141" t="n">
        <v>0</v>
      </c>
      <c r="AR97" s="141" t="n">
        <v>0</v>
      </c>
      <c r="AS97" s="141" t="n">
        <v>0</v>
      </c>
      <c r="AT97" s="141" t="n">
        <v>0</v>
      </c>
      <c r="AU97" s="141" t="n">
        <v>0</v>
      </c>
      <c r="AV97" s="141" t="n">
        <v>0</v>
      </c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</row>
    <row r="98" hidden="1" ht="18.75" customHeight="1">
      <c r="A98" s="781" t="inlineStr">
        <is>
          <t>ARBO ATLANTICA</t>
        </is>
      </c>
      <c r="B98" s="731" t="n"/>
      <c r="C98" s="731" t="n"/>
      <c r="D98" s="775" t="n"/>
      <c r="S98" s="141" t="n">
        <v>0</v>
      </c>
      <c r="T98" s="141" t="n">
        <v>100</v>
      </c>
      <c r="U98" s="141" t="n">
        <v>100</v>
      </c>
      <c r="V98" s="141" t="n">
        <v>100</v>
      </c>
      <c r="W98" s="141" t="n">
        <v>100</v>
      </c>
      <c r="X98" s="141" t="n">
        <v>80</v>
      </c>
      <c r="Y98" s="141" t="n">
        <v>80</v>
      </c>
      <c r="Z98" s="141" t="n">
        <v>33</v>
      </c>
      <c r="AA98" s="141" t="n">
        <v>30</v>
      </c>
      <c r="AB98" s="141" t="n">
        <v>25</v>
      </c>
      <c r="AC98" s="141" t="n">
        <v>0</v>
      </c>
      <c r="AD98" s="141" t="n">
        <v>0</v>
      </c>
      <c r="AE98" s="141" t="n">
        <v>0</v>
      </c>
      <c r="AF98" s="141" t="n">
        <v>0</v>
      </c>
      <c r="AG98" s="141" t="n">
        <v>0</v>
      </c>
      <c r="AH98" s="141" t="n">
        <v>0</v>
      </c>
      <c r="AI98" s="141" t="n">
        <v>0</v>
      </c>
      <c r="AJ98" s="141" t="n">
        <v>0</v>
      </c>
      <c r="AK98" s="141" t="n">
        <v>0</v>
      </c>
      <c r="AL98" s="141" t="n">
        <v>0</v>
      </c>
      <c r="AM98" s="141" t="n">
        <v>0</v>
      </c>
      <c r="AN98" s="141" t="n">
        <v>0</v>
      </c>
      <c r="AO98" s="141" t="n">
        <v>0</v>
      </c>
      <c r="AP98" s="141" t="n">
        <v>0</v>
      </c>
      <c r="AQ98" s="141" t="n">
        <v>0</v>
      </c>
      <c r="AR98" s="141" t="n">
        <v>0</v>
      </c>
      <c r="AS98" s="141" t="n">
        <v>0</v>
      </c>
      <c r="AT98" s="141" t="n">
        <v>0</v>
      </c>
      <c r="AU98" s="141" t="n">
        <v>0</v>
      </c>
      <c r="AV98" s="141" t="n">
        <v>0</v>
      </c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</row>
    <row r="99" hidden="1" ht="18.75" customHeight="1">
      <c r="A99" s="781" t="inlineStr">
        <is>
          <t>QUASAR DEEP BLUE</t>
        </is>
      </c>
      <c r="B99" s="731" t="n"/>
      <c r="C99" s="731" t="n"/>
      <c r="D99" s="775" t="n"/>
      <c r="S99" s="141" t="n">
        <v>0</v>
      </c>
      <c r="T99" s="141" t="n">
        <v>100</v>
      </c>
      <c r="U99" s="141" t="n">
        <v>100</v>
      </c>
      <c r="V99" s="141" t="n">
        <v>100</v>
      </c>
      <c r="W99" s="141" t="n">
        <v>20</v>
      </c>
      <c r="X99" s="141" t="n">
        <v>20</v>
      </c>
      <c r="Y99" s="141" t="n">
        <v>10</v>
      </c>
      <c r="Z99" s="141" t="n">
        <v>38</v>
      </c>
      <c r="AA99" s="141" t="n">
        <v>30</v>
      </c>
      <c r="AB99" s="141" t="n">
        <v>21</v>
      </c>
      <c r="AC99" s="141" t="n">
        <v>0</v>
      </c>
      <c r="AD99" s="141" t="n">
        <v>0</v>
      </c>
      <c r="AE99" s="141" t="n">
        <v>0</v>
      </c>
      <c r="AF99" s="141" t="n">
        <v>0</v>
      </c>
      <c r="AG99" s="141" t="n">
        <v>0</v>
      </c>
      <c r="AH99" s="141" t="n">
        <v>0</v>
      </c>
      <c r="AI99" s="141" t="n">
        <v>0</v>
      </c>
      <c r="AJ99" s="141" t="n">
        <v>0</v>
      </c>
      <c r="AK99" s="141" t="n">
        <v>0</v>
      </c>
      <c r="AL99" s="141" t="n">
        <v>0</v>
      </c>
      <c r="AM99" s="141" t="n">
        <v>0</v>
      </c>
      <c r="AN99" s="141" t="n">
        <v>0</v>
      </c>
      <c r="AO99" s="141" t="n">
        <v>0</v>
      </c>
      <c r="AP99" s="141" t="n">
        <v>0</v>
      </c>
      <c r="AQ99" s="141" t="n">
        <v>0</v>
      </c>
      <c r="AR99" s="141" t="n">
        <v>0</v>
      </c>
      <c r="AS99" s="141" t="n">
        <v>0</v>
      </c>
      <c r="AT99" s="141" t="n">
        <v>0</v>
      </c>
      <c r="AU99" s="141" t="n">
        <v>0</v>
      </c>
      <c r="AV99" s="141" t="n">
        <v>0</v>
      </c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</row>
    <row r="100" hidden="1" ht="18.75" customHeight="1">
      <c r="A100" s="781" t="inlineStr">
        <is>
          <t>BOTICA 214 SEVILLA DOURADA</t>
        </is>
      </c>
      <c r="B100" s="731" t="n"/>
      <c r="C100" s="731" t="n"/>
      <c r="D100" s="775" t="n"/>
      <c r="V100" s="141" t="n">
        <v>0</v>
      </c>
      <c r="W100" s="141" t="n">
        <v>7</v>
      </c>
      <c r="X100" s="141" t="n">
        <v>7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</row>
    <row r="101" hidden="1">
      <c r="A101" s="482" t="inlineStr">
        <is>
          <t>BOTI SUN FPS 70 COR 1.0</t>
        </is>
      </c>
      <c r="B101" s="483" t="n"/>
      <c r="C101" s="483" t="n"/>
      <c r="D101" s="484" t="n"/>
      <c r="V101" s="141" t="n"/>
      <c r="W101" s="141" t="n"/>
      <c r="X101" s="141" t="n"/>
      <c r="Y101" s="413" t="n"/>
      <c r="Z101" s="141" t="n">
        <v>0</v>
      </c>
      <c r="AA101" s="141" t="n">
        <v>0</v>
      </c>
      <c r="AB101" s="141" t="n">
        <v>0</v>
      </c>
      <c r="AC101" s="141" t="n">
        <v>7</v>
      </c>
      <c r="AD101" s="141" t="n">
        <v>0</v>
      </c>
      <c r="AE101" s="141" t="n">
        <v>2</v>
      </c>
      <c r="AF101" s="141" t="n">
        <v>2</v>
      </c>
      <c r="AG101" s="141" t="n">
        <v>2</v>
      </c>
      <c r="AH101" s="141" t="n">
        <v>2</v>
      </c>
      <c r="AI101" s="141" t="n">
        <v>0</v>
      </c>
      <c r="AJ101" s="141" t="n">
        <v>0</v>
      </c>
      <c r="AK101" s="141" t="n">
        <v>0</v>
      </c>
      <c r="AL101" s="141" t="n">
        <v>0</v>
      </c>
      <c r="AM101" s="141" t="n">
        <v>0</v>
      </c>
      <c r="AN101" s="141" t="n">
        <v>0</v>
      </c>
      <c r="AO101" s="141" t="n">
        <v>0</v>
      </c>
      <c r="AP101" s="141" t="n">
        <v>0</v>
      </c>
      <c r="AQ101" s="141" t="n">
        <v>0</v>
      </c>
      <c r="AR101" s="141" t="n">
        <v>0</v>
      </c>
      <c r="AS101" s="141" t="n">
        <v>0</v>
      </c>
      <c r="AT101" s="141" t="n">
        <v>0</v>
      </c>
      <c r="AU101" s="141" t="n">
        <v>0</v>
      </c>
      <c r="AV101" s="141" t="n">
        <v>0</v>
      </c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</row>
    <row r="102" hidden="1">
      <c r="A102" s="482" t="inlineStr">
        <is>
          <t>BOTI SUN FPS 70 COR 2.0</t>
        </is>
      </c>
      <c r="B102" s="483" t="n"/>
      <c r="C102" s="483" t="n"/>
      <c r="D102" s="484" t="n"/>
      <c r="Z102" s="414" t="n">
        <v>0</v>
      </c>
      <c r="AA102" s="414" t="n">
        <v>0</v>
      </c>
      <c r="AB102" s="141" t="n">
        <v>0</v>
      </c>
      <c r="AC102" s="141" t="n">
        <v>1</v>
      </c>
      <c r="AD102" s="141" t="n">
        <v>0</v>
      </c>
      <c r="AE102" s="141" t="n">
        <v>0</v>
      </c>
      <c r="AF102" s="141" t="n">
        <v>0</v>
      </c>
      <c r="AG102" s="141" t="n">
        <v>0</v>
      </c>
      <c r="AH102" s="141" t="n">
        <v>0</v>
      </c>
      <c r="AI102" s="141" t="n">
        <v>0</v>
      </c>
      <c r="AJ102" s="141" t="n">
        <v>0</v>
      </c>
      <c r="AK102" s="141" t="n">
        <v>0</v>
      </c>
      <c r="AL102" s="141" t="n">
        <v>0</v>
      </c>
      <c r="AM102" s="141" t="n">
        <v>0</v>
      </c>
      <c r="AN102" s="141" t="n">
        <v>0</v>
      </c>
      <c r="AO102" s="141" t="n">
        <v>0</v>
      </c>
      <c r="AP102" s="141" t="n">
        <v>0</v>
      </c>
      <c r="AQ102" s="141" t="n">
        <v>0</v>
      </c>
      <c r="AR102" s="141" t="n">
        <v>0</v>
      </c>
      <c r="AS102" s="141" t="n">
        <v>0</v>
      </c>
      <c r="AT102" s="141" t="n">
        <v>0</v>
      </c>
      <c r="AU102" s="141" t="n">
        <v>0</v>
      </c>
      <c r="AV102" s="141" t="n">
        <v>0</v>
      </c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</row>
    <row r="103" hidden="1">
      <c r="A103" s="482" t="inlineStr">
        <is>
          <t>BOTI SUN FPS 70 COR 3.0</t>
        </is>
      </c>
      <c r="B103" s="483" t="n"/>
      <c r="C103" s="483" t="n"/>
      <c r="D103" s="484" t="n"/>
      <c r="Z103" s="414" t="n">
        <v>0</v>
      </c>
      <c r="AA103" s="414" t="n">
        <v>0</v>
      </c>
      <c r="AB103" s="141" t="n">
        <v>0</v>
      </c>
      <c r="AC103" s="141" t="n">
        <v>2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</row>
    <row r="104" hidden="1">
      <c r="A104" s="482" t="inlineStr">
        <is>
          <t>BOTI SUN FPS 70 COR 4.0</t>
        </is>
      </c>
      <c r="B104" s="483" t="n"/>
      <c r="C104" s="483" t="n"/>
      <c r="D104" s="484" t="n"/>
      <c r="Z104" s="414" t="n">
        <v>0</v>
      </c>
      <c r="AA104" s="414" t="n">
        <v>0</v>
      </c>
      <c r="AB104" s="141" t="n">
        <v>0</v>
      </c>
      <c r="AC104" s="141" t="n">
        <v>2</v>
      </c>
      <c r="AD104" s="141" t="n">
        <v>0</v>
      </c>
      <c r="AE104" s="141" t="n">
        <v>4</v>
      </c>
      <c r="AF104" s="141" t="n">
        <v>4</v>
      </c>
      <c r="AG104" s="141" t="n">
        <v>4</v>
      </c>
      <c r="AH104" s="141" t="n">
        <v>2</v>
      </c>
      <c r="AI104" s="141" t="n">
        <v>0</v>
      </c>
      <c r="AJ104" s="141" t="n">
        <v>0</v>
      </c>
      <c r="AK104" s="141" t="n">
        <v>0</v>
      </c>
      <c r="AL104" s="141" t="n">
        <v>0</v>
      </c>
      <c r="AM104" s="141" t="n">
        <v>0</v>
      </c>
      <c r="AN104" s="141" t="n">
        <v>0</v>
      </c>
      <c r="AO104" s="141" t="n">
        <v>0</v>
      </c>
      <c r="AP104" s="141" t="n">
        <v>0</v>
      </c>
      <c r="AQ104" s="141" t="n">
        <v>0</v>
      </c>
      <c r="AR104" s="141" t="n">
        <v>0</v>
      </c>
      <c r="AS104" s="141" t="n">
        <v>0</v>
      </c>
      <c r="AT104" s="141" t="n">
        <v>0</v>
      </c>
      <c r="AU104" s="141" t="n">
        <v>0</v>
      </c>
      <c r="AV104" s="141" t="n">
        <v>0</v>
      </c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</row>
    <row r="105" hidden="1">
      <c r="A105" s="482" t="inlineStr">
        <is>
          <t>BOTI SUN FPS 70 COR 5.0</t>
        </is>
      </c>
      <c r="B105" s="483" t="n"/>
      <c r="C105" s="483" t="n"/>
      <c r="D105" s="484" t="n"/>
      <c r="Z105" s="414" t="n">
        <v>0</v>
      </c>
      <c r="AA105" s="414" t="n">
        <v>0</v>
      </c>
      <c r="AB105" s="141" t="n">
        <v>0</v>
      </c>
      <c r="AC105" s="141" t="n">
        <v>8</v>
      </c>
      <c r="AD105" s="141" t="n">
        <v>0</v>
      </c>
      <c r="AE105" s="141" t="n">
        <v>5</v>
      </c>
      <c r="AF105" s="141" t="n">
        <v>5</v>
      </c>
      <c r="AG105" s="141" t="n">
        <v>5</v>
      </c>
      <c r="AH105" s="141" t="n">
        <v>2</v>
      </c>
      <c r="AI105" s="141" t="n">
        <v>0</v>
      </c>
      <c r="AJ105" s="141" t="n">
        <v>0</v>
      </c>
      <c r="AK105" s="141" t="n">
        <v>0</v>
      </c>
      <c r="AL105" s="141" t="n">
        <v>0</v>
      </c>
      <c r="AM105" s="141" t="n">
        <v>0</v>
      </c>
      <c r="AN105" s="141" t="n">
        <v>0</v>
      </c>
      <c r="AO105" s="141" t="n">
        <v>0</v>
      </c>
      <c r="AP105" s="141" t="n">
        <v>0</v>
      </c>
      <c r="AQ105" s="141" t="n">
        <v>0</v>
      </c>
      <c r="AR105" s="141" t="n">
        <v>0</v>
      </c>
      <c r="AS105" s="141" t="n">
        <v>0</v>
      </c>
      <c r="AT105" s="141" t="n">
        <v>0</v>
      </c>
      <c r="AU105" s="141" t="n">
        <v>0</v>
      </c>
      <c r="AV105" s="141" t="n">
        <v>0</v>
      </c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</row>
    <row r="106" hidden="1">
      <c r="A106" s="482" t="inlineStr">
        <is>
          <t>BOTI SUN FPS 70 COR 6.0</t>
        </is>
      </c>
      <c r="B106" s="483" t="n"/>
      <c r="C106" s="483" t="n"/>
      <c r="D106" s="484" t="n"/>
      <c r="Z106" s="414" t="n">
        <v>0</v>
      </c>
      <c r="AA106" s="414" t="n">
        <v>0</v>
      </c>
      <c r="AB106" s="141" t="n">
        <v>0</v>
      </c>
      <c r="AC106" s="141" t="n">
        <v>4</v>
      </c>
      <c r="AD106" s="141" t="n">
        <v>0</v>
      </c>
      <c r="AE106" s="141" t="n">
        <v>3</v>
      </c>
      <c r="AF106" s="141" t="n">
        <v>3</v>
      </c>
      <c r="AG106" s="141" t="n">
        <v>3</v>
      </c>
      <c r="AH106" s="141" t="n">
        <v>3</v>
      </c>
      <c r="AI106" s="141" t="n">
        <v>0</v>
      </c>
      <c r="AJ106" s="141" t="n">
        <v>0</v>
      </c>
      <c r="AK106" s="141" t="n">
        <v>0</v>
      </c>
      <c r="AL106" s="141" t="n">
        <v>0</v>
      </c>
      <c r="AM106" s="141" t="n">
        <v>0</v>
      </c>
      <c r="AN106" s="141" t="n">
        <v>0</v>
      </c>
      <c r="AO106" s="141" t="n">
        <v>0</v>
      </c>
      <c r="AP106" s="141" t="n">
        <v>0</v>
      </c>
      <c r="AQ106" s="141" t="n">
        <v>0</v>
      </c>
      <c r="AR106" s="141" t="n">
        <v>0</v>
      </c>
      <c r="AS106" s="141" t="n">
        <v>0</v>
      </c>
      <c r="AT106" s="141" t="n">
        <v>0</v>
      </c>
      <c r="AU106" s="141" t="n">
        <v>0</v>
      </c>
      <c r="AV106" s="141" t="n">
        <v>0</v>
      </c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</row>
    <row r="107" hidden="1">
      <c r="A107" s="482" t="inlineStr">
        <is>
          <t>BOTI SUN FPS 70 COR 7.0</t>
        </is>
      </c>
      <c r="B107" s="483" t="n"/>
      <c r="C107" s="483" t="n"/>
      <c r="D107" s="484" t="n"/>
      <c r="Z107" s="414" t="n">
        <v>0</v>
      </c>
      <c r="AA107" s="414" t="n">
        <v>0</v>
      </c>
      <c r="AB107" s="141" t="n">
        <v>0</v>
      </c>
      <c r="AC107" s="141" t="n">
        <v>3</v>
      </c>
      <c r="AD107" s="141" t="n">
        <v>0</v>
      </c>
      <c r="AE107" s="141" t="n">
        <v>3</v>
      </c>
      <c r="AF107" s="141" t="n">
        <v>3</v>
      </c>
      <c r="AG107" s="141" t="n">
        <v>3</v>
      </c>
      <c r="AH107" s="141" t="n">
        <v>3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</row>
    <row r="108" hidden="1" ht="18.75" customHeight="1">
      <c r="A108" s="781" t="inlineStr">
        <is>
          <t>EGEO COGU</t>
        </is>
      </c>
      <c r="B108" s="731" t="n"/>
      <c r="C108" s="731" t="n"/>
      <c r="D108" s="775" t="n"/>
      <c r="AD108" s="141" t="n">
        <v>0</v>
      </c>
      <c r="AE108" s="141" t="n">
        <v>25</v>
      </c>
      <c r="AF108" s="141" t="n">
        <v>20</v>
      </c>
      <c r="AG108" s="141" t="n">
        <v>2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</row>
    <row r="109" hidden="1" ht="18.75" customHeight="1">
      <c r="A109" s="781" t="inlineStr">
        <is>
          <t>HER CODE CLIMAX</t>
        </is>
      </c>
      <c r="B109" s="731" t="n"/>
      <c r="C109" s="731" t="n"/>
      <c r="D109" s="775" t="n"/>
      <c r="AD109" s="141" t="n"/>
      <c r="AE109" s="141" t="n"/>
      <c r="AF109" s="141" t="n"/>
      <c r="AG109" s="141" t="n">
        <v>0</v>
      </c>
      <c r="AH109" s="141" t="n">
        <v>5</v>
      </c>
      <c r="AI109" s="141" t="n">
        <v>0</v>
      </c>
      <c r="AJ109" s="141" t="n">
        <v>0</v>
      </c>
      <c r="AK109" s="141" t="n">
        <v>0</v>
      </c>
      <c r="AL109" s="141" t="n">
        <v>0</v>
      </c>
      <c r="AM109" s="141" t="n">
        <v>0</v>
      </c>
      <c r="AN109" s="141" t="n">
        <v>0</v>
      </c>
      <c r="AO109" s="141" t="n">
        <v>0</v>
      </c>
      <c r="AP109" s="141" t="n">
        <v>0</v>
      </c>
      <c r="AQ109" s="141" t="n">
        <v>0</v>
      </c>
      <c r="AR109" s="141" t="n">
        <v>0</v>
      </c>
      <c r="AS109" s="141" t="n">
        <v>0</v>
      </c>
      <c r="AT109" s="141" t="n">
        <v>0</v>
      </c>
      <c r="AU109" s="141" t="n">
        <v>0</v>
      </c>
      <c r="AV109" s="141" t="n">
        <v>0</v>
      </c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</row>
    <row r="110" hidden="1" ht="18.75" customHeight="1">
      <c r="A110" s="781" t="inlineStr">
        <is>
          <t>FLORATTA BOUQUET</t>
        </is>
      </c>
      <c r="B110" s="731" t="n"/>
      <c r="C110" s="731" t="n"/>
      <c r="D110" s="775" t="n"/>
      <c r="AK110" s="141" t="n">
        <v>0</v>
      </c>
      <c r="AL110" s="141" t="n">
        <v>11</v>
      </c>
      <c r="AM110" s="141" t="n">
        <v>3</v>
      </c>
      <c r="AN110" s="141" t="n">
        <v>3</v>
      </c>
      <c r="AO110" s="141" t="n">
        <v>0</v>
      </c>
      <c r="AP110" s="141" t="n">
        <v>0</v>
      </c>
      <c r="AQ110" s="141" t="n">
        <v>0</v>
      </c>
      <c r="AR110" s="141" t="n">
        <v>0</v>
      </c>
      <c r="AS110" s="141" t="n">
        <v>0</v>
      </c>
      <c r="AT110" s="141" t="n">
        <v>0</v>
      </c>
      <c r="AU110" s="141" t="n">
        <v>0</v>
      </c>
      <c r="AV110" s="141" t="n">
        <v>0</v>
      </c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</row>
    <row r="111">
      <c r="A111" s="781" t="inlineStr">
        <is>
          <t>EGEO DOLCE ILUSION</t>
        </is>
      </c>
      <c r="B111" s="731" t="n"/>
      <c r="C111" s="731" t="n"/>
      <c r="D111" s="775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>
        <v>0</v>
      </c>
      <c r="AV111" s="141" t="n">
        <v>190</v>
      </c>
      <c r="AW111" s="141" t="n">
        <v>190</v>
      </c>
      <c r="AX111" s="141" t="n">
        <v>171</v>
      </c>
      <c r="AY111" s="141" t="n">
        <v>150</v>
      </c>
      <c r="AZ111" s="141" t="n">
        <v>100</v>
      </c>
      <c r="BA111" s="141" t="n">
        <v>100</v>
      </c>
      <c r="BB111" s="141" t="n">
        <v>80</v>
      </c>
      <c r="BC111" s="141" t="n">
        <v>80</v>
      </c>
      <c r="BD111" s="141" t="n">
        <v>70</v>
      </c>
      <c r="BE111" s="141" t="n">
        <v>66</v>
      </c>
      <c r="BF111" s="141" t="n">
        <v>66</v>
      </c>
      <c r="BG111" s="141" t="n">
        <v>60</v>
      </c>
      <c r="BH111" s="141" t="n">
        <v>60</v>
      </c>
      <c r="BI111" s="141" t="n">
        <v>60</v>
      </c>
      <c r="BJ111" s="141" t="n">
        <v>60</v>
      </c>
      <c r="BK111" s="141" t="n">
        <v>0</v>
      </c>
      <c r="BL111" s="141" t="n">
        <v>0</v>
      </c>
      <c r="BM111" s="141" t="n">
        <v>0</v>
      </c>
      <c r="BN111" s="141" t="n">
        <v>0</v>
      </c>
      <c r="BO111" s="141" t="n">
        <v>0</v>
      </c>
      <c r="BP111" s="141" t="n">
        <v>0</v>
      </c>
      <c r="BQ111" s="141" t="n">
        <v>0</v>
      </c>
      <c r="BR111" s="141" t="n">
        <v>0</v>
      </c>
      <c r="BS111" s="141" t="n">
        <v>0</v>
      </c>
      <c r="BT111" s="141" t="n">
        <v>0</v>
      </c>
    </row>
    <row r="112">
      <c r="A112" s="781" t="inlineStr">
        <is>
          <t>HADYA</t>
        </is>
      </c>
      <c r="B112" s="731" t="n"/>
      <c r="C112" s="731" t="n"/>
      <c r="D112" s="775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>
        <v>0</v>
      </c>
      <c r="AV112" s="141" t="n">
        <v>99</v>
      </c>
      <c r="AW112" s="141" t="n">
        <v>99</v>
      </c>
      <c r="AX112" s="141" t="n">
        <v>84</v>
      </c>
      <c r="AY112" s="141" t="n">
        <v>75</v>
      </c>
      <c r="AZ112" s="141" t="n">
        <v>50</v>
      </c>
      <c r="BA112" s="141" t="n">
        <v>50</v>
      </c>
      <c r="BB112" s="141" t="n">
        <v>50</v>
      </c>
      <c r="BC112" s="141" t="n">
        <v>50</v>
      </c>
      <c r="BD112" s="141" t="n">
        <v>66</v>
      </c>
      <c r="BE112" s="141" t="n">
        <v>66</v>
      </c>
      <c r="BF112" s="141" t="n">
        <v>66</v>
      </c>
      <c r="BG112" s="141" t="n">
        <v>66</v>
      </c>
      <c r="BH112" s="141" t="n">
        <v>66</v>
      </c>
      <c r="BI112" s="141" t="n">
        <v>66</v>
      </c>
      <c r="BJ112" s="141" t="n">
        <v>66</v>
      </c>
      <c r="BK112" s="141" t="n">
        <v>0</v>
      </c>
      <c r="BL112" s="141" t="n">
        <v>0</v>
      </c>
      <c r="BM112" s="141" t="n">
        <v>0</v>
      </c>
      <c r="BN112" s="141" t="n">
        <v>0</v>
      </c>
      <c r="BO112" s="141" t="n">
        <v>0</v>
      </c>
      <c r="BP112" s="141" t="n">
        <v>0</v>
      </c>
      <c r="BQ112" s="141" t="n">
        <v>0</v>
      </c>
      <c r="BR112" s="141" t="n">
        <v>0</v>
      </c>
      <c r="BS112" s="141" t="n">
        <v>0</v>
      </c>
      <c r="BT112" s="141" t="n">
        <v>0</v>
      </c>
    </row>
    <row r="113">
      <c r="A113" s="781" t="inlineStr">
        <is>
          <t>CLASH</t>
        </is>
      </c>
      <c r="B113" s="731" t="n"/>
      <c r="C113" s="731" t="n"/>
      <c r="D113" s="775" t="n"/>
      <c r="BF113" s="141" t="n">
        <v>0</v>
      </c>
      <c r="BG113" s="141" t="n">
        <v>25</v>
      </c>
      <c r="BH113" s="141" t="n">
        <v>25</v>
      </c>
      <c r="BI113" s="141" t="n">
        <v>25</v>
      </c>
      <c r="BJ113" s="141" t="n">
        <v>25</v>
      </c>
      <c r="BK113" s="141" t="n">
        <v>17</v>
      </c>
      <c r="BL113" s="141" t="n">
        <v>17</v>
      </c>
      <c r="BM113" s="141" t="n">
        <v>17</v>
      </c>
      <c r="BN113" s="141" t="n">
        <v>17</v>
      </c>
      <c r="BO113" s="141" t="n">
        <v>17</v>
      </c>
      <c r="BP113" s="141" t="n">
        <v>6</v>
      </c>
      <c r="BQ113" s="141" t="n">
        <v>6</v>
      </c>
      <c r="BR113" s="141" t="n">
        <v>0</v>
      </c>
      <c r="BS113" s="141" t="n">
        <v>0</v>
      </c>
      <c r="BT113" s="141" t="n">
        <v>0</v>
      </c>
    </row>
    <row r="114">
      <c r="A114" s="781" t="inlineStr">
        <is>
          <t>BOTIK</t>
        </is>
      </c>
      <c r="B114" s="731" t="n"/>
      <c r="C114" s="731" t="n"/>
      <c r="D114" s="775" t="n"/>
      <c r="BF114" s="141" t="n">
        <v>0</v>
      </c>
      <c r="BG114" s="141" t="n">
        <v>0</v>
      </c>
      <c r="BH114" s="141" t="n">
        <v>70</v>
      </c>
      <c r="BI114" s="141" t="n">
        <v>70</v>
      </c>
      <c r="BJ114" s="141" t="n">
        <v>75</v>
      </c>
      <c r="BK114" s="141" t="n">
        <v>0</v>
      </c>
      <c r="BL114" s="141" t="n">
        <v>0</v>
      </c>
      <c r="BM114" s="141" t="n">
        <v>27</v>
      </c>
      <c r="BN114" s="141" t="n">
        <v>27</v>
      </c>
      <c r="BO114" s="141" t="n">
        <v>27</v>
      </c>
      <c r="BP114" s="141" t="n">
        <v>0</v>
      </c>
      <c r="BQ114" s="141" t="n">
        <v>0</v>
      </c>
      <c r="BR114" s="141" t="n">
        <v>0</v>
      </c>
      <c r="BS114" s="141" t="n">
        <v>0</v>
      </c>
      <c r="BT114" s="141" t="n">
        <v>0</v>
      </c>
    </row>
    <row r="115">
      <c r="A115" s="781" t="inlineStr">
        <is>
          <t>HIDRATANTE CEREJA DE FASES</t>
        </is>
      </c>
      <c r="B115" s="731" t="n"/>
      <c r="C115" s="731" t="n"/>
      <c r="D115" s="775" t="n"/>
      <c r="BF115" s="141" t="n"/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225</v>
      </c>
      <c r="BN115" s="141" t="n">
        <v>225</v>
      </c>
      <c r="BO115" s="141" t="n">
        <v>225</v>
      </c>
      <c r="BP115" s="141" t="n">
        <v>198</v>
      </c>
      <c r="BQ115" s="141" t="n">
        <v>198</v>
      </c>
      <c r="BR115" s="141" t="n">
        <v>198</v>
      </c>
      <c r="BS115" s="141" t="n">
        <v>170</v>
      </c>
      <c r="BT115" s="141" t="n">
        <v>150</v>
      </c>
    </row>
    <row r="116">
      <c r="A116" s="781" t="n"/>
      <c r="B116" s="731" t="n"/>
      <c r="C116" s="731" t="n"/>
      <c r="D116" s="775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</row>
  </sheetData>
  <mergeCells count="57">
    <mergeCell ref="A116:D116"/>
    <mergeCell ref="A97:D97"/>
    <mergeCell ref="A91:D91"/>
    <mergeCell ref="A100:D100"/>
    <mergeCell ref="A62:D62"/>
    <mergeCell ref="A96:D96"/>
    <mergeCell ref="A109:D109"/>
    <mergeCell ref="A72:D72"/>
    <mergeCell ref="A112:D112"/>
    <mergeCell ref="A81:D81"/>
    <mergeCell ref="A63:D63"/>
    <mergeCell ref="A115:D115"/>
    <mergeCell ref="A93:D93"/>
    <mergeCell ref="A68:D68"/>
    <mergeCell ref="A111:D111"/>
    <mergeCell ref="A67:D67"/>
    <mergeCell ref="A77:D77"/>
    <mergeCell ref="A114:D114"/>
    <mergeCell ref="A83:D83"/>
    <mergeCell ref="A92:D92"/>
    <mergeCell ref="A64:D64"/>
    <mergeCell ref="A82:D82"/>
    <mergeCell ref="A73:D73"/>
    <mergeCell ref="A98:D98"/>
    <mergeCell ref="A5:A6"/>
    <mergeCell ref="A94:D94"/>
    <mergeCell ref="A110:D110"/>
    <mergeCell ref="A79:D79"/>
    <mergeCell ref="A70:D70"/>
    <mergeCell ref="A61:D61"/>
    <mergeCell ref="A88:D88"/>
    <mergeCell ref="A69:D69"/>
    <mergeCell ref="A78:D78"/>
    <mergeCell ref="A87:D87"/>
    <mergeCell ref="A65:D65"/>
    <mergeCell ref="A99:D99"/>
    <mergeCell ref="A90:D90"/>
    <mergeCell ref="A108:D108"/>
    <mergeCell ref="A84:D84"/>
    <mergeCell ref="A66:D66"/>
    <mergeCell ref="B5:B6"/>
    <mergeCell ref="A80:D80"/>
    <mergeCell ref="A75:D75"/>
    <mergeCell ref="B3:D3"/>
    <mergeCell ref="D5:D6"/>
    <mergeCell ref="A89:D89"/>
    <mergeCell ref="A74:D74"/>
    <mergeCell ref="A86:D86"/>
    <mergeCell ref="A1:BU1"/>
    <mergeCell ref="A95:D95"/>
    <mergeCell ref="A113:D113"/>
    <mergeCell ref="A71:D71"/>
    <mergeCell ref="EU7:FC7"/>
    <mergeCell ref="A85:D85"/>
    <mergeCell ref="A76:D76"/>
    <mergeCell ref="B2:D2"/>
    <mergeCell ref="C5:C6"/>
  </mergeCells>
  <conditionalFormatting sqref="BW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fitToHeight="0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Planilha2">
    <tabColor theme="9"/>
    <outlinePr summaryBelow="1" summaryRight="1"/>
    <pageSetUpPr fitToPage="1"/>
  </sheetPr>
  <dimension ref="A1:MO119"/>
  <sheetViews>
    <sheetView showGridLines="0" zoomScale="80" zoomScaleNormal="80" workbookViewId="0">
      <selection activeCell="CE6" sqref="CE6"/>
    </sheetView>
  </sheetViews>
  <sheetFormatPr baseColWidth="8" defaultColWidth="9.140625" defaultRowHeight="18.75"/>
  <cols>
    <col width="28.42578125" customWidth="1" min="1" max="1"/>
    <col width="9.140625" customWidth="1" min="2" max="2"/>
    <col width="14.42578125" customWidth="1" min="3" max="3"/>
    <col width="2.42578125" customWidth="1" min="5" max="5"/>
    <col hidden="1" width="8.140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140625" customWidth="1" min="77" max="77"/>
    <col hidden="1" width="13" customWidth="1" min="78" max="78"/>
    <col width="13" customWidth="1" min="79" max="79"/>
    <col width="13" customWidth="1" min="80" max="80"/>
    <col width="9.140625" customWidth="1" min="81" max="81"/>
    <col width="1.42578125" customWidth="1" min="82" max="82"/>
    <col width="14.28515625" customWidth="1" min="83" max="83"/>
    <col width="1.7109375" customWidth="1" min="84" max="84"/>
    <col width="15.85546875" customWidth="1" min="85" max="85"/>
    <col width="1.7109375" customWidth="1" min="86" max="86"/>
    <col width="9.28515625" customWidth="1" min="87" max="87"/>
    <col width="13" customWidth="1" min="88" max="88"/>
    <col hidden="1" width="13" customWidth="1" min="89" max="89"/>
    <col hidden="1" width="8.7109375" customWidth="1" min="90" max="90"/>
    <col hidden="1" width="9.28515625" customWidth="1" min="91" max="91"/>
    <col hidden="1" width="13" customWidth="1" min="92" max="92"/>
    <col hidden="1" width="9.28515625" customWidth="1" min="93" max="93"/>
    <col hidden="1" width="12.28515625" customWidth="1" min="94" max="94"/>
    <col hidden="1" width="9.28515625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2.85546875" customWidth="1" min="106" max="106"/>
    <col hidden="1" width="9.28515625" customWidth="1" min="107" max="107"/>
    <col hidden="1" width="8.7109375" customWidth="1" min="108" max="108"/>
    <col hidden="1" width="9.28515625" customWidth="1" min="109" max="109"/>
    <col hidden="1" width="13" customWidth="1" min="110" max="110"/>
    <col hidden="1" width="14.42578125" customWidth="1" min="111" max="111"/>
    <col hidden="1" width="9.28515625" customWidth="1" min="112" max="112"/>
    <col hidden="1" width="13" customWidth="1" min="113" max="113"/>
    <col hidden="1" width="13" customWidth="1" min="114" max="114"/>
    <col hidden="1" width="13" customWidth="1" min="115" max="115"/>
    <col hidden="1" width="12.85546875" customWidth="1" min="116" max="116"/>
    <col hidden="1" width="8.140625" customWidth="1" min="117" max="117"/>
    <col hidden="1" width="9.28515625" customWidth="1" min="118" max="118"/>
    <col hidden="1" width="13" customWidth="1" min="119" max="119"/>
    <col hidden="1" width="9.28515625" customWidth="1" min="120" max="120"/>
    <col hidden="1" width="13" customWidth="1" min="121" max="121"/>
    <col hidden="1" width="12" customWidth="1" min="122" max="122"/>
    <col hidden="1" width="13.140625" customWidth="1" min="123" max="123"/>
    <col hidden="1" width="9.28515625" customWidth="1" min="124" max="124"/>
    <col hidden="1" width="13" customWidth="1" min="125" max="125"/>
    <col hidden="1" width="13" customWidth="1" min="126" max="126"/>
    <col hidden="1" width="8.7109375" customWidth="1" min="127" max="127"/>
    <col hidden="1" width="9.28515625" customWidth="1" min="128" max="128"/>
    <col hidden="1" width="13" customWidth="1" min="129" max="129"/>
    <col hidden="1" width="13" customWidth="1" min="130" max="130"/>
    <col hidden="1" width="13.140625" customWidth="1" min="131" max="131"/>
    <col hidden="1" width="9.28515625" customWidth="1" min="132" max="132"/>
    <col hidden="1" width="13.140625" customWidth="1" min="133" max="133"/>
    <col hidden="1" width="13.5703125" customWidth="1" min="134" max="134"/>
    <col hidden="1" width="9.28515625" customWidth="1" min="135" max="135"/>
    <col hidden="1" width="13" customWidth="1" min="136" max="136"/>
    <col hidden="1" width="9.7109375" customWidth="1" min="137" max="137"/>
    <col hidden="1" width="14.85546875" customWidth="1" min="138" max="138"/>
    <col hidden="1" width="9.28515625" customWidth="1" min="139" max="139"/>
    <col hidden="1" width="13" customWidth="1" min="140" max="140"/>
    <col hidden="1" width="14.5703125" customWidth="1" min="141" max="141"/>
    <col hidden="1" width="14.85546875" customWidth="1" min="142" max="142"/>
    <col hidden="1" width="9.28515625" customWidth="1" min="143" max="143"/>
    <col hidden="1" width="14.85546875" customWidth="1" min="144" max="144"/>
    <col hidden="1" width="9.28515625" customWidth="1" min="145" max="145"/>
    <col hidden="1" width="12" customWidth="1" min="146" max="146"/>
    <col hidden="1" width="14.140625" customWidth="1" min="147" max="147"/>
    <col hidden="1" width="9.28515625" customWidth="1" min="148" max="148"/>
    <col hidden="1" width="13" customWidth="1" min="149" max="149"/>
    <col hidden="1" width="12.7109375" customWidth="1" min="150" max="150"/>
    <col hidden="1" width="9.28515625" customWidth="1" min="151" max="151"/>
    <col hidden="1" width="13" customWidth="1" min="152" max="152"/>
    <col hidden="1" width="13" customWidth="1" min="153" max="153"/>
    <col hidden="1" width="13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width="3.5703125" customWidth="1" min="159" max="159"/>
    <col width="21.85546875" customWidth="1" min="160" max="160"/>
    <col width="9.140625" customWidth="1" min="161" max="161"/>
    <col hidden="1" width="13" customWidth="1" min="162" max="162"/>
    <col hidden="1" width="13" customWidth="1" min="163" max="163"/>
    <col hidden="1" width="13" customWidth="1" min="164" max="164"/>
    <col hidden="1" width="13" customWidth="1" min="165" max="165"/>
    <col hidden="1" width="13" customWidth="1" min="166" max="166"/>
    <col hidden="1" width="9.140625" customWidth="1" min="167" max="167"/>
    <col hidden="1" width="13" customWidth="1" min="168" max="168"/>
    <col width="13" customWidth="1" min="169" max="169"/>
    <col width="13" customWidth="1" min="170" max="170"/>
  </cols>
  <sheetData>
    <row r="1" ht="23.25" customHeight="1">
      <c r="A1" s="488" t="inlineStr">
        <is>
          <t>Controle de Contagem Semanal - Antilhas</t>
        </is>
      </c>
      <c r="CC1" s="488" t="n"/>
      <c r="CD1" s="132" t="n"/>
      <c r="CE1" s="132" t="n"/>
      <c r="CF1" s="132" t="n"/>
      <c r="CG1" s="132" t="n"/>
      <c r="CH1" s="132" t="n"/>
      <c r="CI1" s="132" t="n"/>
      <c r="CJ1" s="132" t="n"/>
      <c r="CK1" s="132" t="n"/>
      <c r="CL1" s="149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49" t="n"/>
      <c r="DE1" s="132" t="n"/>
      <c r="DF1" s="132" t="n"/>
      <c r="DG1" s="149" t="n"/>
      <c r="DH1" s="132" t="n"/>
      <c r="DI1" s="132" t="n"/>
      <c r="DJ1" s="132" t="n"/>
      <c r="DK1" s="132" t="n"/>
      <c r="DL1" s="132" t="n"/>
      <c r="DM1" s="132" t="n"/>
      <c r="DN1" s="132" t="n"/>
      <c r="DO1" s="132" t="n"/>
      <c r="DP1" s="132" t="n"/>
      <c r="DQ1" s="132" t="n"/>
      <c r="DR1" s="149" t="n"/>
      <c r="DS1" s="149" t="n"/>
      <c r="DT1" s="132" t="n"/>
      <c r="DU1" s="132" t="n"/>
      <c r="DV1" s="132" t="n"/>
      <c r="DW1" s="149" t="n"/>
      <c r="DX1" s="132" t="n"/>
      <c r="DY1" s="132" t="n"/>
      <c r="DZ1" s="132" t="n"/>
      <c r="EA1" s="132" t="n"/>
      <c r="EB1" s="132" t="n"/>
      <c r="EC1" s="132" t="n"/>
      <c r="ED1" s="149" t="n"/>
      <c r="EE1" s="132" t="n"/>
      <c r="EF1" s="132" t="n"/>
      <c r="EG1" s="149" t="n"/>
      <c r="EH1" s="488" t="n"/>
      <c r="EI1" s="132" t="n"/>
      <c r="EJ1" s="132" t="n"/>
      <c r="EK1" s="132" t="n"/>
      <c r="EL1" s="488" t="n"/>
      <c r="EM1" s="132" t="n"/>
      <c r="EN1" s="488" t="n"/>
      <c r="EO1" s="132" t="n"/>
      <c r="EP1" s="488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  <c r="FB1" s="132" t="n"/>
    </row>
    <row r="2">
      <c r="A2" s="43" t="inlineStr">
        <is>
          <t>LOJA:</t>
        </is>
      </c>
      <c r="B2" s="722" t="inlineStr">
        <is>
          <t>GETÚLIO</t>
        </is>
      </c>
      <c r="C2" s="723" t="n"/>
      <c r="D2" s="724" t="n"/>
      <c r="CD2" s="5" t="n"/>
      <c r="CE2" s="5" t="n"/>
      <c r="CF2" s="5" t="n"/>
      <c r="CG2" s="5" t="n"/>
      <c r="CH2" s="5" t="n"/>
      <c r="DG2" s="5" t="n"/>
      <c r="ED2" s="5" t="n"/>
      <c r="EG2" s="5" t="n"/>
    </row>
    <row r="3">
      <c r="A3" s="43" t="inlineStr">
        <is>
          <t>Responsável:</t>
        </is>
      </c>
      <c r="B3" s="725" t="inlineStr">
        <is>
          <t>EVA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6" t="n"/>
      <c r="CD3" s="726" t="n"/>
      <c r="CE3" s="5" t="n"/>
      <c r="CF3" s="726" t="n"/>
      <c r="CH3" s="5" t="n"/>
      <c r="DG3" s="726" t="n"/>
      <c r="ED3" s="726" t="n"/>
      <c r="EG3" s="726" t="n"/>
    </row>
    <row r="4" ht="8.25" customHeight="1">
      <c r="CD4" s="133" t="n"/>
      <c r="CF4" s="5" t="n"/>
      <c r="CG4" s="5" t="n"/>
      <c r="CH4" s="5" t="n"/>
      <c r="CL4" s="249" t="n"/>
      <c r="DD4" s="249" t="n"/>
      <c r="DG4" s="5" t="n"/>
      <c r="DR4" s="249" t="n"/>
      <c r="DS4" s="249" t="n"/>
      <c r="DW4" s="249" t="n"/>
      <c r="ED4" s="5" t="n"/>
      <c r="EG4" s="5" t="n"/>
      <c r="EH4" s="324" t="n"/>
      <c r="EL4" s="324" t="n"/>
      <c r="EN4" s="324" t="n"/>
      <c r="EP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122" t="n"/>
      <c r="G5" s="122" t="n"/>
      <c r="H5" s="122" t="n"/>
      <c r="I5" s="122" t="n"/>
      <c r="J5" s="122" t="n"/>
      <c r="K5" s="122" t="n"/>
      <c r="L5" s="122" t="n"/>
      <c r="M5" s="122" t="n"/>
      <c r="N5" s="122" t="n"/>
      <c r="O5" s="122" t="n"/>
      <c r="P5" s="122" t="n"/>
      <c r="Q5" s="122" t="n"/>
      <c r="R5" s="122" t="n"/>
      <c r="S5" s="122" t="n"/>
      <c r="T5" s="122" t="n"/>
      <c r="U5" s="122" t="n"/>
      <c r="V5" s="122" t="n"/>
      <c r="W5" s="122" t="n"/>
      <c r="X5" s="122" t="n"/>
      <c r="Y5" s="122" t="n"/>
      <c r="Z5" s="122" t="n"/>
      <c r="AA5" s="122" t="n"/>
      <c r="AB5" s="122" t="n"/>
      <c r="AC5" s="122" t="n"/>
      <c r="AD5" s="122" t="n"/>
      <c r="AE5" s="122" t="n"/>
      <c r="AF5" s="122" t="n"/>
      <c r="AG5" s="122" t="n"/>
      <c r="AH5" s="122" t="n"/>
      <c r="AI5" s="122" t="n"/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  <c r="AW5" s="122" t="n"/>
      <c r="AX5" s="122" t="n"/>
      <c r="AY5" s="122" t="n"/>
      <c r="AZ5" s="122" t="n"/>
      <c r="BA5" s="122" t="n"/>
      <c r="BB5" s="122" t="n"/>
      <c r="BC5" s="122" t="n"/>
      <c r="BD5" s="122" t="n"/>
      <c r="BE5" s="122" t="n"/>
      <c r="BF5" s="122" t="n"/>
      <c r="BG5" s="122" t="n"/>
      <c r="BH5" s="122" t="n"/>
      <c r="BI5" s="122" t="n"/>
      <c r="BJ5" s="122" t="n"/>
      <c r="BK5" s="122" t="n"/>
      <c r="BL5" s="122" t="n"/>
      <c r="BM5" s="122" t="n"/>
      <c r="BN5" s="122" t="n"/>
      <c r="BO5" s="122" t="n"/>
      <c r="BP5" s="122" t="n"/>
      <c r="BQ5" s="122" t="n"/>
      <c r="BR5" s="122" t="n"/>
      <c r="BS5" s="122" t="n"/>
      <c r="BT5" s="122" t="n"/>
      <c r="BU5" s="122" t="n"/>
      <c r="BV5" s="122" t="n"/>
      <c r="BW5" s="122" t="n"/>
      <c r="BX5" s="122" t="n"/>
      <c r="BY5" s="122" t="n"/>
      <c r="BZ5" s="122" t="n"/>
      <c r="CA5" s="122" t="n"/>
      <c r="CB5" s="122" t="n"/>
      <c r="CC5" s="122" t="n"/>
      <c r="CD5" s="60" t="n"/>
      <c r="CE5" s="44" t="inlineStr">
        <is>
          <t>Pendências</t>
        </is>
      </c>
      <c r="CF5" s="5" t="n"/>
      <c r="CG5" s="12" t="inlineStr">
        <is>
          <t>Novo Pedido</t>
        </is>
      </c>
      <c r="CH5" s="733" t="n">
        <v>46161.48089013313</v>
      </c>
      <c r="CI5" s="734" t="n">
        <v>46149</v>
      </c>
      <c r="CJ5" s="734" t="n">
        <v>46142</v>
      </c>
      <c r="CK5" s="734" t="n">
        <v>46114</v>
      </c>
      <c r="CL5" s="735" t="n">
        <v>46065</v>
      </c>
      <c r="CM5" s="734" t="n">
        <v>46099</v>
      </c>
      <c r="CN5" s="734" t="n">
        <v>46092</v>
      </c>
      <c r="CO5" s="734" t="n">
        <v>46084</v>
      </c>
      <c r="CP5" s="736" t="inlineStr">
        <is>
          <t>TRANSF.</t>
        </is>
      </c>
      <c r="CQ5" s="734" t="n">
        <v>46071</v>
      </c>
      <c r="CR5" s="734" t="n">
        <v>46056</v>
      </c>
      <c r="CS5" s="734" t="n">
        <v>46043</v>
      </c>
      <c r="CT5" s="734" t="n">
        <v>46035</v>
      </c>
      <c r="CU5" s="734" t="n">
        <v>46029</v>
      </c>
      <c r="CV5" s="734" t="n">
        <v>46024</v>
      </c>
      <c r="CW5" s="734" t="n">
        <v>46017</v>
      </c>
      <c r="CX5" s="734" t="n">
        <v>46007</v>
      </c>
      <c r="CY5" s="734" t="n">
        <v>46001</v>
      </c>
      <c r="CZ5" s="734" t="n">
        <v>45986</v>
      </c>
      <c r="DA5" s="734" t="n">
        <v>45965</v>
      </c>
      <c r="DB5" s="736" t="inlineStr">
        <is>
          <t>TRANSF.</t>
        </is>
      </c>
      <c r="DC5" s="734" t="n">
        <v>45951</v>
      </c>
      <c r="DD5" s="737" t="n">
        <v>45903</v>
      </c>
      <c r="DE5" s="734" t="n">
        <v>45937</v>
      </c>
      <c r="DF5" s="734" t="n">
        <v>45923</v>
      </c>
      <c r="DG5" s="738" t="inlineStr">
        <is>
          <t>TRANSF.</t>
        </is>
      </c>
      <c r="DH5" s="734" t="n">
        <v>45915</v>
      </c>
      <c r="DI5" s="734" t="n">
        <v>45909</v>
      </c>
      <c r="DJ5" s="734" t="n">
        <v>45903</v>
      </c>
      <c r="DK5" s="734" t="n">
        <v>45903</v>
      </c>
      <c r="DL5" s="736" t="inlineStr">
        <is>
          <t>TRANSF.</t>
        </is>
      </c>
      <c r="DM5" s="734" t="n">
        <v>45895</v>
      </c>
      <c r="DN5" s="734" t="n">
        <v>45881</v>
      </c>
      <c r="DO5" s="739" t="inlineStr">
        <is>
          <t>TRANSF.</t>
        </is>
      </c>
      <c r="DP5" s="734" t="n">
        <v>45874</v>
      </c>
      <c r="DQ5" s="734" t="n">
        <v>45860</v>
      </c>
      <c r="DR5" s="739" t="inlineStr">
        <is>
          <t>TRANSF.</t>
        </is>
      </c>
      <c r="DS5" s="739" t="inlineStr">
        <is>
          <t>TRANSF.</t>
        </is>
      </c>
      <c r="DT5" s="734" t="n">
        <v>45853</v>
      </c>
      <c r="DU5" s="734" t="n">
        <v>45848</v>
      </c>
      <c r="DV5" s="734" t="n">
        <v>45839</v>
      </c>
      <c r="DW5" s="739" t="n">
        <v>45791</v>
      </c>
      <c r="DX5" s="734" t="n">
        <v>45832</v>
      </c>
      <c r="DY5" s="734" t="n">
        <v>45825</v>
      </c>
      <c r="DZ5" s="734" t="n">
        <v>45819</v>
      </c>
      <c r="EA5" s="736" t="inlineStr">
        <is>
          <t>TRANSF.</t>
        </is>
      </c>
      <c r="EB5" s="734" t="n">
        <v>45813</v>
      </c>
      <c r="EC5" s="736" t="inlineStr">
        <is>
          <t>TRANSF.</t>
        </is>
      </c>
      <c r="ED5" s="742" t="inlineStr">
        <is>
          <t>TRANSF.</t>
        </is>
      </c>
      <c r="EE5" s="734" t="n">
        <v>45798</v>
      </c>
      <c r="EF5" s="734" t="n">
        <v>45790</v>
      </c>
      <c r="EG5" s="742" t="n">
        <v>45735</v>
      </c>
      <c r="EH5" s="740" t="inlineStr">
        <is>
          <t>TRANSF.</t>
        </is>
      </c>
      <c r="EI5" s="734" t="n">
        <v>45783</v>
      </c>
      <c r="EJ5" s="734" t="n">
        <v>45756</v>
      </c>
      <c r="EK5" s="736" t="inlineStr">
        <is>
          <t>TRANSF.</t>
        </is>
      </c>
      <c r="EL5" s="740" t="inlineStr">
        <is>
          <t>TRANSF.</t>
        </is>
      </c>
      <c r="EM5" s="734" t="n">
        <v>45749</v>
      </c>
      <c r="EN5" s="740" t="inlineStr">
        <is>
          <t>TRANSF.</t>
        </is>
      </c>
      <c r="EO5" s="734" t="n">
        <v>45734</v>
      </c>
      <c r="EP5" s="740" t="n">
        <v>45700</v>
      </c>
      <c r="EQ5" s="736" t="inlineStr">
        <is>
          <t>TRANSF.</t>
        </is>
      </c>
      <c r="ER5" s="734" t="n">
        <v>45728</v>
      </c>
      <c r="ES5" s="734" t="n">
        <v>45722</v>
      </c>
      <c r="ET5" s="736" t="inlineStr">
        <is>
          <t>TRANSF.</t>
        </is>
      </c>
      <c r="EU5" s="734" t="n">
        <v>45714</v>
      </c>
      <c r="EV5" s="734" t="n">
        <v>45706</v>
      </c>
      <c r="EW5" s="734" t="n">
        <v>45699</v>
      </c>
      <c r="EX5" s="734" t="n">
        <v>45685</v>
      </c>
      <c r="EY5" s="734" t="n">
        <v>45674</v>
      </c>
      <c r="EZ5" s="734" t="n">
        <v>45664</v>
      </c>
      <c r="FA5" s="734" t="n">
        <v>45660</v>
      </c>
      <c r="FB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46161.48023390046</v>
      </c>
      <c r="CB6" s="747" t="n">
        <v>46161.48089290417</v>
      </c>
      <c r="CC6" s="748" t="inlineStr">
        <is>
          <t>USOU</t>
        </is>
      </c>
      <c r="CD6" s="749" t="n"/>
      <c r="CE6" s="750" t="n"/>
      <c r="CF6" s="751" t="n"/>
      <c r="CG6" s="752" t="n"/>
      <c r="CH6" s="733" t="n">
        <v>46161.48089013335</v>
      </c>
      <c r="CI6" s="734" t="n">
        <v>46155</v>
      </c>
      <c r="CJ6" s="734" t="n">
        <v>46148</v>
      </c>
      <c r="CK6" s="734" t="n">
        <v>46125</v>
      </c>
      <c r="CL6" s="735" t="n">
        <v>46111</v>
      </c>
      <c r="CM6" s="734" t="n">
        <v>46105</v>
      </c>
      <c r="CN6" s="734" t="n">
        <v>46100</v>
      </c>
      <c r="CO6" s="734" t="n">
        <v>46091</v>
      </c>
      <c r="CP6" s="736" t="n">
        <v>46085</v>
      </c>
      <c r="CQ6" s="734" t="n">
        <v>46077</v>
      </c>
      <c r="CR6" s="734" t="n">
        <v>46062</v>
      </c>
      <c r="CS6" s="734" t="n">
        <v>46048</v>
      </c>
      <c r="CT6" s="734" t="n">
        <v>46043</v>
      </c>
      <c r="CU6" s="734" t="n">
        <v>46036</v>
      </c>
      <c r="CV6" s="734" t="n">
        <v>46035</v>
      </c>
      <c r="CW6" s="734" t="n">
        <v>46027</v>
      </c>
      <c r="CX6" s="734" t="n">
        <v>46010</v>
      </c>
      <c r="CY6" s="734" t="n">
        <v>46009</v>
      </c>
      <c r="CZ6" s="734" t="n">
        <v>45994</v>
      </c>
      <c r="DA6" s="734" t="n">
        <v>45972</v>
      </c>
      <c r="DB6" s="736" t="n">
        <v>45961</v>
      </c>
      <c r="DC6" s="734" t="n">
        <v>45958</v>
      </c>
      <c r="DD6" s="753" t="n">
        <v>45954</v>
      </c>
      <c r="DE6" s="734" t="n">
        <v>45945</v>
      </c>
      <c r="DF6" s="734" t="n">
        <v>45926</v>
      </c>
      <c r="DG6" s="754" t="n">
        <v>45923</v>
      </c>
      <c r="DH6" s="734" t="n">
        <v>45919</v>
      </c>
      <c r="DI6" s="734" t="n">
        <v>45915</v>
      </c>
      <c r="DJ6" s="734" t="n">
        <v>45915</v>
      </c>
      <c r="DK6" s="734" t="n">
        <v>45908</v>
      </c>
      <c r="DL6" s="736" t="n">
        <v>45902</v>
      </c>
      <c r="DM6" s="734" t="n">
        <v>45898</v>
      </c>
      <c r="DN6" s="734" t="n">
        <v>45888</v>
      </c>
      <c r="DO6" s="739" t="n">
        <v>45884</v>
      </c>
      <c r="DP6" s="734" t="n">
        <v>45876</v>
      </c>
      <c r="DQ6" s="734" t="n">
        <v>45863</v>
      </c>
      <c r="DR6" s="739" t="n">
        <v>45861</v>
      </c>
      <c r="DS6" s="739" t="n">
        <v>45860</v>
      </c>
      <c r="DT6" s="734" t="n">
        <v>45856</v>
      </c>
      <c r="DU6" s="734" t="n">
        <v>45852</v>
      </c>
      <c r="DV6" s="734" t="n">
        <v>45846</v>
      </c>
      <c r="DW6" s="739" t="n">
        <v>45840</v>
      </c>
      <c r="DX6" s="734" t="n">
        <v>45838</v>
      </c>
      <c r="DY6" s="734" t="n">
        <v>45833</v>
      </c>
      <c r="DZ6" s="734" t="n">
        <v>45824</v>
      </c>
      <c r="EA6" s="736" t="n">
        <v>45820</v>
      </c>
      <c r="EB6" s="734" t="n">
        <v>45819</v>
      </c>
      <c r="EC6" s="736" t="n">
        <v>45806</v>
      </c>
      <c r="ED6" s="755" t="n">
        <v>45803</v>
      </c>
      <c r="EE6" s="734" t="n">
        <v>45800</v>
      </c>
      <c r="EF6" s="734" t="n">
        <v>45793</v>
      </c>
      <c r="EG6" s="755" t="n">
        <v>45793</v>
      </c>
      <c r="EH6" s="740" t="n">
        <v>45790</v>
      </c>
      <c r="EI6" s="734" t="n">
        <v>45785</v>
      </c>
      <c r="EJ6" s="734" t="n">
        <v>45775</v>
      </c>
      <c r="EK6" s="736" t="n">
        <v>45770</v>
      </c>
      <c r="EL6" s="740" t="n">
        <v>45756</v>
      </c>
      <c r="EM6" s="734" t="n">
        <v>45755</v>
      </c>
      <c r="EN6" s="740" t="n">
        <v>45750</v>
      </c>
      <c r="EO6" s="734" t="n">
        <v>45743</v>
      </c>
      <c r="EP6" s="740" t="n">
        <v>45744</v>
      </c>
      <c r="EQ6" s="736" t="n">
        <v>45731</v>
      </c>
      <c r="ER6" s="734" t="n">
        <v>45733</v>
      </c>
      <c r="ES6" s="734" t="n">
        <v>45726</v>
      </c>
      <c r="ET6" s="736" t="n">
        <v>45722</v>
      </c>
      <c r="EU6" s="734" t="n">
        <v>45721</v>
      </c>
      <c r="EV6" s="734" t="n">
        <v>45713</v>
      </c>
      <c r="EW6" s="734" t="n">
        <v>45706</v>
      </c>
      <c r="EX6" s="734" t="n">
        <v>45688</v>
      </c>
      <c r="EY6" s="734" t="n">
        <v>45678</v>
      </c>
      <c r="EZ6" s="734" t="n">
        <v>45670</v>
      </c>
      <c r="FA6" s="734" t="n">
        <v>45665</v>
      </c>
      <c r="FB6" s="734" t="n">
        <v>45659</v>
      </c>
      <c r="FD6" s="5" t="n"/>
      <c r="FE6" s="5" t="n"/>
      <c r="FF6" s="5" t="n"/>
      <c r="FG6" s="5" t="n"/>
      <c r="FH6" s="5" t="n"/>
      <c r="FI6" s="5" t="n"/>
      <c r="FJ6" s="5" t="n"/>
      <c r="FK6" s="5" t="n"/>
      <c r="FL6" s="5" t="n"/>
      <c r="FM6" s="5" t="n"/>
      <c r="FN6" s="5" t="n"/>
      <c r="FO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9" t="n"/>
      <c r="CE7" s="33" t="n"/>
      <c r="CG7" s="13" t="n"/>
      <c r="CH7" s="13" t="n"/>
      <c r="CI7" s="13" t="n"/>
      <c r="CJ7" s="13" t="n"/>
      <c r="CK7" s="13" t="n"/>
      <c r="CL7" s="13" t="inlineStr">
        <is>
          <t>MÃES</t>
        </is>
      </c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inlineStr">
        <is>
          <t>PAIS/25</t>
        </is>
      </c>
      <c r="DP7" s="13" t="n"/>
      <c r="DQ7" s="13" t="n"/>
      <c r="DR7" s="13" t="inlineStr">
        <is>
          <t>PAIS/25</t>
        </is>
      </c>
      <c r="DS7" s="13" t="inlineStr">
        <is>
          <t>PAIS/25</t>
        </is>
      </c>
      <c r="DT7" s="13" t="n"/>
      <c r="DU7" s="13" t="n"/>
      <c r="DV7" s="13" t="n"/>
      <c r="DW7" s="13" t="n"/>
      <c r="DX7" s="13" t="n"/>
      <c r="DY7" s="13" t="n"/>
      <c r="DZ7" s="13" t="n"/>
      <c r="EA7" s="320" t="n"/>
      <c r="EB7" s="13" t="n"/>
      <c r="EC7" s="320" t="n"/>
      <c r="ED7" s="13" t="inlineStr">
        <is>
          <t>NAMO/25</t>
        </is>
      </c>
      <c r="EE7" s="320" t="n"/>
      <c r="EF7" s="320" t="n"/>
      <c r="EG7" s="320" t="n"/>
      <c r="EH7" s="13" t="inlineStr">
        <is>
          <t>MÃES/25</t>
        </is>
      </c>
      <c r="EI7" s="320" t="n"/>
      <c r="EJ7" s="320" t="n"/>
      <c r="EK7" s="320" t="n"/>
      <c r="EL7" s="13" t="inlineStr">
        <is>
          <t>MÃES/25</t>
        </is>
      </c>
      <c r="EM7" s="320" t="n"/>
      <c r="EN7" s="13" t="inlineStr">
        <is>
          <t>MÃES/25</t>
        </is>
      </c>
      <c r="EO7" s="320" t="n"/>
      <c r="EP7" s="13" t="inlineStr">
        <is>
          <t>MÃES/25</t>
        </is>
      </c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782" t="n"/>
      <c r="FD7" s="782" t="n"/>
      <c r="FE7" s="782" t="n"/>
      <c r="FF7" s="782" t="n"/>
      <c r="FG7" s="782" t="n"/>
      <c r="FH7" s="782" t="n"/>
      <c r="FI7" s="782" t="n"/>
      <c r="FJ7" s="782" t="n"/>
      <c r="FK7" s="782" t="n"/>
      <c r="FL7" s="731" t="n"/>
      <c r="FM7" s="732" t="n"/>
      <c r="FN7" s="732" t="n"/>
      <c r="FO7" s="493" t="n"/>
    </row>
    <row r="8" ht="19.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450</v>
      </c>
      <c r="E8" s="5" t="n"/>
      <c r="F8" s="697" t="n">
        <v>380</v>
      </c>
      <c r="G8" s="697">
        <f>320+EY8</f>
        <v/>
      </c>
      <c r="H8" s="697" t="n">
        <v>560</v>
      </c>
      <c r="I8" s="697" t="n">
        <v>480</v>
      </c>
      <c r="J8" s="697" t="n">
        <v>400</v>
      </c>
      <c r="K8" s="697" t="n">
        <v>320</v>
      </c>
      <c r="L8" s="697" t="n">
        <v>240</v>
      </c>
      <c r="M8" s="697" t="n">
        <v>160</v>
      </c>
      <c r="N8" s="697" t="n">
        <v>80</v>
      </c>
      <c r="O8" s="697">
        <f>40+ES8</f>
        <v/>
      </c>
      <c r="P8" s="697" t="n">
        <v>220</v>
      </c>
      <c r="Q8" s="697" t="n">
        <v>120</v>
      </c>
      <c r="R8" s="697" t="n">
        <v>40</v>
      </c>
      <c r="S8" s="697" t="n">
        <v>300</v>
      </c>
      <c r="T8" s="697" t="n">
        <v>160</v>
      </c>
      <c r="U8" s="697" t="n">
        <v>40</v>
      </c>
      <c r="V8" s="697">
        <f>0+300</f>
        <v/>
      </c>
      <c r="W8" s="697">
        <f>160+EH8</f>
        <v/>
      </c>
      <c r="X8" s="697" t="n">
        <v>680</v>
      </c>
      <c r="Y8" s="697" t="n">
        <v>1020</v>
      </c>
      <c r="Z8" s="697" t="n">
        <v>940</v>
      </c>
      <c r="AA8" s="697" t="n">
        <v>860</v>
      </c>
      <c r="AB8" s="697" t="n">
        <v>820</v>
      </c>
      <c r="AC8" s="697" t="n">
        <v>700</v>
      </c>
      <c r="AD8" s="697" t="n">
        <v>580</v>
      </c>
      <c r="AE8" s="697" t="n">
        <v>520</v>
      </c>
      <c r="AF8" s="697" t="n">
        <v>360</v>
      </c>
      <c r="AG8" s="697">
        <f>280+DT8</f>
        <v/>
      </c>
      <c r="AH8" s="697" t="n">
        <v>480</v>
      </c>
      <c r="AI8" s="697" t="n">
        <v>420</v>
      </c>
      <c r="AJ8" s="697" t="n">
        <v>360</v>
      </c>
      <c r="AK8" s="697" t="n">
        <v>300</v>
      </c>
      <c r="AL8" s="697" t="n">
        <v>100</v>
      </c>
      <c r="AM8" s="697">
        <f>40+DL8</f>
        <v/>
      </c>
      <c r="AN8" s="697" t="n">
        <v>300</v>
      </c>
      <c r="AO8" s="697" t="n">
        <v>200</v>
      </c>
      <c r="AP8" s="697" t="n">
        <v>160</v>
      </c>
      <c r="AQ8" s="697">
        <f>80+DH8</f>
        <v/>
      </c>
      <c r="AR8" s="697" t="n">
        <v>300</v>
      </c>
      <c r="AS8" s="697">
        <f>220+DD8</f>
        <v/>
      </c>
      <c r="AT8" s="697" t="n">
        <v>420</v>
      </c>
      <c r="AU8" s="697" t="n">
        <v>300</v>
      </c>
      <c r="AV8" s="697" t="n">
        <v>220</v>
      </c>
      <c r="AW8" s="697">
        <f>120+DA8</f>
        <v/>
      </c>
      <c r="AX8" s="697" t="n">
        <v>380</v>
      </c>
      <c r="AY8" s="697">
        <f>300+CY8</f>
        <v/>
      </c>
      <c r="AZ8" s="697" t="n">
        <v>540</v>
      </c>
      <c r="BA8" s="697" t="n">
        <v>400</v>
      </c>
      <c r="BB8" s="697">
        <f>300+CX8</f>
        <v/>
      </c>
      <c r="BC8" s="697" t="n">
        <v>480</v>
      </c>
      <c r="BD8" s="697">
        <f>380+CW8</f>
        <v/>
      </c>
      <c r="BE8" s="697">
        <f>440+CV8</f>
        <v/>
      </c>
      <c r="BF8" s="697" t="n">
        <v>420</v>
      </c>
      <c r="BG8" s="697" t="n">
        <v>400</v>
      </c>
      <c r="BH8" s="697">
        <f>400+CT8</f>
        <v/>
      </c>
      <c r="BI8" s="697" t="n">
        <v>660</v>
      </c>
      <c r="BJ8" s="697" t="n">
        <v>600</v>
      </c>
      <c r="BK8" s="697" t="n">
        <v>580</v>
      </c>
      <c r="BL8" s="697" t="n">
        <v>500</v>
      </c>
      <c r="BM8" s="697" t="n">
        <v>440</v>
      </c>
      <c r="BN8" s="697" t="n">
        <v>380</v>
      </c>
      <c r="BO8" s="697" t="n">
        <v>300</v>
      </c>
      <c r="BP8" s="697">
        <f>180+CM8</f>
        <v/>
      </c>
      <c r="BQ8" s="697" t="n">
        <v>400</v>
      </c>
      <c r="BR8" s="697" t="n">
        <v>340</v>
      </c>
      <c r="BS8" s="697" t="n">
        <v>260</v>
      </c>
      <c r="BT8" s="697" t="n">
        <v>200</v>
      </c>
      <c r="BU8" s="697" t="n">
        <v>440</v>
      </c>
      <c r="BV8" s="697" t="n">
        <v>360</v>
      </c>
      <c r="BW8" s="697" t="n">
        <v>280</v>
      </c>
      <c r="BX8" s="697">
        <f>200+CH8</f>
        <v/>
      </c>
      <c r="BY8" s="697">
        <f>300+CG8</f>
        <v/>
      </c>
      <c r="BZ8" s="697" t="n"/>
      <c r="CA8" s="699" t="n"/>
      <c r="CB8" s="699" t="n"/>
      <c r="CC8" s="192">
        <f>CA8+IF(NOT(ISBLANK(OFFSET(CC8,0,6))),N(OFFSET(CC8,0,6)),N(OFFSET(CC8,0,7)))-CB8</f>
        <v/>
      </c>
      <c r="CD8" s="129" t="n"/>
      <c r="CE8" s="22" t="n"/>
      <c r="CG8" s="49" t="n"/>
      <c r="CH8" s="757" t="n">
        <v>0</v>
      </c>
      <c r="CI8" s="23" t="n">
        <v>300</v>
      </c>
      <c r="CJ8" s="23" t="n">
        <v>300</v>
      </c>
      <c r="CK8" s="23" t="n">
        <v>300</v>
      </c>
      <c r="CL8" s="23" t="n"/>
      <c r="CM8" s="23" t="n"/>
      <c r="CN8" s="23" t="n"/>
      <c r="CO8" s="23" t="n">
        <v>300</v>
      </c>
      <c r="CP8" s="23" t="n"/>
      <c r="CQ8" s="23" t="n"/>
      <c r="CR8" s="23" t="n"/>
      <c r="CS8" s="23" t="n"/>
      <c r="CT8" s="23" t="n"/>
      <c r="CU8" s="23" t="n"/>
      <c r="CV8" s="23" t="n">
        <v>300</v>
      </c>
      <c r="CW8" s="23" t="n"/>
      <c r="CX8" s="23" t="n">
        <v>300</v>
      </c>
      <c r="CY8" s="23" t="n">
        <v>300</v>
      </c>
      <c r="CZ8" s="23" t="n">
        <v>300</v>
      </c>
      <c r="DA8" s="23" t="n">
        <v>300</v>
      </c>
      <c r="DB8" s="23" t="n"/>
      <c r="DC8" s="23" t="n">
        <v>300</v>
      </c>
      <c r="DD8" s="219" t="n"/>
      <c r="DE8" s="23" t="n"/>
      <c r="DF8" s="23" t="n">
        <v>300</v>
      </c>
      <c r="DG8" s="219" t="n"/>
      <c r="DH8" s="23" t="n"/>
      <c r="DI8" s="23" t="n"/>
      <c r="DJ8" s="23" t="n">
        <v>300</v>
      </c>
      <c r="DK8" s="23" t="n"/>
      <c r="DL8" s="23" t="n"/>
      <c r="DM8" s="23" t="n"/>
      <c r="DN8" s="23" t="n">
        <v>300</v>
      </c>
      <c r="DO8" s="23" t="n"/>
      <c r="DP8" s="23" t="n"/>
      <c r="DQ8" s="23" t="n"/>
      <c r="DR8" s="219" t="n"/>
      <c r="DS8" s="219" t="n"/>
      <c r="DT8" s="23" t="n"/>
      <c r="DU8" s="23" t="n"/>
      <c r="DV8" s="23" t="n">
        <v>300</v>
      </c>
      <c r="DW8" s="219" t="n"/>
      <c r="DX8" s="23" t="n"/>
      <c r="DY8" s="23" t="n"/>
      <c r="DZ8" s="23" t="n"/>
      <c r="EA8" s="23" t="n"/>
      <c r="EB8" s="23" t="n"/>
      <c r="EC8" s="23" t="n"/>
      <c r="ED8" s="219" t="n"/>
      <c r="EE8" s="23" t="n"/>
      <c r="EF8" s="23" t="n"/>
      <c r="EG8" s="219" t="n"/>
      <c r="EH8" s="219" t="n"/>
      <c r="EI8" s="23" t="n">
        <v>600</v>
      </c>
      <c r="EJ8" s="23" t="n">
        <v>600</v>
      </c>
      <c r="EK8" s="282" t="inlineStr">
        <is>
          <t>300 DE CDB</t>
        </is>
      </c>
      <c r="EL8" s="219" t="n"/>
      <c r="EM8" s="23" t="n"/>
      <c r="EN8" s="219" t="n"/>
      <c r="EO8" s="23" t="n">
        <v>300</v>
      </c>
      <c r="EP8" s="219" t="n"/>
      <c r="EQ8" s="23" t="n"/>
      <c r="ER8" s="23" t="n"/>
      <c r="ES8" s="23" t="n"/>
      <c r="ET8" s="23" t="n"/>
      <c r="EU8" s="23" t="n">
        <v>300</v>
      </c>
      <c r="EV8" s="23" t="n"/>
      <c r="EW8" s="23" t="n"/>
      <c r="EX8" s="23" t="n"/>
      <c r="EY8" s="23" t="n"/>
      <c r="EZ8" s="23" t="n"/>
      <c r="FA8" s="23" t="n">
        <v>300</v>
      </c>
      <c r="FB8" s="23" t="n"/>
      <c r="FD8" s="304" t="inlineStr">
        <is>
          <t xml:space="preserve">SACOLAS </t>
        </is>
      </c>
      <c r="FE8" s="235" t="inlineStr">
        <is>
          <t>PCT</t>
        </is>
      </c>
      <c r="FF8" s="746" t="n">
        <v>46118</v>
      </c>
      <c r="FG8" s="746" t="n">
        <v>46125</v>
      </c>
      <c r="FH8" s="746" t="n">
        <v>46132</v>
      </c>
      <c r="FI8" s="746" t="n">
        <v>46139</v>
      </c>
      <c r="FJ8" s="746" t="n">
        <v>46146</v>
      </c>
      <c r="FK8" s="746" t="n">
        <v>46154</v>
      </c>
      <c r="FL8" s="746" t="n">
        <v>46160</v>
      </c>
      <c r="FM8" s="747" t="n">
        <v>46161.48023284722</v>
      </c>
      <c r="FN8" s="747" t="n">
        <v>46161.48089088701</v>
      </c>
      <c r="FO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750</v>
      </c>
      <c r="E9" s="5" t="n"/>
      <c r="F9" s="697" t="n">
        <v>600</v>
      </c>
      <c r="G9" s="697">
        <f>500+EY9</f>
        <v/>
      </c>
      <c r="H9" s="697">
        <f>680+EX9</f>
        <v/>
      </c>
      <c r="I9" s="697">
        <f>720+EW9</f>
        <v/>
      </c>
      <c r="J9" s="697" t="n">
        <v>840</v>
      </c>
      <c r="K9" s="697" t="n">
        <v>1160</v>
      </c>
      <c r="L9" s="697" t="n">
        <v>940</v>
      </c>
      <c r="M9" s="697" t="n">
        <v>720</v>
      </c>
      <c r="N9" s="697" t="n">
        <v>560</v>
      </c>
      <c r="O9" s="697" t="n">
        <v>400</v>
      </c>
      <c r="P9" s="697">
        <f>160+EQ9</f>
        <v/>
      </c>
      <c r="Q9" s="697" t="n">
        <v>360</v>
      </c>
      <c r="R9" s="697" t="n">
        <v>200</v>
      </c>
      <c r="S9" s="697" t="n">
        <v>400</v>
      </c>
      <c r="T9" s="697">
        <f>240+EK9</f>
        <v/>
      </c>
      <c r="U9" s="697" t="n">
        <v>540</v>
      </c>
      <c r="V9" s="697" t="n">
        <v>540</v>
      </c>
      <c r="W9" s="697" t="n">
        <v>540</v>
      </c>
      <c r="X9" s="697" t="n">
        <v>520</v>
      </c>
      <c r="Y9" s="697" t="n">
        <v>520</v>
      </c>
      <c r="Z9" s="697" t="n">
        <v>300</v>
      </c>
      <c r="AA9" s="697">
        <f>480+200</f>
        <v/>
      </c>
      <c r="AB9" s="697" t="n">
        <v>560</v>
      </c>
      <c r="AC9" s="697">
        <f>400+DZ9</f>
        <v/>
      </c>
      <c r="AD9" s="697">
        <f>400+DX9</f>
        <v/>
      </c>
      <c r="AE9" s="697">
        <f>460+DW9</f>
        <v/>
      </c>
      <c r="AF9" s="697">
        <f>480+DV9</f>
        <v/>
      </c>
      <c r="AG9" s="697">
        <f>560+DT9</f>
        <v/>
      </c>
      <c r="AH9" s="697" t="n">
        <v>680</v>
      </c>
      <c r="AI9" s="697" t="n">
        <v>840</v>
      </c>
      <c r="AJ9" s="697" t="n">
        <v>700</v>
      </c>
      <c r="AK9" s="697" t="n">
        <v>580</v>
      </c>
      <c r="AL9" s="697" t="n">
        <v>420</v>
      </c>
      <c r="AM9" s="697">
        <f>320+DL9</f>
        <v/>
      </c>
      <c r="AN9" s="697" t="n">
        <v>780</v>
      </c>
      <c r="AO9" s="697" t="n">
        <v>600</v>
      </c>
      <c r="AP9" s="697" t="n">
        <v>360</v>
      </c>
      <c r="AQ9" s="697">
        <f>240+DG9</f>
        <v/>
      </c>
      <c r="AR9" s="697" t="n">
        <v>840</v>
      </c>
      <c r="AS9" s="697">
        <f>740+DD9</f>
        <v/>
      </c>
      <c r="AT9" s="697" t="n">
        <v>1360</v>
      </c>
      <c r="AU9" s="697" t="n">
        <v>1200</v>
      </c>
      <c r="AV9" s="697" t="n">
        <v>1040</v>
      </c>
      <c r="AW9" s="697" t="n">
        <v>920</v>
      </c>
      <c r="AX9" s="697" t="n">
        <v>880</v>
      </c>
      <c r="AY9" s="697" t="n">
        <v>800</v>
      </c>
      <c r="AZ9" s="697" t="n">
        <v>800</v>
      </c>
      <c r="BA9" s="697" t="n">
        <v>800</v>
      </c>
      <c r="BB9" s="697" t="n">
        <v>800</v>
      </c>
      <c r="BC9" s="697" t="n">
        <v>800</v>
      </c>
      <c r="BD9" s="697" t="n">
        <v>800</v>
      </c>
      <c r="BE9" s="697">
        <f>400+CV9</f>
        <v/>
      </c>
      <c r="BF9" s="697" t="n">
        <v>200</v>
      </c>
      <c r="BG9" s="697">
        <f>40+CU9</f>
        <v/>
      </c>
      <c r="BH9" s="697">
        <f>160+CT9+CS9</f>
        <v/>
      </c>
      <c r="BI9" s="697" t="n">
        <v>800</v>
      </c>
      <c r="BJ9" s="697">
        <f>600+CQ9</f>
        <v/>
      </c>
      <c r="BK9" s="697" t="n">
        <v>660</v>
      </c>
      <c r="BL9" s="697">
        <f>480+CP9</f>
        <v/>
      </c>
      <c r="BM9" s="697" t="n">
        <v>500</v>
      </c>
      <c r="BN9" s="697">
        <f>360+CO9</f>
        <v/>
      </c>
      <c r="BO9" s="697" t="n">
        <v>360</v>
      </c>
      <c r="BP9" s="697">
        <f>280+CM9</f>
        <v/>
      </c>
      <c r="BQ9" s="697" t="n">
        <v>600</v>
      </c>
      <c r="BR9" s="697">
        <f>600+CK9</f>
        <v/>
      </c>
      <c r="BS9" s="697" t="n">
        <v>600</v>
      </c>
      <c r="BT9" s="697" t="n">
        <v>480</v>
      </c>
      <c r="BU9" s="697" t="n">
        <v>600</v>
      </c>
      <c r="BV9" s="697" t="n">
        <v>580</v>
      </c>
      <c r="BW9" s="697" t="n">
        <v>580</v>
      </c>
      <c r="BX9" s="697" t="n">
        <v>580</v>
      </c>
      <c r="BY9" s="697" t="n">
        <v>580</v>
      </c>
      <c r="BZ9" s="697" t="n"/>
      <c r="CA9" s="699" t="n"/>
      <c r="CB9" s="699" t="n"/>
      <c r="CC9" s="192">
        <f>CA9+IF(NOT(ISBLANK(OFFSET(CC9,0,6))),N(OFFSET(CC9,0,6)),N(OFFSET(CC9,0,7)))-CB9</f>
        <v/>
      </c>
      <c r="CD9" s="129" t="n"/>
      <c r="CE9" s="22" t="n"/>
      <c r="CG9" s="49" t="n"/>
      <c r="CH9" s="757" t="n">
        <v>0</v>
      </c>
      <c r="CI9" s="23" t="n">
        <v>0</v>
      </c>
      <c r="CJ9" s="23" t="n">
        <v>0</v>
      </c>
      <c r="CK9" s="23" t="n">
        <v>200</v>
      </c>
      <c r="CL9" s="219" t="n">
        <v>1200</v>
      </c>
      <c r="CM9" s="23" t="n">
        <v>200</v>
      </c>
      <c r="CN9" s="23" t="n"/>
      <c r="CO9" s="23" t="n">
        <v>600</v>
      </c>
      <c r="CP9" s="23" t="n"/>
      <c r="CQ9" s="23" t="n">
        <v>400</v>
      </c>
      <c r="CR9" s="23" t="n">
        <v>200</v>
      </c>
      <c r="CS9" s="23" t="n">
        <v>200</v>
      </c>
      <c r="CT9" s="23" t="n"/>
      <c r="CU9" s="23" t="n">
        <v>400</v>
      </c>
      <c r="CV9" s="23" t="n">
        <v>400</v>
      </c>
      <c r="CW9" s="23" t="n">
        <v>400</v>
      </c>
      <c r="CX9" s="23" t="n">
        <v>400</v>
      </c>
      <c r="CY9" s="23" t="n"/>
      <c r="CZ9" s="23" t="n"/>
      <c r="DA9" s="23" t="n"/>
      <c r="DB9" s="23" t="n"/>
      <c r="DC9" s="23" t="n"/>
      <c r="DD9" s="219" t="n">
        <v>1600</v>
      </c>
      <c r="DE9" s="23" t="n"/>
      <c r="DF9" s="23" t="n">
        <v>800</v>
      </c>
      <c r="DG9" s="219" t="n"/>
      <c r="DH9" s="23" t="n">
        <v>400</v>
      </c>
      <c r="DI9" s="23" t="n">
        <v>400</v>
      </c>
      <c r="DJ9" s="23" t="n"/>
      <c r="DK9" s="23" t="n"/>
      <c r="DL9" s="23" t="n"/>
      <c r="DM9" s="23" t="n"/>
      <c r="DN9" s="23" t="n">
        <v>600</v>
      </c>
      <c r="DO9" s="23" t="n"/>
      <c r="DP9" s="23" t="n">
        <v>200</v>
      </c>
      <c r="DQ9" s="23" t="n"/>
      <c r="DR9" s="219" t="n"/>
      <c r="DS9" s="219" t="n"/>
      <c r="DT9" s="23" t="n">
        <v>200</v>
      </c>
      <c r="DU9" s="23" t="n"/>
      <c r="DV9" s="23" t="n">
        <v>200</v>
      </c>
      <c r="DW9" s="219" t="n"/>
      <c r="DX9" s="23" t="n">
        <v>200</v>
      </c>
      <c r="DY9" s="23" t="n">
        <v>200</v>
      </c>
      <c r="DZ9" s="23" t="n">
        <v>200</v>
      </c>
      <c r="EA9" s="23" t="n"/>
      <c r="EB9" s="23" t="n">
        <v>200</v>
      </c>
      <c r="EC9" s="282" t="inlineStr">
        <is>
          <t>200 DE CD</t>
        </is>
      </c>
      <c r="ED9" s="219" t="n"/>
      <c r="EE9" s="23" t="n">
        <v>400</v>
      </c>
      <c r="EF9" s="23" t="n"/>
      <c r="EG9" s="219" t="n"/>
      <c r="EH9" s="219" t="n"/>
      <c r="EI9" s="23" t="n"/>
      <c r="EJ9" s="23" t="n"/>
      <c r="EK9" s="23" t="n"/>
      <c r="EL9" s="219" t="n"/>
      <c r="EM9" s="23" t="n">
        <v>400</v>
      </c>
      <c r="EN9" s="219" t="n"/>
      <c r="EO9" s="23" t="n">
        <v>400</v>
      </c>
      <c r="EP9" s="219" t="n">
        <v>1000</v>
      </c>
      <c r="EQ9" s="23" t="n"/>
      <c r="ER9" s="23" t="n"/>
      <c r="ES9" s="23" t="n">
        <v>400</v>
      </c>
      <c r="ET9" s="23" t="n"/>
      <c r="EU9" s="23" t="n"/>
      <c r="EV9" s="23" t="n"/>
      <c r="EW9" s="23" t="n"/>
      <c r="EX9" s="23" t="n">
        <v>400</v>
      </c>
      <c r="EY9" s="23" t="n">
        <v>400</v>
      </c>
      <c r="EZ9" s="23" t="n">
        <v>200</v>
      </c>
      <c r="FA9" s="23" t="n">
        <v>400</v>
      </c>
      <c r="FB9" s="23" t="n"/>
      <c r="FD9" s="300" t="inlineStr">
        <is>
          <t xml:space="preserve">SACOLA P </t>
        </is>
      </c>
      <c r="FE9" s="162" t="n">
        <v>200</v>
      </c>
      <c r="FF9" s="697">
        <f>CJ9</f>
        <v/>
      </c>
      <c r="FG9" s="697" t="n">
        <v>1140</v>
      </c>
      <c r="FH9" s="697" t="n">
        <v>980</v>
      </c>
      <c r="FI9" s="697" t="n">
        <v>840</v>
      </c>
      <c r="FJ9" s="697" t="n">
        <v>720</v>
      </c>
      <c r="FK9" s="697" t="n">
        <v>120</v>
      </c>
      <c r="FL9" s="697" t="n"/>
      <c r="FM9" s="699" t="n"/>
      <c r="FN9" s="699" t="n"/>
      <c r="FO9" s="431">
        <f>FM9+IF(NOT(ISBLANK(OFFSET(FO9,0,6))),N(OFFSET(FO9,0,6)),N(OFFSET(FO9,0,7)))-FN9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>
        <f>200+EZ10</f>
        <v/>
      </c>
      <c r="G10" s="697">
        <f>360+EY10</f>
        <v/>
      </c>
      <c r="H10" s="697">
        <f>680+EX10</f>
        <v/>
      </c>
      <c r="I10" s="697" t="n">
        <v>800</v>
      </c>
      <c r="J10" s="697" t="n">
        <v>740</v>
      </c>
      <c r="K10" s="697" t="n">
        <v>660</v>
      </c>
      <c r="L10" s="697" t="n">
        <v>580</v>
      </c>
      <c r="M10" s="697" t="n">
        <v>480</v>
      </c>
      <c r="N10" s="697" t="n">
        <v>380</v>
      </c>
      <c r="O10" s="697">
        <f>300+ES10</f>
        <v/>
      </c>
      <c r="P10" s="697" t="n">
        <v>340</v>
      </c>
      <c r="Q10" s="697" t="n">
        <v>280</v>
      </c>
      <c r="R10" s="697" t="n">
        <v>160</v>
      </c>
      <c r="S10" s="697" t="n">
        <v>320</v>
      </c>
      <c r="T10" s="697" t="n">
        <v>240</v>
      </c>
      <c r="U10" s="697" t="n">
        <v>180</v>
      </c>
      <c r="V10" s="697" t="n">
        <v>180</v>
      </c>
      <c r="W10" s="697" t="n">
        <v>180</v>
      </c>
      <c r="X10" s="697" t="n">
        <v>180</v>
      </c>
      <c r="Y10" s="697" t="n">
        <v>180</v>
      </c>
      <c r="Z10" s="697" t="n">
        <v>360</v>
      </c>
      <c r="AA10" s="697" t="n">
        <v>260</v>
      </c>
      <c r="AB10" s="697" t="n">
        <v>200</v>
      </c>
      <c r="AC10" s="697" t="n">
        <v>100</v>
      </c>
      <c r="AD10" s="697" t="n">
        <v>40</v>
      </c>
      <c r="AE10" s="697">
        <f>0+DW10</f>
        <v/>
      </c>
      <c r="AF10" s="697">
        <f>140+DV10</f>
        <v/>
      </c>
      <c r="AG10" s="697" t="n">
        <v>300</v>
      </c>
      <c r="AH10" s="697" t="n">
        <v>160</v>
      </c>
      <c r="AI10" s="697" t="n">
        <v>100</v>
      </c>
      <c r="AJ10" s="697" t="n">
        <v>60</v>
      </c>
      <c r="AK10" s="697" t="n">
        <v>20</v>
      </c>
      <c r="AL10" s="697" t="n">
        <v>0</v>
      </c>
      <c r="AM10" s="697">
        <f>0+DL10</f>
        <v/>
      </c>
      <c r="AN10" s="697" t="n">
        <v>360</v>
      </c>
      <c r="AO10" s="697" t="n">
        <v>440</v>
      </c>
      <c r="AP10" s="697">
        <f>380+DI10</f>
        <v/>
      </c>
      <c r="AQ10" s="697" t="n">
        <v>480</v>
      </c>
      <c r="AR10" s="697" t="n">
        <v>340</v>
      </c>
      <c r="AS10" s="697" t="n">
        <v>460</v>
      </c>
      <c r="AT10" s="697" t="n">
        <v>360</v>
      </c>
      <c r="AU10" s="697">
        <f>240+DC10</f>
        <v/>
      </c>
      <c r="AV10" s="697" t="n">
        <v>280</v>
      </c>
      <c r="AW10" s="697">
        <f>220+DA10</f>
        <v/>
      </c>
      <c r="AX10" s="697" t="n">
        <v>600</v>
      </c>
      <c r="AY10" s="697" t="n">
        <v>600</v>
      </c>
      <c r="AZ10" s="697" t="n">
        <v>600</v>
      </c>
      <c r="BA10" s="697" t="n">
        <v>600</v>
      </c>
      <c r="BB10" s="697" t="n">
        <v>600</v>
      </c>
      <c r="BC10" s="697" t="n">
        <v>600</v>
      </c>
      <c r="BD10" s="697" t="n">
        <v>600</v>
      </c>
      <c r="BE10" s="697">
        <f>400+CV10</f>
        <v/>
      </c>
      <c r="BF10" s="697" t="n">
        <v>240</v>
      </c>
      <c r="BG10" s="697">
        <f>60+CU10</f>
        <v/>
      </c>
      <c r="BH10" s="697">
        <f>160+CT10+CS10</f>
        <v/>
      </c>
      <c r="BI10" s="697" t="n">
        <v>740</v>
      </c>
      <c r="BJ10" s="697" t="n">
        <v>660</v>
      </c>
      <c r="BK10" s="697" t="n">
        <v>600</v>
      </c>
      <c r="BL10" s="697" t="n">
        <v>540</v>
      </c>
      <c r="BM10" s="697" t="n">
        <v>480</v>
      </c>
      <c r="BN10" s="697" t="n">
        <v>460</v>
      </c>
      <c r="BO10" s="697" t="n">
        <v>400</v>
      </c>
      <c r="BP10" s="697" t="n">
        <v>220</v>
      </c>
      <c r="BQ10" s="697">
        <f>160+CL10</f>
        <v/>
      </c>
      <c r="BR10" s="697" t="n">
        <v>300</v>
      </c>
      <c r="BS10" s="697" t="n">
        <v>200</v>
      </c>
      <c r="BT10" s="697" t="n">
        <v>100</v>
      </c>
      <c r="BU10" s="697" t="n">
        <v>320</v>
      </c>
      <c r="BV10" s="697" t="n">
        <v>320</v>
      </c>
      <c r="BW10" s="697" t="n">
        <v>320</v>
      </c>
      <c r="BX10" s="697" t="n">
        <v>320</v>
      </c>
      <c r="BY10" s="697" t="n">
        <v>320</v>
      </c>
      <c r="BZ10" s="697" t="n"/>
      <c r="CA10" s="699" t="n"/>
      <c r="CB10" s="699" t="n"/>
      <c r="CC10" s="192">
        <f>CA10+IF(NOT(ISBLANK(OFFSET(CC10,0,6))),N(OFFSET(CC10,0,6)),N(OFFSET(CC10,0,7)))-CB10</f>
        <v/>
      </c>
      <c r="CD10" s="129" t="n"/>
      <c r="CE10" s="22" t="n"/>
      <c r="CF10" s="4" t="n"/>
      <c r="CG10" s="49" t="n"/>
      <c r="CH10" s="23" t="n">
        <v>0</v>
      </c>
      <c r="CI10" s="23" t="n">
        <v>0</v>
      </c>
      <c r="CJ10" s="23" t="n">
        <v>0</v>
      </c>
      <c r="CK10" s="23" t="n">
        <v>200</v>
      </c>
      <c r="CL10" s="219" t="n">
        <v>800</v>
      </c>
      <c r="CM10" s="23" t="n"/>
      <c r="CN10" s="23" t="n">
        <v>200</v>
      </c>
      <c r="CO10" s="23" t="n"/>
      <c r="CP10" s="23" t="n"/>
      <c r="CQ10" s="23" t="n"/>
      <c r="CR10" s="23" t="n"/>
      <c r="CS10" s="23" t="n"/>
      <c r="CT10" s="23" t="n"/>
      <c r="CU10" s="23" t="n">
        <v>400</v>
      </c>
      <c r="CV10" s="23" t="n">
        <v>200</v>
      </c>
      <c r="CW10" s="23" t="n">
        <v>200</v>
      </c>
      <c r="CX10" s="23" t="n">
        <v>200</v>
      </c>
      <c r="CY10" s="23" t="n"/>
      <c r="CZ10" s="23" t="n"/>
      <c r="DA10" s="23" t="n"/>
      <c r="DB10" s="23" t="n"/>
      <c r="DC10" s="23" t="n">
        <v>400</v>
      </c>
      <c r="DD10" s="219" t="n">
        <v>1000</v>
      </c>
      <c r="DE10" s="23" t="n">
        <v>200</v>
      </c>
      <c r="DF10" s="23" t="n">
        <v>200</v>
      </c>
      <c r="DG10" s="219" t="n"/>
      <c r="DH10" s="23" t="n"/>
      <c r="DI10" s="23" t="n"/>
      <c r="DJ10" s="23" t="n"/>
      <c r="DK10" s="23" t="n">
        <v>200</v>
      </c>
      <c r="DL10" s="23" t="n"/>
      <c r="DM10" s="23" t="n">
        <v>200</v>
      </c>
      <c r="DN10" s="23" t="n">
        <v>400</v>
      </c>
      <c r="DO10" s="419" t="inlineStr">
        <is>
          <t>160 DE Q2</t>
        </is>
      </c>
      <c r="DP10" s="23" t="n"/>
      <c r="DQ10" s="23" t="n"/>
      <c r="DR10" s="219" t="n"/>
      <c r="DS10" s="219" t="n"/>
      <c r="DT10" s="23" t="n"/>
      <c r="DU10" s="23" t="n"/>
      <c r="DV10" s="23" t="n"/>
      <c r="DW10" s="219" t="n">
        <v>400</v>
      </c>
      <c r="DX10" s="23" t="n">
        <v>200</v>
      </c>
      <c r="DY10" s="23" t="n">
        <v>200</v>
      </c>
      <c r="DZ10" s="23" t="n"/>
      <c r="EA10" s="23" t="n"/>
      <c r="EB10" s="23" t="n"/>
      <c r="EC10" s="23" t="n"/>
      <c r="ED10" s="219" t="n"/>
      <c r="EE10" s="23" t="n"/>
      <c r="EF10" s="23" t="n">
        <v>200</v>
      </c>
      <c r="EG10" s="219" t="n">
        <v>400</v>
      </c>
      <c r="EH10" s="219" t="n"/>
      <c r="EI10" s="23" t="n"/>
      <c r="EJ10" s="23" t="n"/>
      <c r="EK10" s="23" t="n"/>
      <c r="EL10" s="219" t="n"/>
      <c r="EM10" s="23" t="n"/>
      <c r="EN10" s="219" t="n"/>
      <c r="EO10" s="23" t="n">
        <v>200</v>
      </c>
      <c r="EP10" s="219" t="n">
        <v>800</v>
      </c>
      <c r="EQ10" s="23" t="n"/>
      <c r="ER10" s="23" t="n"/>
      <c r="ES10" s="23" t="n"/>
      <c r="ET10" s="23" t="n"/>
      <c r="EU10" s="23" t="n">
        <v>200</v>
      </c>
      <c r="EV10" s="23" t="n"/>
      <c r="EW10" s="23" t="n"/>
      <c r="EX10" s="23" t="n"/>
      <c r="EY10" s="23" t="n"/>
      <c r="EZ10" s="23" t="n">
        <v>200</v>
      </c>
      <c r="FA10" s="23" t="n">
        <v>400</v>
      </c>
      <c r="FB10" s="23" t="n">
        <v>200</v>
      </c>
      <c r="FD10" s="65" t="inlineStr">
        <is>
          <t xml:space="preserve">SACOLA M </t>
        </is>
      </c>
      <c r="FE10" s="699" t="n">
        <v>200</v>
      </c>
      <c r="FF10" s="697">
        <f>CJ10</f>
        <v/>
      </c>
      <c r="FG10" s="697" t="n">
        <v>740</v>
      </c>
      <c r="FH10" s="697" t="n">
        <v>660</v>
      </c>
      <c r="FI10" s="697" t="n">
        <v>600</v>
      </c>
      <c r="FJ10" s="697" t="n">
        <v>500</v>
      </c>
      <c r="FK10" s="697" t="n">
        <v>60</v>
      </c>
      <c r="FL10" s="697" t="n"/>
      <c r="FM10" s="699" t="n"/>
      <c r="FN10" s="699" t="n"/>
      <c r="FO10" s="431">
        <f>FM10+IF(NOT(ISBLANK(OFFSET(FO10,0,6))),N(OFFSET(FO10,0,6)),N(OFFSET(FO10,0,7)))-FN10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120</v>
      </c>
      <c r="G11" s="697" t="n">
        <v>120</v>
      </c>
      <c r="H11" s="697" t="n">
        <v>120</v>
      </c>
      <c r="I11" s="697" t="n">
        <v>120</v>
      </c>
      <c r="J11" s="697" t="n">
        <v>120</v>
      </c>
      <c r="K11" s="697" t="n">
        <v>120</v>
      </c>
      <c r="L11" s="697" t="n">
        <v>120</v>
      </c>
      <c r="M11" s="697" t="n">
        <v>120</v>
      </c>
      <c r="N11" s="697" t="n">
        <v>120</v>
      </c>
      <c r="O11" s="697" t="n">
        <v>120</v>
      </c>
      <c r="P11" s="697" t="n">
        <v>120</v>
      </c>
      <c r="Q11" s="697" t="n">
        <v>120</v>
      </c>
      <c r="R11" s="697" t="n">
        <v>120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80</v>
      </c>
      <c r="AD11" s="697" t="n">
        <v>60</v>
      </c>
      <c r="AE11" s="697" t="n">
        <v>60</v>
      </c>
      <c r="AF11" s="697" t="n">
        <v>60</v>
      </c>
      <c r="AG11" s="697" t="n">
        <v>60</v>
      </c>
      <c r="AH11" s="697" t="n">
        <v>40</v>
      </c>
      <c r="AI11" s="697" t="n">
        <v>40</v>
      </c>
      <c r="AJ11" s="697" t="n">
        <v>40</v>
      </c>
      <c r="AK11" s="697" t="n">
        <v>40</v>
      </c>
      <c r="AL11" s="697" t="n">
        <v>40</v>
      </c>
      <c r="AM11" s="697" t="n">
        <v>40</v>
      </c>
      <c r="AN11" s="697" t="n">
        <v>20</v>
      </c>
      <c r="AO11" s="697" t="n">
        <v>20</v>
      </c>
      <c r="AP11" s="697" t="n">
        <v>20</v>
      </c>
      <c r="AQ11" s="697" t="n">
        <v>20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 t="n">
        <v>0</v>
      </c>
      <c r="AW11" s="697" t="n">
        <v>0</v>
      </c>
      <c r="AX11" s="697">
        <f>0+50</f>
        <v/>
      </c>
      <c r="AY11" s="697" t="n">
        <v>50</v>
      </c>
      <c r="AZ11" s="697" t="n">
        <v>50</v>
      </c>
      <c r="BA11" s="697" t="n">
        <v>50</v>
      </c>
      <c r="BB11" s="697" t="n">
        <v>36</v>
      </c>
      <c r="BC11" s="697" t="n">
        <v>36</v>
      </c>
      <c r="BD11" s="697">
        <f>36+CW11</f>
        <v/>
      </c>
      <c r="BE11" s="697" t="n">
        <v>100</v>
      </c>
      <c r="BF11" s="697" t="n">
        <v>60</v>
      </c>
      <c r="BG11" s="697" t="n">
        <v>60</v>
      </c>
      <c r="BH11" s="697">
        <f>40+CT11</f>
        <v/>
      </c>
      <c r="BI11" s="697" t="n">
        <v>140</v>
      </c>
      <c r="BJ11" s="697" t="n">
        <v>100</v>
      </c>
      <c r="BK11" s="697" t="n">
        <v>100</v>
      </c>
      <c r="BL11" s="697" t="n">
        <v>100</v>
      </c>
      <c r="BM11" s="697" t="n">
        <v>100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100</v>
      </c>
      <c r="BZ11" s="697" t="n"/>
      <c r="CA11" s="699" t="n"/>
      <c r="CB11" s="699" t="n"/>
      <c r="CC11" s="192">
        <f>CA11+IF(NOT(ISBLANK(OFFSET(CC11,0,6))),N(OFFSET(CC11,0,6)),N(OFFSET(CC11,0,7)))-CB11</f>
        <v/>
      </c>
      <c r="CD11" s="129" t="n"/>
      <c r="CE11" s="22" t="n"/>
      <c r="CF11" s="4" t="n"/>
      <c r="CG11" s="49" t="n"/>
      <c r="CH11" s="23" t="n">
        <v>0</v>
      </c>
      <c r="CI11" s="23" t="n">
        <v>0</v>
      </c>
      <c r="CJ11" s="23" t="n">
        <v>0</v>
      </c>
      <c r="CK11" s="23" t="n"/>
      <c r="CL11" s="219" t="n">
        <v>100</v>
      </c>
      <c r="CM11" s="23" t="n"/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>
        <v>100</v>
      </c>
      <c r="CW11" s="23" t="n"/>
      <c r="CX11" s="23" t="n"/>
      <c r="CY11" s="23" t="n">
        <v>100</v>
      </c>
      <c r="CZ11" s="23" t="n"/>
      <c r="DA11" s="23" t="n"/>
      <c r="DB11" s="192" t="inlineStr">
        <is>
          <t>50 DE BSH</t>
        </is>
      </c>
      <c r="DC11" s="23" t="n"/>
      <c r="DD11" s="219" t="n">
        <v>100</v>
      </c>
      <c r="DE11" s="23" t="n"/>
      <c r="DF11" s="23" t="n"/>
      <c r="DG11" s="219" t="n"/>
      <c r="DH11" s="23" t="n"/>
      <c r="DI11" s="23" t="n"/>
      <c r="DJ11" s="23" t="n"/>
      <c r="DK11" s="23" t="n"/>
      <c r="DL11" s="23" t="n"/>
      <c r="DM11" s="23" t="n"/>
      <c r="DN11" s="23" t="n"/>
      <c r="DO11" s="23" t="n"/>
      <c r="DP11" s="23" t="n"/>
      <c r="DQ11" s="23" t="n"/>
      <c r="DR11" s="219" t="n"/>
      <c r="DS11" s="219" t="n"/>
      <c r="DT11" s="23" t="n"/>
      <c r="DU11" s="23" t="n"/>
      <c r="DV11" s="23" t="n"/>
      <c r="DW11" s="219" t="n"/>
      <c r="DX11" s="23" t="n"/>
      <c r="DY11" s="23" t="n"/>
      <c r="DZ11" s="23" t="n"/>
      <c r="EA11" s="23" t="n"/>
      <c r="EB11" s="23" t="n"/>
      <c r="EC11" s="23" t="n"/>
      <c r="ED11" s="219" t="n"/>
      <c r="EE11" s="23" t="n"/>
      <c r="EF11" s="23" t="n"/>
      <c r="EG11" s="219" t="n"/>
      <c r="EH11" s="219" t="n"/>
      <c r="EI11" s="23" t="n"/>
      <c r="EJ11" s="23" t="n"/>
      <c r="EK11" s="23" t="n"/>
      <c r="EL11" s="219" t="n"/>
      <c r="EM11" s="23" t="n"/>
      <c r="EN11" s="219" t="n"/>
      <c r="EO11" s="23" t="n"/>
      <c r="EP11" s="219" t="n">
        <v>100</v>
      </c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D11" s="66" t="inlineStr">
        <is>
          <t xml:space="preserve">SACOLA G </t>
        </is>
      </c>
      <c r="FE11" s="699" t="n">
        <v>100</v>
      </c>
      <c r="FF11" s="697">
        <f>CJ11</f>
        <v/>
      </c>
      <c r="FG11" s="697" t="n">
        <v>80</v>
      </c>
      <c r="FH11" s="697" t="n">
        <v>80</v>
      </c>
      <c r="FI11" s="697" t="n">
        <v>80</v>
      </c>
      <c r="FJ11" s="697" t="n">
        <v>80</v>
      </c>
      <c r="FK11" s="697" t="n">
        <v>20</v>
      </c>
      <c r="FL11" s="697" t="n"/>
      <c r="FM11" s="699" t="n"/>
      <c r="FN11" s="699" t="n"/>
      <c r="FO11" s="431">
        <f>FM11+IF(NOT(ISBLANK(OFFSET(FO11,0,6))),N(OFFSET(FO11,0,6)),N(OFFSET(FO11,0,7)))-FN11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E12" s="16" t="n"/>
      <c r="CF12" s="4" t="n"/>
      <c r="CG12" s="64" t="n"/>
      <c r="CH12" s="4" t="n"/>
      <c r="CL12" s="47" t="n"/>
      <c r="DD12" s="47" t="n"/>
      <c r="DG12" s="64" t="n"/>
      <c r="DR12" s="47" t="n"/>
      <c r="DS12" s="47" t="n"/>
      <c r="DW12" s="47" t="n"/>
      <c r="ED12" s="64" t="n"/>
      <c r="EG12" s="64" t="n"/>
      <c r="EH12" s="308" t="n"/>
      <c r="EL12" s="308" t="n"/>
      <c r="EN12" s="308" t="n"/>
      <c r="EP12" s="308" t="n"/>
      <c r="FD12" s="35" t="n"/>
      <c r="FE12" s="2" t="n"/>
      <c r="FF12" s="4" t="n"/>
      <c r="FG12" s="4" t="n"/>
      <c r="FH12" s="4" t="n"/>
      <c r="FI12" s="4" t="n"/>
      <c r="FJ12" s="4" t="n"/>
      <c r="FK12" s="4" t="n"/>
      <c r="FL12" s="4" t="n"/>
      <c r="FM12" s="2" t="n"/>
      <c r="FN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46161.48023390046</v>
      </c>
      <c r="CB13" s="747" t="n">
        <v>46161.48089290444</v>
      </c>
      <c r="CC13" s="748" t="inlineStr">
        <is>
          <t>USOU</t>
        </is>
      </c>
      <c r="CE13" s="44" t="inlineStr">
        <is>
          <t>Pendências</t>
        </is>
      </c>
      <c r="CF13" s="5" t="n"/>
      <c r="CG13" s="12" t="inlineStr">
        <is>
          <t>Novo Pedido</t>
        </is>
      </c>
      <c r="CH13" s="761" t="n">
        <v>46161.4808901337</v>
      </c>
      <c r="CI13" s="734" t="n">
        <v>46149</v>
      </c>
      <c r="CJ13" s="734" t="n">
        <v>46142</v>
      </c>
      <c r="CK13" s="734" t="n">
        <v>46114</v>
      </c>
      <c r="CL13" s="735" t="n">
        <v>46065</v>
      </c>
      <c r="CM13" s="734" t="n">
        <v>46099</v>
      </c>
      <c r="CN13" s="734" t="n">
        <v>46092</v>
      </c>
      <c r="CO13" s="734" t="n">
        <v>46084</v>
      </c>
      <c r="CP13" s="736" t="n">
        <v>46085</v>
      </c>
      <c r="CQ13" s="734" t="n">
        <v>46071</v>
      </c>
      <c r="CR13" s="734" t="n">
        <v>46056</v>
      </c>
      <c r="CS13" s="734" t="n">
        <v>46043</v>
      </c>
      <c r="CT13" s="734" t="n">
        <v>46035</v>
      </c>
      <c r="CU13" s="734" t="n">
        <v>46029</v>
      </c>
      <c r="CV13" s="734" t="n">
        <v>46024</v>
      </c>
      <c r="CW13" s="734" t="n">
        <v>46017</v>
      </c>
      <c r="CX13" s="734" t="n">
        <v>46007</v>
      </c>
      <c r="CY13" s="734" t="n">
        <v>46001</v>
      </c>
      <c r="CZ13" s="734" t="n">
        <v>45986</v>
      </c>
      <c r="DA13" s="734" t="n">
        <v>45965</v>
      </c>
      <c r="DB13" s="736" t="n">
        <v>45961</v>
      </c>
      <c r="DC13" s="734" t="n">
        <v>45951</v>
      </c>
      <c r="DD13" s="737" t="n">
        <v>45903</v>
      </c>
      <c r="DE13" s="734" t="n">
        <v>45937</v>
      </c>
      <c r="DF13" s="734" t="n">
        <v>45923</v>
      </c>
      <c r="DG13" s="754" t="n">
        <v>45923</v>
      </c>
      <c r="DH13" s="734" t="n">
        <v>45915</v>
      </c>
      <c r="DI13" s="734" t="n">
        <v>45909</v>
      </c>
      <c r="DJ13" s="734" t="n">
        <v>45903</v>
      </c>
      <c r="DK13" s="734" t="n">
        <v>45903</v>
      </c>
      <c r="DL13" s="736" t="n">
        <v>45902</v>
      </c>
      <c r="DM13" s="734" t="n">
        <v>45895</v>
      </c>
      <c r="DN13" s="734" t="n">
        <v>45881</v>
      </c>
      <c r="DO13" s="739" t="n">
        <v>45884</v>
      </c>
      <c r="DP13" s="734" t="n">
        <v>45874</v>
      </c>
      <c r="DQ13" s="734" t="n">
        <v>45860</v>
      </c>
      <c r="DR13" s="739" t="n">
        <v>45861</v>
      </c>
      <c r="DS13" s="739" t="n">
        <v>45860</v>
      </c>
      <c r="DT13" s="734" t="n">
        <v>45853</v>
      </c>
      <c r="DU13" s="734" t="n">
        <v>45848</v>
      </c>
      <c r="DV13" s="734" t="n">
        <v>45839</v>
      </c>
      <c r="DW13" s="739" t="n">
        <v>45791</v>
      </c>
      <c r="DX13" s="734" t="n">
        <v>45832</v>
      </c>
      <c r="DY13" s="734" t="n">
        <v>45825</v>
      </c>
      <c r="DZ13" s="734" t="n">
        <v>45819</v>
      </c>
      <c r="EA13" s="736" t="n">
        <v>45820</v>
      </c>
      <c r="EB13" s="734" t="n">
        <v>45813</v>
      </c>
      <c r="EC13" s="736" t="n">
        <v>45806</v>
      </c>
      <c r="ED13" s="755" t="n">
        <v>45803</v>
      </c>
      <c r="EE13" s="734" t="n">
        <v>45798</v>
      </c>
      <c r="EF13" s="734" t="n">
        <v>45790</v>
      </c>
      <c r="EG13" s="742" t="n">
        <v>45735</v>
      </c>
      <c r="EH13" s="740" t="n">
        <v>45790</v>
      </c>
      <c r="EI13" s="734" t="n">
        <v>45783</v>
      </c>
      <c r="EJ13" s="734" t="n">
        <v>45756</v>
      </c>
      <c r="EK13" s="736" t="n">
        <v>45770</v>
      </c>
      <c r="EL13" s="740" t="n">
        <v>45756</v>
      </c>
      <c r="EM13" s="734" t="n">
        <v>45749</v>
      </c>
      <c r="EN13" s="740" t="n">
        <v>45750</v>
      </c>
      <c r="EO13" s="734" t="n">
        <v>45734</v>
      </c>
      <c r="EP13" s="740" t="n">
        <v>45700</v>
      </c>
      <c r="EQ13" s="736" t="n">
        <v>45731</v>
      </c>
      <c r="ER13" s="734" t="n">
        <v>45728</v>
      </c>
      <c r="ES13" s="734" t="n">
        <v>45722</v>
      </c>
      <c r="ET13" s="736" t="n">
        <v>45722</v>
      </c>
      <c r="EU13" s="734" t="n">
        <v>45714</v>
      </c>
      <c r="EV13" s="734" t="n">
        <v>45706</v>
      </c>
      <c r="EW13" s="734" t="n">
        <v>45699</v>
      </c>
      <c r="EX13" s="734" t="n">
        <v>45685</v>
      </c>
      <c r="EY13" s="734" t="n">
        <v>45674</v>
      </c>
      <c r="EZ13" s="734" t="n">
        <v>45664</v>
      </c>
      <c r="FA13" s="734" t="n">
        <v>45660</v>
      </c>
      <c r="FB13" s="734" t="n">
        <v>45652</v>
      </c>
      <c r="FD13" s="304" t="inlineStr">
        <is>
          <t>DIVERSOS</t>
        </is>
      </c>
      <c r="FE13" s="235" t="inlineStr">
        <is>
          <t>PCT</t>
        </is>
      </c>
      <c r="FF13" s="746" t="n">
        <v>46118</v>
      </c>
      <c r="FG13" s="746" t="n">
        <v>46125</v>
      </c>
      <c r="FH13" s="746" t="n">
        <v>46132</v>
      </c>
      <c r="FI13" s="746" t="n">
        <v>46139</v>
      </c>
      <c r="FJ13" s="746" t="n">
        <v>46146</v>
      </c>
      <c r="FK13" s="746" t="n">
        <v>46154</v>
      </c>
      <c r="FL13" s="746" t="n">
        <v>46160</v>
      </c>
      <c r="FM13" s="747" t="n">
        <v>46161.48023284722</v>
      </c>
      <c r="FN13" s="747" t="n">
        <v>46161.48089088728</v>
      </c>
      <c r="FO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3</v>
      </c>
      <c r="G14" s="697" t="n">
        <v>3</v>
      </c>
      <c r="H14" s="697">
        <f>2+EX14</f>
        <v/>
      </c>
      <c r="I14" s="697" t="n">
        <v>4</v>
      </c>
      <c r="J14" s="697" t="n">
        <v>3</v>
      </c>
      <c r="K14" s="697" t="n">
        <v>5</v>
      </c>
      <c r="L14" s="697" t="n">
        <v>4</v>
      </c>
      <c r="M14" s="697">
        <f>3+EU14</f>
        <v/>
      </c>
      <c r="N14" s="697">
        <f>3+ET14</f>
        <v/>
      </c>
      <c r="O14" s="697">
        <f>4+ES14</f>
        <v/>
      </c>
      <c r="P14" s="697" t="n">
        <v>5</v>
      </c>
      <c r="Q14" s="697" t="n">
        <v>5</v>
      </c>
      <c r="R14" s="697" t="n">
        <v>4</v>
      </c>
      <c r="S14" s="697" t="n">
        <v>4</v>
      </c>
      <c r="T14" s="697" t="n">
        <v>3</v>
      </c>
      <c r="U14" s="697" t="n">
        <v>3</v>
      </c>
      <c r="V14" s="697" t="n">
        <v>3</v>
      </c>
      <c r="W14" s="697" t="n">
        <v>3</v>
      </c>
      <c r="X14" s="697" t="n">
        <v>3</v>
      </c>
      <c r="Y14" s="697" t="n">
        <v>2</v>
      </c>
      <c r="Z14" s="697" t="n">
        <v>3</v>
      </c>
      <c r="AA14" s="697" t="n">
        <v>2</v>
      </c>
      <c r="AB14" s="697" t="n">
        <v>2</v>
      </c>
      <c r="AC14" s="697">
        <f>1+DZ14</f>
        <v/>
      </c>
      <c r="AD14" s="697">
        <f>2+DX14</f>
        <v/>
      </c>
      <c r="AE14" s="697" t="n">
        <v>4</v>
      </c>
      <c r="AF14" s="697" t="n">
        <v>4</v>
      </c>
      <c r="AG14" s="697" t="n">
        <v>4</v>
      </c>
      <c r="AH14" s="697" t="n">
        <v>3</v>
      </c>
      <c r="AI14" s="697" t="n">
        <v>2</v>
      </c>
      <c r="AJ14" s="697" t="n">
        <v>3</v>
      </c>
      <c r="AK14" s="697" t="n">
        <v>3</v>
      </c>
      <c r="AL14" s="697" t="n">
        <v>3</v>
      </c>
      <c r="AM14" s="697" t="n">
        <v>2</v>
      </c>
      <c r="AN14" s="697" t="n">
        <v>2</v>
      </c>
      <c r="AO14" s="697" t="n">
        <v>1</v>
      </c>
      <c r="AP14" s="697">
        <f>1+DI14</f>
        <v/>
      </c>
      <c r="AQ14" s="697" t="n">
        <v>3</v>
      </c>
      <c r="AR14" s="697" t="n">
        <v>2</v>
      </c>
      <c r="AS14" s="697" t="n">
        <v>3</v>
      </c>
      <c r="AT14" s="697" t="n">
        <v>2</v>
      </c>
      <c r="AU14" s="697">
        <f>1+DC14</f>
        <v/>
      </c>
      <c r="AV14" s="697" t="n">
        <v>1</v>
      </c>
      <c r="AW14" s="697">
        <f>1+DA14</f>
        <v/>
      </c>
      <c r="AX14" s="697" t="n">
        <v>3</v>
      </c>
      <c r="AY14" s="697" t="n">
        <v>3</v>
      </c>
      <c r="AZ14" s="697" t="n">
        <v>3</v>
      </c>
      <c r="BA14" s="697" t="n">
        <v>3</v>
      </c>
      <c r="BB14" s="697" t="n">
        <v>3</v>
      </c>
      <c r="BC14" s="697" t="n">
        <v>3</v>
      </c>
      <c r="BD14" s="697">
        <f>3+CW14</f>
        <v/>
      </c>
      <c r="BE14" s="697" t="n">
        <v>1</v>
      </c>
      <c r="BF14" s="697" t="n">
        <v>0</v>
      </c>
      <c r="BG14" s="697">
        <f>0+CU14</f>
        <v/>
      </c>
      <c r="BH14" s="697">
        <f>4+CT14+CS14</f>
        <v/>
      </c>
      <c r="BI14" s="697" t="n">
        <v>10</v>
      </c>
      <c r="BJ14" s="697" t="n">
        <v>9</v>
      </c>
      <c r="BK14" s="697" t="n">
        <v>8</v>
      </c>
      <c r="BL14" s="697">
        <f>7+CP14</f>
        <v/>
      </c>
      <c r="BM14" s="697" t="n">
        <v>8</v>
      </c>
      <c r="BN14" s="697" t="n">
        <v>7</v>
      </c>
      <c r="BO14" s="697" t="n">
        <v>6</v>
      </c>
      <c r="BP14" s="697" t="n">
        <v>4</v>
      </c>
      <c r="BQ14" s="697">
        <f>3+CL14</f>
        <v/>
      </c>
      <c r="BR14" s="697" t="n">
        <v>4</v>
      </c>
      <c r="BS14" s="697" t="n">
        <v>4</v>
      </c>
      <c r="BT14" s="697" t="n">
        <v>3</v>
      </c>
      <c r="BU14" s="697" t="n">
        <v>2</v>
      </c>
      <c r="BV14" s="697" t="n">
        <v>2</v>
      </c>
      <c r="BW14" s="697" t="n">
        <v>2</v>
      </c>
      <c r="BX14" s="697">
        <f>2+CH14</f>
        <v/>
      </c>
      <c r="BY14" s="697">
        <f>3+CG14</f>
        <v/>
      </c>
      <c r="BZ14" s="697" t="n"/>
      <c r="CA14" s="699" t="n"/>
      <c r="CB14" s="699" t="n"/>
      <c r="CC14" s="192">
        <f>CA14+IF(NOT(ISBLANK(OFFSET(CC14,0,6))),N(OFFSET(CC14,0,6)),N(OFFSET(CC14,0,7)))-CB14</f>
        <v/>
      </c>
      <c r="CE14" s="22" t="n"/>
      <c r="CF14" s="4" t="n"/>
      <c r="CG14" s="49" t="n"/>
      <c r="CH14" s="23" t="n">
        <v>0</v>
      </c>
      <c r="CI14" s="23" t="n">
        <v>2</v>
      </c>
      <c r="CJ14" s="23" t="n">
        <v>4</v>
      </c>
      <c r="CK14" s="23" t="n"/>
      <c r="CL14" s="219" t="n">
        <v>5</v>
      </c>
      <c r="CM14" s="23" t="n"/>
      <c r="CN14" s="23" t="n">
        <v>2</v>
      </c>
      <c r="CO14" s="23" t="n"/>
      <c r="CP14" s="23" t="n"/>
      <c r="CQ14" s="23" t="n"/>
      <c r="CR14" s="23" t="n">
        <v>2</v>
      </c>
      <c r="CS14" s="23" t="n"/>
      <c r="CT14" s="23" t="n"/>
      <c r="CU14" s="23" t="n">
        <v>2</v>
      </c>
      <c r="CV14" s="23" t="n">
        <v>5</v>
      </c>
      <c r="CW14" s="23" t="n">
        <v>6</v>
      </c>
      <c r="CX14" s="23" t="n"/>
      <c r="CY14" s="23" t="n">
        <v>2</v>
      </c>
      <c r="CZ14" s="23" t="n"/>
      <c r="DA14" s="23" t="n"/>
      <c r="DB14" s="23" t="n"/>
      <c r="DC14" s="23" t="n">
        <v>2</v>
      </c>
      <c r="DD14" s="219" t="n">
        <v>10</v>
      </c>
      <c r="DE14" s="23" t="n">
        <v>1</v>
      </c>
      <c r="DF14" s="23" t="n">
        <v>1</v>
      </c>
      <c r="DG14" s="219" t="n"/>
      <c r="DH14" s="23" t="n"/>
      <c r="DI14" s="23" t="n"/>
      <c r="DJ14" s="23" t="n"/>
      <c r="DK14" s="23" t="n">
        <v>3</v>
      </c>
      <c r="DL14" s="23" t="n"/>
      <c r="DM14" s="23" t="n"/>
      <c r="DN14" s="23" t="n"/>
      <c r="DO14" s="23" t="n"/>
      <c r="DP14" s="23" t="n"/>
      <c r="DQ14" s="23" t="n">
        <v>1</v>
      </c>
      <c r="DR14" s="219" t="n"/>
      <c r="DS14" s="219" t="n"/>
      <c r="DT14" s="23" t="n"/>
      <c r="DU14" s="23" t="n"/>
      <c r="DV14" s="23" t="n"/>
      <c r="DW14" s="219" t="n">
        <v>4</v>
      </c>
      <c r="DX14" s="23" t="n"/>
      <c r="DY14" s="23" t="n"/>
      <c r="DZ14" s="23" t="n">
        <v>3</v>
      </c>
      <c r="EA14" s="23" t="n"/>
      <c r="EB14" s="23" t="n">
        <v>1</v>
      </c>
      <c r="EC14" s="23" t="n"/>
      <c r="ED14" s="219" t="n"/>
      <c r="EE14" s="23" t="n"/>
      <c r="EF14" s="23" t="n">
        <v>2</v>
      </c>
      <c r="EG14" s="219" t="n">
        <v>1</v>
      </c>
      <c r="EH14" s="219" t="n"/>
      <c r="EI14" s="23" t="n"/>
      <c r="EJ14" s="23" t="n"/>
      <c r="EK14" s="23" t="n"/>
      <c r="EL14" s="219" t="n"/>
      <c r="EM14" s="23" t="n"/>
      <c r="EN14" s="219" t="n"/>
      <c r="EO14" s="23" t="n"/>
      <c r="EP14" s="219" t="n">
        <v>5</v>
      </c>
      <c r="EQ14" s="23" t="n"/>
      <c r="ER14" s="23" t="n"/>
      <c r="ES14" s="23" t="n"/>
      <c r="ET14" s="23" t="n"/>
      <c r="EU14" s="23" t="n">
        <v>2</v>
      </c>
      <c r="EV14" s="23" t="n">
        <v>1</v>
      </c>
      <c r="EW14" s="23" t="n">
        <v>1</v>
      </c>
      <c r="EX14" s="23" t="n">
        <v>2</v>
      </c>
      <c r="EY14" s="23" t="n"/>
      <c r="EZ14" s="23" t="n">
        <v>2</v>
      </c>
      <c r="FA14" s="23" t="n"/>
      <c r="FB14" s="23" t="n"/>
      <c r="FD14" s="300" t="inlineStr">
        <is>
          <t>PAPEL DE SEDA</t>
        </is>
      </c>
      <c r="FE14" s="162" t="n">
        <v>200</v>
      </c>
      <c r="FF14" s="697">
        <f>CJ14</f>
        <v/>
      </c>
      <c r="FG14" s="697" t="n">
        <v>5</v>
      </c>
      <c r="FH14" s="697" t="n">
        <v>4</v>
      </c>
      <c r="FI14" s="697" t="n">
        <v>3</v>
      </c>
      <c r="FJ14" s="697" t="n">
        <v>2</v>
      </c>
      <c r="FK14" s="697" t="n">
        <v>0</v>
      </c>
      <c r="FL14" s="697" t="n"/>
      <c r="FM14" s="699" t="n"/>
      <c r="FN14" s="699" t="n"/>
      <c r="FO14" s="431">
        <f>FM14+IF(NOT(ISBLANK(OFFSET(FO14,0,6))),N(OFFSET(FO14,0,6)),N(OFFSET(FO14,0,7)))-FN14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1+EY15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4</v>
      </c>
      <c r="M15" s="697" t="n">
        <v>4</v>
      </c>
      <c r="N15" s="697" t="n">
        <v>4</v>
      </c>
      <c r="O15" s="697" t="n">
        <v>4</v>
      </c>
      <c r="P15" s="697" t="n">
        <v>3</v>
      </c>
      <c r="Q15" s="697" t="n">
        <v>3</v>
      </c>
      <c r="R15" s="697" t="n">
        <v>3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2</v>
      </c>
      <c r="AA15" s="697" t="n">
        <v>2</v>
      </c>
      <c r="AB15" s="697" t="n">
        <v>2</v>
      </c>
      <c r="AC15" s="697" t="n">
        <v>2</v>
      </c>
      <c r="AD15" s="697" t="n">
        <v>2</v>
      </c>
      <c r="AE15" s="697" t="n">
        <v>1</v>
      </c>
      <c r="AF15" s="697">
        <f>1+DV15</f>
        <v/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1</v>
      </c>
      <c r="AO15" s="697" t="n">
        <v>2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1</v>
      </c>
      <c r="AX15" s="697" t="n">
        <v>1</v>
      </c>
      <c r="AY15" s="697" t="n">
        <v>1</v>
      </c>
      <c r="AZ15" s="697" t="n">
        <v>1</v>
      </c>
      <c r="BA15" s="697" t="n">
        <v>1</v>
      </c>
      <c r="BB15" s="697">
        <f>1+CX15</f>
        <v/>
      </c>
      <c r="BC15" s="697" t="n">
        <v>2</v>
      </c>
      <c r="BD15" s="697">
        <f>1+CW15</f>
        <v/>
      </c>
      <c r="BE15" s="697">
        <f>4+CV15</f>
        <v/>
      </c>
      <c r="BF15" s="697" t="n">
        <v>4</v>
      </c>
      <c r="BG15" s="697" t="n">
        <v>4</v>
      </c>
      <c r="BH15" s="697">
        <f>4+CT15</f>
        <v/>
      </c>
      <c r="BI15" s="697" t="n">
        <v>7</v>
      </c>
      <c r="BJ15" s="697" t="n">
        <v>10</v>
      </c>
      <c r="BK15" s="697" t="n">
        <v>10</v>
      </c>
      <c r="BL15" s="697" t="n">
        <v>9</v>
      </c>
      <c r="BM15" s="697" t="n">
        <v>9</v>
      </c>
      <c r="BN15" s="697">
        <f>9+CO15</f>
        <v/>
      </c>
      <c r="BO15" s="697">
        <f>14-10</f>
        <v/>
      </c>
      <c r="BP15" s="697" t="n">
        <v>4</v>
      </c>
      <c r="BQ15" s="697" t="n">
        <v>4</v>
      </c>
      <c r="BR15" s="697" t="n">
        <v>4</v>
      </c>
      <c r="BS15" s="697" t="n">
        <v>3</v>
      </c>
      <c r="BT15" s="697" t="n">
        <v>3</v>
      </c>
      <c r="BU15" s="697" t="n">
        <v>3</v>
      </c>
      <c r="BV15" s="697" t="n">
        <v>2</v>
      </c>
      <c r="BW15" s="697" t="n">
        <v>2</v>
      </c>
      <c r="BX15" s="697" t="n">
        <v>2</v>
      </c>
      <c r="BY15" s="697" t="n">
        <v>2</v>
      </c>
      <c r="BZ15" s="697" t="n"/>
      <c r="CA15" s="699" t="n"/>
      <c r="CB15" s="699" t="n"/>
      <c r="CC15" s="192">
        <f>CA15+IF(NOT(ISBLANK(OFFSET(CC15,0,6))),N(OFFSET(CC15,0,6)),N(OFFSET(CC15,0,7)))-CB15</f>
        <v/>
      </c>
      <c r="CE15" s="22" t="n"/>
      <c r="CF15" s="4" t="n"/>
      <c r="CG15" s="49" t="n"/>
      <c r="CH15" s="23" t="n">
        <v>0</v>
      </c>
      <c r="CI15" s="23" t="n">
        <v>0</v>
      </c>
      <c r="CJ15" s="23" t="n">
        <v>0</v>
      </c>
      <c r="CK15" s="23" t="n"/>
      <c r="CL15" s="219" t="n">
        <v>3</v>
      </c>
      <c r="CM15" s="23" t="n"/>
      <c r="CN15" s="23" t="n"/>
      <c r="CO15" s="23" t="n"/>
      <c r="CP15" s="192" t="inlineStr">
        <is>
          <t>10 P/ ERB</t>
        </is>
      </c>
      <c r="CQ15" s="23" t="n">
        <v>5</v>
      </c>
      <c r="CR15" s="23" t="n"/>
      <c r="CS15" s="23" t="n"/>
      <c r="CT15" s="23" t="n"/>
      <c r="CU15" s="23" t="n"/>
      <c r="CV15" s="23" t="n">
        <v>3</v>
      </c>
      <c r="CW15" s="23" t="n"/>
      <c r="CX15" s="23" t="n">
        <v>3</v>
      </c>
      <c r="CY15" s="23" t="n">
        <v>3</v>
      </c>
      <c r="CZ15" s="23" t="n">
        <v>2</v>
      </c>
      <c r="DA15" s="23" t="n"/>
      <c r="DB15" s="23" t="n"/>
      <c r="DC15" s="23" t="n"/>
      <c r="DD15" s="219" t="n">
        <v>7</v>
      </c>
      <c r="DE15" s="23" t="n"/>
      <c r="DF15" s="23" t="n"/>
      <c r="DG15" s="219" t="n"/>
      <c r="DH15" s="23" t="n"/>
      <c r="DI15" s="23" t="n"/>
      <c r="DJ15" s="23" t="n"/>
      <c r="DK15" s="23" t="n"/>
      <c r="DL15" s="23" t="n"/>
      <c r="DM15" s="23" t="n">
        <v>1</v>
      </c>
      <c r="DN15" s="23" t="n"/>
      <c r="DO15" s="23" t="n"/>
      <c r="DP15" s="23" t="n"/>
      <c r="DQ15" s="23" t="n"/>
      <c r="DR15" s="219" t="n"/>
      <c r="DS15" s="219" t="n"/>
      <c r="DT15" s="23" t="n"/>
      <c r="DU15" s="23" t="n"/>
      <c r="DV15" s="23" t="n"/>
      <c r="DW15" s="219" t="n"/>
      <c r="DX15" s="23" t="n">
        <v>1</v>
      </c>
      <c r="DY15" s="23" t="n"/>
      <c r="DZ15" s="23" t="n"/>
      <c r="EA15" s="23" t="n"/>
      <c r="EB15" s="23" t="n"/>
      <c r="EC15" s="23" t="n"/>
      <c r="ED15" s="219" t="n"/>
      <c r="EE15" s="23" t="n"/>
      <c r="EF15" s="23" t="n"/>
      <c r="EG15" s="219" t="n">
        <v>1</v>
      </c>
      <c r="EH15" s="219" t="n"/>
      <c r="EI15" s="23" t="n"/>
      <c r="EJ15" s="23" t="n"/>
      <c r="EK15" s="23" t="n"/>
      <c r="EL15" s="219" t="n"/>
      <c r="EM15" s="23" t="n"/>
      <c r="EN15" s="219" t="n"/>
      <c r="EO15" s="23" t="n"/>
      <c r="EP15" s="219" t="n"/>
      <c r="EQ15" s="23" t="n"/>
      <c r="ER15" s="23" t="n"/>
      <c r="ES15" s="23" t="n"/>
      <c r="ET15" s="23" t="n"/>
      <c r="EU15" s="23" t="n"/>
      <c r="EV15" s="23" t="n"/>
      <c r="EW15" s="23" t="n"/>
      <c r="EX15" s="23" t="n"/>
      <c r="EY15" s="23" t="n"/>
      <c r="EZ15" s="23" t="n"/>
      <c r="FA15" s="23" t="n">
        <v>3</v>
      </c>
      <c r="FB15" s="23" t="n"/>
      <c r="FD15" s="65" t="inlineStr">
        <is>
          <t>ADESIVOS</t>
        </is>
      </c>
      <c r="FE15" s="699" t="n">
        <v>200</v>
      </c>
      <c r="FF15" s="697">
        <f>CJ15</f>
        <v/>
      </c>
      <c r="FG15" s="697" t="n">
        <v>3</v>
      </c>
      <c r="FH15" s="697" t="n">
        <v>3</v>
      </c>
      <c r="FI15" s="697" t="n">
        <v>3</v>
      </c>
      <c r="FJ15" s="697" t="n">
        <v>3</v>
      </c>
      <c r="FK15" s="697" t="n">
        <v>0</v>
      </c>
      <c r="FL15" s="697" t="n"/>
      <c r="FM15" s="699" t="n"/>
      <c r="FN15" s="699" t="n"/>
      <c r="FO15" s="431">
        <f>FM15+IF(NOT(ISBLANK(OFFSET(FO15,0,6))),N(OFFSET(FO15,0,6)),N(OFFSET(FO15,0,7)))-FN15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0+EZ16</f>
        <v/>
      </c>
      <c r="G16" s="697">
        <f>0+EY16</f>
        <v/>
      </c>
      <c r="H16" s="697" t="n">
        <v>1</v>
      </c>
      <c r="I16" s="697">
        <f>1+EW16</f>
        <v/>
      </c>
      <c r="J16" s="697" t="n">
        <v>2</v>
      </c>
      <c r="K16" s="697" t="n">
        <v>3</v>
      </c>
      <c r="L16" s="697" t="n">
        <v>2</v>
      </c>
      <c r="M16" s="697">
        <f>1+EU16</f>
        <v/>
      </c>
      <c r="N16" s="697">
        <f>1+ET16</f>
        <v/>
      </c>
      <c r="O16" s="697">
        <f>3+ES16-3</f>
        <v/>
      </c>
      <c r="P16" s="697" t="n">
        <v>2</v>
      </c>
      <c r="Q16" s="697">
        <f>1+EP16</f>
        <v/>
      </c>
      <c r="R16" s="697" t="n">
        <v>3</v>
      </c>
      <c r="S16" s="697" t="n">
        <v>5</v>
      </c>
      <c r="T16" s="697" t="n">
        <v>4</v>
      </c>
      <c r="U16" s="697" t="n">
        <v>4</v>
      </c>
      <c r="V16" s="697" t="n">
        <v>3</v>
      </c>
      <c r="W16" s="697" t="n">
        <v>2</v>
      </c>
      <c r="X16" s="697" t="n">
        <v>1</v>
      </c>
      <c r="Y16" s="697" t="n">
        <v>5</v>
      </c>
      <c r="Z16" s="697" t="n">
        <v>4</v>
      </c>
      <c r="AA16" s="697" t="n">
        <v>3</v>
      </c>
      <c r="AB16" s="697" t="n">
        <v>2</v>
      </c>
      <c r="AC16" s="697">
        <f>1+DZ16</f>
        <v/>
      </c>
      <c r="AD16" s="697">
        <f>3+DX16</f>
        <v/>
      </c>
      <c r="AE16" s="697" t="n">
        <v>4</v>
      </c>
      <c r="AF16" s="697" t="n">
        <v>2</v>
      </c>
      <c r="AG16" s="697">
        <f>2+DT16</f>
        <v/>
      </c>
      <c r="AH16" s="697" t="n">
        <v>5</v>
      </c>
      <c r="AI16" s="697" t="n">
        <v>5</v>
      </c>
      <c r="AJ16" s="697" t="n">
        <v>4</v>
      </c>
      <c r="AK16" s="697" t="n">
        <v>4</v>
      </c>
      <c r="AL16" s="697" t="n">
        <v>3</v>
      </c>
      <c r="AM16" s="697">
        <f>3+DL16</f>
        <v/>
      </c>
      <c r="AN16" s="697" t="n">
        <v>2</v>
      </c>
      <c r="AO16" s="697" t="n">
        <v>5</v>
      </c>
      <c r="AP16" s="697" t="n">
        <v>4</v>
      </c>
      <c r="AQ16" s="697" t="n">
        <v>3</v>
      </c>
      <c r="AR16" s="697" t="n">
        <v>3</v>
      </c>
      <c r="AS16" s="697" t="n">
        <v>4</v>
      </c>
      <c r="AT16" s="697" t="n">
        <v>3</v>
      </c>
      <c r="AU16" s="697">
        <f>2+DC16</f>
        <v/>
      </c>
      <c r="AV16" s="697" t="n">
        <v>2</v>
      </c>
      <c r="AW16" s="697" t="n">
        <v>1</v>
      </c>
      <c r="AX16" s="697" t="n">
        <v>0</v>
      </c>
      <c r="AY16" s="697">
        <f>0+CY16</f>
        <v/>
      </c>
      <c r="AZ16" s="697" t="n">
        <v>3</v>
      </c>
      <c r="BA16" s="697" t="n">
        <v>2</v>
      </c>
      <c r="BB16" s="697">
        <f>0+CX16</f>
        <v/>
      </c>
      <c r="BC16" s="697" t="n">
        <v>2</v>
      </c>
      <c r="BD16" s="697">
        <f>1+CW16</f>
        <v/>
      </c>
      <c r="BE16" s="697">
        <f>2+CV16</f>
        <v/>
      </c>
      <c r="BF16" s="697" t="n">
        <v>2</v>
      </c>
      <c r="BG16" s="697" t="n">
        <v>1</v>
      </c>
      <c r="BH16" s="697">
        <f>0+CT16</f>
        <v/>
      </c>
      <c r="BI16" s="697" t="n">
        <v>5</v>
      </c>
      <c r="BJ16" s="697">
        <f>4+CQ16</f>
        <v/>
      </c>
      <c r="BK16" s="697" t="n">
        <v>6</v>
      </c>
      <c r="BL16" s="697" t="n">
        <v>5</v>
      </c>
      <c r="BM16" s="697" t="n">
        <v>5</v>
      </c>
      <c r="BN16" s="697" t="n">
        <v>3</v>
      </c>
      <c r="BO16" s="697" t="n">
        <v>3</v>
      </c>
      <c r="BP16" s="697">
        <f>2+CM16</f>
        <v/>
      </c>
      <c r="BQ16" s="697" t="n">
        <v>2</v>
      </c>
      <c r="BR16" s="697">
        <f>1+CK16</f>
        <v/>
      </c>
      <c r="BS16" s="697" t="n">
        <v>1</v>
      </c>
      <c r="BT16" s="697" t="n">
        <v>1</v>
      </c>
      <c r="BU16" s="697" t="n">
        <v>3</v>
      </c>
      <c r="BV16" s="697" t="n">
        <v>2</v>
      </c>
      <c r="BW16" s="697" t="n">
        <v>1</v>
      </c>
      <c r="BX16" s="697">
        <f>1+CH16</f>
        <v/>
      </c>
      <c r="BY16" s="697" t="n">
        <v>2</v>
      </c>
      <c r="BZ16" s="697" t="n"/>
      <c r="CA16" s="699" t="n"/>
      <c r="CB16" s="699" t="n"/>
      <c r="CC16" s="192">
        <f>CA16+IF(NOT(ISBLANK(OFFSET(CC16,0,6))),N(OFFSET(CC16,0,6)),N(OFFSET(CC16,0,7)))-CB16</f>
        <v/>
      </c>
      <c r="CE16" s="22" t="n"/>
      <c r="CF16" s="4" t="n"/>
      <c r="CG16" s="49" t="n"/>
      <c r="CH16" s="23" t="n">
        <v>0</v>
      </c>
      <c r="CI16" s="23" t="n">
        <v>0</v>
      </c>
      <c r="CJ16" s="23" t="n">
        <v>3</v>
      </c>
      <c r="CK16" s="23" t="n">
        <v>3</v>
      </c>
      <c r="CL16" s="23" t="n"/>
      <c r="CM16" s="23" t="n">
        <v>1</v>
      </c>
      <c r="CN16" s="23" t="n"/>
      <c r="CO16" s="23" t="n">
        <v>1</v>
      </c>
      <c r="CP16" s="23" t="n"/>
      <c r="CQ16" s="23" t="n"/>
      <c r="CR16" s="23" t="n"/>
      <c r="CS16" s="23" t="n">
        <v>2</v>
      </c>
      <c r="CT16" s="23" t="n"/>
      <c r="CU16" s="23" t="n"/>
      <c r="CV16" s="23" t="n">
        <v>6</v>
      </c>
      <c r="CW16" s="23" t="n"/>
      <c r="CX16" s="23" t="n">
        <v>4</v>
      </c>
      <c r="CY16" s="23" t="n">
        <v>3</v>
      </c>
      <c r="CZ16" s="23" t="n">
        <v>3</v>
      </c>
      <c r="DA16" s="23" t="n">
        <v>4</v>
      </c>
      <c r="DB16" s="23" t="n"/>
      <c r="DC16" s="23" t="n"/>
      <c r="DD16" s="219" t="n"/>
      <c r="DE16" s="23" t="n">
        <v>1</v>
      </c>
      <c r="DF16" s="23" t="n">
        <v>1</v>
      </c>
      <c r="DG16" s="219" t="n"/>
      <c r="DH16" s="23" t="n">
        <v>1</v>
      </c>
      <c r="DI16" s="23" t="n"/>
      <c r="DJ16" s="23" t="n"/>
      <c r="DK16" s="23" t="n"/>
      <c r="DL16" s="23" t="n"/>
      <c r="DM16" s="23" t="n">
        <v>4</v>
      </c>
      <c r="DN16" s="23" t="n">
        <v>1</v>
      </c>
      <c r="DO16" s="23" t="n"/>
      <c r="DP16" s="23" t="n"/>
      <c r="DQ16" s="23" t="n"/>
      <c r="DR16" s="219" t="n"/>
      <c r="DS16" s="219" t="n"/>
      <c r="DT16" s="23" t="n"/>
      <c r="DU16" s="23" t="n"/>
      <c r="DV16" s="23" t="n">
        <v>4</v>
      </c>
      <c r="DW16" s="219" t="n"/>
      <c r="DX16" s="23" t="n"/>
      <c r="DY16" s="23" t="n"/>
      <c r="DZ16" s="23" t="n">
        <v>1</v>
      </c>
      <c r="EA16" s="23" t="n"/>
      <c r="EB16" s="23" t="n">
        <v>3</v>
      </c>
      <c r="EC16" s="23" t="n"/>
      <c r="ED16" s="219" t="n"/>
      <c r="EE16" s="23" t="n"/>
      <c r="EF16" s="23" t="n"/>
      <c r="EG16" s="219" t="n"/>
      <c r="EH16" s="219" t="n"/>
      <c r="EI16" s="23" t="n">
        <v>5</v>
      </c>
      <c r="EJ16" s="23" t="n"/>
      <c r="EK16" s="23" t="n"/>
      <c r="EL16" s="219" t="n"/>
      <c r="EM16" s="23" t="n"/>
      <c r="EN16" s="219" t="n"/>
      <c r="EO16" s="23" t="n">
        <v>3</v>
      </c>
      <c r="EP16" s="219" t="n">
        <v>2</v>
      </c>
      <c r="EQ16" s="316" t="n"/>
      <c r="ER16" s="23" t="n">
        <v>3</v>
      </c>
      <c r="ES16" s="23" t="n"/>
      <c r="ET16" s="282" t="inlineStr">
        <is>
          <t>03 P/ BSH</t>
        </is>
      </c>
      <c r="EU16" s="23" t="n">
        <v>3</v>
      </c>
      <c r="EV16" s="23" t="n">
        <v>2</v>
      </c>
      <c r="EW16" s="23" t="n">
        <v>2</v>
      </c>
      <c r="EX16" s="23" t="n">
        <v>2</v>
      </c>
      <c r="EY16" s="23" t="n">
        <v>2</v>
      </c>
      <c r="EZ16" s="23" t="n"/>
      <c r="FA16" s="23" t="n">
        <v>2</v>
      </c>
      <c r="FB16" s="23" t="n">
        <v>1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2</v>
      </c>
      <c r="E17" s="2" t="n"/>
      <c r="F17" s="697" t="n">
        <v>3</v>
      </c>
      <c r="G17" s="697">
        <f>3+EY17</f>
        <v/>
      </c>
      <c r="H17" s="697" t="n">
        <v>3</v>
      </c>
      <c r="I17" s="697">
        <f>3+EW17</f>
        <v/>
      </c>
      <c r="J17" s="697" t="n">
        <v>4</v>
      </c>
      <c r="K17" s="697" t="n">
        <v>4</v>
      </c>
      <c r="L17" s="697" t="n">
        <v>3</v>
      </c>
      <c r="M17" s="697">
        <f>3+EU17</f>
        <v/>
      </c>
      <c r="N17" s="697" t="n">
        <v>4</v>
      </c>
      <c r="O17" s="697" t="n">
        <v>3</v>
      </c>
      <c r="P17" s="697">
        <f>3+EQ17</f>
        <v/>
      </c>
      <c r="Q17" s="697" t="n">
        <v>5</v>
      </c>
      <c r="R17" s="697" t="n">
        <v>5</v>
      </c>
      <c r="S17" s="697" t="n">
        <v>5</v>
      </c>
      <c r="T17" s="697" t="n">
        <v>4</v>
      </c>
      <c r="U17" s="697" t="n">
        <v>4</v>
      </c>
      <c r="V17" s="697" t="n">
        <v>4</v>
      </c>
      <c r="W17" s="697">
        <f>3+EH17</f>
        <v/>
      </c>
      <c r="X17" s="697" t="n">
        <v>4</v>
      </c>
      <c r="Y17" s="697" t="n">
        <v>4</v>
      </c>
      <c r="Z17" s="697" t="n">
        <v>3</v>
      </c>
      <c r="AA17" s="697" t="n">
        <v>3</v>
      </c>
      <c r="AB17" s="697" t="n">
        <v>3</v>
      </c>
      <c r="AC17" s="697" t="n">
        <v>3</v>
      </c>
      <c r="AD17" s="697" t="n">
        <v>2</v>
      </c>
      <c r="AE17" s="697" t="n">
        <v>2</v>
      </c>
      <c r="AF17" s="697" t="n">
        <v>2</v>
      </c>
      <c r="AG17" s="697" t="n">
        <v>2</v>
      </c>
      <c r="AH17" s="697" t="n">
        <v>1</v>
      </c>
      <c r="AI17" s="697" t="n">
        <v>2</v>
      </c>
      <c r="AJ17" s="697" t="n">
        <v>2</v>
      </c>
      <c r="AK17" s="697" t="n">
        <v>2</v>
      </c>
      <c r="AL17" s="697" t="n">
        <v>2</v>
      </c>
      <c r="AM17" s="697" t="n">
        <v>1</v>
      </c>
      <c r="AN17" s="697" t="n">
        <v>1</v>
      </c>
      <c r="AO17" s="697" t="n">
        <v>2</v>
      </c>
      <c r="AP17" s="697" t="n">
        <v>1</v>
      </c>
      <c r="AQ17" s="697">
        <f>1+DG17</f>
        <v/>
      </c>
      <c r="AR17" s="697" t="n">
        <v>2</v>
      </c>
      <c r="AS17" s="697" t="n">
        <v>1</v>
      </c>
      <c r="AT17" s="697" t="n">
        <v>1</v>
      </c>
      <c r="AU17" s="697">
        <f>1+DC17</f>
        <v/>
      </c>
      <c r="AV17" s="697" t="n">
        <v>2</v>
      </c>
      <c r="AW17" s="697" t="n">
        <v>2</v>
      </c>
      <c r="AX17" s="697" t="n">
        <v>1</v>
      </c>
      <c r="AY17" s="697">
        <f>1+CY17</f>
        <v/>
      </c>
      <c r="AZ17" s="697" t="n">
        <v>3</v>
      </c>
      <c r="BA17" s="697" t="n">
        <v>3</v>
      </c>
      <c r="BB17" s="697" t="n">
        <v>2</v>
      </c>
      <c r="BC17" s="697" t="n">
        <v>2</v>
      </c>
      <c r="BD17" s="697">
        <f>2+CW17</f>
        <v/>
      </c>
      <c r="BE17" s="697">
        <f>2+CV17</f>
        <v/>
      </c>
      <c r="BF17" s="697" t="n">
        <v>2</v>
      </c>
      <c r="BG17" s="697" t="n">
        <v>2</v>
      </c>
      <c r="BH17" s="697">
        <f>1+CT17</f>
        <v/>
      </c>
      <c r="BI17" s="697" t="n">
        <v>3</v>
      </c>
      <c r="BJ17" s="697" t="n">
        <v>3</v>
      </c>
      <c r="BK17" s="697" t="n">
        <v>3</v>
      </c>
      <c r="BL17" s="697" t="n">
        <v>3</v>
      </c>
      <c r="BM17" s="697" t="n">
        <v>3</v>
      </c>
      <c r="BN17" s="697" t="n">
        <v>3</v>
      </c>
      <c r="BO17" s="697" t="n">
        <v>2</v>
      </c>
      <c r="BP17" s="697">
        <f>2+CM17</f>
        <v/>
      </c>
      <c r="BQ17" s="697" t="n">
        <v>3</v>
      </c>
      <c r="BR17" s="697" t="n">
        <v>3</v>
      </c>
      <c r="BS17" s="697" t="n">
        <v>2</v>
      </c>
      <c r="BT17" s="697" t="n">
        <v>2</v>
      </c>
      <c r="BU17" s="697" t="n">
        <v>3</v>
      </c>
      <c r="BV17" s="697" t="n">
        <v>2</v>
      </c>
      <c r="BW17" s="697" t="n">
        <v>2</v>
      </c>
      <c r="BX17" s="697" t="n">
        <v>2</v>
      </c>
      <c r="BY17" s="697" t="n">
        <v>1</v>
      </c>
      <c r="BZ17" s="697" t="n"/>
      <c r="CA17" s="699" t="n"/>
      <c r="CB17" s="699" t="n"/>
      <c r="CC17" s="192">
        <f>CA17+IF(NOT(ISBLANK(OFFSET(CC17,0,6))),N(OFFSET(CC17,0,6)),N(OFFSET(CC17,0,7)))-CB17</f>
        <v/>
      </c>
      <c r="CE17" s="22" t="n"/>
      <c r="CF17" s="4" t="n"/>
      <c r="CG17" s="49" t="n"/>
      <c r="CH17" s="23" t="n">
        <v>0</v>
      </c>
      <c r="CI17" s="23" t="n">
        <v>0</v>
      </c>
      <c r="CJ17" s="23" t="n">
        <v>0</v>
      </c>
      <c r="CK17" s="23" t="n">
        <v>1</v>
      </c>
      <c r="CL17" s="23" t="n"/>
      <c r="CM17" s="23" t="n"/>
      <c r="CN17" s="23" t="n"/>
      <c r="CO17" s="23" t="n">
        <v>1</v>
      </c>
      <c r="CP17" s="23" t="n"/>
      <c r="CQ17" s="23" t="n"/>
      <c r="CR17" s="23" t="n"/>
      <c r="CS17" s="23" t="n"/>
      <c r="CT17" s="23" t="n"/>
      <c r="CU17" s="23" t="n"/>
      <c r="CV17" s="23" t="n">
        <v>2</v>
      </c>
      <c r="CW17" s="23" t="n"/>
      <c r="CX17" s="23" t="n">
        <v>1</v>
      </c>
      <c r="CY17" s="23" t="n">
        <v>1</v>
      </c>
      <c r="CZ17" s="23" t="n"/>
      <c r="DA17" s="23" t="n">
        <v>2</v>
      </c>
      <c r="DB17" s="23" t="n"/>
      <c r="DC17" s="23" t="n"/>
      <c r="DD17" s="219" t="n"/>
      <c r="DE17" s="23" t="n">
        <v>1</v>
      </c>
      <c r="DF17" s="23" t="n"/>
      <c r="DG17" s="219" t="n"/>
      <c r="DH17" s="23" t="n"/>
      <c r="DI17" s="23" t="n">
        <v>1</v>
      </c>
      <c r="DJ17" s="23" t="n"/>
      <c r="DK17" s="23" t="n"/>
      <c r="DL17" s="23" t="n"/>
      <c r="DM17" s="23" t="n">
        <v>1</v>
      </c>
      <c r="DN17" s="23" t="n"/>
      <c r="DO17" s="23" t="n"/>
      <c r="DP17" s="23" t="n"/>
      <c r="DQ17" s="23" t="n"/>
      <c r="DR17" s="219" t="n"/>
      <c r="DS17" s="219" t="n"/>
      <c r="DT17" s="23" t="n">
        <v>1</v>
      </c>
      <c r="DU17" s="23" t="n"/>
      <c r="DV17" s="23" t="n"/>
      <c r="DW17" s="219" t="n"/>
      <c r="DX17" s="23" t="n"/>
      <c r="DY17" s="23" t="n"/>
      <c r="DZ17" s="23" t="n"/>
      <c r="EA17" s="23" t="n"/>
      <c r="EB17" s="23" t="n"/>
      <c r="EC17" s="23" t="n"/>
      <c r="ED17" s="219" t="n"/>
      <c r="EE17" s="23" t="n"/>
      <c r="EF17" s="23" t="n"/>
      <c r="EG17" s="219" t="n"/>
      <c r="EH17" s="219" t="n"/>
      <c r="EI17" s="23" t="n"/>
      <c r="EJ17" s="23" t="n">
        <v>1</v>
      </c>
      <c r="EK17" s="23" t="n"/>
      <c r="EL17" s="219" t="n"/>
      <c r="EM17" s="23" t="n"/>
      <c r="EN17" s="219" t="n"/>
      <c r="EO17" s="23" t="n"/>
      <c r="EP17" s="219" t="n"/>
      <c r="EQ17" s="23" t="n"/>
      <c r="ER17" s="23" t="n"/>
      <c r="ES17" s="23" t="n">
        <v>2</v>
      </c>
      <c r="ET17" s="23" t="n"/>
      <c r="EU17" s="23" t="n"/>
      <c r="EV17" s="23" t="n"/>
      <c r="EW17" s="23" t="n">
        <v>1</v>
      </c>
      <c r="EX17" s="23" t="n"/>
      <c r="EY17" s="23" t="n">
        <v>1</v>
      </c>
      <c r="EZ17" s="23" t="n"/>
      <c r="FA17" s="23" t="n">
        <v>1</v>
      </c>
      <c r="FB17" s="23" t="n"/>
    </row>
    <row r="18" ht="14.25" customFormat="1" customHeight="1" s="3">
      <c r="A18" s="35" t="n"/>
      <c r="C18" s="763" t="n"/>
      <c r="D18" s="450" t="n"/>
      <c r="CE18" s="48" t="n"/>
      <c r="CG18" s="61" t="n"/>
      <c r="CL18" s="250" t="n"/>
      <c r="DG18" s="372" t="n"/>
      <c r="DR18" s="250" t="n"/>
      <c r="DS18" s="250" t="n"/>
      <c r="DW18" s="250" t="n"/>
      <c r="ED18" s="372" t="n"/>
      <c r="EG18" s="372" t="n"/>
      <c r="EH18" s="19" t="n"/>
      <c r="EL18" s="19" t="n"/>
      <c r="EN18" s="19" t="n"/>
      <c r="EP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46161.48023390046</v>
      </c>
      <c r="CB19" s="747" t="n">
        <v>46161.48089290457</v>
      </c>
      <c r="CC19" s="748" t="inlineStr">
        <is>
          <t>USOU</t>
        </is>
      </c>
      <c r="CE19" s="44" t="inlineStr">
        <is>
          <t>Pendências</t>
        </is>
      </c>
      <c r="CF19" s="5" t="n"/>
      <c r="CG19" s="12" t="inlineStr">
        <is>
          <t>Novo Pedido</t>
        </is>
      </c>
      <c r="CH19" s="761" t="n">
        <v>46161.48089013398</v>
      </c>
      <c r="CI19" s="734" t="n">
        <v>46149</v>
      </c>
      <c r="CJ19" s="734" t="n">
        <v>46142</v>
      </c>
      <c r="CK19" s="734" t="n">
        <v>46114</v>
      </c>
      <c r="CL19" s="735" t="n">
        <v>46065</v>
      </c>
      <c r="CM19" s="734" t="n">
        <v>46099</v>
      </c>
      <c r="CN19" s="734" t="n">
        <v>46092</v>
      </c>
      <c r="CO19" s="734" t="n">
        <v>46084</v>
      </c>
      <c r="CP19" s="736" t="n">
        <v>46085</v>
      </c>
      <c r="CQ19" s="734" t="n">
        <v>46071</v>
      </c>
      <c r="CR19" s="734" t="n">
        <v>46056</v>
      </c>
      <c r="CS19" s="734" t="n">
        <v>46043</v>
      </c>
      <c r="CT19" s="734" t="n">
        <v>46035</v>
      </c>
      <c r="CU19" s="734" t="n">
        <v>46029</v>
      </c>
      <c r="CV19" s="734" t="n">
        <v>46024</v>
      </c>
      <c r="CW19" s="734" t="n">
        <v>46017</v>
      </c>
      <c r="CX19" s="734" t="n">
        <v>46007</v>
      </c>
      <c r="CY19" s="734" t="n">
        <v>46001</v>
      </c>
      <c r="CZ19" s="734" t="n">
        <v>45986</v>
      </c>
      <c r="DA19" s="734" t="n">
        <v>45965</v>
      </c>
      <c r="DB19" s="736" t="n">
        <v>45961</v>
      </c>
      <c r="DC19" s="734" t="n">
        <v>45951</v>
      </c>
      <c r="DD19" s="737" t="n">
        <v>45903</v>
      </c>
      <c r="DE19" s="734" t="n">
        <v>45937</v>
      </c>
      <c r="DF19" s="734" t="n">
        <v>45923</v>
      </c>
      <c r="DG19" s="754" t="n">
        <v>45923</v>
      </c>
      <c r="DH19" s="734" t="n">
        <v>45915</v>
      </c>
      <c r="DI19" s="734" t="n">
        <v>45909</v>
      </c>
      <c r="DJ19" s="734" t="n">
        <v>45903</v>
      </c>
      <c r="DK19" s="734" t="n">
        <v>45903</v>
      </c>
      <c r="DL19" s="736" t="n">
        <v>45902</v>
      </c>
      <c r="DM19" s="734" t="n">
        <v>45895</v>
      </c>
      <c r="DN19" s="734" t="n">
        <v>45881</v>
      </c>
      <c r="DO19" s="739" t="n">
        <v>45884</v>
      </c>
      <c r="DP19" s="734" t="n">
        <v>45874</v>
      </c>
      <c r="DQ19" s="734" t="n">
        <v>45860</v>
      </c>
      <c r="DR19" s="739" t="n">
        <v>45861</v>
      </c>
      <c r="DS19" s="739" t="n">
        <v>45860</v>
      </c>
      <c r="DT19" s="734" t="n">
        <v>45853</v>
      </c>
      <c r="DU19" s="734" t="n">
        <v>45848</v>
      </c>
      <c r="DV19" s="734" t="n">
        <v>45839</v>
      </c>
      <c r="DW19" s="739" t="n">
        <v>45791</v>
      </c>
      <c r="DX19" s="734" t="n">
        <v>45832</v>
      </c>
      <c r="DY19" s="734" t="n">
        <v>45825</v>
      </c>
      <c r="DZ19" s="734" t="n">
        <v>45819</v>
      </c>
      <c r="EA19" s="736" t="n">
        <v>45820</v>
      </c>
      <c r="EB19" s="734" t="n">
        <v>45813</v>
      </c>
      <c r="EC19" s="736" t="n">
        <v>45806</v>
      </c>
      <c r="ED19" s="755" t="n">
        <v>45803</v>
      </c>
      <c r="EE19" s="734" t="n">
        <v>45798</v>
      </c>
      <c r="EF19" s="734" t="n">
        <v>45790</v>
      </c>
      <c r="EG19" s="742" t="n">
        <v>45735</v>
      </c>
      <c r="EH19" s="740" t="n">
        <v>45790</v>
      </c>
      <c r="EI19" s="734" t="n">
        <v>45783</v>
      </c>
      <c r="EJ19" s="734" t="n">
        <v>45756</v>
      </c>
      <c r="EK19" s="736" t="n">
        <v>45770</v>
      </c>
      <c r="EL19" s="740" t="n">
        <v>45756</v>
      </c>
      <c r="EM19" s="734" t="n">
        <v>45749</v>
      </c>
      <c r="EN19" s="740" t="n">
        <v>45750</v>
      </c>
      <c r="EO19" s="734" t="n">
        <v>45734</v>
      </c>
      <c r="EP19" s="740" t="n">
        <v>45700</v>
      </c>
      <c r="EQ19" s="736" t="n">
        <v>45731</v>
      </c>
      <c r="ER19" s="734" t="n">
        <v>45728</v>
      </c>
      <c r="ES19" s="734" t="n">
        <v>45722</v>
      </c>
      <c r="ET19" s="736" t="n">
        <v>45722</v>
      </c>
      <c r="EU19" s="734" t="n">
        <v>45714</v>
      </c>
      <c r="EV19" s="734" t="n">
        <v>45706</v>
      </c>
      <c r="EW19" s="734" t="n">
        <v>45699</v>
      </c>
      <c r="EX19" s="734" t="n">
        <v>45685</v>
      </c>
      <c r="EY19" s="734" t="n">
        <v>45674</v>
      </c>
      <c r="EZ19" s="734" t="n">
        <v>45664</v>
      </c>
      <c r="FA19" s="734" t="n">
        <v>45660</v>
      </c>
      <c r="FB19" s="734" t="n">
        <v>45652</v>
      </c>
      <c r="FD19" s="304" t="inlineStr">
        <is>
          <t>CAIXAS</t>
        </is>
      </c>
      <c r="FE19" s="235" t="inlineStr">
        <is>
          <t>PCT</t>
        </is>
      </c>
      <c r="FF19" s="746" t="n">
        <v>46118</v>
      </c>
      <c r="FG19" s="746" t="n">
        <v>46125</v>
      </c>
      <c r="FH19" s="746" t="n">
        <v>46132</v>
      </c>
      <c r="FI19" s="746" t="n">
        <v>46139</v>
      </c>
      <c r="FJ19" s="746" t="n">
        <v>46146</v>
      </c>
      <c r="FK19" s="746" t="n">
        <v>46154</v>
      </c>
      <c r="FL19" s="746" t="n">
        <v>46160</v>
      </c>
      <c r="FM19" s="747" t="n">
        <v>46161.48023284722</v>
      </c>
      <c r="FN19" s="747" t="n">
        <v>46161.4808908874</v>
      </c>
      <c r="FO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76</v>
      </c>
      <c r="G20" s="697" t="n">
        <v>45</v>
      </c>
      <c r="H20" s="697" t="n">
        <v>166</v>
      </c>
      <c r="I20" s="697" t="n">
        <v>141</v>
      </c>
      <c r="J20" s="697" t="n">
        <v>117</v>
      </c>
      <c r="K20" s="697" t="n">
        <v>94</v>
      </c>
      <c r="L20" s="697" t="n">
        <v>66</v>
      </c>
      <c r="M20" s="697">
        <f>28+EU20</f>
        <v/>
      </c>
      <c r="N20" s="697" t="n">
        <v>144</v>
      </c>
      <c r="O20" s="697" t="n">
        <v>112</v>
      </c>
      <c r="P20" s="697">
        <f>71+EQ20</f>
        <v/>
      </c>
      <c r="Q20" s="697">
        <f>207+EP20</f>
        <v/>
      </c>
      <c r="R20" s="697" t="n">
        <v>334</v>
      </c>
      <c r="S20" s="697" t="n">
        <v>304</v>
      </c>
      <c r="T20" s="697" t="n">
        <v>287</v>
      </c>
      <c r="U20" s="697" t="n">
        <v>265</v>
      </c>
      <c r="V20" s="697" t="n">
        <v>261</v>
      </c>
      <c r="W20" s="697" t="n">
        <v>251</v>
      </c>
      <c r="X20" s="697" t="n">
        <v>249</v>
      </c>
      <c r="Y20" s="697" t="n">
        <v>250</v>
      </c>
      <c r="Z20" s="697" t="n">
        <v>250</v>
      </c>
      <c r="AA20" s="697" t="n">
        <v>241</v>
      </c>
      <c r="AB20" s="697" t="n">
        <v>221</v>
      </c>
      <c r="AC20" s="697" t="n">
        <v>200</v>
      </c>
      <c r="AD20" s="697" t="n">
        <v>161</v>
      </c>
      <c r="AE20" s="697" t="n">
        <v>137</v>
      </c>
      <c r="AF20" s="697" t="n">
        <v>111</v>
      </c>
      <c r="AG20" s="697" t="n">
        <v>97</v>
      </c>
      <c r="AH20" s="697" t="n">
        <v>71</v>
      </c>
      <c r="AI20" s="697" t="n">
        <v>45</v>
      </c>
      <c r="AJ20" s="697" t="n">
        <v>179</v>
      </c>
      <c r="AK20" s="697" t="n">
        <v>156</v>
      </c>
      <c r="AL20" s="697" t="n">
        <v>66</v>
      </c>
      <c r="AM20" s="697">
        <f>43+DL20</f>
        <v/>
      </c>
      <c r="AN20" s="697" t="n">
        <v>163</v>
      </c>
      <c r="AO20" s="697" t="n">
        <v>138</v>
      </c>
      <c r="AP20" s="697" t="n">
        <v>108</v>
      </c>
      <c r="AQ20" s="697" t="n">
        <v>67</v>
      </c>
      <c r="AR20" s="697" t="n">
        <v>173</v>
      </c>
      <c r="AS20" s="697" t="n">
        <v>126</v>
      </c>
      <c r="AT20" s="697" t="n">
        <v>101</v>
      </c>
      <c r="AU20" s="697">
        <f>61+DC20</f>
        <v/>
      </c>
      <c r="AV20" s="697" t="n">
        <v>196</v>
      </c>
      <c r="AW20" s="697" t="n">
        <v>164</v>
      </c>
      <c r="AX20" s="697" t="n">
        <v>122</v>
      </c>
      <c r="AY20" s="697" t="n">
        <v>93</v>
      </c>
      <c r="AZ20" s="697" t="n">
        <v>75</v>
      </c>
      <c r="BA20" s="697" t="n">
        <v>57</v>
      </c>
      <c r="BB20" s="697" t="n">
        <v>37</v>
      </c>
      <c r="BC20" s="697" t="n">
        <v>19</v>
      </c>
      <c r="BD20" s="697" t="n">
        <v>9</v>
      </c>
      <c r="BE20" s="697" t="n">
        <v>153</v>
      </c>
      <c r="BF20" s="697" t="n">
        <v>149</v>
      </c>
      <c r="BG20" s="697" t="n">
        <v>145</v>
      </c>
      <c r="BH20" s="697" t="n">
        <v>136</v>
      </c>
      <c r="BI20" s="697">
        <f>134+CR20</f>
        <v/>
      </c>
      <c r="BJ20" s="697" t="n">
        <v>281</v>
      </c>
      <c r="BK20" s="697" t="n">
        <v>265</v>
      </c>
      <c r="BL20" s="697" t="n">
        <v>249</v>
      </c>
      <c r="BM20" s="697" t="n">
        <v>243</v>
      </c>
      <c r="BN20" s="697" t="n">
        <v>231</v>
      </c>
      <c r="BO20" s="697" t="n">
        <v>223</v>
      </c>
      <c r="BP20" s="697" t="n">
        <v>216</v>
      </c>
      <c r="BQ20" s="697" t="n">
        <v>212</v>
      </c>
      <c r="BR20" s="697" t="n">
        <v>202</v>
      </c>
      <c r="BS20" s="697" t="n">
        <v>196</v>
      </c>
      <c r="BT20" s="697" t="n"/>
      <c r="BU20" s="697" t="n"/>
      <c r="BV20" s="697" t="n"/>
      <c r="BW20" s="697" t="n">
        <v>181</v>
      </c>
      <c r="BX20" s="697" t="n">
        <v>181</v>
      </c>
      <c r="BY20" s="697" t="n">
        <v>169</v>
      </c>
      <c r="BZ20" s="314" t="n">
        <v>158</v>
      </c>
      <c r="CA20" s="218" t="n">
        <v>158</v>
      </c>
      <c r="CB20" s="218" t="n">
        <v>158</v>
      </c>
      <c r="CC20" s="192">
        <f>CA20+IF(NOT(ISBLANK(OFFSET(CC20,0,6))),N(OFFSET(CC20,0,6)),N(OFFSET(CC20,0,7)))-CB20</f>
        <v/>
      </c>
      <c r="CD20" s="50" t="n"/>
      <c r="CE20" s="22" t="n"/>
      <c r="CF20" s="4" t="n"/>
      <c r="CG20" s="49" t="n"/>
      <c r="CH20" s="23" t="n">
        <v>0</v>
      </c>
      <c r="CI20" s="23" t="n">
        <v>0</v>
      </c>
      <c r="CJ20" s="23" t="n">
        <v>0</v>
      </c>
      <c r="CK20" s="23" t="n"/>
      <c r="CL20" s="219" t="n"/>
      <c r="CM20" s="23" t="n"/>
      <c r="CN20" s="23" t="n"/>
      <c r="CO20" s="23" t="n"/>
      <c r="CP20" s="23" t="n"/>
      <c r="CQ20" s="23" t="n"/>
      <c r="CR20" s="23" t="n"/>
      <c r="CS20" s="23" t="n"/>
      <c r="CT20" s="23" t="n">
        <v>150</v>
      </c>
      <c r="CU20" s="23" t="n"/>
      <c r="CV20" s="23" t="n"/>
      <c r="CW20" s="23" t="n"/>
      <c r="CX20" s="23" t="n">
        <v>150</v>
      </c>
      <c r="CY20" s="23" t="n"/>
      <c r="CZ20" s="23" t="n"/>
      <c r="DA20" s="23" t="n"/>
      <c r="DB20" s="23" t="n"/>
      <c r="DC20" s="23" t="n"/>
      <c r="DD20" s="219" t="n">
        <v>150</v>
      </c>
      <c r="DE20" s="23" t="n">
        <v>150</v>
      </c>
      <c r="DF20" s="23" t="n"/>
      <c r="DG20" s="219" t="n"/>
      <c r="DH20" s="23" t="n">
        <v>150</v>
      </c>
      <c r="DI20" s="23" t="n"/>
      <c r="DJ20" s="23" t="n"/>
      <c r="DK20" s="23" t="n"/>
      <c r="DL20" s="23" t="n"/>
      <c r="DM20" s="23" t="n"/>
      <c r="DN20" s="23" t="n">
        <v>150</v>
      </c>
      <c r="DO20" s="23" t="n"/>
      <c r="DP20" s="23" t="n"/>
      <c r="DQ20" s="23" t="n">
        <v>150</v>
      </c>
      <c r="DR20" s="219" t="n"/>
      <c r="DS20" s="219" t="n"/>
      <c r="DT20" s="23" t="n"/>
      <c r="DU20" s="23" t="n"/>
      <c r="DV20" s="23" t="n"/>
      <c r="DW20" s="219" t="n"/>
      <c r="DX20" s="23" t="n"/>
      <c r="DY20" s="23" t="n"/>
      <c r="DZ20" s="23" t="n"/>
      <c r="EA20" s="23" t="n"/>
      <c r="EB20" s="23" t="n"/>
      <c r="EC20" s="23" t="n"/>
      <c r="ED20" s="219" t="n"/>
      <c r="EE20" s="23" t="n"/>
      <c r="EF20" s="23" t="n"/>
      <c r="EG20" s="219" t="n"/>
      <c r="EH20" s="219" t="n"/>
      <c r="EI20" s="23" t="n"/>
      <c r="EJ20" s="23" t="n"/>
      <c r="EK20" s="23" t="n"/>
      <c r="EL20" s="292" t="inlineStr">
        <is>
          <t>100 DE TTR</t>
        </is>
      </c>
      <c r="EM20" s="23" t="n"/>
      <c r="EN20" s="219" t="n"/>
      <c r="EO20" s="23" t="n"/>
      <c r="EP20" s="219" t="n"/>
      <c r="EQ20" s="23" t="n"/>
      <c r="ER20" s="23" t="n">
        <v>150</v>
      </c>
      <c r="ES20" s="23" t="n">
        <v>150</v>
      </c>
      <c r="ET20" s="23" t="n"/>
      <c r="EU20" s="23" t="n"/>
      <c r="EV20" s="23" t="n"/>
      <c r="EW20" s="23" t="n">
        <v>150</v>
      </c>
      <c r="EX20" s="23" t="n"/>
      <c r="EY20" s="23" t="n"/>
      <c r="EZ20" s="23" t="n">
        <v>150</v>
      </c>
      <c r="FA20" s="23" t="n"/>
      <c r="FB20" s="23" t="n"/>
      <c r="FD20" s="300" t="inlineStr">
        <is>
          <t>CAIXA P</t>
        </is>
      </c>
      <c r="FE20" s="162" t="n">
        <v>150</v>
      </c>
      <c r="FF20" s="697" t="n">
        <v>0</v>
      </c>
      <c r="FG20" s="697" t="n"/>
      <c r="FH20" s="697" t="n"/>
      <c r="FI20" s="697" t="n">
        <v>17</v>
      </c>
      <c r="FJ20" s="697" t="n">
        <v>11</v>
      </c>
      <c r="FK20" s="697" t="n">
        <v>-1</v>
      </c>
      <c r="FL20" s="697" t="n">
        <v>-1</v>
      </c>
      <c r="FM20" s="699" t="n"/>
      <c r="FN20" s="699" t="n"/>
      <c r="FO20" s="431">
        <f>FM20+IF(NOT(ISBLANK(OFFSET(FO20,0,6))),N(OFFSET(FO20,0,6)),N(OFFSET(FO20,0,7)))-FN20</f>
        <v/>
      </c>
    </row>
    <row r="21" ht="19.5" customFormat="1" customHeigh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146</v>
      </c>
      <c r="G21" s="697" t="n">
        <v>123</v>
      </c>
      <c r="H21" s="697" t="n">
        <v>87</v>
      </c>
      <c r="I21" s="697">
        <f>66+EW21</f>
        <v/>
      </c>
      <c r="J21" s="697" t="n">
        <v>143</v>
      </c>
      <c r="K21" s="697" t="n">
        <v>97</v>
      </c>
      <c r="L21" s="697" t="n">
        <v>58</v>
      </c>
      <c r="M21" s="697">
        <f>18+EU21</f>
        <v/>
      </c>
      <c r="N21" s="697">
        <f>76+ET21</f>
        <v/>
      </c>
      <c r="O21" s="697">
        <f>128+ES21</f>
        <v/>
      </c>
      <c r="P21" s="697">
        <f>174+EQ21</f>
        <v/>
      </c>
      <c r="Q21" s="697">
        <f>190+EP21</f>
        <v/>
      </c>
      <c r="R21" s="697" t="n">
        <v>249</v>
      </c>
      <c r="S21" s="697" t="n">
        <v>211</v>
      </c>
      <c r="T21" s="697" t="n">
        <v>183</v>
      </c>
      <c r="U21" s="697" t="n">
        <v>160</v>
      </c>
      <c r="V21" s="697" t="n">
        <v>160</v>
      </c>
      <c r="W21" s="697" t="n">
        <v>160</v>
      </c>
      <c r="X21" s="697" t="n">
        <v>157</v>
      </c>
      <c r="Y21" s="697" t="n">
        <v>156</v>
      </c>
      <c r="Z21" s="697" t="n">
        <v>152</v>
      </c>
      <c r="AA21" s="697" t="n">
        <v>115</v>
      </c>
      <c r="AB21" s="697" t="n">
        <v>94</v>
      </c>
      <c r="AC21" s="697">
        <f>76+DZ21-50</f>
        <v/>
      </c>
      <c r="AD21" s="697" t="n">
        <v>100</v>
      </c>
      <c r="AE21" s="697">
        <f>74+DW21</f>
        <v/>
      </c>
      <c r="AF21" s="697" t="n">
        <v>154</v>
      </c>
      <c r="AG21" s="697" t="n">
        <v>112</v>
      </c>
      <c r="AH21" s="697">
        <f>76+DS21</f>
        <v/>
      </c>
      <c r="AI21" s="697" t="n">
        <v>139</v>
      </c>
      <c r="AJ21" s="697" t="n">
        <v>99</v>
      </c>
      <c r="AK21" s="697" t="n">
        <v>62</v>
      </c>
      <c r="AL21" s="697" t="n">
        <v>95</v>
      </c>
      <c r="AM21" s="697">
        <f>62+DL21</f>
        <v/>
      </c>
      <c r="AN21" s="697" t="n">
        <v>117</v>
      </c>
      <c r="AO21" s="697">
        <f>85+DK21</f>
        <v/>
      </c>
      <c r="AP21" s="697" t="n">
        <v>140</v>
      </c>
      <c r="AQ21" s="697" t="n">
        <v>102</v>
      </c>
      <c r="AR21" s="697" t="n">
        <v>158</v>
      </c>
      <c r="AS21" s="697" t="n">
        <v>125</v>
      </c>
      <c r="AT21" s="697" t="n">
        <v>87</v>
      </c>
      <c r="AU21" s="697">
        <f>33+DC21</f>
        <v/>
      </c>
      <c r="AV21" s="697" t="n">
        <v>96</v>
      </c>
      <c r="AW21" s="697" t="n">
        <v>60</v>
      </c>
      <c r="AX21" s="697" t="n">
        <v>25</v>
      </c>
      <c r="AY21" s="697" t="n">
        <v>1</v>
      </c>
      <c r="AZ21" s="697" t="n">
        <v>0</v>
      </c>
      <c r="BA21" s="697" t="n">
        <v>0</v>
      </c>
      <c r="BB21" s="697" t="n">
        <v>0</v>
      </c>
      <c r="BC21" s="697" t="n">
        <v>0</v>
      </c>
      <c r="BD21" s="697">
        <f>0+CW21</f>
        <v/>
      </c>
      <c r="BE21" s="697" t="n">
        <v>100</v>
      </c>
      <c r="BF21" s="697" t="n">
        <v>97</v>
      </c>
      <c r="BG21" s="697" t="n">
        <v>84</v>
      </c>
      <c r="BH21" s="697" t="n">
        <v>78</v>
      </c>
      <c r="BI21" s="697">
        <f>70+CR21</f>
        <v/>
      </c>
      <c r="BJ21" s="697" t="n">
        <v>157</v>
      </c>
      <c r="BK21" s="697" t="n">
        <v>147</v>
      </c>
      <c r="BL21" s="697" t="n">
        <v>128</v>
      </c>
      <c r="BM21" s="697" t="n">
        <v>124</v>
      </c>
      <c r="BN21" s="697" t="n">
        <v>112</v>
      </c>
      <c r="BO21" s="697" t="n">
        <v>106</v>
      </c>
      <c r="BP21" s="697" t="n">
        <v>89</v>
      </c>
      <c r="BQ21" s="697">
        <f>84+CL21</f>
        <v/>
      </c>
      <c r="BR21" s="697" t="n">
        <v>172</v>
      </c>
      <c r="BS21" s="697" t="n">
        <v>163</v>
      </c>
      <c r="BT21" s="697" t="n"/>
      <c r="BU21" s="697" t="n"/>
      <c r="BV21" s="697" t="n"/>
      <c r="BW21" s="697" t="n">
        <v>147</v>
      </c>
      <c r="BX21" s="697" t="n">
        <v>147</v>
      </c>
      <c r="BY21" s="697" t="n">
        <v>145</v>
      </c>
      <c r="BZ21" s="697" t="n">
        <v>143</v>
      </c>
      <c r="CA21" s="699" t="n">
        <v>143</v>
      </c>
      <c r="CB21" s="699" t="n">
        <v>143</v>
      </c>
      <c r="CC21" s="192">
        <f>CA21+IF(NOT(ISBLANK(OFFSET(CC21,0,6))),N(OFFSET(CC21,0,6)),N(OFFSET(CC21,0,7)))-CB21</f>
        <v/>
      </c>
      <c r="CD21" s="50" t="n"/>
      <c r="CE21" s="22" t="n"/>
      <c r="CF21" s="4" t="n"/>
      <c r="CG21" s="49" t="n"/>
      <c r="CH21" s="23" t="n">
        <v>0</v>
      </c>
      <c r="CI21" s="23" t="n">
        <v>0</v>
      </c>
      <c r="CJ21" s="23" t="n">
        <v>0</v>
      </c>
      <c r="CK21" s="23" t="n"/>
      <c r="CL21" s="219" t="n">
        <v>100</v>
      </c>
      <c r="CM21" s="23" t="n"/>
      <c r="CN21" s="23" t="n">
        <v>100</v>
      </c>
      <c r="CO21" s="23" t="n"/>
      <c r="CP21" s="23" t="n"/>
      <c r="CQ21" s="23" t="n"/>
      <c r="CR21" s="23" t="n"/>
      <c r="CS21" s="23" t="n"/>
      <c r="CT21" s="23" t="n">
        <v>100</v>
      </c>
      <c r="CU21" s="23" t="n"/>
      <c r="CV21" s="23" t="n"/>
      <c r="CW21" s="23" t="n"/>
      <c r="CX21" s="23" t="n"/>
      <c r="CY21" s="23" t="n">
        <v>100</v>
      </c>
      <c r="CZ21" s="23" t="n"/>
      <c r="DA21" s="23" t="n"/>
      <c r="DB21" s="23" t="n"/>
      <c r="DC21" s="23" t="n"/>
      <c r="DD21" s="219" t="n">
        <v>200</v>
      </c>
      <c r="DE21" s="23" t="n">
        <v>100</v>
      </c>
      <c r="DF21" s="23" t="n"/>
      <c r="DG21" s="437" t="inlineStr">
        <is>
          <t>10 DE SHN</t>
        </is>
      </c>
      <c r="DH21" s="23" t="n">
        <v>100</v>
      </c>
      <c r="DI21" s="23" t="n"/>
      <c r="DJ21" s="23" t="n"/>
      <c r="DK21" s="23" t="n"/>
      <c r="DL21" s="23" t="n"/>
      <c r="DM21" s="23" t="n">
        <v>100</v>
      </c>
      <c r="DN21" s="23" t="n">
        <v>100</v>
      </c>
      <c r="DO21" s="23" t="n"/>
      <c r="DP21" s="23" t="n">
        <v>100</v>
      </c>
      <c r="DQ21" s="23" t="n"/>
      <c r="DR21" s="219" t="n"/>
      <c r="DS21" s="292" t="inlineStr">
        <is>
          <t>35 DE TDQ</t>
        </is>
      </c>
      <c r="DT21" s="23" t="n"/>
      <c r="DU21" s="23" t="n">
        <v>100</v>
      </c>
      <c r="DV21" s="23" t="n"/>
      <c r="DW21" s="219" t="n"/>
      <c r="DX21" s="23" t="n"/>
      <c r="DY21" s="23" t="n">
        <v>100</v>
      </c>
      <c r="DZ21" s="23" t="n"/>
      <c r="EA21" s="282" t="inlineStr">
        <is>
          <t>50 P/ Q7</t>
        </is>
      </c>
      <c r="EB21" s="23" t="n">
        <v>100</v>
      </c>
      <c r="EC21" s="23" t="n"/>
      <c r="ED21" s="376" t="inlineStr">
        <is>
          <t>50 DE TDQ</t>
        </is>
      </c>
      <c r="EE21" s="23" t="n"/>
      <c r="EF21" s="23" t="n"/>
      <c r="EG21" s="219" t="n"/>
      <c r="EH21" s="292" t="inlineStr">
        <is>
          <t>48 P/ BSH</t>
        </is>
      </c>
      <c r="EI21" s="23" t="n"/>
      <c r="EJ21" s="23" t="n"/>
      <c r="EK21" s="23" t="n"/>
      <c r="EL21" s="219" t="n"/>
      <c r="EM21" s="23" t="n"/>
      <c r="EN21" s="292" t="inlineStr">
        <is>
          <t>50 P/ MD</t>
        </is>
      </c>
      <c r="EO21" s="23" t="n"/>
      <c r="EP21" s="219" t="n">
        <v>200</v>
      </c>
      <c r="EQ21" s="736" t="inlineStr">
        <is>
          <t>50 P/ BOUL</t>
        </is>
      </c>
      <c r="ER21" s="23" t="n">
        <v>100</v>
      </c>
      <c r="ES21" s="23" t="n">
        <v>100</v>
      </c>
      <c r="ET21" s="23" t="n"/>
      <c r="EU21" s="23" t="n">
        <v>100</v>
      </c>
      <c r="EV21" s="23" t="n">
        <v>100</v>
      </c>
      <c r="EW21" s="23" t="n">
        <v>100</v>
      </c>
      <c r="EX21" s="23" t="n"/>
      <c r="EY21" s="23" t="n">
        <v>100</v>
      </c>
      <c r="EZ21" s="23" t="n"/>
      <c r="FA21" s="23" t="n"/>
      <c r="FB21" s="23" t="n"/>
      <c r="FD21" s="65" t="inlineStr">
        <is>
          <t>CAIXA M</t>
        </is>
      </c>
      <c r="FE21" s="699" t="n">
        <v>100</v>
      </c>
      <c r="FF21" s="697">
        <f>CJ21</f>
        <v/>
      </c>
      <c r="FG21" s="697" t="n"/>
      <c r="FH21" s="697" t="n"/>
      <c r="FI21" s="697" t="n">
        <v>83</v>
      </c>
      <c r="FJ21" s="697" t="n">
        <v>75</v>
      </c>
      <c r="FK21" s="697" t="n">
        <v>10</v>
      </c>
      <c r="FL21" s="697" t="n">
        <v>3</v>
      </c>
      <c r="FM21" s="699" t="n"/>
      <c r="FN21" s="699" t="n"/>
      <c r="FO21" s="431">
        <f>FM21+IF(NOT(ISBLANK(OFFSET(FO21,0,6))),N(OFFSET(FO21,0,6)),N(OFFSET(FO21,0,7)))-FN21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2</v>
      </c>
      <c r="G22" s="697" t="n">
        <v>23</v>
      </c>
      <c r="H22" s="697" t="n">
        <v>18</v>
      </c>
      <c r="I22" s="697" t="n">
        <v>16</v>
      </c>
      <c r="J22" s="697" t="n">
        <v>11</v>
      </c>
      <c r="K22" s="697" t="n">
        <v>20</v>
      </c>
      <c r="L22" s="697" t="n">
        <v>18</v>
      </c>
      <c r="M22" s="697" t="n">
        <v>18</v>
      </c>
      <c r="N22" s="697" t="n">
        <v>18</v>
      </c>
      <c r="O22" s="697" t="n">
        <v>18</v>
      </c>
      <c r="P22" s="697" t="n">
        <v>18</v>
      </c>
      <c r="Q22" s="697" t="n">
        <v>17</v>
      </c>
      <c r="R22" s="697" t="n">
        <v>15</v>
      </c>
      <c r="S22" s="697" t="n">
        <v>15</v>
      </c>
      <c r="T22" s="697" t="n">
        <v>15</v>
      </c>
      <c r="U22" s="697" t="n">
        <v>14</v>
      </c>
      <c r="V22" s="697" t="n">
        <v>13</v>
      </c>
      <c r="W22" s="697" t="n">
        <v>12</v>
      </c>
      <c r="X22" s="697" t="n">
        <v>12</v>
      </c>
      <c r="Y22" s="697" t="n">
        <v>10</v>
      </c>
      <c r="Z22" s="697" t="n">
        <v>10</v>
      </c>
      <c r="AA22" s="697" t="n">
        <v>10</v>
      </c>
      <c r="AB22" s="697" t="n">
        <v>10</v>
      </c>
      <c r="AC22" s="697" t="n">
        <v>9</v>
      </c>
      <c r="AD22" s="697" t="n">
        <v>8</v>
      </c>
      <c r="AE22" s="697" t="n">
        <v>7</v>
      </c>
      <c r="AF22" s="697" t="n">
        <v>6</v>
      </c>
      <c r="AG22" s="697" t="n">
        <v>6</v>
      </c>
      <c r="AH22" s="697" t="n">
        <v>5</v>
      </c>
      <c r="AI22" s="697" t="n">
        <v>5</v>
      </c>
      <c r="AJ22" s="697" t="n">
        <v>3</v>
      </c>
      <c r="AK22" s="697" t="n">
        <v>3</v>
      </c>
      <c r="AL22" s="697" t="n">
        <v>3</v>
      </c>
      <c r="AM22" s="697" t="n">
        <v>1</v>
      </c>
      <c r="AN22" s="697" t="n">
        <v>0</v>
      </c>
      <c r="AO22" s="697">
        <f>0+20</f>
        <v/>
      </c>
      <c r="AP22" s="697" t="n">
        <v>20</v>
      </c>
      <c r="AQ22" s="697" t="n">
        <v>20</v>
      </c>
      <c r="AR22" s="697" t="n">
        <v>17</v>
      </c>
      <c r="AS22" s="697" t="n">
        <v>16</v>
      </c>
      <c r="AT22" s="697" t="n">
        <v>14</v>
      </c>
      <c r="AU22" s="697" t="n">
        <v>13</v>
      </c>
      <c r="AV22" s="697" t="n">
        <v>13</v>
      </c>
      <c r="AW22" s="697" t="n">
        <v>13</v>
      </c>
      <c r="AX22" s="697" t="n">
        <v>13</v>
      </c>
      <c r="AY22" s="697" t="n">
        <v>12</v>
      </c>
      <c r="AZ22" s="697" t="n">
        <v>12</v>
      </c>
      <c r="BA22" s="697" t="n">
        <v>12</v>
      </c>
      <c r="BB22" s="697" t="n">
        <v>12</v>
      </c>
      <c r="BC22" s="697" t="n">
        <v>10</v>
      </c>
      <c r="BD22" s="697" t="n">
        <v>10</v>
      </c>
      <c r="BE22" s="697" t="n">
        <v>10</v>
      </c>
      <c r="BF22" s="697" t="n">
        <v>7</v>
      </c>
      <c r="BG22" s="697" t="n">
        <v>7</v>
      </c>
      <c r="BH22" s="697" t="n">
        <v>7</v>
      </c>
      <c r="BI22" s="697" t="n">
        <v>7</v>
      </c>
      <c r="BJ22" s="697" t="n">
        <v>7</v>
      </c>
      <c r="BK22" s="697" t="n">
        <v>7</v>
      </c>
      <c r="BL22" s="697" t="n">
        <v>7</v>
      </c>
      <c r="BM22" s="697" t="n">
        <v>7</v>
      </c>
      <c r="BN22" s="697" t="n">
        <v>7</v>
      </c>
      <c r="BO22" s="697" t="n">
        <v>6</v>
      </c>
      <c r="BP22" s="697" t="n">
        <v>5</v>
      </c>
      <c r="BQ22" s="697" t="n">
        <v>5</v>
      </c>
      <c r="BR22" s="697" t="n">
        <v>5</v>
      </c>
      <c r="BS22" s="697" t="n">
        <v>5</v>
      </c>
      <c r="BT22" s="697" t="n">
        <v>5</v>
      </c>
      <c r="BU22" s="697" t="n">
        <v>4</v>
      </c>
      <c r="BV22" s="697" t="n">
        <v>3</v>
      </c>
      <c r="BW22" s="697" t="n">
        <v>2</v>
      </c>
      <c r="BX22" s="697" t="n">
        <v>1</v>
      </c>
      <c r="BY22" s="697" t="n">
        <v>0</v>
      </c>
      <c r="BZ22" s="697" t="n">
        <v>0</v>
      </c>
      <c r="CA22" s="699" t="n">
        <v>0</v>
      </c>
      <c r="CB22" s="699" t="n">
        <v>0</v>
      </c>
      <c r="CC22" s="192">
        <f>CA22+IF(NOT(ISBLANK(OFFSET(CC22,0,6))),N(OFFSET(CC22,0,6)),N(OFFSET(CC22,0,7)))-CB22</f>
        <v/>
      </c>
      <c r="CD22" s="50" t="n"/>
      <c r="CE22" s="22" t="n"/>
      <c r="CF22" s="4" t="n"/>
      <c r="CG22" s="49" t="n"/>
      <c r="CH22" s="23" t="n">
        <v>0</v>
      </c>
      <c r="CI22" s="23" t="n">
        <v>0</v>
      </c>
      <c r="CJ22" s="23" t="n">
        <v>0</v>
      </c>
      <c r="CK22" s="23" t="n"/>
      <c r="CL22" s="219" t="n">
        <v>200</v>
      </c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443" t="n">
        <v>400</v>
      </c>
      <c r="DE22" s="23" t="n"/>
      <c r="DF22" s="23" t="n"/>
      <c r="DG22" s="219" t="n"/>
      <c r="DH22" s="23" t="n"/>
      <c r="DI22" s="23" t="n"/>
      <c r="DJ22" s="23" t="n"/>
      <c r="DK22" s="23" t="n"/>
      <c r="DL22" s="192" t="inlineStr">
        <is>
          <t>20 DE Q7</t>
        </is>
      </c>
      <c r="DM22" s="23" t="n"/>
      <c r="DN22" s="23" t="n"/>
      <c r="DO22" s="23" t="n"/>
      <c r="DP22" s="23" t="n"/>
      <c r="DQ22" s="23" t="n"/>
      <c r="DR22" s="219" t="n"/>
      <c r="DS22" s="219" t="n"/>
      <c r="DT22" s="23" t="n"/>
      <c r="DU22" s="23" t="n"/>
      <c r="DV22" s="23" t="n"/>
      <c r="DW22" s="219" t="n"/>
      <c r="DX22" s="23" t="n"/>
      <c r="DY22" s="23" t="n"/>
      <c r="DZ22" s="23" t="n"/>
      <c r="EA22" s="23" t="n"/>
      <c r="EB22" s="23" t="n"/>
      <c r="EC22" s="23" t="n"/>
      <c r="ED22" s="376" t="inlineStr">
        <is>
          <t>50 DE TDQ</t>
        </is>
      </c>
      <c r="EE22" s="23" t="n"/>
      <c r="EF22" s="23" t="n"/>
      <c r="EG22" s="219" t="n"/>
      <c r="EH22" s="219" t="n"/>
      <c r="EI22" s="23" t="n"/>
      <c r="EJ22" s="23" t="n"/>
      <c r="EK22" s="23" t="n"/>
      <c r="EL22" s="219" t="n"/>
      <c r="EM22" s="23" t="n"/>
      <c r="EN22" s="219" t="n"/>
      <c r="EO22" s="23" t="n"/>
      <c r="EP22" s="219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D22" s="66" t="inlineStr">
        <is>
          <t>CARTUCHO P</t>
        </is>
      </c>
      <c r="FE22" s="699" t="n">
        <v>200</v>
      </c>
      <c r="FF22" s="697">
        <f>CJ22</f>
        <v/>
      </c>
      <c r="FG22" s="697" t="n"/>
      <c r="FH22" s="697" t="n"/>
      <c r="FI22" s="697" t="n">
        <v>179</v>
      </c>
      <c r="FJ22" s="697" t="n">
        <v>167</v>
      </c>
      <c r="FK22" s="697" t="n">
        <v>84</v>
      </c>
      <c r="FL22" s="697" t="n">
        <v>69</v>
      </c>
      <c r="FM22" s="699" t="n"/>
      <c r="FN22" s="699" t="n"/>
      <c r="FO22" s="431">
        <f>FM22+IF(NOT(ISBLANK(OFFSET(FO22,0,6))),N(OFFSET(FO22,0,6)),N(OFFSET(FO22,0,7)))-FN22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>
        <f>0+CW23</f>
        <v/>
      </c>
      <c r="BE23" s="697" t="n">
        <v>150</v>
      </c>
      <c r="BF23" s="697" t="n">
        <v>150</v>
      </c>
      <c r="BG23" s="697" t="n">
        <v>146</v>
      </c>
      <c r="BH23" s="697" t="n">
        <v>132</v>
      </c>
      <c r="BI23" s="697" t="n">
        <v>120</v>
      </c>
      <c r="BJ23" s="697" t="n">
        <v>106</v>
      </c>
      <c r="BK23" s="697" t="n">
        <v>96</v>
      </c>
      <c r="BL23" s="697" t="n">
        <v>63</v>
      </c>
      <c r="BM23" s="697" t="n">
        <v>53</v>
      </c>
      <c r="BN23" s="697">
        <f>32+CO23</f>
        <v/>
      </c>
      <c r="BO23" s="697" t="n">
        <v>157</v>
      </c>
      <c r="BP23" s="697" t="n">
        <v>108</v>
      </c>
      <c r="BQ23" s="697" t="n">
        <v>78</v>
      </c>
      <c r="BR23" s="697">
        <f>56+CK23</f>
        <v/>
      </c>
      <c r="BS23" s="697" t="n">
        <v>172</v>
      </c>
      <c r="BT23" s="697" t="n"/>
      <c r="BU23" s="697" t="n"/>
      <c r="BV23" s="697" t="n"/>
      <c r="BW23" s="697" t="n">
        <v>137</v>
      </c>
      <c r="BX23" s="697" t="n">
        <v>137</v>
      </c>
      <c r="BY23" s="697" t="n">
        <v>137</v>
      </c>
      <c r="BZ23" s="697" t="n">
        <v>130</v>
      </c>
      <c r="CA23" s="699" t="n">
        <v>130</v>
      </c>
      <c r="CB23" s="699" t="n">
        <v>130</v>
      </c>
      <c r="CC23" s="192">
        <f>CA23+IF(NOT(ISBLANK(OFFSET(CC23,0,6))),N(OFFSET(CC23,0,6)),N(OFFSET(CC23,0,7)))-CB23</f>
        <v/>
      </c>
      <c r="CD23" s="50" t="n"/>
      <c r="CE23" s="22" t="n"/>
      <c r="CF23" s="50" t="n"/>
      <c r="CG23" s="49" t="n"/>
      <c r="CH23" s="23" t="n">
        <v>0</v>
      </c>
      <c r="CI23" s="23" t="n">
        <v>0</v>
      </c>
      <c r="CJ23" s="23" t="n">
        <v>0</v>
      </c>
      <c r="CK23" s="23" t="n"/>
      <c r="CL23" s="219" t="n">
        <v>150</v>
      </c>
      <c r="CM23" s="23" t="n">
        <v>150</v>
      </c>
      <c r="CN23" s="23" t="n"/>
      <c r="CO23" s="23" t="n"/>
      <c r="CP23" s="23" t="n"/>
      <c r="CQ23" s="23" t="n">
        <v>150</v>
      </c>
      <c r="CR23" s="330" t="n"/>
      <c r="CS23" s="330" t="n"/>
      <c r="CT23" s="330" t="n"/>
      <c r="CU23" s="330" t="n"/>
      <c r="CV23" s="330" t="n"/>
      <c r="CW23" s="330" t="n"/>
      <c r="CX23" s="23" t="n"/>
      <c r="CY23" s="23" t="n">
        <v>150</v>
      </c>
      <c r="CZ23" s="23" t="n"/>
      <c r="DA23" s="23" t="n"/>
      <c r="DB23" s="23" t="n"/>
      <c r="DD23" s="326" t="n">
        <v>150</v>
      </c>
      <c r="DG23" s="5" t="n"/>
      <c r="DR23" s="292" t="inlineStr">
        <is>
          <t>15 DE MD</t>
        </is>
      </c>
      <c r="DS23" s="5" t="n"/>
      <c r="DW23" s="5" t="n"/>
      <c r="ED23" s="5" t="n"/>
      <c r="EG23" s="5" t="n"/>
      <c r="EP23" s="326" t="n">
        <v>200</v>
      </c>
      <c r="FD23" s="66" t="inlineStr">
        <is>
          <t>CARTUCHO M</t>
        </is>
      </c>
      <c r="FE23" s="699" t="n">
        <v>150</v>
      </c>
      <c r="FF23" s="697">
        <f>CJ23</f>
        <v/>
      </c>
      <c r="FG23" s="697" t="n"/>
      <c r="FH23" s="697" t="n"/>
      <c r="FI23" s="697" t="n">
        <v>121</v>
      </c>
      <c r="FJ23" s="697" t="n">
        <v>104</v>
      </c>
      <c r="FK23" s="697" t="n">
        <v>9</v>
      </c>
      <c r="FL23" s="697" t="n">
        <v>6</v>
      </c>
      <c r="FM23" s="699" t="n"/>
      <c r="FN23" s="699" t="n"/>
      <c r="FO23" s="431">
        <f>FM23+IF(NOT(ISBLANK(OFFSET(FO23,0,6))),N(OFFSET(FO23,0,6)),N(OFFSET(FO23,0,7)))-FN23</f>
        <v/>
      </c>
    </row>
    <row r="24" ht="22.5" customHeight="1">
      <c r="C24" s="72" t="n"/>
      <c r="D24" s="72" t="n"/>
      <c r="CC24" s="4" t="n"/>
      <c r="CD24" s="50" t="n"/>
      <c r="CF24" s="50" t="n"/>
      <c r="CG24" s="50" t="n"/>
      <c r="CH24" s="50" t="n"/>
      <c r="CL24" s="5" t="n"/>
      <c r="DD24" s="5" t="n"/>
      <c r="DG24" s="5" t="n"/>
      <c r="DR24" s="292" t="inlineStr">
        <is>
          <t>13 DE MD</t>
        </is>
      </c>
      <c r="DS24" s="5" t="n"/>
      <c r="DW24" s="5" t="n"/>
      <c r="ED24" s="5" t="n"/>
      <c r="EG24" s="5" t="n"/>
      <c r="EP24" s="326" t="n">
        <v>150</v>
      </c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46161.48023391204</v>
      </c>
      <c r="CB25" s="747" t="n">
        <v>46161.48089290478</v>
      </c>
      <c r="CC25" s="758" t="inlineStr">
        <is>
          <t>USOU</t>
        </is>
      </c>
      <c r="CD25" s="50" t="n"/>
      <c r="CF25" s="50" t="n"/>
      <c r="CG25" s="50" t="n"/>
      <c r="CH25" s="50" t="n"/>
      <c r="CL25" s="5" t="n"/>
      <c r="DD25" s="5" t="n"/>
      <c r="DG25" s="5" t="n"/>
      <c r="DR25" s="292" t="inlineStr">
        <is>
          <t>12 DE MD</t>
        </is>
      </c>
      <c r="DS25" s="5" t="n"/>
      <c r="DW25" s="5" t="n"/>
      <c r="ED25" s="5" t="n"/>
      <c r="EG25" s="5" t="n"/>
      <c r="EH25" s="327" t="n"/>
      <c r="EL25" s="327" t="n"/>
      <c r="EN25" s="327" t="n"/>
      <c r="EP25" s="327" t="n"/>
    </row>
    <row r="26">
      <c r="A26" s="224" t="inlineStr">
        <is>
          <t>CAIXA M DIVERT./24</t>
        </is>
      </c>
      <c r="B26" s="287" t="n">
        <v>100</v>
      </c>
      <c r="C26" s="768" t="n">
        <v>790</v>
      </c>
      <c r="D26" s="217" t="n"/>
      <c r="F26" s="697" t="n">
        <v>237</v>
      </c>
      <c r="G26" s="697" t="n">
        <v>214</v>
      </c>
      <c r="H26" s="697" t="n">
        <v>214</v>
      </c>
      <c r="I26" s="697" t="n">
        <v>214</v>
      </c>
      <c r="J26" s="697" t="n">
        <v>214</v>
      </c>
      <c r="K26" s="697" t="n">
        <v>197</v>
      </c>
      <c r="L26" s="697" t="n">
        <v>197</v>
      </c>
      <c r="M26" s="697" t="n">
        <v>189</v>
      </c>
      <c r="N26" s="697" t="n">
        <v>189</v>
      </c>
      <c r="O26" s="697" t="n">
        <v>189</v>
      </c>
      <c r="P26" s="697" t="n">
        <v>189</v>
      </c>
      <c r="Q26" s="697" t="n">
        <v>188</v>
      </c>
      <c r="R26" s="697" t="n">
        <v>188</v>
      </c>
      <c r="S26" s="697" t="n">
        <v>184</v>
      </c>
      <c r="T26" s="697" t="n">
        <v>179</v>
      </c>
      <c r="U26" s="697" t="n">
        <v>179</v>
      </c>
      <c r="V26" s="697" t="n">
        <v>179</v>
      </c>
      <c r="W26" s="697" t="n">
        <v>178</v>
      </c>
      <c r="X26" s="697" t="n">
        <v>176</v>
      </c>
      <c r="Y26" s="697" t="n">
        <v>176</v>
      </c>
      <c r="Z26" s="697" t="n">
        <v>176</v>
      </c>
      <c r="AA26" s="697" t="n">
        <v>175</v>
      </c>
      <c r="AB26" s="697" t="n">
        <v>175</v>
      </c>
      <c r="AC26" s="697" t="n">
        <v>173</v>
      </c>
      <c r="AD26" s="697" t="n">
        <v>173</v>
      </c>
      <c r="AE26" s="697" t="n">
        <v>172</v>
      </c>
      <c r="AF26" s="697" t="n">
        <v>172</v>
      </c>
      <c r="AG26" s="314" t="n">
        <v>201</v>
      </c>
      <c r="AH26" s="314" t="n">
        <v>220</v>
      </c>
      <c r="AI26" s="697" t="n">
        <v>168</v>
      </c>
      <c r="AJ26" s="697" t="n">
        <v>161</v>
      </c>
      <c r="AK26" s="697" t="n">
        <v>161</v>
      </c>
      <c r="AL26" s="697" t="n">
        <v>157</v>
      </c>
      <c r="AM26" s="697" t="n">
        <v>157</v>
      </c>
      <c r="AN26" s="697" t="n">
        <v>157</v>
      </c>
      <c r="AO26" s="697" t="n">
        <v>157</v>
      </c>
      <c r="AP26" s="697" t="n">
        <v>157</v>
      </c>
      <c r="AQ26" s="697" t="n">
        <v>153</v>
      </c>
      <c r="AR26" s="697" t="n">
        <v>151</v>
      </c>
      <c r="AS26" s="697" t="n">
        <v>149</v>
      </c>
      <c r="AT26" s="697" t="n">
        <v>147</v>
      </c>
      <c r="AU26" s="697" t="n">
        <v>142</v>
      </c>
      <c r="AV26" s="697" t="n">
        <v>142</v>
      </c>
      <c r="AW26" s="697" t="n">
        <v>142</v>
      </c>
      <c r="AX26" s="697" t="n">
        <v>142</v>
      </c>
      <c r="AY26" s="697" t="n">
        <v>142</v>
      </c>
      <c r="AZ26" s="697" t="n">
        <v>142</v>
      </c>
      <c r="BA26" s="697" t="n">
        <v>138</v>
      </c>
      <c r="BB26" s="697" t="n">
        <v>136</v>
      </c>
      <c r="BC26" s="697" t="n">
        <v>135</v>
      </c>
      <c r="BD26" s="697" t="n">
        <v>133</v>
      </c>
      <c r="BE26" s="697" t="n">
        <v>119</v>
      </c>
      <c r="BF26" s="697" t="n">
        <v>123</v>
      </c>
      <c r="BG26" s="697" t="n">
        <v>123</v>
      </c>
      <c r="BH26" s="697" t="n">
        <v>123</v>
      </c>
      <c r="BI26" s="697" t="n">
        <v>123</v>
      </c>
      <c r="BJ26" s="697" t="n">
        <v>122</v>
      </c>
      <c r="BK26" s="697" t="n">
        <v>121</v>
      </c>
      <c r="BL26" s="697" t="n">
        <v>120</v>
      </c>
      <c r="BM26" s="697" t="n">
        <v>119</v>
      </c>
      <c r="BN26" s="697" t="n">
        <v>118</v>
      </c>
      <c r="BO26" s="697" t="n">
        <v>118</v>
      </c>
      <c r="BP26" s="697" t="n">
        <v>118</v>
      </c>
      <c r="BQ26" s="697" t="n">
        <v>118</v>
      </c>
      <c r="BR26" s="697" t="n">
        <v>118</v>
      </c>
      <c r="BS26" s="697" t="n">
        <v>118</v>
      </c>
      <c r="BT26" s="697" t="n">
        <v>118</v>
      </c>
      <c r="BU26" s="697" t="n">
        <v>117</v>
      </c>
      <c r="BV26" s="697" t="n">
        <v>117</v>
      </c>
      <c r="BW26" s="697" t="n">
        <v>117</v>
      </c>
      <c r="BX26" s="697" t="n">
        <v>115</v>
      </c>
      <c r="BY26" s="697" t="n">
        <v>118</v>
      </c>
      <c r="BZ26" s="697" t="n">
        <v>118</v>
      </c>
      <c r="CA26" s="699" t="n">
        <v>118</v>
      </c>
      <c r="CB26" s="699" t="n">
        <v>118</v>
      </c>
      <c r="CC26" s="192">
        <f>CA26+IF(NOT(ISBLANK(OFFSET(CC26,0,6))),N(OFFSET(CC26,0,6)),N(OFFSET(CC26,0,7)))-CB26</f>
        <v/>
      </c>
      <c r="CD26" s="50" t="n"/>
      <c r="CF26" s="50" t="n"/>
      <c r="CG26" s="50" t="n"/>
      <c r="CH26" s="50" t="n"/>
      <c r="CL26" s="5" t="n"/>
      <c r="DD26" s="5" t="n"/>
      <c r="DG26" s="5" t="n"/>
      <c r="DR26" s="5" t="n"/>
      <c r="DS26" s="5" t="n"/>
      <c r="DW26" s="5" t="n"/>
      <c r="ED26" s="5" t="n"/>
      <c r="EG26" s="5" t="n"/>
      <c r="EH26" s="327" t="n"/>
      <c r="EL26" s="327" t="n"/>
      <c r="EN26" s="327" t="n"/>
      <c r="EP26" s="327" t="n"/>
    </row>
    <row r="27" hidden="1">
      <c r="A27" s="289" t="inlineStr">
        <is>
          <t>CAIXA P NAT./24</t>
        </is>
      </c>
      <c r="B27" s="290" t="n">
        <v>150</v>
      </c>
      <c r="C27" s="769" t="n">
        <v>715.5</v>
      </c>
      <c r="D27" s="217" t="n"/>
      <c r="F27" s="699" t="n">
        <v>5</v>
      </c>
      <c r="G27" s="699" t="n">
        <v>0</v>
      </c>
      <c r="H27" s="697" t="n">
        <v>0</v>
      </c>
      <c r="I27" s="697" t="n">
        <v>0</v>
      </c>
      <c r="J27" s="697" t="n">
        <v>0</v>
      </c>
      <c r="K27" s="697" t="n">
        <v>0</v>
      </c>
      <c r="L27" s="697" t="n">
        <v>0</v>
      </c>
      <c r="M27" s="697" t="n">
        <v>0</v>
      </c>
      <c r="N27" s="697" t="n">
        <v>0</v>
      </c>
      <c r="O27" s="697" t="n">
        <v>0</v>
      </c>
      <c r="P27" s="697" t="n">
        <v>0</v>
      </c>
      <c r="Q27" s="697" t="n">
        <v>0</v>
      </c>
      <c r="R27" s="697" t="n">
        <v>0</v>
      </c>
      <c r="S27" s="697" t="n">
        <v>0</v>
      </c>
      <c r="T27" s="697" t="n">
        <v>0</v>
      </c>
      <c r="U27" s="697" t="n">
        <v>0</v>
      </c>
      <c r="V27" s="697" t="n">
        <v>0</v>
      </c>
      <c r="W27" s="697" t="n">
        <v>0</v>
      </c>
      <c r="X27" s="697" t="n">
        <v>0</v>
      </c>
      <c r="Y27" s="697" t="n">
        <v>0</v>
      </c>
      <c r="Z27" s="697" t="n">
        <v>0</v>
      </c>
      <c r="AA27" s="697" t="n">
        <v>0</v>
      </c>
      <c r="AB27" s="697" t="n">
        <v>0</v>
      </c>
      <c r="AC27" s="697" t="n">
        <v>0</v>
      </c>
      <c r="AD27" s="697" t="n">
        <v>0</v>
      </c>
      <c r="AE27" s="697" t="n">
        <v>0</v>
      </c>
      <c r="AF27" s="697" t="n"/>
      <c r="AG27" s="697" t="n"/>
      <c r="AH27" s="697" t="n"/>
      <c r="AI27" s="697" t="n"/>
      <c r="AJ27" s="697" t="n"/>
      <c r="AK27" s="697" t="n"/>
      <c r="AL27" s="697" t="n"/>
      <c r="AM27" s="697" t="n"/>
      <c r="AN27" s="697" t="n"/>
      <c r="AO27" s="697" t="n"/>
      <c r="AP27" s="697" t="n"/>
      <c r="AQ27" s="697" t="n"/>
      <c r="AR27" s="697" t="n"/>
      <c r="AS27" s="697" t="n"/>
      <c r="AT27" s="697" t="n"/>
      <c r="AU27" s="697" t="n"/>
      <c r="AV27" s="697" t="n"/>
      <c r="AW27" s="697" t="n"/>
      <c r="AX27" s="697" t="n"/>
      <c r="AY27" s="697" t="n"/>
      <c r="AZ27" s="697" t="n"/>
      <c r="BA27" s="697" t="n"/>
      <c r="BB27" s="697" t="n"/>
      <c r="BC27" s="697" t="n"/>
      <c r="BD27" s="697" t="n"/>
      <c r="BE27" s="697" t="n"/>
      <c r="BF27" s="697" t="n"/>
      <c r="BG27" s="697" t="n"/>
      <c r="BH27" s="697" t="n"/>
      <c r="BI27" s="697" t="n"/>
      <c r="BJ27" s="697" t="n"/>
      <c r="BK27" s="697" t="n"/>
      <c r="BL27" s="697" t="n"/>
      <c r="BM27" s="697" t="n"/>
      <c r="BN27" s="697" t="n"/>
      <c r="BO27" s="697" t="n"/>
      <c r="BP27" s="697" t="n"/>
      <c r="BQ27" s="697" t="n"/>
      <c r="BR27" s="697" t="n"/>
      <c r="BS27" s="697" t="n"/>
      <c r="BT27" s="697" t="n"/>
      <c r="BU27" s="697" t="n"/>
      <c r="BV27" s="697" t="n"/>
      <c r="BW27" s="697" t="n"/>
      <c r="BX27" s="697" t="n"/>
      <c r="BY27" s="697" t="n"/>
      <c r="BZ27" s="697" t="n"/>
      <c r="CA27" s="699" t="n"/>
      <c r="CB27" s="699" t="n"/>
      <c r="CC27" s="192">
        <f>CA27+IF(NOT(ISBLANK(OFFSET(CC27,0,6))),N(OFFSET(CC27,0,6)),N(OFFSET(CC27,0,7)))-CB27</f>
        <v/>
      </c>
      <c r="CD27" s="50" t="n"/>
      <c r="CF27" s="50" t="n"/>
      <c r="CG27" s="50" t="n"/>
      <c r="CH27" s="50" t="n"/>
      <c r="CL27" s="5" t="n"/>
      <c r="DD27" s="5" t="n"/>
      <c r="DG27" s="5" t="n"/>
      <c r="DR27" s="5" t="n"/>
      <c r="DS27" s="5" t="n"/>
      <c r="DW27" s="5" t="n"/>
      <c r="ED27" s="5" t="n"/>
      <c r="EG27" s="5" t="n"/>
      <c r="EH27" s="327" t="n"/>
      <c r="EL27" s="327" t="n"/>
      <c r="EN27" s="327" t="n"/>
      <c r="EP27" s="327" t="n"/>
    </row>
    <row r="28" hidden="1" ht="18.75" customHeight="1">
      <c r="A28" s="289" t="inlineStr">
        <is>
          <t>CAIXA M NAT./24</t>
        </is>
      </c>
      <c r="B28" s="290" t="n">
        <v>100</v>
      </c>
      <c r="C28" s="769" t="n">
        <v>746</v>
      </c>
      <c r="D28" s="217" t="n"/>
      <c r="F28" s="699" t="n">
        <v>6</v>
      </c>
      <c r="G28" s="699" t="n">
        <v>2</v>
      </c>
      <c r="H28" s="697" t="n">
        <v>2</v>
      </c>
      <c r="I28" s="697" t="n">
        <v>2</v>
      </c>
      <c r="J28" s="697" t="n">
        <v>2</v>
      </c>
      <c r="K28" s="697" t="n">
        <v>1</v>
      </c>
      <c r="L28" s="697" t="n">
        <v>1</v>
      </c>
      <c r="M28" s="697" t="n">
        <v>1</v>
      </c>
      <c r="N28" s="697" t="n">
        <v>1</v>
      </c>
      <c r="O28" s="697" t="n">
        <v>1</v>
      </c>
      <c r="P28" s="697" t="n">
        <v>1</v>
      </c>
      <c r="Q28" s="697" t="n">
        <v>1</v>
      </c>
      <c r="R28" s="697" t="n">
        <v>1</v>
      </c>
      <c r="S28" s="697" t="n">
        <v>1</v>
      </c>
      <c r="T28" s="697" t="n">
        <v>1</v>
      </c>
      <c r="U28" s="697" t="n">
        <v>1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1</v>
      </c>
      <c r="AE28" s="697" t="n">
        <v>1</v>
      </c>
      <c r="AF28" s="697" t="n">
        <v>1</v>
      </c>
      <c r="AG28" s="697" t="n">
        <v>1</v>
      </c>
      <c r="AH28" s="697" t="n">
        <v>1</v>
      </c>
      <c r="AI28" s="697" t="n">
        <v>1</v>
      </c>
      <c r="AJ28" s="697" t="n">
        <v>1</v>
      </c>
      <c r="AK28" s="697" t="n">
        <v>1</v>
      </c>
      <c r="AL28" s="697" t="n">
        <v>1</v>
      </c>
      <c r="AM28" s="697" t="n">
        <v>1</v>
      </c>
      <c r="AN28" s="697" t="n">
        <v>1</v>
      </c>
      <c r="AO28" s="697" t="n">
        <v>1</v>
      </c>
      <c r="AP28" s="697" t="n">
        <v>1</v>
      </c>
      <c r="AQ28" s="697" t="n">
        <v>1</v>
      </c>
      <c r="AR28" s="697" t="n">
        <v>1</v>
      </c>
      <c r="AS28" s="697" t="n">
        <v>1</v>
      </c>
      <c r="AT28" s="697" t="n">
        <v>1</v>
      </c>
      <c r="AU28" s="697" t="n">
        <v>1</v>
      </c>
      <c r="AV28" s="697" t="n">
        <v>1</v>
      </c>
      <c r="AW28" s="697" t="n">
        <v>1</v>
      </c>
      <c r="AX28" s="697" t="n">
        <v>1</v>
      </c>
      <c r="AY28" s="697" t="n">
        <v>1</v>
      </c>
      <c r="AZ28" s="314" t="n">
        <v>8</v>
      </c>
      <c r="BA28" s="314" t="n">
        <v>8</v>
      </c>
      <c r="BB28" s="697" t="n">
        <v>8</v>
      </c>
      <c r="BC28" s="697" t="n">
        <v>0</v>
      </c>
      <c r="BD28" s="697" t="n">
        <v>0</v>
      </c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192">
        <f>CA28+IF(NOT(ISBLANK(OFFSET(CC28,0,6))),N(OFFSET(CC28,0,6)),N(OFFSET(CC28,0,7)))-CB28</f>
        <v/>
      </c>
      <c r="CD28" s="50" t="n"/>
      <c r="CL28" s="5" t="n"/>
      <c r="DD28" s="5" t="n"/>
      <c r="DR28" s="5" t="n"/>
      <c r="DS28" s="5" t="n"/>
      <c r="DW28" s="5" t="n"/>
      <c r="EH28" s="327" t="n"/>
      <c r="EL28" s="327" t="n"/>
      <c r="EN28" s="327" t="n"/>
      <c r="EP28" s="327" t="n"/>
    </row>
    <row r="29" hidden="1" ht="18.75" customHeight="1">
      <c r="A29" s="289" t="inlineStr">
        <is>
          <t>CAIXA G NAT./24</t>
        </is>
      </c>
      <c r="B29" s="290" t="n">
        <v>50</v>
      </c>
      <c r="C29" s="769" t="n">
        <v>777</v>
      </c>
      <c r="D29" s="217" t="n"/>
      <c r="F29" s="699" t="n">
        <v>0</v>
      </c>
      <c r="G29" s="699" t="n">
        <v>0</v>
      </c>
      <c r="H29" s="697" t="n">
        <v>0</v>
      </c>
      <c r="I29" s="697" t="n">
        <v>0</v>
      </c>
      <c r="J29" s="697" t="n">
        <v>0</v>
      </c>
      <c r="K29" s="697" t="n">
        <v>0</v>
      </c>
      <c r="L29" s="697" t="n">
        <v>0</v>
      </c>
      <c r="M29" s="697" t="n">
        <v>0</v>
      </c>
      <c r="N29" s="697" t="n">
        <v>0</v>
      </c>
      <c r="O29" s="697" t="n">
        <v>0</v>
      </c>
      <c r="P29" s="697" t="n">
        <v>0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192">
        <f>CA29+IF(NOT(ISBLANK(OFFSET(CC29,0,6))),N(OFFSET(CC29,0,6)),N(OFFSET(CC29,0,7)))-CB29</f>
        <v/>
      </c>
      <c r="CL29" s="5" t="n"/>
      <c r="DD29" s="5" t="n"/>
      <c r="DR29" s="5" t="n"/>
      <c r="DS29" s="5" t="n"/>
      <c r="DW29" s="5" t="n"/>
      <c r="EH29" s="327" t="n"/>
      <c r="EL29" s="327" t="n"/>
      <c r="EN29" s="327" t="n"/>
      <c r="EP29" s="327" t="n"/>
    </row>
    <row r="30" hidden="1" ht="18.75" customHeight="1">
      <c r="A30" s="289" t="inlineStr">
        <is>
          <t>CARTUCHO P NAT./24</t>
        </is>
      </c>
      <c r="B30" s="290" t="n">
        <v>200</v>
      </c>
      <c r="C30" s="769" t="n">
        <v>486</v>
      </c>
      <c r="D30" s="217" t="n"/>
      <c r="F30" s="699" t="n">
        <v>1</v>
      </c>
      <c r="G30" s="697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192">
        <f>CA30+IF(NOT(ISBLANK(OFFSET(CC30,0,6))),N(OFFSET(CC30,0,6)),N(OFFSET(CC30,0,7)))-CB30</f>
        <v/>
      </c>
      <c r="CL30" s="5" t="n"/>
      <c r="DD30" s="5" t="n"/>
      <c r="DR30" s="5" t="n"/>
      <c r="DS30" s="5" t="n"/>
      <c r="DW30" s="5" t="n"/>
      <c r="EE30" s="59" t="n"/>
      <c r="EF30" s="59" t="n"/>
      <c r="EH30" s="327" t="n"/>
      <c r="EI30" s="59" t="n"/>
      <c r="EJ30" s="59" t="n"/>
      <c r="EK30" s="59" t="n"/>
      <c r="EL30" s="327" t="n"/>
      <c r="EM30" s="59" t="n"/>
      <c r="EN30" s="327" t="n"/>
      <c r="EO30" s="59" t="n"/>
      <c r="EP30" s="327" t="n"/>
      <c r="EQ30" s="59" t="n"/>
      <c r="ER30" s="59" t="n"/>
      <c r="ES30" s="59" t="n"/>
      <c r="ET30" s="59" t="n"/>
      <c r="EU30" s="59" t="n"/>
      <c r="EV30" s="59" t="n"/>
      <c r="EW30" s="59" t="n"/>
      <c r="EX30" s="59" t="n"/>
      <c r="EY30" s="59" t="n"/>
      <c r="EZ30" s="59" t="n"/>
      <c r="FA30" s="59" t="n"/>
      <c r="FB30" s="59" t="n"/>
    </row>
    <row r="31" hidden="1" ht="18.75" customHeight="1">
      <c r="A31" s="289" t="inlineStr">
        <is>
          <t>CARTUCHO M NAT./24</t>
        </is>
      </c>
      <c r="B31" s="290" t="n">
        <v>150</v>
      </c>
      <c r="C31" s="769" t="n">
        <v>459</v>
      </c>
      <c r="D31" s="217" t="n"/>
      <c r="F31" s="699" t="n">
        <v>4</v>
      </c>
      <c r="G31" s="699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192">
        <f>CA31+IF(NOT(ISBLANK(OFFSET(CC31,0,6))),N(OFFSET(CC31,0,6)),N(OFFSET(CC31,0,7)))-CB31</f>
        <v/>
      </c>
      <c r="CL31" s="5" t="n"/>
      <c r="DD31" s="5" t="n"/>
      <c r="DR31" s="5" t="n"/>
      <c r="DS31" s="5" t="n"/>
      <c r="DW31" s="5" t="n"/>
      <c r="EE31" s="573" t="n"/>
      <c r="EF31" s="573" t="n"/>
      <c r="EH31" s="327" t="n"/>
      <c r="EI31" s="573" t="n"/>
      <c r="EJ31" s="573" t="n"/>
      <c r="EK31" s="573" t="n"/>
      <c r="EL31" s="327" t="n"/>
      <c r="EM31" s="573" t="n"/>
      <c r="EN31" s="327" t="n"/>
      <c r="EO31" s="573" t="n"/>
      <c r="EP31" s="327" t="n"/>
      <c r="EQ31" s="573" t="n"/>
      <c r="ER31" s="573" t="n"/>
      <c r="ES31" s="573" t="n"/>
      <c r="ET31" s="573" t="n"/>
      <c r="EU31" s="573" t="n"/>
      <c r="EV31" s="573" t="n"/>
      <c r="EW31" s="573" t="n"/>
      <c r="EX31" s="573" t="n"/>
      <c r="EY31" s="573" t="n"/>
      <c r="EZ31" s="573" t="n"/>
      <c r="FA31" s="573" t="n"/>
      <c r="FB31" s="573" t="n"/>
    </row>
    <row r="32" ht="18.75" customHeight="1">
      <c r="A32" s="289" t="inlineStr">
        <is>
          <t>ÁRVORE</t>
        </is>
      </c>
      <c r="B32" s="290" t="n">
        <v>100</v>
      </c>
      <c r="C32" s="769" t="n">
        <v>295</v>
      </c>
      <c r="D32" s="217" t="n"/>
      <c r="F32" s="699" t="n">
        <v>1</v>
      </c>
      <c r="G32" s="699" t="n">
        <v>1</v>
      </c>
      <c r="H32" s="697" t="n">
        <v>1</v>
      </c>
      <c r="I32" s="697" t="n">
        <v>1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>
        <v>0</v>
      </c>
      <c r="AZ32" s="314" t="n">
        <v>17</v>
      </c>
      <c r="BA32" s="314" t="n">
        <v>17</v>
      </c>
      <c r="BB32" s="697" t="n">
        <v>17</v>
      </c>
      <c r="BC32" s="697" t="n">
        <v>10</v>
      </c>
      <c r="BD32" s="697" t="n">
        <v>10</v>
      </c>
      <c r="BE32" s="697" t="n">
        <v>9</v>
      </c>
      <c r="BF32" s="697" t="n">
        <v>8</v>
      </c>
      <c r="BG32" s="697" t="n">
        <v>8</v>
      </c>
      <c r="BH32" s="697" t="n">
        <v>3</v>
      </c>
      <c r="BI32" s="697" t="n">
        <v>3</v>
      </c>
      <c r="BJ32" s="697" t="n">
        <v>3</v>
      </c>
      <c r="BK32" s="697" t="n">
        <v>3</v>
      </c>
      <c r="BL32" s="697" t="n">
        <v>3</v>
      </c>
      <c r="BM32" s="697" t="n">
        <v>3</v>
      </c>
      <c r="BN32" s="697" t="n">
        <v>3</v>
      </c>
      <c r="BO32" s="697" t="n">
        <v>3</v>
      </c>
      <c r="BP32" s="697" t="n">
        <v>3</v>
      </c>
      <c r="BQ32" s="697" t="n">
        <v>3</v>
      </c>
      <c r="BR32" s="697" t="n">
        <v>3</v>
      </c>
      <c r="BS32" s="697" t="n">
        <v>3</v>
      </c>
      <c r="BT32" s="697" t="n">
        <v>3</v>
      </c>
      <c r="BU32" s="697" t="n">
        <v>3</v>
      </c>
      <c r="BV32" s="697" t="n">
        <v>3</v>
      </c>
      <c r="BW32" s="697" t="n">
        <v>3</v>
      </c>
      <c r="BX32" s="697" t="n">
        <v>3</v>
      </c>
      <c r="BY32" s="697" t="n">
        <v>3</v>
      </c>
      <c r="BZ32" s="697" t="n">
        <v>3</v>
      </c>
      <c r="CA32" s="699" t="n">
        <v>3</v>
      </c>
      <c r="CB32" s="699" t="n">
        <v>3</v>
      </c>
      <c r="CC32" s="192">
        <f>CA32+IF(NOT(ISBLANK(OFFSET(CC32,0,6))),N(OFFSET(CC32,0,6)),N(OFFSET(CC32,0,7)))-CB32</f>
        <v/>
      </c>
      <c r="CL32" s="5" t="n"/>
      <c r="DD32" s="5" t="n"/>
      <c r="DR32" s="5" t="n"/>
      <c r="DS32" s="5" t="n"/>
      <c r="DW32" s="5" t="n"/>
      <c r="EE32" s="573" t="n"/>
      <c r="EF32" s="573" t="n"/>
      <c r="EH32" s="327" t="n"/>
      <c r="EI32" s="573" t="n"/>
      <c r="EJ32" s="573" t="n"/>
      <c r="EK32" s="573" t="n"/>
      <c r="EL32" s="327" t="n"/>
      <c r="EM32" s="573" t="n"/>
      <c r="EN32" s="327" t="n"/>
      <c r="EO32" s="573" t="n"/>
      <c r="EP32" s="327" t="n"/>
      <c r="EQ32" s="573" t="n"/>
      <c r="ER32" s="573" t="n"/>
      <c r="ES32" s="573" t="n"/>
      <c r="ET32" s="573" t="n"/>
      <c r="EU32" s="573" t="n"/>
      <c r="EV32" s="573" t="n"/>
      <c r="EW32" s="573" t="n"/>
      <c r="EX32" s="573" t="n"/>
      <c r="EY32" s="573" t="n"/>
      <c r="EZ32" s="573" t="n"/>
      <c r="FA32" s="573" t="n"/>
      <c r="FB32" s="573" t="n"/>
    </row>
    <row r="33" ht="18.75" customHeight="1">
      <c r="A33" s="289" t="inlineStr">
        <is>
          <t>BOLA</t>
        </is>
      </c>
      <c r="B33" s="290" t="n">
        <v>100</v>
      </c>
      <c r="C33" s="769" t="n">
        <v>283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>
        <v>0</v>
      </c>
      <c r="AZ33" s="314" t="n">
        <v>30</v>
      </c>
      <c r="BA33" s="314" t="n">
        <v>30</v>
      </c>
      <c r="BB33" s="697" t="n">
        <v>30</v>
      </c>
      <c r="BC33" s="697" t="n">
        <v>10</v>
      </c>
      <c r="BD33" s="697" t="n">
        <v>10</v>
      </c>
      <c r="BE33" s="697" t="n">
        <v>8</v>
      </c>
      <c r="BF33" s="697" t="n">
        <v>8</v>
      </c>
      <c r="BG33" s="697" t="n">
        <v>8</v>
      </c>
      <c r="BH33" s="697" t="n">
        <v>7</v>
      </c>
      <c r="BI33" s="697" t="n">
        <v>7</v>
      </c>
      <c r="BJ33" s="697" t="n">
        <v>6</v>
      </c>
      <c r="BK33" s="697" t="n">
        <v>6</v>
      </c>
      <c r="BL33" s="697" t="n">
        <v>6</v>
      </c>
      <c r="BM33" s="697" t="n">
        <v>6</v>
      </c>
      <c r="BN33" s="697" t="n">
        <v>6</v>
      </c>
      <c r="BO33" s="697" t="n">
        <v>6</v>
      </c>
      <c r="BP33" s="697" t="n">
        <v>6</v>
      </c>
      <c r="BQ33" s="697" t="n">
        <v>6</v>
      </c>
      <c r="BR33" s="697" t="n">
        <v>6</v>
      </c>
      <c r="BS33" s="697" t="n">
        <v>6</v>
      </c>
      <c r="BT33" s="697" t="n">
        <v>6</v>
      </c>
      <c r="BU33" s="697" t="n">
        <v>6</v>
      </c>
      <c r="BV33" s="697" t="n">
        <v>6</v>
      </c>
      <c r="BW33" s="697" t="n">
        <v>6</v>
      </c>
      <c r="BX33" s="697" t="n">
        <v>6</v>
      </c>
      <c r="BY33" s="697" t="n">
        <v>6</v>
      </c>
      <c r="BZ33" s="697" t="n">
        <v>6</v>
      </c>
      <c r="CA33" s="699" t="n">
        <v>6</v>
      </c>
      <c r="CB33" s="699" t="n">
        <v>6</v>
      </c>
      <c r="CC33" s="192">
        <f>CA33+IF(NOT(ISBLANK(OFFSET(CC33,0,6))),N(OFFSET(CC33,0,6)),N(OFFSET(CC33,0,7)))-CB33</f>
        <v/>
      </c>
      <c r="CL33" s="5" t="n"/>
      <c r="DD33" s="5" t="n"/>
      <c r="DR33" s="5" t="n"/>
      <c r="DS33" s="5" t="n"/>
      <c r="DW33" s="5" t="n"/>
      <c r="EE33" s="573" t="n"/>
      <c r="EF33" s="573" t="n"/>
      <c r="EH33" s="327" t="n"/>
      <c r="EI33" s="573" t="n"/>
      <c r="EJ33" s="573" t="n"/>
      <c r="EK33" s="573" t="n"/>
      <c r="EL33" s="327" t="n"/>
      <c r="EM33" s="573" t="n"/>
      <c r="EN33" s="327" t="n"/>
      <c r="EO33" s="573" t="n"/>
      <c r="EP33" s="327" t="n"/>
      <c r="EQ33" s="573" t="n"/>
      <c r="ER33" s="573" t="n"/>
      <c r="ES33" s="573" t="n"/>
      <c r="ET33" s="573" t="n"/>
      <c r="EU33" s="573" t="n"/>
      <c r="EV33" s="573" t="n"/>
      <c r="EW33" s="573" t="n"/>
      <c r="EX33" s="573" t="n"/>
      <c r="EY33" s="573" t="n"/>
      <c r="EZ33" s="573" t="n"/>
      <c r="FA33" s="573" t="n"/>
      <c r="FB33" s="573" t="n"/>
    </row>
    <row r="34" hidden="1" ht="18.75" customHeight="1">
      <c r="A34" s="284" t="inlineStr">
        <is>
          <t>CAIXA P MÃES/25</t>
        </is>
      </c>
      <c r="B34" s="285" t="n">
        <v>150</v>
      </c>
      <c r="C34" s="770" t="n">
        <v>781.05</v>
      </c>
      <c r="D34" s="217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699" t="n">
        <v>68</v>
      </c>
      <c r="AA34" s="699" t="n">
        <v>62</v>
      </c>
      <c r="AB34" s="697" t="n">
        <v>56</v>
      </c>
      <c r="AC34" s="697" t="n">
        <v>55</v>
      </c>
      <c r="AD34" s="697" t="n">
        <v>38</v>
      </c>
      <c r="AE34" s="697" t="n">
        <v>37</v>
      </c>
      <c r="AF34" s="697" t="n">
        <v>36</v>
      </c>
      <c r="AG34" s="697" t="n">
        <v>34</v>
      </c>
      <c r="AH34" s="697" t="n">
        <v>30</v>
      </c>
      <c r="AI34" s="697" t="n">
        <v>30</v>
      </c>
      <c r="AJ34" s="697" t="n">
        <v>29</v>
      </c>
      <c r="AK34" s="697" t="n">
        <v>27</v>
      </c>
      <c r="AL34" s="697" t="n">
        <v>27</v>
      </c>
      <c r="AM34" s="697" t="n">
        <v>26</v>
      </c>
      <c r="AN34" s="697" t="n">
        <v>23</v>
      </c>
      <c r="AO34" s="697" t="n">
        <v>17</v>
      </c>
      <c r="AP34" s="697" t="n">
        <v>16</v>
      </c>
      <c r="AQ34" s="697" t="n">
        <v>16</v>
      </c>
      <c r="AR34" s="697" t="n">
        <v>12</v>
      </c>
      <c r="AS34" s="697" t="n">
        <v>11</v>
      </c>
      <c r="AT34" s="697" t="n">
        <v>9</v>
      </c>
      <c r="AU34" s="697" t="n">
        <v>7</v>
      </c>
      <c r="AV34" s="697" t="n">
        <v>7</v>
      </c>
      <c r="AW34" s="697" t="n">
        <v>2</v>
      </c>
      <c r="AX34" s="697" t="n">
        <v>0</v>
      </c>
      <c r="AY34" s="697" t="n">
        <v>0</v>
      </c>
      <c r="AZ34" s="697" t="n">
        <v>0</v>
      </c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192">
        <f>CA34+IF(NOT(ISBLANK(OFFSET(CC34,0,6))),N(OFFSET(CC34,0,6)),N(OFFSET(CC34,0,7)))-CB34</f>
        <v/>
      </c>
      <c r="CL34" s="5" t="n"/>
      <c r="DD34" s="5" t="n"/>
      <c r="DR34" s="5" t="n"/>
      <c r="DS34" s="5" t="n"/>
      <c r="DW34" s="5" t="n"/>
      <c r="EE34" s="573" t="n"/>
      <c r="EF34" s="573" t="n"/>
      <c r="EH34" s="327" t="n"/>
      <c r="EI34" s="573" t="n"/>
      <c r="EJ34" s="573" t="n"/>
      <c r="EK34" s="573" t="n"/>
      <c r="EL34" s="327" t="n"/>
      <c r="EM34" s="573" t="n"/>
      <c r="EN34" s="327" t="n"/>
      <c r="EO34" s="573" t="n"/>
      <c r="EP34" s="327" t="n"/>
      <c r="EQ34" s="573" t="n"/>
      <c r="ER34" s="573" t="n"/>
      <c r="ES34" s="573" t="n"/>
      <c r="ET34" s="573" t="n"/>
      <c r="EU34" s="573" t="n"/>
      <c r="EV34" s="573" t="n"/>
      <c r="EW34" s="573" t="n"/>
      <c r="EX34" s="573" t="n"/>
      <c r="EY34" s="573" t="n"/>
      <c r="EZ34" s="573" t="n"/>
      <c r="FA34" s="573" t="n"/>
      <c r="FB34" s="573" t="n"/>
    </row>
    <row r="35" hidden="1" ht="18.75" customHeight="1">
      <c r="A35" s="284" t="inlineStr">
        <is>
          <t>CAIXA M MÃES/25</t>
        </is>
      </c>
      <c r="B35" s="285" t="n">
        <v>100</v>
      </c>
      <c r="C35" s="770" t="n">
        <v>789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17</v>
      </c>
      <c r="AA35" s="699" t="n">
        <v>10</v>
      </c>
      <c r="AB35" s="697" t="n">
        <v>8</v>
      </c>
      <c r="AC35" s="697" t="n">
        <v>4</v>
      </c>
      <c r="AD35" s="697" t="n">
        <v>0</v>
      </c>
      <c r="AE35" s="697" t="n">
        <v>0</v>
      </c>
      <c r="AF35" s="697" t="n">
        <v>0</v>
      </c>
      <c r="AG35" s="697" t="n">
        <v>0</v>
      </c>
      <c r="AH35" s="697" t="n"/>
      <c r="AI35" s="697" t="n"/>
      <c r="AJ35" s="697" t="n"/>
      <c r="AK35" s="697" t="n"/>
      <c r="AL35" s="697" t="n"/>
      <c r="AM35" s="697" t="n"/>
      <c r="AN35" s="697" t="n"/>
      <c r="AO35" s="697" t="n"/>
      <c r="AP35" s="697" t="n"/>
      <c r="AQ35" s="697" t="n"/>
      <c r="AR35" s="697" t="n"/>
      <c r="AS35" s="697" t="n"/>
      <c r="AT35" s="697" t="n"/>
      <c r="AU35" s="697" t="n"/>
      <c r="AV35" s="697" t="n"/>
      <c r="AW35" s="697" t="n"/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697" t="n"/>
      <c r="CA35" s="699" t="n"/>
      <c r="CB35" s="699" t="n"/>
      <c r="CC35" s="192">
        <f>CA35+IF(NOT(ISBLANK(OFFSET(CC35,0,6))),N(OFFSET(CC35,0,6)),N(OFFSET(CC35,0,7)))-CB35</f>
        <v/>
      </c>
      <c r="CL35" s="5" t="n"/>
      <c r="DD35" s="5" t="n"/>
      <c r="DR35" s="5" t="n"/>
      <c r="DS35" s="5" t="n"/>
      <c r="DW35" s="5" t="n"/>
      <c r="EE35" s="573" t="n"/>
      <c r="EF35" s="573" t="n"/>
      <c r="EH35" s="327" t="n"/>
      <c r="EI35" s="573" t="n"/>
      <c r="EJ35" s="573" t="n"/>
      <c r="EK35" s="573" t="n"/>
      <c r="EL35" s="327" t="n"/>
      <c r="EM35" s="573" t="n"/>
      <c r="EN35" s="327" t="n"/>
      <c r="EO35" s="573" t="n"/>
      <c r="EP35" s="327" t="n"/>
      <c r="EQ35" s="573" t="n"/>
      <c r="ER35" s="573" t="n"/>
      <c r="ES35" s="573" t="n"/>
      <c r="ET35" s="573" t="n"/>
      <c r="EU35" s="573" t="n"/>
      <c r="EV35" s="573" t="n"/>
      <c r="EW35" s="573" t="n"/>
      <c r="EX35" s="573" t="n"/>
      <c r="EY35" s="573" t="n"/>
      <c r="EZ35" s="573" t="n"/>
      <c r="FA35" s="573" t="n"/>
      <c r="FB35" s="573" t="n"/>
    </row>
    <row r="36" hidden="1" ht="18.75" customHeight="1">
      <c r="A36" s="284" t="inlineStr">
        <is>
          <t>CAIXA G MÃES/25</t>
        </is>
      </c>
      <c r="B36" s="285" t="n">
        <v>75</v>
      </c>
      <c r="C36" s="770" t="n">
        <v>844.05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0</v>
      </c>
      <c r="AA36" s="699" t="n">
        <v>0</v>
      </c>
      <c r="AB36" s="697" t="n">
        <v>0</v>
      </c>
      <c r="AC36" s="697" t="n">
        <v>0</v>
      </c>
      <c r="AD36" s="697" t="n">
        <v>0</v>
      </c>
      <c r="AE36" s="697" t="n">
        <v>0</v>
      </c>
      <c r="AF36" s="697" t="n">
        <v>0</v>
      </c>
      <c r="AG36" s="697" t="n">
        <v>0</v>
      </c>
      <c r="AH36" s="697" t="n"/>
      <c r="AI36" s="697" t="n"/>
      <c r="AJ36" s="697" t="n"/>
      <c r="AK36" s="697" t="n"/>
      <c r="AL36" s="697" t="n"/>
      <c r="AM36" s="697" t="n"/>
      <c r="AN36" s="697" t="n"/>
      <c r="AO36" s="697" t="n"/>
      <c r="AP36" s="697" t="n"/>
      <c r="AQ36" s="697" t="n"/>
      <c r="AR36" s="697" t="n"/>
      <c r="AS36" s="697" t="n"/>
      <c r="AT36" s="697" t="n"/>
      <c r="AU36" s="697" t="n"/>
      <c r="AV36" s="697" t="n"/>
      <c r="AW36" s="697" t="n"/>
      <c r="AX36" s="697" t="n"/>
      <c r="AY36" s="697" t="n"/>
      <c r="AZ36" s="697" t="n"/>
      <c r="BA36" s="697" t="n"/>
      <c r="BB36" s="697" t="n"/>
      <c r="BC36" s="697" t="n"/>
      <c r="BD36" s="697" t="n"/>
      <c r="BE36" s="697" t="n"/>
      <c r="BF36" s="697" t="n"/>
      <c r="BG36" s="697" t="n"/>
      <c r="BH36" s="697" t="n"/>
      <c r="BI36" s="697" t="n"/>
      <c r="BJ36" s="697" t="n"/>
      <c r="BK36" s="697" t="n"/>
      <c r="BL36" s="697" t="n"/>
      <c r="BM36" s="697" t="n"/>
      <c r="BN36" s="697" t="n"/>
      <c r="BO36" s="697" t="n"/>
      <c r="BP36" s="697" t="n"/>
      <c r="BQ36" s="697" t="n"/>
      <c r="BR36" s="697" t="n"/>
      <c r="BS36" s="697" t="n"/>
      <c r="BT36" s="697" t="n"/>
      <c r="BU36" s="697" t="n"/>
      <c r="BV36" s="697" t="n"/>
      <c r="BW36" s="697" t="n"/>
      <c r="BX36" s="697" t="n"/>
      <c r="BY36" s="697" t="n"/>
      <c r="BZ36" s="697" t="n"/>
      <c r="CA36" s="699" t="n"/>
      <c r="CB36" s="699" t="n"/>
      <c r="CC36" s="192">
        <f>CA36+IF(NOT(ISBLANK(OFFSET(CC36,0,6))),N(OFFSET(CC36,0,6)),N(OFFSET(CC36,0,7)))-CB36</f>
        <v/>
      </c>
      <c r="CL36" s="5" t="n"/>
      <c r="DD36" s="5" t="n"/>
      <c r="DR36" s="5" t="n"/>
      <c r="DS36" s="5" t="n"/>
      <c r="DW36" s="5" t="n"/>
      <c r="EE36" s="573" t="n"/>
      <c r="EF36" s="573" t="n"/>
      <c r="EH36" s="327" t="n"/>
      <c r="EI36" s="573" t="n"/>
      <c r="EJ36" s="573" t="n"/>
      <c r="EK36" s="573" t="n"/>
      <c r="EL36" s="327" t="n"/>
      <c r="EM36" s="573" t="n"/>
      <c r="EN36" s="327" t="n"/>
      <c r="EO36" s="573" t="n"/>
      <c r="EP36" s="327" t="n"/>
      <c r="EQ36" s="573" t="n"/>
      <c r="ER36" s="573" t="n"/>
      <c r="ES36" s="573" t="n"/>
      <c r="ET36" s="573" t="n"/>
      <c r="EU36" s="573" t="n"/>
      <c r="EV36" s="573" t="n"/>
      <c r="EW36" s="573" t="n"/>
      <c r="EX36" s="573" t="n"/>
      <c r="EY36" s="573" t="n"/>
      <c r="EZ36" s="573" t="n"/>
      <c r="FA36" s="573" t="n"/>
      <c r="FB36" s="573" t="n"/>
    </row>
    <row r="37" hidden="1" ht="18.75" customHeight="1">
      <c r="A37" s="284" t="inlineStr">
        <is>
          <t>CARTUCHO P MÃES/25</t>
        </is>
      </c>
      <c r="B37" s="285" t="n">
        <v>200</v>
      </c>
      <c r="C37" s="770" t="n">
        <v>450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27</v>
      </c>
      <c r="AA37" s="699" t="n">
        <v>1</v>
      </c>
      <c r="AB37" s="697" t="n">
        <v>1</v>
      </c>
      <c r="AC37" s="697" t="n">
        <v>1</v>
      </c>
      <c r="AD37" s="697" t="n">
        <v>1</v>
      </c>
      <c r="AE37" s="697" t="n">
        <v>0</v>
      </c>
      <c r="AF37" s="697" t="n">
        <v>0</v>
      </c>
      <c r="AG37" s="697" t="n">
        <v>0</v>
      </c>
      <c r="AH37" s="697" t="n"/>
      <c r="AI37" s="697" t="n"/>
      <c r="AJ37" s="697" t="n"/>
      <c r="AK37" s="697" t="n"/>
      <c r="AL37" s="697" t="n"/>
      <c r="AM37" s="697" t="n"/>
      <c r="AN37" s="697" t="n"/>
      <c r="AO37" s="697" t="n"/>
      <c r="AP37" s="697" t="n"/>
      <c r="AQ37" s="697" t="n"/>
      <c r="AR37" s="697" t="n"/>
      <c r="AS37" s="697" t="n"/>
      <c r="AT37" s="697" t="n"/>
      <c r="AU37" s="697" t="n"/>
      <c r="AV37" s="697" t="n"/>
      <c r="AW37" s="697" t="n"/>
      <c r="AX37" s="697" t="n"/>
      <c r="AY37" s="697" t="n"/>
      <c r="AZ37" s="697" t="n"/>
      <c r="BA37" s="697" t="n"/>
      <c r="BB37" s="697" t="n"/>
      <c r="BC37" s="697" t="n"/>
      <c r="BD37" s="697" t="n"/>
      <c r="BE37" s="697" t="n"/>
      <c r="BF37" s="697" t="n"/>
      <c r="BG37" s="697" t="n"/>
      <c r="BH37" s="697" t="n"/>
      <c r="BI37" s="697" t="n"/>
      <c r="BJ37" s="697" t="n"/>
      <c r="BK37" s="697" t="n"/>
      <c r="BL37" s="697" t="n"/>
      <c r="BM37" s="697" t="n"/>
      <c r="BN37" s="697" t="n"/>
      <c r="BO37" s="697" t="n"/>
      <c r="BP37" s="697" t="n"/>
      <c r="BQ37" s="697" t="n"/>
      <c r="BR37" s="697" t="n"/>
      <c r="BS37" s="697" t="n"/>
      <c r="BT37" s="697" t="n"/>
      <c r="BU37" s="697" t="n"/>
      <c r="BV37" s="697" t="n"/>
      <c r="BW37" s="697" t="n"/>
      <c r="BX37" s="697" t="n"/>
      <c r="BY37" s="697" t="n"/>
      <c r="BZ37" s="697" t="n"/>
      <c r="CA37" s="699" t="n"/>
      <c r="CB37" s="699" t="n"/>
      <c r="CC37" s="192">
        <f>CA37+IF(NOT(ISBLANK(OFFSET(CC37,0,6))),N(OFFSET(CC37,0,6)),N(OFFSET(CC37,0,7)))-CB37</f>
        <v/>
      </c>
      <c r="CL37" s="5" t="n"/>
      <c r="DD37" s="5" t="n"/>
      <c r="DR37" s="5" t="n"/>
      <c r="DS37" s="5" t="n"/>
      <c r="DW37" s="5" t="n"/>
      <c r="EE37" s="573" t="n"/>
      <c r="EF37" s="573" t="n"/>
      <c r="EH37" s="327" t="n"/>
      <c r="EI37" s="573" t="n"/>
      <c r="EJ37" s="573" t="n"/>
      <c r="EK37" s="573" t="n"/>
      <c r="EL37" s="327" t="n"/>
      <c r="EM37" s="573" t="n"/>
      <c r="EN37" s="327" t="n"/>
      <c r="EO37" s="573" t="n"/>
      <c r="EP37" s="327" t="n"/>
      <c r="EQ37" s="573" t="n"/>
      <c r="ER37" s="573" t="n"/>
      <c r="ES37" s="573" t="n"/>
      <c r="ET37" s="573" t="n"/>
      <c r="EU37" s="573" t="n"/>
      <c r="EV37" s="573" t="n"/>
      <c r="EW37" s="573" t="n"/>
      <c r="EX37" s="573" t="n"/>
      <c r="EY37" s="573" t="n"/>
      <c r="EZ37" s="573" t="n"/>
      <c r="FA37" s="573" t="n"/>
      <c r="FB37" s="573" t="n"/>
    </row>
    <row r="38" hidden="1" ht="18.75" customHeight="1">
      <c r="A38" s="284" t="inlineStr">
        <is>
          <t>CARTUCHO M MÃES/25</t>
        </is>
      </c>
      <c r="B38" s="285" t="n">
        <v>150</v>
      </c>
      <c r="C38" s="770" t="n">
        <v>430.5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0</v>
      </c>
      <c r="AA38" s="699" t="n">
        <v>0</v>
      </c>
      <c r="AB38" s="697" t="n">
        <v>0</v>
      </c>
      <c r="AC38" s="697" t="n">
        <v>0</v>
      </c>
      <c r="AD38" s="697" t="n">
        <v>0</v>
      </c>
      <c r="AE38" s="697" t="n">
        <v>0</v>
      </c>
      <c r="AF38" s="697" t="n">
        <v>0</v>
      </c>
      <c r="AG38" s="697" t="n">
        <v>0</v>
      </c>
      <c r="AH38" s="697" t="n"/>
      <c r="AI38" s="697" t="n"/>
      <c r="AJ38" s="697" t="n"/>
      <c r="AK38" s="697" t="n"/>
      <c r="AL38" s="697" t="n"/>
      <c r="AM38" s="697" t="n"/>
      <c r="AN38" s="697" t="n"/>
      <c r="AO38" s="697" t="n"/>
      <c r="AP38" s="697" t="n"/>
      <c r="AQ38" s="697" t="n"/>
      <c r="AR38" s="697" t="n"/>
      <c r="AS38" s="697" t="n"/>
      <c r="AT38" s="697" t="n"/>
      <c r="AU38" s="697" t="n"/>
      <c r="AV38" s="697" t="n"/>
      <c r="AW38" s="697" t="n"/>
      <c r="AX38" s="697" t="n"/>
      <c r="AY38" s="697" t="n"/>
      <c r="AZ38" s="697" t="n"/>
      <c r="BA38" s="697" t="n"/>
      <c r="BB38" s="697" t="n"/>
      <c r="BC38" s="697" t="n"/>
      <c r="BD38" s="697" t="n"/>
      <c r="BE38" s="697" t="n"/>
      <c r="BF38" s="697" t="n"/>
      <c r="BG38" s="697" t="n"/>
      <c r="BH38" s="697" t="n"/>
      <c r="BI38" s="697" t="n"/>
      <c r="BJ38" s="697" t="n"/>
      <c r="BK38" s="697" t="n"/>
      <c r="BL38" s="697" t="n"/>
      <c r="BM38" s="697" t="n"/>
      <c r="BN38" s="697" t="n"/>
      <c r="BO38" s="697" t="n"/>
      <c r="BP38" s="697" t="n"/>
      <c r="BQ38" s="697" t="n"/>
      <c r="BR38" s="697" t="n"/>
      <c r="BS38" s="697" t="n"/>
      <c r="BT38" s="697" t="n"/>
      <c r="BU38" s="697" t="n"/>
      <c r="BV38" s="697" t="n"/>
      <c r="BW38" s="697" t="n"/>
      <c r="BX38" s="697" t="n"/>
      <c r="BY38" s="697" t="n"/>
      <c r="BZ38" s="697" t="n"/>
      <c r="CA38" s="699" t="n"/>
      <c r="CB38" s="699" t="n"/>
      <c r="CC38" s="192">
        <f>CA38+IF(NOT(ISBLANK(OFFSET(CC38,0,6))),N(OFFSET(CC38,0,6)),N(OFFSET(CC38,0,7)))-CB38</f>
        <v/>
      </c>
      <c r="CL38" s="5" t="n"/>
      <c r="DD38" s="5" t="n"/>
      <c r="DR38" s="5" t="n"/>
      <c r="DS38" s="5" t="n"/>
      <c r="DW38" s="5" t="n"/>
      <c r="EE38" s="573" t="n"/>
      <c r="EF38" s="573" t="n"/>
      <c r="EH38" s="327" t="n"/>
      <c r="EI38" s="573" t="n"/>
      <c r="EJ38" s="573" t="n"/>
      <c r="EK38" s="573" t="n"/>
      <c r="EL38" s="327" t="n"/>
      <c r="EM38" s="573" t="n"/>
      <c r="EN38" s="327" t="n"/>
      <c r="EO38" s="573" t="n"/>
      <c r="EP38" s="327" t="n"/>
      <c r="EQ38" s="573" t="n"/>
      <c r="ER38" s="573" t="n"/>
      <c r="ES38" s="573" t="n"/>
      <c r="ET38" s="573" t="n"/>
      <c r="EU38" s="573" t="n"/>
      <c r="EV38" s="573" t="n"/>
      <c r="EW38" s="573" t="n"/>
      <c r="EX38" s="573" t="n"/>
      <c r="EY38" s="573" t="n"/>
      <c r="EZ38" s="573" t="n"/>
      <c r="FA38" s="573" t="n"/>
      <c r="FB38" s="573" t="n"/>
    </row>
    <row r="39" hidden="1" ht="18.75" customHeight="1">
      <c r="A39" s="400" t="inlineStr">
        <is>
          <t>CAIXA M NAMO/25</t>
        </is>
      </c>
      <c r="B39" s="357" t="n">
        <v>100</v>
      </c>
      <c r="C39" s="771" t="n">
        <v>789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7" t="n">
        <v>0</v>
      </c>
      <c r="AC39" s="697" t="n">
        <v>0</v>
      </c>
      <c r="AD39" s="697" t="n">
        <v>0</v>
      </c>
      <c r="AE39" s="697" t="n">
        <v>0</v>
      </c>
      <c r="AF39" s="697" t="n">
        <v>21</v>
      </c>
      <c r="AG39" s="697" t="n">
        <v>13</v>
      </c>
      <c r="AH39" s="697" t="n">
        <v>11</v>
      </c>
      <c r="AI39" s="697" t="n">
        <v>9</v>
      </c>
      <c r="AJ39" s="697" t="n">
        <v>7</v>
      </c>
      <c r="AK39" s="697" t="n">
        <v>5</v>
      </c>
      <c r="AL39" s="697" t="n">
        <v>3</v>
      </c>
      <c r="AM39" s="697" t="n">
        <v>2</v>
      </c>
      <c r="AN39" s="697" t="n">
        <v>0</v>
      </c>
      <c r="AO39" s="697" t="n"/>
      <c r="AP39" s="697" t="n"/>
      <c r="AQ39" s="697" t="n"/>
      <c r="AR39" s="697" t="n"/>
      <c r="AS39" s="697" t="n"/>
      <c r="AT39" s="697" t="n"/>
      <c r="AU39" s="697" t="n"/>
      <c r="AV39" s="697" t="n"/>
      <c r="AW39" s="697" t="n"/>
      <c r="AX39" s="697" t="n"/>
      <c r="AY39" s="697" t="n"/>
      <c r="AZ39" s="697" t="n"/>
      <c r="BA39" s="697" t="n"/>
      <c r="BB39" s="697" t="n"/>
      <c r="BC39" s="697" t="n"/>
      <c r="BD39" s="697" t="n"/>
      <c r="BE39" s="697" t="n"/>
      <c r="BF39" s="697" t="n"/>
      <c r="BG39" s="697" t="n"/>
      <c r="BH39" s="697" t="n"/>
      <c r="BI39" s="697" t="n"/>
      <c r="BJ39" s="697" t="n"/>
      <c r="BK39" s="697" t="n"/>
      <c r="BL39" s="697" t="n"/>
      <c r="BM39" s="697" t="n"/>
      <c r="BN39" s="697" t="n"/>
      <c r="BO39" s="697" t="n"/>
      <c r="BP39" s="697" t="n"/>
      <c r="BQ39" s="697" t="n"/>
      <c r="BR39" s="697" t="n"/>
      <c r="BS39" s="697" t="n"/>
      <c r="BT39" s="697" t="n"/>
      <c r="BU39" s="697" t="n"/>
      <c r="BV39" s="697" t="n"/>
      <c r="BW39" s="697" t="n"/>
      <c r="BX39" s="697" t="n"/>
      <c r="BY39" s="697" t="n"/>
      <c r="BZ39" s="697" t="n"/>
      <c r="CA39" s="699" t="n"/>
      <c r="CB39" s="699" t="n"/>
      <c r="CC39" s="192">
        <f>CA39+IF(NOT(ISBLANK(OFFSET(CC39,0,6))),N(OFFSET(CC39,0,6)),N(OFFSET(CC39,0,7)))-CB39</f>
        <v/>
      </c>
      <c r="CL39" s="51" t="n"/>
      <c r="DD39" s="5" t="n"/>
      <c r="DR39" s="5" t="n"/>
      <c r="DS39" s="5" t="n"/>
      <c r="DW39" s="5" t="n"/>
      <c r="EE39" s="573" t="n"/>
      <c r="EF39" s="573" t="n"/>
      <c r="EH39" s="327" t="n"/>
      <c r="EI39" s="573" t="n"/>
      <c r="EJ39" s="573" t="n"/>
      <c r="EK39" s="573" t="n"/>
      <c r="EL39" s="327" t="n"/>
      <c r="EM39" s="573" t="n"/>
      <c r="EN39" s="327" t="n"/>
      <c r="EO39" s="573" t="n"/>
      <c r="EP39" s="327" t="n"/>
      <c r="EQ39" s="573" t="n"/>
      <c r="ER39" s="573" t="n"/>
      <c r="ES39" s="573" t="n"/>
      <c r="ET39" s="573" t="n"/>
      <c r="EU39" s="573" t="n"/>
      <c r="EV39" s="573" t="n"/>
      <c r="EW39" s="573" t="n"/>
      <c r="EX39" s="573" t="n"/>
      <c r="EY39" s="573" t="n"/>
      <c r="EZ39" s="573" t="n"/>
      <c r="FA39" s="573" t="n"/>
      <c r="FB39" s="573" t="n"/>
    </row>
    <row r="40" hidden="1" ht="18.75" customHeight="1">
      <c r="A40" s="423" t="inlineStr">
        <is>
          <t>CAIXA M</t>
        </is>
      </c>
      <c r="B40" s="424" t="n">
        <v>100</v>
      </c>
      <c r="C40" s="771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697" t="n">
        <v>8</v>
      </c>
      <c r="AP40" s="697" t="n">
        <v>8</v>
      </c>
      <c r="AQ40" s="697" t="n">
        <v>7</v>
      </c>
      <c r="AR40" s="697" t="n">
        <v>7</v>
      </c>
      <c r="AS40" s="697" t="n">
        <v>6</v>
      </c>
      <c r="AT40" s="697" t="n">
        <v>6</v>
      </c>
      <c r="AU40" s="697" t="n">
        <v>6</v>
      </c>
      <c r="AV40" s="697" t="n">
        <v>6</v>
      </c>
      <c r="AW40" s="697" t="n">
        <v>6</v>
      </c>
      <c r="AX40" s="697" t="n">
        <v>5</v>
      </c>
      <c r="AY40" s="697" t="n">
        <v>4</v>
      </c>
      <c r="AZ40" s="697" t="n">
        <v>0</v>
      </c>
      <c r="BA40" s="697" t="n">
        <v>0</v>
      </c>
      <c r="BB40" s="697" t="n"/>
      <c r="BC40" s="697" t="n"/>
      <c r="BD40" s="697" t="n"/>
      <c r="BE40" s="697" t="n"/>
      <c r="BF40" s="697" t="n"/>
      <c r="BG40" s="697" t="n"/>
      <c r="BH40" s="697" t="n"/>
      <c r="BI40" s="697" t="n"/>
      <c r="BJ40" s="697" t="n"/>
      <c r="BK40" s="697" t="n"/>
      <c r="BL40" s="697" t="n"/>
      <c r="BM40" s="697" t="n"/>
      <c r="BN40" s="697" t="n"/>
      <c r="BO40" s="697" t="n"/>
      <c r="BP40" s="697" t="n"/>
      <c r="BQ40" s="697" t="n"/>
      <c r="BR40" s="697" t="n"/>
      <c r="BS40" s="697" t="n"/>
      <c r="BT40" s="697" t="n"/>
      <c r="BU40" s="697" t="n"/>
      <c r="BV40" s="697" t="n"/>
      <c r="BW40" s="697" t="n"/>
      <c r="BX40" s="697" t="n"/>
      <c r="BY40" s="697" t="n"/>
      <c r="BZ40" s="697" t="n"/>
      <c r="CA40" s="699" t="n"/>
      <c r="CB40" s="699" t="n"/>
      <c r="CC40" s="192">
        <f>CA40+IF(NOT(ISBLANK(OFFSET(CC40,0,6))),N(OFFSET(CC40,0,6)),N(OFFSET(CC40,0,7)))-CB40</f>
        <v/>
      </c>
      <c r="CL40" s="51" t="n"/>
      <c r="DD40" s="5" t="n"/>
      <c r="DR40" s="5" t="n"/>
      <c r="DS40" s="5" t="n"/>
      <c r="DW40" s="5" t="n"/>
      <c r="EE40" s="573" t="n"/>
      <c r="EF40" s="573" t="n"/>
      <c r="EH40" s="327" t="n"/>
      <c r="EI40" s="573" t="n"/>
      <c r="EJ40" s="573" t="n"/>
      <c r="EK40" s="573" t="n"/>
      <c r="EL40" s="327" t="n"/>
      <c r="EM40" s="573" t="n"/>
      <c r="EN40" s="327" t="n"/>
      <c r="EO40" s="573" t="n"/>
      <c r="EP40" s="327" t="n"/>
      <c r="EQ40" s="573" t="n"/>
      <c r="ER40" s="573" t="n"/>
      <c r="ES40" s="573" t="n"/>
      <c r="ET40" s="573" t="n"/>
      <c r="EU40" s="573" t="n"/>
      <c r="EV40" s="573" t="n"/>
      <c r="EW40" s="573" t="n"/>
      <c r="EX40" s="573" t="n"/>
      <c r="EY40" s="573" t="n"/>
      <c r="EZ40" s="573" t="n"/>
      <c r="FA40" s="573" t="n"/>
      <c r="FB40" s="573" t="n"/>
    </row>
    <row r="41" hidden="1" ht="18.75" customHeight="1">
      <c r="A41" s="423" t="inlineStr">
        <is>
          <t>PIN MELHOR PAI DO MDO</t>
        </is>
      </c>
      <c r="B41" s="424" t="n">
        <v>25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4" t="n"/>
      <c r="AC41" s="4" t="n"/>
      <c r="AD41" s="4" t="n"/>
      <c r="AE41" s="4" t="n"/>
      <c r="AF41" s="4" t="n"/>
      <c r="AG41" s="4" t="n"/>
      <c r="AH41" s="4" t="n"/>
      <c r="AI41" s="4" t="n"/>
      <c r="AJ41" s="4" t="n"/>
      <c r="AK41" s="4" t="n"/>
      <c r="AL41" s="4" t="n"/>
      <c r="AM41" s="4" t="n"/>
      <c r="AN41" s="4" t="n"/>
      <c r="AO41" s="697" t="n">
        <v>2</v>
      </c>
      <c r="AP41" s="697" t="n">
        <v>1</v>
      </c>
      <c r="AQ41" s="697" t="n">
        <v>1</v>
      </c>
      <c r="AR41" s="697" t="n">
        <v>1</v>
      </c>
      <c r="AS41" s="697" t="n">
        <v>1</v>
      </c>
      <c r="AT41" s="697" t="n">
        <v>1</v>
      </c>
      <c r="AU41" s="697" t="n">
        <v>1</v>
      </c>
      <c r="AV41" s="697" t="n">
        <v>0</v>
      </c>
      <c r="AW41" s="697" t="n">
        <v>0</v>
      </c>
      <c r="AX41" s="697" t="n"/>
      <c r="AY41" s="697" t="n"/>
      <c r="AZ41" s="697" t="n"/>
      <c r="BA41" s="697" t="n"/>
      <c r="BB41" s="697" t="n"/>
      <c r="BC41" s="697" t="n"/>
      <c r="BD41" s="697" t="n"/>
      <c r="BE41" s="697" t="n"/>
      <c r="BF41" s="697" t="n"/>
      <c r="BG41" s="697" t="n"/>
      <c r="BH41" s="697" t="n"/>
      <c r="BI41" s="697" t="n"/>
      <c r="BJ41" s="697" t="n"/>
      <c r="BK41" s="697" t="n"/>
      <c r="BL41" s="697" t="n"/>
      <c r="BM41" s="697" t="n"/>
      <c r="BN41" s="697" t="n"/>
      <c r="BO41" s="697" t="n"/>
      <c r="BP41" s="697" t="n"/>
      <c r="BQ41" s="697" t="n"/>
      <c r="BR41" s="697" t="n"/>
      <c r="BS41" s="697" t="n"/>
      <c r="BT41" s="697" t="n"/>
      <c r="BU41" s="697" t="n"/>
      <c r="BV41" s="697" t="n"/>
      <c r="BW41" s="697" t="n"/>
      <c r="BX41" s="697" t="n"/>
      <c r="BY41" s="697" t="n"/>
      <c r="BZ41" s="697" t="n"/>
      <c r="CA41" s="699" t="n"/>
      <c r="CB41" s="699" t="n"/>
      <c r="CC41" s="192">
        <f>CA41+IF(NOT(ISBLANK(OFFSET(CC41,0,6))),N(OFFSET(CC41,0,6)),N(OFFSET(CC41,0,7)))-CB41</f>
        <v/>
      </c>
      <c r="CL41" s="573" t="n"/>
      <c r="DD41" s="5" t="n"/>
      <c r="DR41" s="5" t="n"/>
      <c r="DS41" s="5" t="n"/>
      <c r="DW41" s="5" t="n"/>
      <c r="EE41" s="573" t="n"/>
      <c r="EF41" s="573" t="n"/>
      <c r="EH41" s="327" t="n"/>
      <c r="EI41" s="573" t="n"/>
      <c r="EJ41" s="573" t="n"/>
      <c r="EK41" s="573" t="n"/>
      <c r="EL41" s="327" t="n"/>
      <c r="EM41" s="573" t="n"/>
      <c r="EN41" s="327" t="n"/>
      <c r="EO41" s="573" t="n"/>
      <c r="EP41" s="327" t="n"/>
      <c r="EQ41" s="573" t="n"/>
      <c r="ER41" s="573" t="n"/>
      <c r="ES41" s="573" t="n"/>
      <c r="ET41" s="573" t="n"/>
      <c r="EU41" s="573" t="n"/>
      <c r="EV41" s="573" t="n"/>
      <c r="EW41" s="573" t="n"/>
      <c r="EX41" s="573" t="n"/>
      <c r="EY41" s="573" t="n"/>
      <c r="EZ41" s="573" t="n"/>
      <c r="FA41" s="573" t="n"/>
      <c r="FB41" s="573" t="n"/>
      <c r="FD41" s="573" t="n"/>
      <c r="FE41" s="573" t="n"/>
      <c r="FF41" s="573" t="n"/>
      <c r="FG41" s="573" t="n"/>
      <c r="FH41" s="573" t="n"/>
      <c r="FI41" s="573" t="n"/>
      <c r="FJ41" s="573" t="n"/>
      <c r="FK41" s="573" t="n"/>
      <c r="FL41" s="573" t="n"/>
      <c r="FM41" s="573" t="n"/>
      <c r="FN41" s="573" t="n"/>
      <c r="FO41" s="573" t="n"/>
    </row>
    <row r="42" hidden="1" ht="18.75" customHeight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" t="n"/>
      <c r="AC42" s="4" t="n"/>
      <c r="AD42" s="4" t="n"/>
      <c r="AE42" s="4" t="n"/>
      <c r="AF42" s="4" t="n"/>
      <c r="AG42" s="4" t="n"/>
      <c r="AH42" s="4" t="n"/>
      <c r="AI42" s="4" t="n"/>
      <c r="AJ42" s="4" t="n"/>
      <c r="AK42" s="4" t="n"/>
      <c r="AL42" s="4" t="n"/>
      <c r="AM42" s="4" t="n"/>
      <c r="AN42" s="4" t="n"/>
      <c r="AO42" s="697" t="n">
        <v>3</v>
      </c>
      <c r="AP42" s="697" t="n">
        <v>1</v>
      </c>
      <c r="AQ42" s="697" t="n">
        <v>1</v>
      </c>
      <c r="AR42" s="697" t="n">
        <v>1</v>
      </c>
      <c r="AS42" s="697" t="n">
        <v>1</v>
      </c>
      <c r="AT42" s="697" t="n">
        <v>1</v>
      </c>
      <c r="AU42" s="697" t="n">
        <v>1</v>
      </c>
      <c r="AV42" s="697" t="n">
        <v>0</v>
      </c>
      <c r="AW42" s="697" t="n">
        <v>0</v>
      </c>
      <c r="AX42" s="697" t="n"/>
      <c r="AY42" s="697" t="n"/>
      <c r="AZ42" s="697" t="n"/>
      <c r="BA42" s="697" t="n"/>
      <c r="BB42" s="697" t="n"/>
      <c r="BC42" s="697" t="n"/>
      <c r="BD42" s="697" t="n"/>
      <c r="BE42" s="697" t="n"/>
      <c r="BF42" s="697" t="n"/>
      <c r="BG42" s="697" t="n"/>
      <c r="BH42" s="697" t="n"/>
      <c r="BI42" s="697" t="n"/>
      <c r="BJ42" s="697" t="n"/>
      <c r="BK42" s="697" t="n"/>
      <c r="BL42" s="697" t="n"/>
      <c r="BM42" s="697" t="n"/>
      <c r="BN42" s="697" t="n"/>
      <c r="BO42" s="697" t="n"/>
      <c r="BP42" s="697" t="n"/>
      <c r="BQ42" s="697" t="n"/>
      <c r="BR42" s="697" t="n"/>
      <c r="BS42" s="697" t="n"/>
      <c r="BT42" s="697" t="n"/>
      <c r="BU42" s="697" t="n"/>
      <c r="BV42" s="697" t="n"/>
      <c r="BW42" s="697" t="n"/>
      <c r="BX42" s="697" t="n"/>
      <c r="BY42" s="697" t="n"/>
      <c r="BZ42" s="697" t="n"/>
      <c r="CA42" s="699" t="n"/>
      <c r="CB42" s="699" t="n"/>
      <c r="CC42" s="192">
        <f>CA42+IF(NOT(ISBLANK(OFFSET(CC42,0,6))),N(OFFSET(CC42,0,6)),N(OFFSET(CC42,0,7)))-CB42</f>
        <v/>
      </c>
      <c r="CL42" s="573" t="n"/>
      <c r="DD42" s="5" t="n"/>
      <c r="DR42" s="5" t="n"/>
      <c r="DS42" s="5" t="n"/>
      <c r="DW42" s="5" t="n"/>
      <c r="EE42" s="573" t="n"/>
      <c r="EF42" s="573" t="n"/>
      <c r="EH42" s="327" t="n"/>
      <c r="EI42" s="573" t="n"/>
      <c r="EJ42" s="573" t="n"/>
      <c r="EK42" s="573" t="n"/>
      <c r="EL42" s="327" t="n"/>
      <c r="EM42" s="573" t="n"/>
      <c r="EN42" s="327" t="n"/>
      <c r="EO42" s="573" t="n"/>
      <c r="EP42" s="327" t="n"/>
      <c r="EQ42" s="573" t="n"/>
      <c r="ER42" s="573" t="n"/>
      <c r="ES42" s="573" t="n"/>
      <c r="ET42" s="573" t="n"/>
      <c r="EU42" s="573" t="n"/>
      <c r="EV42" s="573" t="n"/>
      <c r="EW42" s="573" t="n"/>
      <c r="EX42" s="573" t="n"/>
      <c r="EY42" s="573" t="n"/>
      <c r="EZ42" s="573" t="n"/>
      <c r="FA42" s="573" t="n"/>
      <c r="FB42" s="573" t="n"/>
      <c r="FD42" s="573" t="n"/>
      <c r="FE42" s="573" t="n"/>
      <c r="FF42" s="573" t="n"/>
      <c r="FG42" s="573" t="n"/>
      <c r="FH42" s="573" t="n"/>
      <c r="FI42" s="573" t="n"/>
      <c r="FJ42" s="573" t="n"/>
      <c r="FK42" s="573" t="n"/>
      <c r="FL42" s="573" t="n"/>
      <c r="FM42" s="573" t="n"/>
      <c r="FN42" s="573" t="n"/>
      <c r="FO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" t="n"/>
      <c r="AC43" s="4" t="n"/>
      <c r="AD43" s="4" t="n"/>
      <c r="AE43" s="4" t="n"/>
      <c r="AF43" s="4" t="n"/>
      <c r="AG43" s="4" t="n"/>
      <c r="AH43" s="4" t="n"/>
      <c r="AI43" s="4" t="n"/>
      <c r="AJ43" s="4" t="n"/>
      <c r="AK43" s="4" t="n"/>
      <c r="AL43" s="4" t="n"/>
      <c r="AM43" s="4" t="n"/>
      <c r="AN43" s="4" t="n"/>
      <c r="AO43" s="697" t="n">
        <v>3</v>
      </c>
      <c r="AP43" s="697" t="n">
        <v>2</v>
      </c>
      <c r="AQ43" s="697" t="n">
        <v>1</v>
      </c>
      <c r="AR43" s="697" t="n">
        <v>1</v>
      </c>
      <c r="AS43" s="697" t="n">
        <v>1</v>
      </c>
      <c r="AT43" s="697" t="n">
        <v>1</v>
      </c>
      <c r="AU43" s="697" t="n">
        <v>0</v>
      </c>
      <c r="AV43" s="697" t="n">
        <v>0</v>
      </c>
      <c r="AW43" s="697" t="n">
        <v>0</v>
      </c>
      <c r="AX43" s="697" t="n"/>
      <c r="AY43" s="697" t="n"/>
      <c r="AZ43" s="697" t="n"/>
      <c r="BA43" s="697" t="n"/>
      <c r="BB43" s="697" t="n"/>
      <c r="BC43" s="697" t="n"/>
      <c r="BD43" s="697" t="n"/>
      <c r="BE43" s="697" t="n"/>
      <c r="BF43" s="697" t="n"/>
      <c r="BG43" s="697" t="n"/>
      <c r="BH43" s="697" t="n"/>
      <c r="BI43" s="697" t="n"/>
      <c r="BJ43" s="697" t="n"/>
      <c r="BK43" s="697" t="n"/>
      <c r="BL43" s="697" t="n"/>
      <c r="BM43" s="697" t="n"/>
      <c r="BN43" s="697" t="n"/>
      <c r="BO43" s="697" t="n"/>
      <c r="BP43" s="697" t="n"/>
      <c r="BQ43" s="697" t="n"/>
      <c r="BR43" s="697" t="n"/>
      <c r="BS43" s="697" t="n"/>
      <c r="BT43" s="697" t="n"/>
      <c r="BU43" s="697" t="n"/>
      <c r="BV43" s="697" t="n"/>
      <c r="BW43" s="697" t="n"/>
      <c r="BX43" s="697" t="n"/>
      <c r="BY43" s="697" t="n"/>
      <c r="BZ43" s="697" t="n"/>
      <c r="CA43" s="699" t="n"/>
      <c r="CB43" s="699" t="n"/>
      <c r="CC43" s="192">
        <f>CA43+IF(NOT(ISBLANK(OFFSET(CC43,0,6))),N(OFFSET(CC43,0,6)),N(OFFSET(CC43,0,7)))-CB43</f>
        <v/>
      </c>
      <c r="CF43" s="50" t="n"/>
      <c r="CG43" s="50" t="n"/>
      <c r="CH43" s="50" t="n"/>
      <c r="CL43" s="573" t="n"/>
      <c r="DD43" s="51" t="n"/>
      <c r="DR43" s="5" t="n"/>
      <c r="DS43" s="5" t="n"/>
      <c r="DW43" s="5" t="n"/>
      <c r="ED43" s="173" t="n"/>
      <c r="EE43" s="573" t="n"/>
      <c r="EF43" s="573" t="n"/>
      <c r="EG43" s="173" t="n"/>
      <c r="EH43" s="327" t="n"/>
      <c r="EI43" s="573" t="n"/>
      <c r="EJ43" s="573" t="n"/>
      <c r="EK43" s="573" t="n"/>
      <c r="EL43" s="327" t="n"/>
      <c r="EM43" s="573" t="n"/>
      <c r="EN43" s="327" t="n"/>
      <c r="EO43" s="573" t="n"/>
      <c r="EP43" s="327" t="n"/>
      <c r="EQ43" s="573" t="n"/>
      <c r="ER43" s="573" t="n"/>
      <c r="ES43" s="573" t="n"/>
      <c r="ET43" s="573" t="n"/>
      <c r="EU43" s="573" t="n"/>
      <c r="EV43" s="573" t="n"/>
      <c r="EW43" s="573" t="n"/>
      <c r="EX43" s="573" t="n"/>
      <c r="EY43" s="573" t="n"/>
      <c r="EZ43" s="573" t="n"/>
      <c r="FA43" s="573" t="n"/>
      <c r="FB43" s="573" t="n"/>
      <c r="FD43" s="573" t="n"/>
      <c r="FE43" s="573" t="n"/>
      <c r="FF43" s="573" t="n"/>
      <c r="FG43" s="573" t="n"/>
      <c r="FH43" s="573" t="n"/>
      <c r="FI43" s="573" t="n"/>
      <c r="FJ43" s="573" t="n"/>
      <c r="FK43" s="573" t="n"/>
      <c r="FL43" s="573" t="n"/>
      <c r="FM43" s="573" t="n"/>
      <c r="FN43" s="573" t="n"/>
      <c r="FO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7" t="n">
        <v>97</v>
      </c>
      <c r="BE44" s="697" t="n">
        <v>88</v>
      </c>
      <c r="BF44" s="697" t="n">
        <v>48</v>
      </c>
      <c r="BG44" s="697" t="n">
        <v>40</v>
      </c>
      <c r="BH44" s="697" t="n">
        <v>7</v>
      </c>
      <c r="BI44" s="697" t="n">
        <v>6</v>
      </c>
      <c r="BJ44" s="697" t="n">
        <v>5</v>
      </c>
      <c r="BK44" s="697" t="n">
        <v>3</v>
      </c>
      <c r="BL44" s="697" t="n">
        <v>0</v>
      </c>
      <c r="BM44" s="697" t="n">
        <v>0</v>
      </c>
      <c r="BN44" s="697" t="n">
        <v>0</v>
      </c>
      <c r="BO44" s="697" t="n">
        <v>0</v>
      </c>
      <c r="BP44" s="697" t="n">
        <v>0</v>
      </c>
      <c r="BQ44" s="697" t="n">
        <v>0</v>
      </c>
      <c r="BR44" s="697" t="n">
        <v>0</v>
      </c>
      <c r="BS44" s="697" t="n"/>
      <c r="BT44" s="697" t="n"/>
      <c r="BU44" s="697" t="n"/>
      <c r="BV44" s="697" t="n"/>
      <c r="BW44" s="697" t="n"/>
      <c r="BX44" s="697" t="n"/>
      <c r="BY44" s="697" t="n"/>
      <c r="BZ44" s="697" t="n"/>
      <c r="CA44" s="699" t="n"/>
      <c r="CB44" s="699" t="n"/>
      <c r="CC44" s="192">
        <f>CA44+IF(NOT(ISBLANK(OFFSET(CC44,0,6))),N(OFFSET(CC44,0,6)),N(OFFSET(CC44,0,7)))-CB44</f>
        <v/>
      </c>
      <c r="CD44" s="50" t="n"/>
      <c r="CF44" s="50" t="n"/>
      <c r="CG44" s="50" t="n"/>
      <c r="CH44" s="50" t="n"/>
      <c r="CL44" s="573" t="n"/>
      <c r="DD44" s="51" t="n"/>
      <c r="DR44" s="51" t="n"/>
      <c r="DS44" s="51" t="n"/>
      <c r="DW44" s="51" t="n"/>
      <c r="ED44" s="174" t="n"/>
      <c r="EG44" s="174" t="n"/>
      <c r="EH44" s="327" t="n"/>
      <c r="EL44" s="327" t="n"/>
      <c r="EN44" s="327" t="n"/>
      <c r="EP44" s="327" t="n"/>
      <c r="FD44" s="573" t="n"/>
      <c r="FE44" s="573" t="n"/>
      <c r="FF44" s="573" t="n"/>
      <c r="FG44" s="573" t="n"/>
      <c r="FH44" s="573" t="n"/>
      <c r="FI44" s="573" t="n"/>
      <c r="FJ44" s="573" t="n"/>
      <c r="FK44" s="573" t="n"/>
      <c r="FL44" s="573" t="n"/>
      <c r="FM44" s="573" t="n"/>
      <c r="FN44" s="573" t="n"/>
      <c r="FO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7" t="n">
        <v>164</v>
      </c>
      <c r="BE45" s="697" t="n">
        <v>121</v>
      </c>
      <c r="BF45" s="697" t="n">
        <v>16</v>
      </c>
      <c r="BG45" s="697" t="n">
        <v>9</v>
      </c>
      <c r="BH45" s="697" t="n">
        <v>24</v>
      </c>
      <c r="BI45" s="697" t="n">
        <v>23</v>
      </c>
      <c r="BJ45" s="697" t="n">
        <v>23</v>
      </c>
      <c r="BK45" s="697" t="n">
        <v>22</v>
      </c>
      <c r="BL45" s="697" t="n">
        <v>19</v>
      </c>
      <c r="BM45" s="697" t="n">
        <v>16</v>
      </c>
      <c r="BN45" s="697" t="n">
        <v>15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/>
      <c r="BT45" s="697" t="n"/>
      <c r="BU45" s="697" t="n"/>
      <c r="BV45" s="697" t="n"/>
      <c r="BW45" s="697" t="n"/>
      <c r="BX45" s="697" t="n"/>
      <c r="BY45" s="697" t="n"/>
      <c r="BZ45" s="697" t="n"/>
      <c r="CA45" s="699" t="n"/>
      <c r="CB45" s="699" t="n"/>
      <c r="CC45" s="192">
        <f>CA45+IF(NOT(ISBLANK(OFFSET(CC45,0,6))),N(OFFSET(CC45,0,6)),N(OFFSET(CC45,0,7)))-CB45</f>
        <v/>
      </c>
      <c r="CD45" s="50" t="n"/>
      <c r="CF45" s="50" t="n"/>
      <c r="CG45" s="50" t="n"/>
      <c r="CH45" s="50" t="n"/>
      <c r="DD45" s="51" t="n"/>
      <c r="DR45" s="51" t="n"/>
      <c r="DS45" s="51" t="n"/>
      <c r="DW45" s="51" t="n"/>
      <c r="ED45" s="174" t="n"/>
      <c r="EG45" s="174" t="n"/>
      <c r="EH45" s="327" t="n"/>
      <c r="EL45" s="327" t="n"/>
      <c r="EN45" s="327" t="n"/>
      <c r="EP45" s="327" t="n"/>
    </row>
    <row r="46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7" t="n">
        <v>325</v>
      </c>
      <c r="BE46" s="697" t="n">
        <v>193</v>
      </c>
      <c r="BF46" s="697" t="n">
        <v>54</v>
      </c>
      <c r="BG46" s="697" t="n">
        <v>48</v>
      </c>
      <c r="BH46" s="697" t="n">
        <v>36</v>
      </c>
      <c r="BI46" s="697" t="n">
        <v>36</v>
      </c>
      <c r="BJ46" s="697" t="n">
        <v>36</v>
      </c>
      <c r="BK46" s="697" t="n">
        <v>36</v>
      </c>
      <c r="BL46" s="697" t="n">
        <v>36</v>
      </c>
      <c r="BM46" s="697" t="n">
        <v>36</v>
      </c>
      <c r="BN46" s="697" t="n">
        <v>36</v>
      </c>
      <c r="BO46" s="697" t="n">
        <v>36</v>
      </c>
      <c r="BP46" s="697" t="n">
        <v>36</v>
      </c>
      <c r="BQ46" s="697" t="n">
        <v>36</v>
      </c>
      <c r="BR46" s="697" t="n">
        <v>36</v>
      </c>
      <c r="BS46" s="697" t="n">
        <v>36</v>
      </c>
      <c r="BT46" s="697" t="n">
        <v>36</v>
      </c>
      <c r="BU46" s="697" t="n">
        <v>36</v>
      </c>
      <c r="BV46" s="697" t="n">
        <v>36</v>
      </c>
      <c r="BW46" s="697" t="n">
        <v>35</v>
      </c>
      <c r="BX46" s="697" t="n">
        <v>35</v>
      </c>
      <c r="BY46" s="697" t="n">
        <v>35</v>
      </c>
      <c r="BZ46" s="697" t="n">
        <v>35</v>
      </c>
      <c r="CA46" s="699" t="n">
        <v>35</v>
      </c>
      <c r="CB46" s="699" t="n">
        <v>35</v>
      </c>
      <c r="CC46" s="192">
        <f>CA46+IF(NOT(ISBLANK(OFFSET(CC46,0,6))),N(OFFSET(CC46,0,6)),N(OFFSET(CC46,0,7)))-CB46</f>
        <v/>
      </c>
      <c r="CD46" s="50" t="n"/>
      <c r="CF46" s="50" t="n"/>
      <c r="CG46" s="50" t="n"/>
      <c r="CH46" s="50" t="n"/>
      <c r="DD46" s="51" t="n"/>
      <c r="DR46" s="51" t="n"/>
      <c r="DS46" s="51" t="n"/>
      <c r="DW46" s="51" t="n"/>
      <c r="ED46" s="174" t="n"/>
      <c r="EG46" s="174" t="n"/>
      <c r="EH46" s="327" t="n"/>
      <c r="EL46" s="327" t="n"/>
      <c r="EN46" s="327" t="n"/>
      <c r="EP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7" t="n">
        <v>42</v>
      </c>
      <c r="BE47" s="697" t="n">
        <v>7</v>
      </c>
      <c r="BF47" s="697" t="n">
        <v>3</v>
      </c>
      <c r="BG47" s="697" t="n">
        <v>3</v>
      </c>
      <c r="BH47" s="697" t="n">
        <v>1</v>
      </c>
      <c r="BI47" s="697" t="n">
        <v>1</v>
      </c>
      <c r="BJ47" s="697" t="n">
        <v>1</v>
      </c>
      <c r="BK47" s="697" t="n">
        <v>1</v>
      </c>
      <c r="BL47" s="697" t="n">
        <v>1</v>
      </c>
      <c r="BM47" s="697" t="n">
        <v>1</v>
      </c>
      <c r="BN47" s="697" t="n">
        <v>1</v>
      </c>
      <c r="BO47" s="697" t="n">
        <v>1</v>
      </c>
      <c r="BP47" s="697" t="n">
        <v>1</v>
      </c>
      <c r="BQ47" s="697" t="n">
        <v>1</v>
      </c>
      <c r="BR47" s="697" t="n">
        <v>1</v>
      </c>
      <c r="BS47" s="697" t="n">
        <v>1</v>
      </c>
      <c r="BT47" s="697" t="n">
        <v>1</v>
      </c>
      <c r="BU47" s="697" t="n">
        <v>1</v>
      </c>
      <c r="BV47" s="697" t="n">
        <v>1</v>
      </c>
      <c r="BW47" s="697" t="n">
        <v>1</v>
      </c>
      <c r="BX47" s="697" t="n">
        <v>1</v>
      </c>
      <c r="BY47" s="697" t="n">
        <v>1</v>
      </c>
      <c r="BZ47" s="697" t="n">
        <v>1</v>
      </c>
      <c r="CA47" s="699" t="n">
        <v>1</v>
      </c>
      <c r="CB47" s="699" t="n">
        <v>1</v>
      </c>
      <c r="CC47" s="192">
        <f>CA47+IF(NOT(ISBLANK(OFFSET(CC47,0,6))),N(OFFSET(CC47,0,6)),N(OFFSET(CC47,0,7)))-CB47</f>
        <v/>
      </c>
      <c r="CD47" s="50" t="n"/>
      <c r="CF47" s="50" t="n"/>
      <c r="CG47" s="50" t="n"/>
      <c r="CH47" s="50" t="n"/>
      <c r="CL47" s="5" t="n"/>
      <c r="DD47" s="51" t="n"/>
      <c r="DR47" s="51" t="n"/>
      <c r="DS47" s="51" t="n"/>
      <c r="DW47" s="51" t="n"/>
      <c r="ED47" s="174" t="n"/>
      <c r="EG47" s="174" t="n"/>
      <c r="EH47" s="327" t="n"/>
      <c r="EL47" s="327" t="n"/>
      <c r="EN47" s="327" t="n"/>
      <c r="EP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7" t="n"/>
      <c r="BE48" s="697" t="n">
        <v>0</v>
      </c>
      <c r="BF48" s="697" t="n">
        <v>0</v>
      </c>
      <c r="BG48" s="697" t="n">
        <v>0</v>
      </c>
      <c r="BH48" s="697" t="n">
        <v>0</v>
      </c>
      <c r="BI48" s="697" t="n">
        <v>0</v>
      </c>
      <c r="BJ48" s="697" t="n">
        <v>0</v>
      </c>
      <c r="BK48" s="697" t="n">
        <v>0</v>
      </c>
      <c r="BL48" s="697" t="n">
        <v>0</v>
      </c>
      <c r="BM48" s="697" t="n">
        <v>0</v>
      </c>
      <c r="BN48" s="697" t="n">
        <v>0</v>
      </c>
      <c r="BO48" s="697" t="n">
        <v>0</v>
      </c>
      <c r="BP48" s="697" t="n">
        <v>0</v>
      </c>
      <c r="BQ48" s="697" t="n">
        <v>0</v>
      </c>
      <c r="BR48" s="697" t="n">
        <v>0</v>
      </c>
      <c r="BS48" s="697" t="n"/>
      <c r="BT48" s="697" t="n"/>
      <c r="BU48" s="697" t="n"/>
      <c r="BV48" s="697" t="n"/>
      <c r="BW48" s="697" t="n"/>
      <c r="BX48" s="697" t="n"/>
      <c r="BY48" s="697" t="n"/>
      <c r="BZ48" s="697" t="n"/>
      <c r="CA48" s="699" t="n"/>
      <c r="CB48" s="699" t="n"/>
      <c r="CC48" s="192">
        <f>CA48+IF(NOT(ISBLANK(OFFSET(CC48,0,6))),N(OFFSET(CC48,0,6)),N(OFFSET(CC48,0,7)))-CB48</f>
        <v/>
      </c>
      <c r="CD48" s="50" t="n"/>
      <c r="CF48" s="50" t="n"/>
      <c r="CG48" s="50" t="n"/>
      <c r="CH48" s="50" t="n"/>
      <c r="DD48" s="51" t="n"/>
      <c r="DR48" s="51" t="n"/>
      <c r="DS48" s="51" t="n"/>
      <c r="DW48" s="51" t="n"/>
      <c r="ED48" s="174" t="n"/>
      <c r="EG48" s="174" t="n"/>
      <c r="EH48" s="327" t="n"/>
      <c r="EL48" s="327" t="n"/>
      <c r="EN48" s="327" t="n"/>
      <c r="EP48" s="327" t="n"/>
    </row>
    <row r="49">
      <c r="C49" s="72" t="n"/>
      <c r="D49" s="72" t="n"/>
      <c r="CD49" s="50" t="n"/>
      <c r="CF49" s="50" t="n"/>
      <c r="CG49" s="50" t="n"/>
      <c r="CH49" s="50" t="n"/>
      <c r="DD49" s="51" t="n"/>
      <c r="DR49" s="51" t="n"/>
      <c r="DS49" s="51" t="n"/>
      <c r="DW49" s="51" t="n"/>
      <c r="ED49" s="174" t="n"/>
      <c r="EG49" s="174" t="n"/>
      <c r="EH49" s="327" t="n"/>
      <c r="EL49" s="327" t="n"/>
      <c r="EN49" s="327" t="n"/>
      <c r="EP49" s="327" t="n"/>
    </row>
    <row r="50" ht="21" customHeight="1">
      <c r="A50" s="380" t="inlineStr">
        <is>
          <t>SOBRAS DATAS COMEMORATIVAS</t>
        </is>
      </c>
      <c r="B50" s="380" t="n"/>
      <c r="C50" s="380" t="n"/>
      <c r="CD50" s="50" t="n"/>
      <c r="CF50" s="50" t="n"/>
      <c r="CG50" s="50" t="n"/>
      <c r="CH50" s="50" t="n"/>
      <c r="DD50" s="573" t="n"/>
      <c r="DG50" s="173" t="n"/>
      <c r="DJ50" s="59" t="n"/>
      <c r="DK50" s="59" t="n"/>
      <c r="DM50" s="59" t="n"/>
      <c r="DN50" s="59" t="n"/>
      <c r="DO50" s="59" t="n"/>
      <c r="DP50" s="59" t="n"/>
      <c r="DQ50" s="59" t="n"/>
      <c r="DR50" s="51" t="n"/>
      <c r="DS50" s="51" t="n"/>
      <c r="DT50" s="59" t="n"/>
      <c r="DU50" s="59" t="n"/>
      <c r="DV50" s="59" t="n"/>
      <c r="DW50" s="51" t="n"/>
      <c r="DX50" s="59" t="n"/>
      <c r="DY50" s="59" t="n"/>
      <c r="DZ50" s="59" t="n"/>
      <c r="EB50" s="59" t="n"/>
      <c r="ED50" s="174" t="n"/>
      <c r="EG50" s="174" t="n"/>
      <c r="EH50" s="327" t="n"/>
      <c r="EL50" s="327" t="n"/>
      <c r="EN50" s="327" t="n"/>
      <c r="EP50" s="327" t="n"/>
    </row>
    <row r="51" hidden="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BZ51" s="573" t="n"/>
      <c r="CA51" s="573" t="n"/>
      <c r="CB51" s="573" t="n"/>
      <c r="CD51" s="50" t="n"/>
      <c r="CF51" s="573" t="n"/>
      <c r="CG51" s="251" t="n"/>
      <c r="CH51" s="573" t="n"/>
      <c r="DD51" s="573" t="n"/>
      <c r="DG51" s="174" t="n"/>
      <c r="DI51" s="59" t="n"/>
      <c r="DJ51" s="573" t="n"/>
      <c r="DK51" s="573" t="n"/>
      <c r="DM51" s="573" t="n"/>
      <c r="DN51" s="573" t="n"/>
      <c r="DO51" s="573" t="n"/>
      <c r="DP51" s="573" t="n"/>
      <c r="DQ51" s="573" t="n"/>
      <c r="DR51" s="573" t="n"/>
      <c r="DS51" s="573" t="n"/>
      <c r="DT51" s="573" t="n"/>
      <c r="DU51" s="573" t="n"/>
      <c r="DV51" s="573" t="n"/>
      <c r="DW51" s="573" t="n"/>
      <c r="DX51" s="573" t="n"/>
      <c r="DY51" s="573" t="n"/>
      <c r="DZ51" s="573" t="n"/>
      <c r="EA51" s="59" t="n"/>
      <c r="EB51" s="573" t="n"/>
      <c r="EC51" s="59" t="n"/>
      <c r="EH51" s="327" t="n"/>
      <c r="EL51" s="327" t="n"/>
      <c r="EN51" s="327" t="n"/>
      <c r="EP51" s="327" t="n"/>
      <c r="FC51" s="573" t="n"/>
      <c r="FP51" s="2" t="n"/>
      <c r="FQ51" s="2" t="n"/>
      <c r="FR51" s="2" t="n"/>
      <c r="FS51" s="2" t="n"/>
      <c r="FT51" s="2" t="n"/>
      <c r="FU51" s="2" t="n"/>
      <c r="FV51" s="2" t="n"/>
      <c r="FW51" s="2" t="n"/>
      <c r="FX51" s="2" t="n"/>
      <c r="FY51" s="2" t="n"/>
      <c r="FZ51" s="2" t="n"/>
      <c r="GA51" s="2" t="n"/>
      <c r="GB51" s="2" t="n"/>
      <c r="GC51" s="2" t="n"/>
      <c r="GD51" s="2" t="n"/>
      <c r="GE51" s="2" t="n"/>
      <c r="GF51" s="2" t="n"/>
      <c r="GG51" s="2" t="n"/>
      <c r="GH51" s="2" t="n"/>
      <c r="GI51" s="2" t="n"/>
      <c r="GJ51" s="2" t="n"/>
      <c r="GK51" s="2" t="n"/>
      <c r="GL51" s="2" t="n"/>
      <c r="GM51" s="2" t="n"/>
      <c r="GN51" s="2" t="n"/>
      <c r="GO51" s="2" t="n"/>
      <c r="GP51" s="2" t="n"/>
      <c r="GQ51" s="29" t="n"/>
      <c r="GR51" s="29" t="n"/>
      <c r="GS51" s="29" t="n"/>
      <c r="GT51" s="29" t="n"/>
      <c r="GU51" s="29" t="n"/>
      <c r="GV51" s="29" t="n"/>
      <c r="GW51" s="29" t="n"/>
      <c r="GX51" s="29" t="n"/>
      <c r="GY51" s="29" t="n"/>
      <c r="GZ51" s="29" t="n"/>
      <c r="HA51" s="29" t="n"/>
      <c r="HB51" s="29" t="n"/>
      <c r="HC51" s="29" t="n"/>
      <c r="HD51" s="29" t="n"/>
      <c r="HE51" s="29" t="n"/>
      <c r="HF51" s="29" t="n"/>
      <c r="HG51" s="29" t="n"/>
      <c r="HH51" s="29" t="n"/>
      <c r="HI51" s="29" t="n"/>
      <c r="HJ51" s="29" t="n"/>
      <c r="HK51" s="29" t="n"/>
      <c r="HL51" s="29" t="n"/>
      <c r="HM51" s="29" t="n"/>
      <c r="HN51" s="29" t="n"/>
      <c r="HO51" s="29" t="n"/>
      <c r="HP51" s="29" t="n"/>
      <c r="HQ51" s="29" t="n"/>
      <c r="HR51" s="29" t="n"/>
      <c r="HS51" s="29" t="n"/>
      <c r="HT51" s="29" t="n"/>
      <c r="HU51" s="29" t="n"/>
      <c r="HV51" s="29" t="n"/>
      <c r="HW51" s="29" t="n"/>
      <c r="HX51" s="29" t="n"/>
      <c r="HY51" s="29" t="n"/>
      <c r="HZ51" s="29" t="n"/>
      <c r="IA51" s="29" t="n"/>
      <c r="IB51" s="29" t="n"/>
      <c r="IC51" s="29" t="n"/>
      <c r="ID51" s="29" t="n"/>
      <c r="IE51" s="29" t="n"/>
      <c r="IF51" s="29" t="n"/>
      <c r="IG51" s="29" t="n"/>
      <c r="IH51" s="29" t="n"/>
      <c r="II51" s="29" t="n"/>
      <c r="IJ51" s="29" t="n"/>
      <c r="IK51" s="29" t="n"/>
      <c r="IL51" s="29" t="n"/>
      <c r="IM51" s="29" t="n"/>
      <c r="IN51" s="50" t="n"/>
      <c r="IO51" s="50" t="n"/>
      <c r="IP51" s="50" t="n"/>
      <c r="IQ51" s="50" t="n"/>
      <c r="IR51" s="50" t="n"/>
      <c r="IS51" s="50" t="n"/>
      <c r="IT51" s="50" t="n"/>
      <c r="IU51" s="50" t="n"/>
      <c r="IV51" s="50" t="n"/>
      <c r="IW51" s="50" t="n"/>
      <c r="IX51" s="50" t="n"/>
      <c r="IY51" s="50" t="n"/>
      <c r="IZ51" s="50" t="n"/>
      <c r="JA51" s="50" t="n"/>
      <c r="JB51" s="50" t="n"/>
      <c r="JC51" s="29" t="n"/>
      <c r="JD51" s="29" t="n"/>
      <c r="JE51" s="29" t="n"/>
      <c r="JF51" s="29" t="n"/>
      <c r="JG51" s="29" t="n"/>
      <c r="JH51" s="29" t="n"/>
      <c r="JI51" s="29" t="n"/>
      <c r="JJ51" s="29" t="n"/>
      <c r="JK51" s="62" t="n"/>
      <c r="JL51" s="62" t="n"/>
      <c r="JM51" s="71" t="n"/>
      <c r="JN51" s="29" t="n"/>
      <c r="JO51" s="29" t="n"/>
      <c r="JP51" s="62" t="n"/>
      <c r="JQ51" s="62" t="n"/>
      <c r="JR51" s="29" t="n"/>
      <c r="JT51" s="29" t="n"/>
      <c r="JU51" s="174" t="n"/>
      <c r="JV51" s="29" t="n"/>
      <c r="JW51" s="29" t="n"/>
      <c r="JX51" s="29" t="n"/>
      <c r="JY51" s="71" t="n"/>
      <c r="JZ51" s="62" t="n"/>
      <c r="KA51" s="29" t="n"/>
      <c r="KC51" s="29" t="n"/>
      <c r="KD51" s="29" t="n"/>
      <c r="KE51" s="29" t="n"/>
      <c r="KF51" s="29" t="n"/>
      <c r="KG51" s="29" t="n"/>
      <c r="KH51" s="174" t="n"/>
      <c r="KI51" s="29" t="n"/>
      <c r="KJ51" s="29" t="n"/>
      <c r="KK51" s="71" t="n"/>
      <c r="KL51" s="29" t="n"/>
      <c r="KM51" s="29" t="n"/>
      <c r="KN51" s="29" t="n"/>
      <c r="KO51" s="29" t="n"/>
      <c r="KP51" s="71" t="n"/>
      <c r="KQ51" s="29" t="n"/>
      <c r="KR51" s="29" t="n"/>
      <c r="KS51" s="29" t="n"/>
      <c r="KT51" s="29" t="n"/>
      <c r="KU51" s="29" t="n"/>
      <c r="KV51" s="71" t="n"/>
      <c r="KW51" s="29" t="n"/>
      <c r="KX51" s="29" t="n"/>
      <c r="KY51" s="29" t="n"/>
      <c r="KZ51" s="29" t="n"/>
      <c r="LA51" s="29" t="n"/>
      <c r="LB51" s="29" t="n"/>
      <c r="LC51" s="29" t="n"/>
      <c r="LD51" s="29" t="n"/>
      <c r="LE51" s="29" t="n"/>
      <c r="LF51" s="29" t="n"/>
      <c r="LG51" s="29" t="n"/>
      <c r="LH51" s="29" t="n"/>
      <c r="LI51" s="29" t="n"/>
      <c r="LJ51" s="29" t="n"/>
      <c r="LK51" s="29" t="n"/>
      <c r="LL51" s="29" t="n"/>
      <c r="LM51" s="29" t="n"/>
      <c r="LN51" s="29" t="n"/>
      <c r="LO51" s="29" t="n"/>
      <c r="LP51" s="29" t="n"/>
      <c r="LQ51" s="29" t="n"/>
      <c r="LR51" s="29" t="n"/>
      <c r="LS51" s="29" t="n"/>
      <c r="LT51" s="29" t="n"/>
      <c r="LU51" s="29" t="n"/>
      <c r="LV51" s="29" t="n"/>
      <c r="LW51" s="29" t="n"/>
      <c r="LX51" s="29" t="n"/>
      <c r="LY51" s="29" t="n"/>
      <c r="LZ51" s="29" t="n"/>
      <c r="MA51" s="29" t="n"/>
      <c r="MB51" s="29" t="n"/>
      <c r="MC51" s="29" t="n"/>
      <c r="MD51" s="29" t="n"/>
      <c r="ME51" s="29" t="n"/>
      <c r="MF51" s="29" t="n"/>
      <c r="MG51" s="29" t="n"/>
      <c r="MH51" s="29" t="n"/>
      <c r="MI51" s="29" t="n"/>
      <c r="MJ51" s="29" t="n"/>
      <c r="MK51" s="29" t="n"/>
      <c r="ML51" s="29" t="n"/>
      <c r="MM51" s="29" t="n"/>
      <c r="MN51" s="29" t="n"/>
      <c r="MO51" s="29" t="n"/>
    </row>
    <row r="52" hidden="1">
      <c r="A52" s="179" t="inlineStr">
        <is>
          <t>TAG NAMORADOS/2023</t>
        </is>
      </c>
      <c r="B52" s="180" t="n">
        <v>300</v>
      </c>
      <c r="C52" s="136" t="n">
        <v>149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1" t="n"/>
      <c r="CF52" s="573" t="n"/>
      <c r="CG52" s="251" t="n"/>
      <c r="CH52" s="573" t="n"/>
      <c r="CX52" s="59" t="n"/>
      <c r="CY52" s="59" t="n"/>
      <c r="CZ52" s="59" t="n"/>
      <c r="DA52" s="59" t="n"/>
      <c r="DB52" s="59" t="n"/>
      <c r="DC52" s="59" t="n"/>
      <c r="DD52" s="573" t="n"/>
      <c r="DE52" s="59" t="n"/>
      <c r="DF52" s="59" t="n"/>
      <c r="DG52" s="174" t="n"/>
      <c r="DH52" s="59" t="n"/>
      <c r="DI52" s="573" t="n"/>
      <c r="DJ52" s="573" t="n"/>
      <c r="DK52" s="573" t="n"/>
      <c r="DL52" s="59" t="n"/>
      <c r="DM52" s="573" t="n"/>
      <c r="DN52" s="573" t="n"/>
      <c r="DO52" s="573" t="n"/>
      <c r="DP52" s="573" t="n"/>
      <c r="DQ52" s="573" t="n"/>
      <c r="DR52" s="573" t="n"/>
      <c r="DS52" s="573" t="n"/>
      <c r="DT52" s="573" t="n"/>
      <c r="DU52" s="573" t="n"/>
      <c r="DV52" s="573" t="n"/>
      <c r="DW52" s="573" t="n"/>
      <c r="DX52" s="573" t="n"/>
      <c r="DY52" s="573" t="n"/>
      <c r="DZ52" s="573" t="n"/>
      <c r="EA52" s="573" t="n"/>
      <c r="EB52" s="573" t="n"/>
      <c r="EC52" s="573" t="n"/>
      <c r="EH52" s="327" t="n"/>
      <c r="EL52" s="327" t="n"/>
      <c r="EN52" s="327" t="n"/>
      <c r="EP52" s="327" t="n"/>
      <c r="FC52" s="573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GH52" s="2" t="n"/>
      <c r="GI52" s="2" t="n"/>
      <c r="GJ52" s="2" t="n"/>
      <c r="GK52" s="2" t="n"/>
      <c r="GL52" s="2" t="n"/>
      <c r="GM52" s="2" t="n"/>
      <c r="GN52" s="2" t="n"/>
      <c r="GO52" s="2" t="n"/>
      <c r="GP52" s="2" t="n"/>
      <c r="GQ52" s="29" t="n"/>
      <c r="GR52" s="29" t="n"/>
      <c r="GS52" s="29" t="n"/>
      <c r="GT52" s="29" t="n"/>
      <c r="GU52" s="29" t="n"/>
      <c r="GV52" s="29" t="n"/>
      <c r="GW52" s="29" t="n"/>
      <c r="GX52" s="29" t="n"/>
      <c r="GY52" s="29" t="n"/>
      <c r="GZ52" s="29" t="n"/>
      <c r="HA52" s="29" t="n"/>
      <c r="HB52" s="29" t="n"/>
      <c r="HC52" s="29" t="n"/>
      <c r="HD52" s="29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29" t="n"/>
      <c r="IC52" s="29" t="n"/>
      <c r="ID52" s="29" t="n"/>
      <c r="IE52" s="29" t="n"/>
      <c r="IF52" s="29" t="n"/>
      <c r="IG52" s="29" t="n"/>
      <c r="IH52" s="29" t="n"/>
      <c r="II52" s="29" t="n"/>
      <c r="IJ52" s="29" t="n"/>
      <c r="IK52" s="29" t="n"/>
      <c r="IL52" s="29" t="n"/>
      <c r="IM52" s="29" t="n"/>
      <c r="IN52" s="50" t="n"/>
      <c r="IO52" s="50" t="n"/>
      <c r="IP52" s="50" t="n"/>
      <c r="IQ52" s="50" t="n"/>
      <c r="IR52" s="50" t="n"/>
      <c r="IS52" s="50" t="n"/>
      <c r="IT52" s="50" t="n"/>
      <c r="IU52" s="50" t="n"/>
      <c r="IV52" s="50" t="n"/>
      <c r="IW52" s="50" t="n"/>
      <c r="IX52" s="50" t="n"/>
      <c r="IY52" s="50" t="n"/>
      <c r="IZ52" s="50" t="n"/>
      <c r="JA52" s="50" t="n"/>
      <c r="JB52" s="50" t="n"/>
      <c r="JC52" s="29" t="n"/>
      <c r="JD52" s="29" t="n"/>
      <c r="JE52" s="29" t="n"/>
      <c r="JF52" s="29" t="n"/>
      <c r="JG52" s="29" t="n"/>
      <c r="JH52" s="29" t="n"/>
      <c r="JI52" s="29" t="n"/>
      <c r="JJ52" s="29" t="n"/>
      <c r="JK52" s="62" t="n"/>
      <c r="JL52" s="62" t="n"/>
      <c r="JM52" s="71" t="n"/>
      <c r="JN52" s="29" t="n"/>
      <c r="JO52" s="29" t="n"/>
      <c r="JP52" s="62" t="n"/>
      <c r="JQ52" s="62" t="n"/>
      <c r="JR52" s="29" t="n"/>
      <c r="JT52" s="29" t="n"/>
      <c r="JU52" s="176" t="n"/>
      <c r="JV52" s="29" t="n"/>
      <c r="JW52" s="29" t="n"/>
      <c r="JX52" s="29" t="n"/>
      <c r="JY52" s="71" t="n"/>
      <c r="JZ52" s="62" t="n"/>
      <c r="KA52" s="29" t="n"/>
      <c r="KC52" s="29" t="n"/>
      <c r="KD52" s="29" t="n"/>
      <c r="KE52" s="29" t="n"/>
      <c r="KF52" s="29" t="n"/>
      <c r="KG52" s="29" t="n"/>
      <c r="KH52" s="176" t="n"/>
      <c r="KI52" s="29" t="n"/>
      <c r="KJ52" s="29" t="n"/>
      <c r="KK52" s="71" t="n"/>
      <c r="KL52" s="29" t="n"/>
      <c r="KM52" s="29" t="n"/>
      <c r="KN52" s="29" t="n"/>
      <c r="KO52" s="29" t="n"/>
      <c r="KP52" s="71" t="n"/>
      <c r="KQ52" s="29" t="n"/>
      <c r="KR52" s="29" t="n"/>
      <c r="KS52" s="29" t="n"/>
      <c r="KT52" s="29" t="n"/>
      <c r="KU52" s="29" t="n"/>
      <c r="KV52" s="71" t="n"/>
      <c r="KW52" s="29" t="n"/>
      <c r="KX52" s="29" t="n"/>
      <c r="KY52" s="29" t="n"/>
      <c r="KZ52" s="29" t="n"/>
      <c r="LA52" s="29" t="n"/>
      <c r="LB52" s="29" t="n"/>
      <c r="LC52" s="29" t="n"/>
      <c r="LD52" s="29" t="n"/>
      <c r="LE52" s="29" t="n"/>
      <c r="LF52" s="29" t="n"/>
      <c r="LG52" s="29" t="n"/>
      <c r="LH52" s="29" t="n"/>
      <c r="LI52" s="29" t="n"/>
      <c r="LJ52" s="29" t="n"/>
      <c r="LK52" s="29" t="n"/>
      <c r="LL52" s="29" t="n"/>
      <c r="LM52" s="29" t="n"/>
      <c r="LN52" s="29" t="n"/>
      <c r="LO52" s="29" t="n"/>
      <c r="LP52" s="29" t="n"/>
      <c r="LQ52" s="29" t="n"/>
      <c r="LR52" s="29" t="n"/>
      <c r="LS52" s="29" t="n"/>
      <c r="LT52" s="29" t="n"/>
      <c r="LU52" s="29" t="n"/>
      <c r="LV52" s="29" t="n"/>
      <c r="LW52" s="29" t="n"/>
      <c r="LX52" s="29" t="n"/>
      <c r="LY52" s="29" t="n"/>
      <c r="LZ52" s="29" t="n"/>
      <c r="MA52" s="29" t="n"/>
      <c r="MB52" s="29" t="n"/>
      <c r="MC52" s="29" t="n"/>
      <c r="MD52" s="29" t="n"/>
      <c r="ME52" s="29" t="n"/>
      <c r="MF52" s="29" t="n"/>
      <c r="MG52" s="29" t="n"/>
      <c r="MH52" s="29" t="n"/>
      <c r="MI52" s="29" t="n"/>
      <c r="MJ52" s="29" t="n"/>
      <c r="MK52" s="29" t="n"/>
      <c r="ML52" s="29" t="n"/>
      <c r="MM52" s="29" t="n"/>
      <c r="MN52" s="29" t="n"/>
      <c r="MO52" s="29" t="n"/>
    </row>
    <row r="53" hidden="1">
      <c r="A53" s="391" t="n"/>
      <c r="B53" s="391" t="n"/>
      <c r="C53" s="391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F53" s="573" t="n"/>
      <c r="CG53" s="573" t="n"/>
      <c r="CH53" s="573" t="n"/>
      <c r="CX53" s="573" t="n"/>
      <c r="CY53" s="573" t="n"/>
      <c r="CZ53" s="573" t="n"/>
      <c r="DA53" s="573" t="n"/>
      <c r="DB53" s="573" t="n"/>
      <c r="DC53" s="573" t="n"/>
      <c r="DD53" s="573" t="n"/>
      <c r="DE53" s="573" t="n"/>
      <c r="DF53" s="573" t="n"/>
      <c r="DH53" s="573" t="n"/>
      <c r="DI53" s="573" t="n"/>
      <c r="DL53" s="573" t="n"/>
      <c r="DR53" s="573" t="n"/>
      <c r="DS53" s="573" t="n"/>
      <c r="DW53" s="573" t="n"/>
      <c r="EA53" s="573" t="n"/>
      <c r="EC53" s="573" t="n"/>
      <c r="EH53" s="327" t="n"/>
      <c r="EL53" s="327" t="n"/>
      <c r="EN53" s="327" t="n"/>
      <c r="EP53" s="327" t="n"/>
      <c r="FC53" s="573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" t="n"/>
      <c r="GK53" s="2" t="n"/>
      <c r="GL53" s="2" t="n"/>
      <c r="GM53" s="2" t="n"/>
      <c r="GN53" s="2" t="n"/>
      <c r="GO53" s="2" t="n"/>
      <c r="GP53" s="2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29" t="n"/>
      <c r="II53" s="29" t="n"/>
      <c r="IJ53" s="29" t="n"/>
      <c r="IK53" s="29" t="n"/>
      <c r="IL53" s="29" t="n"/>
      <c r="IM53" s="29" t="n"/>
      <c r="IN53" s="50" t="n"/>
      <c r="IO53" s="50" t="n"/>
      <c r="IP53" s="50" t="n"/>
      <c r="IQ53" s="50" t="n"/>
      <c r="IR53" s="50" t="n"/>
      <c r="IS53" s="50" t="n"/>
      <c r="IT53" s="50" t="n"/>
      <c r="IU53" s="50" t="n"/>
      <c r="IV53" s="50" t="n"/>
      <c r="IW53" s="50" t="n"/>
      <c r="IX53" s="50" t="n"/>
      <c r="IY53" s="50" t="n"/>
      <c r="IZ53" s="50" t="n"/>
      <c r="JA53" s="50" t="n"/>
      <c r="JB53" s="50" t="n"/>
      <c r="JC53" s="29" t="n"/>
      <c r="JD53" s="29" t="n"/>
      <c r="JE53" s="29" t="n"/>
      <c r="JF53" s="29" t="n"/>
      <c r="JG53" s="29" t="n"/>
      <c r="JH53" s="29" t="n"/>
      <c r="JI53" s="29" t="n"/>
      <c r="JJ53" s="29" t="n"/>
      <c r="JK53" s="29" t="n"/>
      <c r="JL53" s="29" t="n"/>
      <c r="JM53" s="71" t="n"/>
      <c r="JN53" s="29" t="n"/>
      <c r="JO53" s="29" t="n"/>
      <c r="JP53" s="29" t="n"/>
      <c r="JQ53" s="29" t="n"/>
      <c r="JR53" s="29" t="n"/>
      <c r="JT53" s="29" t="n"/>
      <c r="JU53" s="176" t="n"/>
      <c r="JV53" s="29" t="n"/>
      <c r="JW53" s="29" t="n"/>
      <c r="JX53" s="29" t="n"/>
      <c r="JY53" s="71" t="n"/>
      <c r="JZ53" s="29" t="n"/>
      <c r="KA53" s="29" t="n"/>
      <c r="KC53" s="29" t="n"/>
      <c r="KD53" s="29" t="n"/>
      <c r="KE53" s="29" t="n"/>
      <c r="KF53" s="29" t="n"/>
      <c r="KG53" s="29" t="n"/>
      <c r="KH53" s="176" t="n"/>
      <c r="KI53" s="29" t="n"/>
      <c r="KJ53" s="29" t="n"/>
      <c r="KK53" s="71" t="n"/>
      <c r="KL53" s="29" t="n"/>
      <c r="KM53" s="29" t="n"/>
      <c r="KN53" s="29" t="n"/>
      <c r="KO53" s="29" t="n"/>
      <c r="KP53" s="71" t="n"/>
      <c r="KQ53" s="29" t="n"/>
      <c r="KR53" s="29" t="n"/>
      <c r="KS53" s="29" t="n"/>
      <c r="KT53" s="29" t="n"/>
      <c r="KU53" s="29" t="n"/>
      <c r="KV53" s="71" t="n"/>
      <c r="KW53" s="29" t="n"/>
      <c r="KX53" s="29" t="n"/>
      <c r="KY53" s="29" t="n"/>
      <c r="KZ53" s="29" t="n"/>
      <c r="LA53" s="29" t="n"/>
      <c r="LB53" s="29" t="n"/>
      <c r="LC53" s="29" t="n"/>
      <c r="LD53" s="29" t="n"/>
      <c r="LE53" s="29" t="n"/>
      <c r="LF53" s="29" t="n"/>
      <c r="LG53" s="29" t="n"/>
      <c r="LH53" s="29" t="n"/>
      <c r="LI53" s="29" t="n"/>
      <c r="LJ53" s="29" t="n"/>
      <c r="LK53" s="29" t="n"/>
      <c r="LL53" s="29" t="n"/>
      <c r="LM53" s="29" t="n"/>
      <c r="LN53" s="29" t="n"/>
      <c r="LO53" s="29" t="n"/>
      <c r="LP53" s="29" t="n"/>
      <c r="LQ53" s="29" t="n"/>
      <c r="LR53" s="29" t="n"/>
      <c r="LS53" s="29" t="n"/>
      <c r="LT53" s="29" t="n"/>
      <c r="LU53" s="29" t="n"/>
      <c r="LV53" s="29" t="n"/>
      <c r="LW53" s="29" t="n"/>
      <c r="LX53" s="29" t="n"/>
      <c r="LY53" s="29" t="n"/>
      <c r="LZ53" s="29" t="n"/>
      <c r="MA53" s="29" t="n"/>
      <c r="MB53" s="29" t="n"/>
      <c r="MC53" s="29" t="n"/>
      <c r="MD53" s="29" t="n"/>
      <c r="ME53" s="29" t="n"/>
      <c r="MF53" s="29" t="n"/>
      <c r="MG53" s="29" t="n"/>
      <c r="MH53" s="29" t="n"/>
      <c r="MI53" s="29" t="n"/>
      <c r="MJ53" s="29" t="n"/>
      <c r="MK53" s="29" t="n"/>
      <c r="ML53" s="29" t="n"/>
      <c r="MM53" s="29" t="n"/>
      <c r="MN53" s="29" t="n"/>
      <c r="MO53" s="29" t="n"/>
    </row>
    <row r="54">
      <c r="A54" s="787" t="inlineStr">
        <is>
          <t>TAG NATAL 23</t>
        </is>
      </c>
      <c r="B54" s="180" t="n">
        <v>300</v>
      </c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73" t="n"/>
      <c r="CG54" s="573" t="n"/>
      <c r="CH54" s="573" t="n"/>
      <c r="CI54" s="59" t="n"/>
      <c r="CJ54" s="59" t="n"/>
      <c r="CK54" s="59" t="n"/>
      <c r="CM54" s="59" t="n"/>
      <c r="CN54" s="59" t="n"/>
      <c r="CO54" s="59" t="n"/>
      <c r="CP54" s="59" t="n"/>
      <c r="CQ54" s="59" t="n"/>
      <c r="CX54" s="573" t="n"/>
      <c r="CY54" s="573" t="n"/>
      <c r="CZ54" s="573" t="n"/>
      <c r="DA54" s="573" t="n"/>
      <c r="DB54" s="573" t="n"/>
      <c r="DC54" s="573" t="n"/>
      <c r="DD54" s="573" t="n"/>
      <c r="DE54" s="573" t="n"/>
      <c r="DF54" s="573" t="n"/>
      <c r="DH54" s="573" t="n"/>
      <c r="DL54" s="573" t="n"/>
      <c r="DR54" s="573" t="n"/>
      <c r="DS54" s="573" t="n"/>
      <c r="DW54" s="573" t="n"/>
      <c r="EA54" s="573" t="n"/>
      <c r="EC54" s="573" t="n"/>
      <c r="EH54" s="327" t="n"/>
      <c r="EL54" s="327" t="n"/>
      <c r="EN54" s="327" t="n"/>
      <c r="EP54" s="327" t="n"/>
      <c r="FC54" s="573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GJ54" s="2" t="n"/>
      <c r="GK54" s="2" t="n"/>
      <c r="GL54" s="2" t="n"/>
      <c r="GM54" s="2" t="n"/>
      <c r="GN54" s="2" t="n"/>
      <c r="GO54" s="2" t="n"/>
      <c r="GP54" s="2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29" t="n"/>
      <c r="II54" s="29" t="n"/>
      <c r="IJ54" s="29" t="n"/>
      <c r="IK54" s="29" t="n"/>
      <c r="IL54" s="29" t="n"/>
      <c r="IM54" s="29" t="n"/>
      <c r="IN54" s="50" t="n"/>
      <c r="IO54" s="50" t="n"/>
      <c r="IP54" s="50" t="n"/>
      <c r="IQ54" s="50" t="n"/>
      <c r="IR54" s="50" t="n"/>
      <c r="IS54" s="50" t="n"/>
      <c r="IT54" s="50" t="n"/>
      <c r="IU54" s="50" t="n"/>
      <c r="IV54" s="50" t="n"/>
      <c r="IW54" s="50" t="n"/>
      <c r="IX54" s="50" t="n"/>
      <c r="IY54" s="50" t="n"/>
      <c r="IZ54" s="50" t="n"/>
      <c r="JA54" s="50" t="n"/>
      <c r="JB54" s="50" t="n"/>
      <c r="JC54" s="29" t="n"/>
      <c r="JD54" s="29" t="n"/>
      <c r="JE54" s="29" t="n"/>
      <c r="JF54" s="29" t="n"/>
      <c r="JG54" s="29" t="n"/>
      <c r="JH54" s="29" t="n"/>
      <c r="JI54" s="29" t="n"/>
      <c r="JJ54" s="29" t="n"/>
      <c r="JK54" s="29" t="n"/>
      <c r="JL54" s="29" t="n"/>
      <c r="JM54" s="71" t="n"/>
      <c r="JN54" s="29" t="n"/>
      <c r="JO54" s="29" t="n"/>
      <c r="JP54" s="29" t="n"/>
      <c r="JQ54" s="29" t="n"/>
      <c r="JR54" s="29" t="n"/>
      <c r="JT54" s="29" t="n"/>
      <c r="JU54" s="176" t="n"/>
      <c r="JV54" s="29" t="n"/>
      <c r="JW54" s="29" t="n"/>
      <c r="JX54" s="29" t="n"/>
      <c r="JY54" s="71" t="n"/>
      <c r="JZ54" s="29" t="n"/>
      <c r="KA54" s="29" t="n"/>
      <c r="KC54" s="29" t="n"/>
      <c r="KD54" s="29" t="n"/>
      <c r="KE54" s="29" t="n"/>
      <c r="KF54" s="29" t="n"/>
      <c r="KG54" s="29" t="n"/>
      <c r="KH54" s="176" t="n"/>
      <c r="KI54" s="29" t="n"/>
      <c r="KJ54" s="29" t="n"/>
      <c r="KK54" s="71" t="n"/>
      <c r="KL54" s="29" t="n"/>
      <c r="KM54" s="29" t="n"/>
      <c r="KN54" s="29" t="n"/>
      <c r="KO54" s="29" t="n"/>
      <c r="KP54" s="71" t="n"/>
      <c r="KQ54" s="29" t="n"/>
      <c r="KR54" s="29" t="n"/>
      <c r="KS54" s="29" t="n"/>
      <c r="KT54" s="29" t="n"/>
      <c r="KU54" s="29" t="n"/>
      <c r="KV54" s="71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  <c r="ME54" s="29" t="n"/>
      <c r="MF54" s="29" t="n"/>
      <c r="MG54" s="29" t="n"/>
      <c r="MH54" s="29" t="n"/>
      <c r="MI54" s="29" t="n"/>
      <c r="MJ54" s="29" t="n"/>
      <c r="MK54" s="29" t="n"/>
      <c r="ML54" s="29" t="n"/>
      <c r="MM54" s="29" t="n"/>
      <c r="MN54" s="29" t="n"/>
      <c r="MO54" s="29" t="n"/>
    </row>
    <row r="55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M55" s="573" t="n"/>
      <c r="CN55" s="573" t="n"/>
      <c r="CO55" s="573" t="n"/>
      <c r="CP55" s="573" t="n"/>
      <c r="CQ55" s="573" t="n"/>
      <c r="DD55" s="5" t="n"/>
      <c r="DR55" s="573" t="n"/>
      <c r="DS55" s="573" t="n"/>
      <c r="DW55" s="573" t="n"/>
      <c r="EA55" s="573" t="n"/>
      <c r="EC55" s="573" t="n"/>
      <c r="ED55" s="5" t="n"/>
      <c r="EG55" s="5" t="n"/>
      <c r="EH55" s="327" t="n"/>
      <c r="EL55" s="327" t="n"/>
      <c r="EN55" s="327" t="n"/>
      <c r="EP55" s="327" t="n"/>
      <c r="FC55" s="573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GJ55" s="2" t="n"/>
      <c r="GK55" s="2" t="n"/>
      <c r="GL55" s="2" t="n"/>
      <c r="GM55" s="2" t="n"/>
      <c r="GN55" s="2" t="n"/>
      <c r="GO55" s="2" t="n"/>
      <c r="GP55" s="2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29" t="n"/>
      <c r="IL55" s="29" t="n"/>
      <c r="IM55" s="29" t="n"/>
      <c r="IN55" s="50" t="n"/>
      <c r="IO55" s="50" t="n"/>
      <c r="IP55" s="50" t="n"/>
      <c r="IQ55" s="50" t="n"/>
      <c r="IR55" s="50" t="n"/>
      <c r="IS55" s="50" t="n"/>
      <c r="IT55" s="50" t="n"/>
      <c r="IU55" s="50" t="n"/>
      <c r="IV55" s="50" t="n"/>
      <c r="IW55" s="50" t="n"/>
      <c r="IX55" s="50" t="n"/>
      <c r="IY55" s="50" t="n"/>
      <c r="IZ55" s="50" t="n"/>
      <c r="JA55" s="50" t="n"/>
      <c r="JB55" s="50" t="n"/>
      <c r="JC55" s="29" t="n"/>
      <c r="JD55" s="29" t="n"/>
      <c r="JE55" s="29" t="n"/>
      <c r="JF55" s="29" t="n"/>
      <c r="JG55" s="29" t="n"/>
      <c r="JH55" s="29" t="n"/>
      <c r="JI55" s="29" t="n"/>
      <c r="JJ55" s="29" t="n"/>
      <c r="JK55" s="29" t="n"/>
      <c r="JL55" s="29" t="n"/>
      <c r="JM55" s="71" t="n"/>
      <c r="JN55" s="29" t="n"/>
      <c r="JO55" s="29" t="n"/>
      <c r="JP55" s="29" t="n"/>
      <c r="JQ55" s="29" t="n"/>
      <c r="JR55" s="29" t="n"/>
      <c r="JT55" s="29" t="n"/>
      <c r="JU55" s="176" t="n"/>
      <c r="JV55" s="29" t="n"/>
      <c r="JW55" s="29" t="n"/>
      <c r="JX55" s="29" t="n"/>
      <c r="JY55" s="71" t="n"/>
      <c r="JZ55" s="29" t="n"/>
      <c r="KA55" s="29" t="n"/>
      <c r="KC55" s="29" t="n"/>
      <c r="KD55" s="29" t="n"/>
      <c r="KE55" s="29" t="n"/>
      <c r="KF55" s="29" t="n"/>
      <c r="KG55" s="29" t="n"/>
      <c r="KH55" s="176" t="n"/>
      <c r="KI55" s="29" t="n"/>
      <c r="KJ55" s="29" t="n"/>
      <c r="KK55" s="71" t="n"/>
      <c r="KL55" s="29" t="n"/>
      <c r="KM55" s="29" t="n"/>
      <c r="KN55" s="29" t="n"/>
      <c r="KO55" s="29" t="n"/>
      <c r="KP55" s="71" t="n"/>
      <c r="KQ55" s="29" t="n"/>
      <c r="KR55" s="29" t="n"/>
      <c r="KS55" s="29" t="n"/>
      <c r="KT55" s="29" t="n"/>
      <c r="KU55" s="29" t="n"/>
      <c r="KV55" s="71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  <c r="ME55" s="29" t="n"/>
      <c r="MF55" s="29" t="n"/>
      <c r="MG55" s="29" t="n"/>
      <c r="MH55" s="29" t="n"/>
      <c r="MI55" s="29" t="n"/>
      <c r="MJ55" s="29" t="n"/>
      <c r="MK55" s="29" t="n"/>
      <c r="ML55" s="29" t="n"/>
      <c r="MM55" s="29" t="n"/>
      <c r="MN55" s="29" t="n"/>
      <c r="MO55" s="29" t="n"/>
    </row>
    <row r="56">
      <c r="A56" s="247" t="inlineStr">
        <is>
          <t>TAG PAIS/25</t>
        </is>
      </c>
      <c r="B56" s="248" t="n"/>
      <c r="C56" s="172" t="n">
        <v>24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M56" s="573" t="n"/>
      <c r="CN56" s="573" t="n"/>
      <c r="CO56" s="573" t="n"/>
      <c r="CP56" s="573" t="n"/>
      <c r="CQ56" s="573" t="n"/>
      <c r="DD56" s="41" t="n"/>
      <c r="DR56" s="573" t="n"/>
      <c r="DS56" s="573" t="n"/>
      <c r="DW56" s="573" t="n"/>
      <c r="EA56" s="573" t="n"/>
      <c r="EC56" s="573" t="n"/>
      <c r="ED56" s="5" t="n"/>
      <c r="EG56" s="5" t="n"/>
      <c r="EH56" s="327" t="n"/>
      <c r="EL56" s="327" t="n"/>
      <c r="EN56" s="327" t="n"/>
      <c r="EP56" s="327" t="n"/>
      <c r="FC56" s="573" t="n"/>
      <c r="FP56" s="2" t="n"/>
      <c r="FQ56" s="2" t="n"/>
      <c r="FR56" s="2" t="n"/>
      <c r="FS56" s="2" t="n"/>
      <c r="FT56" s="2" t="n"/>
      <c r="FU56" s="2" t="n"/>
      <c r="FV56" s="2" t="n"/>
      <c r="FW56" s="2" t="n"/>
      <c r="FX56" s="2" t="n"/>
      <c r="FY56" s="2" t="n"/>
      <c r="FZ56" s="2" t="n"/>
      <c r="GA56" s="2" t="n"/>
      <c r="GB56" s="2" t="n"/>
      <c r="GC56" s="2" t="n"/>
      <c r="GD56" s="2" t="n"/>
      <c r="GE56" s="2" t="n"/>
      <c r="GF56" s="2" t="n"/>
      <c r="GG56" s="2" t="n"/>
      <c r="GH56" s="2" t="n"/>
      <c r="GI56" s="2" t="n"/>
      <c r="GJ56" s="2" t="n"/>
      <c r="GK56" s="2" t="n"/>
      <c r="GL56" s="2" t="n"/>
      <c r="GM56" s="2" t="n"/>
      <c r="GN56" s="2" t="n"/>
      <c r="GO56" s="2" t="n"/>
      <c r="GP56" s="2" t="n"/>
      <c r="GQ56" s="29" t="n"/>
      <c r="GR56" s="29" t="n"/>
      <c r="GS56" s="29" t="n"/>
      <c r="GT56" s="29" t="n"/>
      <c r="GU56" s="29" t="n"/>
      <c r="GV56" s="29" t="n"/>
      <c r="GW56" s="29" t="n"/>
      <c r="GX56" s="29" t="n"/>
      <c r="GY56" s="29" t="n"/>
      <c r="GZ56" s="29" t="n"/>
      <c r="HA56" s="29" t="n"/>
      <c r="HB56" s="29" t="n"/>
      <c r="HC56" s="29" t="n"/>
      <c r="HD56" s="29" t="n"/>
      <c r="HE56" s="29" t="n"/>
      <c r="HF56" s="29" t="n"/>
      <c r="HG56" s="29" t="n"/>
      <c r="HH56" s="29" t="n"/>
      <c r="HI56" s="29" t="n"/>
      <c r="HJ56" s="29" t="n"/>
      <c r="HK56" s="29" t="n"/>
      <c r="HL56" s="29" t="n"/>
      <c r="HM56" s="29" t="n"/>
      <c r="HN56" s="29" t="n"/>
      <c r="HO56" s="29" t="n"/>
      <c r="HP56" s="29" t="n"/>
      <c r="HQ56" s="29" t="n"/>
      <c r="HR56" s="29" t="n"/>
      <c r="HS56" s="29" t="n"/>
      <c r="HT56" s="29" t="n"/>
      <c r="HU56" s="29" t="n"/>
      <c r="HV56" s="29" t="n"/>
      <c r="HW56" s="29" t="n"/>
      <c r="HX56" s="29" t="n"/>
      <c r="HY56" s="29" t="n"/>
      <c r="HZ56" s="29" t="n"/>
      <c r="IA56" s="29" t="n"/>
      <c r="IB56" s="29" t="n"/>
      <c r="IC56" s="29" t="n"/>
      <c r="ID56" s="29" t="n"/>
      <c r="IE56" s="29" t="n"/>
      <c r="IF56" s="29" t="n"/>
      <c r="IG56" s="29" t="n"/>
      <c r="IH56" s="29" t="n"/>
      <c r="II56" s="29" t="n"/>
      <c r="IJ56" s="29" t="n"/>
      <c r="IK56" s="29" t="n"/>
      <c r="IL56" s="29" t="n"/>
      <c r="IM56" s="29" t="n"/>
      <c r="IN56" s="50" t="n"/>
      <c r="IO56" s="50" t="n"/>
      <c r="IP56" s="50" t="n"/>
      <c r="IQ56" s="50" t="n"/>
      <c r="IR56" s="50" t="n"/>
      <c r="IS56" s="50" t="n"/>
      <c r="IT56" s="50" t="n"/>
      <c r="IU56" s="50" t="n"/>
      <c r="IV56" s="50" t="n"/>
      <c r="IW56" s="50" t="n"/>
      <c r="IX56" s="50" t="n"/>
      <c r="IY56" s="50" t="n"/>
      <c r="IZ56" s="50" t="n"/>
      <c r="JA56" s="50" t="n"/>
      <c r="JB56" s="50" t="n"/>
      <c r="JC56" s="29" t="n"/>
      <c r="JD56" s="29" t="n"/>
      <c r="JE56" s="29" t="n"/>
      <c r="JF56" s="29" t="n"/>
      <c r="JG56" s="29" t="n"/>
      <c r="JH56" s="29" t="n"/>
      <c r="JI56" s="29" t="n"/>
      <c r="JJ56" s="29" t="n"/>
      <c r="JK56" s="29" t="n"/>
      <c r="JL56" s="29" t="n"/>
      <c r="JM56" s="71" t="n"/>
      <c r="JN56" s="29" t="n"/>
      <c r="JO56" s="29" t="n"/>
      <c r="JP56" s="29" t="n"/>
      <c r="JQ56" s="29" t="n"/>
      <c r="JR56" s="29" t="n"/>
      <c r="JT56" s="29" t="n"/>
      <c r="JU56" s="176" t="n"/>
      <c r="JV56" s="29" t="n"/>
      <c r="JW56" s="29" t="n"/>
      <c r="JX56" s="29" t="n"/>
      <c r="JY56" s="71" t="n"/>
      <c r="JZ56" s="29" t="n"/>
      <c r="KA56" s="29" t="n"/>
      <c r="KC56" s="29" t="n"/>
      <c r="KD56" s="29" t="n"/>
      <c r="KE56" s="29" t="n"/>
      <c r="KF56" s="29" t="n"/>
      <c r="KG56" s="29" t="n"/>
      <c r="KH56" s="176" t="n"/>
      <c r="KI56" s="29" t="n"/>
      <c r="KJ56" s="29" t="n"/>
      <c r="KK56" s="71" t="n"/>
      <c r="KL56" s="29" t="n"/>
      <c r="KM56" s="29" t="n"/>
      <c r="KN56" s="29" t="n"/>
      <c r="KO56" s="29" t="n"/>
      <c r="KP56" s="71" t="n"/>
      <c r="KQ56" s="29" t="n"/>
      <c r="KR56" s="29" t="n"/>
      <c r="KS56" s="29" t="n"/>
      <c r="KT56" s="29" t="n"/>
      <c r="KU56" s="29" t="n"/>
      <c r="KV56" s="71" t="n"/>
      <c r="KW56" s="29" t="n"/>
      <c r="KX56" s="29" t="n"/>
      <c r="KY56" s="29" t="n"/>
      <c r="KZ56" s="29" t="n"/>
      <c r="LA56" s="29" t="n"/>
      <c r="LB56" s="29" t="n"/>
      <c r="LC56" s="29" t="n"/>
      <c r="LD56" s="29" t="n"/>
      <c r="LE56" s="29" t="n"/>
      <c r="LF56" s="29" t="n"/>
      <c r="LG56" s="29" t="n"/>
      <c r="LH56" s="29" t="n"/>
      <c r="LI56" s="29" t="n"/>
      <c r="LJ56" s="29" t="n"/>
      <c r="LK56" s="29" t="n"/>
      <c r="LL56" s="29" t="n"/>
      <c r="LM56" s="29" t="n"/>
      <c r="LN56" s="29" t="n"/>
      <c r="LO56" s="29" t="n"/>
      <c r="LP56" s="29" t="n"/>
      <c r="LQ56" s="29" t="n"/>
      <c r="LR56" s="29" t="n"/>
      <c r="LS56" s="29" t="n"/>
      <c r="LT56" s="29" t="n"/>
      <c r="LU56" s="29" t="n"/>
      <c r="LV56" s="29" t="n"/>
      <c r="LW56" s="29" t="n"/>
      <c r="LX56" s="29" t="n"/>
      <c r="LY56" s="29" t="n"/>
      <c r="LZ56" s="29" t="n"/>
      <c r="MA56" s="29" t="n"/>
      <c r="MB56" s="29" t="n"/>
      <c r="MC56" s="29" t="n"/>
      <c r="MD56" s="29" t="n"/>
      <c r="ME56" s="29" t="n"/>
      <c r="MF56" s="29" t="n"/>
      <c r="MG56" s="29" t="n"/>
      <c r="MH56" s="29" t="n"/>
      <c r="MI56" s="29" t="n"/>
      <c r="MJ56" s="29" t="n"/>
      <c r="MK56" s="29" t="n"/>
      <c r="ML56" s="29" t="n"/>
      <c r="MM56" s="29" t="n"/>
      <c r="MN56" s="29" t="n"/>
      <c r="MO56" s="29" t="n"/>
    </row>
    <row r="57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G57" s="573" t="n"/>
      <c r="CH57" s="573" t="n"/>
      <c r="DD57" s="41" t="n"/>
      <c r="DG57" s="5" t="n"/>
      <c r="DR57" s="573" t="n"/>
      <c r="DS57" s="573" t="n"/>
      <c r="DW57" s="573" t="n"/>
      <c r="EA57" s="573" t="n"/>
      <c r="EC57" s="573" t="n"/>
      <c r="ED57" s="5" t="n"/>
      <c r="EG57" s="5" t="n"/>
      <c r="EH57" s="327" t="n"/>
      <c r="EL57" s="327" t="n"/>
      <c r="EN57" s="327" t="n"/>
      <c r="EP57" s="327" t="n"/>
      <c r="FC57" s="573" t="n"/>
      <c r="FP57" s="2" t="n"/>
      <c r="FQ57" s="2" t="n"/>
      <c r="FR57" s="2" t="n"/>
      <c r="FS57" s="2" t="n"/>
      <c r="FT57" s="2" t="n"/>
      <c r="FU57" s="2" t="n"/>
      <c r="FV57" s="2" t="n"/>
      <c r="FW57" s="2" t="n"/>
      <c r="FX57" s="2" t="n"/>
      <c r="FY57" s="2" t="n"/>
      <c r="FZ57" s="2" t="n"/>
      <c r="GA57" s="2" t="n"/>
      <c r="GB57" s="2" t="n"/>
      <c r="GC57" s="2" t="n"/>
      <c r="GD57" s="2" t="n"/>
      <c r="GE57" s="2" t="n"/>
      <c r="GF57" s="2" t="n"/>
      <c r="GG57" s="2" t="n"/>
      <c r="GH57" s="2" t="n"/>
      <c r="GI57" s="2" t="n"/>
      <c r="GJ57" s="2" t="n"/>
      <c r="GK57" s="2" t="n"/>
      <c r="GL57" s="2" t="n"/>
      <c r="GM57" s="2" t="n"/>
      <c r="GN57" s="2" t="n"/>
      <c r="GO57" s="2" t="n"/>
      <c r="GP57" s="2" t="n"/>
      <c r="GQ57" s="29" t="n"/>
      <c r="GR57" s="29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29" t="n"/>
      <c r="HQ57" s="29" t="n"/>
      <c r="HR57" s="29" t="n"/>
      <c r="HS57" s="29" t="n"/>
      <c r="HT57" s="29" t="n"/>
      <c r="HU57" s="29" t="n"/>
      <c r="HV57" s="29" t="n"/>
      <c r="HW57" s="29" t="n"/>
      <c r="HX57" s="29" t="n"/>
      <c r="HY57" s="29" t="n"/>
      <c r="HZ57" s="29" t="n"/>
      <c r="IA57" s="29" t="n"/>
      <c r="IB57" s="29" t="n"/>
      <c r="IC57" s="29" t="n"/>
      <c r="ID57" s="29" t="n"/>
      <c r="IE57" s="29" t="n"/>
      <c r="IF57" s="29" t="n"/>
      <c r="IG57" s="29" t="n"/>
      <c r="IH57" s="29" t="n"/>
      <c r="II57" s="29" t="n"/>
      <c r="IJ57" s="29" t="n"/>
      <c r="IK57" s="29" t="n"/>
      <c r="IL57" s="29" t="n"/>
      <c r="IM57" s="29" t="n"/>
      <c r="IN57" s="50" t="n"/>
      <c r="IO57" s="50" t="n"/>
      <c r="IP57" s="50" t="n"/>
      <c r="IQ57" s="50" t="n"/>
      <c r="IR57" s="50" t="n"/>
      <c r="IS57" s="50" t="n"/>
      <c r="IT57" s="50" t="n"/>
      <c r="IU57" s="50" t="n"/>
      <c r="IV57" s="50" t="n"/>
      <c r="IW57" s="50" t="n"/>
      <c r="IX57" s="50" t="n"/>
      <c r="IY57" s="50" t="n"/>
      <c r="IZ57" s="50" t="n"/>
      <c r="JA57" s="50" t="n"/>
      <c r="JB57" s="50" t="n"/>
      <c r="JC57" s="29" t="n"/>
      <c r="JD57" s="29" t="n"/>
      <c r="JE57" s="29" t="n"/>
      <c r="JF57" s="29" t="n"/>
      <c r="JG57" s="29" t="n"/>
      <c r="JH57" s="29" t="n"/>
      <c r="JI57" s="29" t="n"/>
      <c r="JJ57" s="29" t="n"/>
      <c r="JK57" s="29" t="n"/>
      <c r="JL57" s="29" t="n"/>
      <c r="JM57" s="71" t="n"/>
      <c r="JN57" s="29" t="n"/>
      <c r="JO57" s="29" t="n"/>
      <c r="JP57" s="29" t="n"/>
      <c r="JQ57" s="29" t="n"/>
      <c r="JR57" s="29" t="n"/>
      <c r="JT57" s="29" t="n"/>
      <c r="JU57" s="176" t="n"/>
      <c r="JV57" s="29" t="n"/>
      <c r="JW57" s="29" t="n"/>
      <c r="JX57" s="29" t="n"/>
      <c r="JY57" s="71" t="n"/>
      <c r="JZ57" s="29" t="n"/>
      <c r="KA57" s="29" t="n"/>
      <c r="KC57" s="29" t="n"/>
      <c r="KD57" s="29" t="n"/>
      <c r="KE57" s="29" t="n"/>
      <c r="KF57" s="29" t="n"/>
      <c r="KG57" s="29" t="n"/>
      <c r="KH57" s="176" t="n"/>
      <c r="KI57" s="29" t="n"/>
      <c r="KJ57" s="29" t="n"/>
      <c r="KK57" s="71" t="n"/>
      <c r="KL57" s="29" t="n"/>
      <c r="KM57" s="29" t="n"/>
      <c r="KN57" s="29" t="n"/>
      <c r="KO57" s="29" t="n"/>
      <c r="KP57" s="71" t="n"/>
      <c r="KQ57" s="29" t="n"/>
      <c r="KR57" s="29" t="n"/>
      <c r="KS57" s="29" t="n"/>
      <c r="KT57" s="29" t="n"/>
      <c r="KU57" s="29" t="n"/>
      <c r="KV57" s="71" t="n"/>
      <c r="KW57" s="29" t="n"/>
      <c r="KX57" s="29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  <c r="LH57" s="29" t="n"/>
      <c r="LI57" s="29" t="n"/>
      <c r="LJ57" s="29" t="n"/>
      <c r="LK57" s="29" t="n"/>
      <c r="LL57" s="29" t="n"/>
      <c r="LM57" s="29" t="n"/>
      <c r="LN57" s="29" t="n"/>
      <c r="LO57" s="29" t="n"/>
      <c r="LP57" s="29" t="n"/>
      <c r="LQ57" s="29" t="n"/>
      <c r="LR57" s="29" t="n"/>
      <c r="LS57" s="29" t="n"/>
      <c r="LT57" s="29" t="n"/>
      <c r="LU57" s="29" t="n"/>
      <c r="LV57" s="29" t="n"/>
      <c r="LW57" s="29" t="n"/>
      <c r="LX57" s="29" t="n"/>
      <c r="LY57" s="29" t="n"/>
      <c r="LZ57" s="29" t="n"/>
      <c r="MA57" s="29" t="n"/>
      <c r="MB57" s="29" t="n"/>
      <c r="MC57" s="29" t="n"/>
      <c r="MD57" s="29" t="n"/>
      <c r="ME57" s="29" t="n"/>
      <c r="MF57" s="29" t="n"/>
      <c r="MG57" s="29" t="n"/>
      <c r="MH57" s="29" t="n"/>
      <c r="MI57" s="29" t="n"/>
      <c r="MJ57" s="29" t="n"/>
      <c r="MK57" s="29" t="n"/>
      <c r="ML57" s="29" t="n"/>
      <c r="MM57" s="29" t="n"/>
      <c r="MN57" s="29" t="n"/>
      <c r="MO57" s="29" t="n"/>
    </row>
    <row r="58">
      <c r="A58" s="399" t="inlineStr">
        <is>
          <t>TAG NAMO/25</t>
        </is>
      </c>
      <c r="B58" s="248" t="n"/>
      <c r="C58" s="172" t="n">
        <v>105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H58" s="5" t="n"/>
      <c r="CI58" s="29" t="n"/>
      <c r="CJ58" s="29" t="n"/>
      <c r="CK58" s="29" t="n"/>
      <c r="CL58" s="5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29" t="n"/>
      <c r="DA58" s="29" t="n"/>
      <c r="DB58" s="29" t="n"/>
      <c r="DC58" s="29" t="n"/>
      <c r="DE58" s="29" t="n"/>
      <c r="DF58" s="29" t="n"/>
      <c r="DG58" s="5" t="n"/>
      <c r="DH58" s="29" t="n"/>
      <c r="DI58" s="29" t="n"/>
      <c r="DJ58" s="29" t="n"/>
      <c r="DK58" s="29" t="n"/>
      <c r="DL58" s="29" t="n"/>
      <c r="DM58" s="29" t="n"/>
      <c r="DN58" s="29" t="n"/>
      <c r="DO58" s="29" t="n"/>
      <c r="DP58" s="29" t="n"/>
      <c r="DQ58" s="29" t="n"/>
      <c r="DR58" s="573" t="n"/>
      <c r="DS58" s="573" t="n"/>
      <c r="DT58" s="29" t="n"/>
      <c r="DU58" s="29" t="n"/>
      <c r="DV58" s="29" t="n"/>
      <c r="DW58" s="573" t="n"/>
      <c r="DX58" s="29" t="n"/>
      <c r="DY58" s="29" t="n"/>
      <c r="DZ58" s="29" t="n"/>
      <c r="EA58" s="29" t="n"/>
      <c r="EB58" s="29" t="n"/>
      <c r="EC58" s="29" t="n"/>
      <c r="ED58" s="5" t="n"/>
      <c r="EE58" s="29" t="n"/>
      <c r="EF58" s="29" t="n"/>
      <c r="EG58" s="5" t="n"/>
      <c r="EH58" s="327" t="n"/>
      <c r="EI58" s="29" t="n"/>
      <c r="EJ58" s="29" t="n"/>
      <c r="EK58" s="29" t="n"/>
      <c r="EL58" s="327" t="n"/>
      <c r="EM58" s="29" t="n"/>
      <c r="EN58" s="327" t="n"/>
      <c r="EO58" s="29" t="n"/>
      <c r="EP58" s="327" t="n"/>
      <c r="EQ58" s="29" t="n"/>
      <c r="ER58" s="29" t="n"/>
      <c r="ES58" s="29" t="n"/>
      <c r="ET58" s="29" t="n"/>
      <c r="EU58" s="29" t="n"/>
      <c r="EV58" s="29" t="n"/>
      <c r="EW58" s="29" t="n"/>
      <c r="EX58" s="29" t="n"/>
      <c r="EY58" s="29" t="n"/>
      <c r="EZ58" s="29" t="n"/>
      <c r="FA58" s="29" t="n"/>
      <c r="FB58" s="29" t="n"/>
      <c r="FD58" s="5" t="n"/>
      <c r="FE58" s="5" t="n"/>
      <c r="FF58" s="5" t="n"/>
      <c r="FG58" s="5" t="n"/>
      <c r="FH58" s="5" t="n"/>
      <c r="FI58" s="5" t="n"/>
      <c r="FJ58" s="5" t="n"/>
      <c r="FK58" s="5" t="n"/>
      <c r="FL58" s="5" t="n"/>
      <c r="FM58" s="5" t="n"/>
      <c r="FN58" s="5" t="n"/>
      <c r="FO58" s="5" t="n"/>
    </row>
    <row r="59">
      <c r="CE59" s="573" t="n"/>
      <c r="CF59" s="50" t="n"/>
      <c r="CG59" s="50" t="n"/>
      <c r="CH59" s="50" t="n"/>
      <c r="DG59" s="5" t="n"/>
      <c r="DR59" s="5" t="n"/>
      <c r="DS59" s="5" t="n"/>
      <c r="DW59" s="5" t="n"/>
      <c r="ED59" s="5" t="n"/>
      <c r="EG59" s="5" t="n"/>
      <c r="EH59" s="327" t="n"/>
      <c r="EL59" s="327" t="n"/>
      <c r="EN59" s="327" t="n"/>
      <c r="EP59" s="327" t="n"/>
    </row>
    <row r="60" ht="18.75" customHeight="1">
      <c r="A60" s="774" t="inlineStr">
        <is>
          <t>FLACONETES</t>
        </is>
      </c>
      <c r="B60" s="731" t="n"/>
      <c r="C60" s="731" t="n"/>
      <c r="D60" s="775" t="n"/>
      <c r="F60" s="776" t="n">
        <v>45656</v>
      </c>
      <c r="G60" s="776" t="n">
        <v>45663</v>
      </c>
      <c r="H60" s="776" t="n">
        <v>45670</v>
      </c>
      <c r="I60" s="776" t="n">
        <v>45677</v>
      </c>
      <c r="J60" s="776" t="n">
        <v>45684</v>
      </c>
      <c r="K60" s="776" t="n">
        <v>45691</v>
      </c>
      <c r="L60" s="776" t="n">
        <v>45698</v>
      </c>
      <c r="M60" s="776" t="n">
        <v>45705</v>
      </c>
      <c r="N60" s="776" t="n">
        <v>45712</v>
      </c>
      <c r="O60" s="776" t="n">
        <v>45719</v>
      </c>
      <c r="P60" s="776" t="n">
        <v>45726</v>
      </c>
      <c r="Q60" s="776" t="n">
        <v>45733</v>
      </c>
      <c r="R60" s="776" t="n">
        <v>45740</v>
      </c>
      <c r="S60" s="776" t="n">
        <v>45747</v>
      </c>
      <c r="T60" s="776" t="n">
        <v>45754</v>
      </c>
      <c r="U60" s="776" t="n">
        <v>45761</v>
      </c>
      <c r="V60" s="776" t="n">
        <v>45768</v>
      </c>
      <c r="W60" s="776" t="n">
        <v>45775</v>
      </c>
      <c r="X60" s="776" t="n">
        <v>45782</v>
      </c>
      <c r="Y60" s="776" t="n">
        <v>45789</v>
      </c>
      <c r="Z60" s="776" t="n">
        <v>45796</v>
      </c>
      <c r="AA60" s="776" t="n">
        <v>45803</v>
      </c>
      <c r="AB60" s="776" t="n">
        <v>45810</v>
      </c>
      <c r="AC60" s="776" t="n">
        <v>45817</v>
      </c>
      <c r="AD60" s="776" t="n">
        <v>45824</v>
      </c>
      <c r="AE60" s="776" t="n">
        <v>45831</v>
      </c>
      <c r="AF60" s="776" t="n">
        <v>45838</v>
      </c>
      <c r="AG60" s="776" t="n">
        <v>45845</v>
      </c>
      <c r="AH60" s="776" t="n">
        <v>45852</v>
      </c>
      <c r="AI60" s="776" t="n">
        <v>45859</v>
      </c>
      <c r="AJ60" s="776" t="n">
        <v>45866</v>
      </c>
      <c r="AK60" s="776" t="n">
        <v>45873</v>
      </c>
      <c r="AL60" s="776" t="n">
        <v>45880</v>
      </c>
      <c r="AM60" s="776" t="n">
        <v>45887</v>
      </c>
      <c r="AN60" s="776" t="n">
        <v>45894</v>
      </c>
      <c r="AO60" s="776" t="n">
        <v>45901</v>
      </c>
      <c r="AP60" s="776" t="n">
        <v>45908</v>
      </c>
      <c r="AQ60" s="776" t="n">
        <v>45915</v>
      </c>
      <c r="AR60" s="776" t="n">
        <v>45922</v>
      </c>
      <c r="AS60" s="776" t="n">
        <v>45929</v>
      </c>
      <c r="AT60" s="776" t="n">
        <v>45936</v>
      </c>
      <c r="AU60" s="776" t="n">
        <v>45943</v>
      </c>
      <c r="AV60" s="776" t="n">
        <v>45950</v>
      </c>
      <c r="AW60" s="776" t="n">
        <v>45957</v>
      </c>
      <c r="AX60" s="776" t="n">
        <v>45964</v>
      </c>
      <c r="AY60" s="776" t="n">
        <v>45971</v>
      </c>
      <c r="AZ60" s="776" t="n">
        <v>45978</v>
      </c>
      <c r="BA60" s="776" t="n">
        <v>45985</v>
      </c>
      <c r="BB60" s="776" t="n">
        <v>45992</v>
      </c>
      <c r="BC60" s="776" t="n">
        <v>45999</v>
      </c>
      <c r="BD60" s="776" t="n">
        <v>46006</v>
      </c>
      <c r="BE60" s="776" t="n">
        <v>46013</v>
      </c>
      <c r="BF60" s="776" t="n">
        <v>46020</v>
      </c>
      <c r="BG60" s="776" t="n">
        <v>46027</v>
      </c>
      <c r="BH60" s="776" t="n">
        <v>46034</v>
      </c>
      <c r="BI60" s="776" t="n">
        <v>46041</v>
      </c>
      <c r="BJ60" s="776" t="n">
        <v>46048</v>
      </c>
      <c r="BK60" s="776" t="n">
        <v>46055</v>
      </c>
      <c r="BL60" s="776" t="n">
        <v>46062</v>
      </c>
      <c r="BM60" s="776" t="n">
        <v>46069</v>
      </c>
      <c r="BN60" s="776" t="n">
        <v>46076</v>
      </c>
      <c r="BO60" s="776" t="n">
        <v>46083</v>
      </c>
      <c r="BP60" s="776" t="n">
        <v>46090</v>
      </c>
      <c r="BQ60" s="776" t="n">
        <v>46097</v>
      </c>
      <c r="BR60" s="776" t="n">
        <v>46104</v>
      </c>
      <c r="BS60" s="776" t="n">
        <v>46111</v>
      </c>
      <c r="BT60" s="776" t="n">
        <v>46118</v>
      </c>
      <c r="BU60" s="776" t="n">
        <v>46125</v>
      </c>
      <c r="BV60" s="776" t="n">
        <v>46132</v>
      </c>
      <c r="BW60" s="776" t="n">
        <v>46139</v>
      </c>
      <c r="BX60" s="776" t="n">
        <v>46146</v>
      </c>
      <c r="BY60" s="776" t="n">
        <v>46154</v>
      </c>
      <c r="BZ60" s="776" t="n">
        <v>46160</v>
      </c>
      <c r="CA60" s="779" t="n">
        <v>46161.48023391204</v>
      </c>
      <c r="CB60" s="779" t="n">
        <v>46161.48089290517</v>
      </c>
      <c r="CD60" s="50" t="n"/>
      <c r="CE60" s="51" t="n"/>
      <c r="CF60" s="50" t="n"/>
      <c r="CG60" s="50" t="n"/>
      <c r="CH60" s="50" t="n"/>
      <c r="DG60" s="5" t="n"/>
      <c r="DR60" s="5" t="n"/>
      <c r="DS60" s="5" t="n"/>
      <c r="DW60" s="5" t="n"/>
      <c r="ED60" s="5" t="n"/>
      <c r="EG60" s="5" t="n"/>
      <c r="EH60" s="327" t="n"/>
      <c r="EL60" s="327" t="n"/>
      <c r="EN60" s="327" t="n"/>
      <c r="EP60" s="327" t="n"/>
    </row>
    <row r="61" hidden="1" ht="18.75" customHeight="1">
      <c r="A61" s="781" t="inlineStr">
        <is>
          <t>GLAMOUR MIDNIGHT</t>
        </is>
      </c>
      <c r="B61" s="731" t="n"/>
      <c r="C61" s="731" t="n"/>
      <c r="D61" s="775" t="n"/>
      <c r="F61" s="141" t="n"/>
      <c r="G61" s="141" t="n"/>
      <c r="H61" s="141" t="n"/>
      <c r="I61" s="141" t="n"/>
      <c r="J61" s="141" t="n"/>
      <c r="K61" s="141" t="n"/>
      <c r="L61" s="141" t="n"/>
      <c r="M61" s="141" t="n"/>
      <c r="N61" s="141" t="n"/>
      <c r="O61" s="141" t="n"/>
      <c r="P61" s="141" t="n"/>
      <c r="Q61" s="141" t="n"/>
      <c r="R61" s="141" t="n"/>
      <c r="S61" s="141" t="n"/>
      <c r="T61" s="141" t="n"/>
      <c r="U61" s="141" t="n"/>
      <c r="V61" s="141" t="n"/>
      <c r="W61" s="141" t="n"/>
      <c r="X61" s="141" t="n"/>
      <c r="Y61" s="141" t="n"/>
      <c r="Z61" s="141" t="n"/>
      <c r="AA61" s="141" t="n"/>
      <c r="AB61" s="141" t="n"/>
      <c r="AC61" s="141" t="n"/>
      <c r="AD61" s="141" t="n"/>
      <c r="AE61" s="141" t="n"/>
      <c r="AF61" s="141" t="n"/>
      <c r="AG61" s="141" t="n"/>
      <c r="AH61" s="141" t="n"/>
      <c r="AI61" s="141" t="n"/>
      <c r="AJ61" s="141" t="n"/>
      <c r="AK61" s="141" t="n"/>
      <c r="AL61" s="141" t="n"/>
      <c r="AM61" s="141" t="n"/>
      <c r="AN61" s="141" t="n"/>
      <c r="AO61" s="141" t="n"/>
      <c r="AP61" s="141" t="n"/>
      <c r="AQ61" s="141" t="n"/>
      <c r="AR61" s="141" t="n"/>
      <c r="AS61" s="141" t="n"/>
      <c r="AT61" s="141" t="n"/>
      <c r="AU61" s="141" t="n"/>
      <c r="AV61" s="141" t="n"/>
      <c r="AW61" s="141" t="n"/>
      <c r="AX61" s="141" t="n"/>
      <c r="AY61" s="141" t="n"/>
      <c r="AZ61" s="141" t="n"/>
      <c r="BA61" s="141" t="n"/>
      <c r="BB61" s="141" t="n"/>
      <c r="BC61" s="141" t="n"/>
      <c r="BD61" s="141" t="n"/>
      <c r="BE61" s="141" t="n"/>
      <c r="BF61" s="141" t="n"/>
      <c r="BG61" s="141" t="n"/>
      <c r="BH61" s="141" t="n"/>
      <c r="BI61" s="141" t="n"/>
      <c r="BJ61" s="141" t="n"/>
      <c r="BK61" s="141" t="n"/>
      <c r="BL61" s="141" t="n"/>
      <c r="BM61" s="141" t="n"/>
      <c r="BN61" s="141" t="n"/>
      <c r="BO61" s="141" t="n"/>
      <c r="BP61" s="141" t="n"/>
      <c r="BQ61" s="141" t="n"/>
      <c r="BR61" s="141" t="n"/>
      <c r="BS61" s="141" t="n"/>
      <c r="BT61" s="141" t="n"/>
      <c r="BU61" s="141" t="n"/>
      <c r="BV61" s="141" t="n"/>
      <c r="BW61" s="141" t="n"/>
      <c r="BX61" s="141" t="n"/>
      <c r="BY61" s="141" t="n"/>
      <c r="BZ61" s="141" t="n"/>
      <c r="CA61" s="208" t="n"/>
      <c r="CB61" s="208" t="n"/>
      <c r="CD61" s="50" t="n"/>
      <c r="CF61" s="50" t="n"/>
      <c r="CG61" s="50" t="n"/>
      <c r="CH61" s="50" t="n"/>
      <c r="DG61" s="5" t="n"/>
      <c r="DR61" s="41" t="n"/>
      <c r="DS61" s="41" t="n"/>
      <c r="DW61" s="41" t="n"/>
      <c r="ED61" s="5" t="n"/>
      <c r="EG61" s="5" t="n"/>
      <c r="EH61" s="327" t="n"/>
      <c r="EL61" s="327" t="n"/>
      <c r="EN61" s="327" t="n"/>
      <c r="EP61" s="327" t="n"/>
    </row>
    <row r="62" hidden="1" ht="18.75" customHeight="1">
      <c r="A62" s="781" t="inlineStr">
        <is>
          <t>CELEBRE AGORA MAS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BZ62" s="141" t="n"/>
      <c r="CA62" s="208" t="n"/>
      <c r="CB62" s="208" t="n"/>
      <c r="CD62" s="50" t="n"/>
      <c r="DD62" s="5" t="n"/>
      <c r="DG62" s="5" t="n"/>
      <c r="DR62" s="41" t="n"/>
      <c r="DS62" s="41" t="n"/>
      <c r="DW62" s="41" t="n"/>
      <c r="ED62" s="5" t="n"/>
      <c r="EG62" s="5" t="n"/>
      <c r="EH62" s="327" t="n"/>
      <c r="EL62" s="327" t="n"/>
      <c r="EN62" s="327" t="n"/>
      <c r="EP62" s="327" t="n"/>
    </row>
    <row r="63" hidden="1" ht="18.75" customHeight="1">
      <c r="A63" s="781" t="inlineStr">
        <is>
          <t>CELEBRE AGORA FEM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141" t="n"/>
      <c r="CA63" s="208" t="n"/>
      <c r="CB63" s="208" t="n"/>
      <c r="CC63" s="573" t="n"/>
      <c r="CE63" s="5" t="n"/>
      <c r="DD63" s="5" t="n"/>
      <c r="DG63" s="5" t="n"/>
      <c r="DR63" s="41" t="n"/>
      <c r="DS63" s="41" t="n"/>
      <c r="DW63" s="41" t="n"/>
      <c r="ED63" s="5" t="n"/>
      <c r="EG63" s="5" t="n"/>
      <c r="EH63" s="327" t="n"/>
      <c r="EL63" s="327" t="n"/>
      <c r="EN63" s="327" t="n"/>
      <c r="EP63" s="327" t="n"/>
    </row>
    <row r="64" hidden="1" ht="18.75" customHeight="1">
      <c r="A64" s="781" t="inlineStr">
        <is>
          <t>COFFEE D/COL MAN SEDUC</t>
        </is>
      </c>
      <c r="B64" s="731" t="n"/>
      <c r="C64" s="731" t="n"/>
      <c r="D64" s="77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141" t="n"/>
      <c r="CA64" s="208" t="n"/>
      <c r="CB64" s="208" t="n"/>
      <c r="CC64" s="573" t="n"/>
      <c r="CE64" s="5" t="n"/>
      <c r="DD64" s="5" t="n"/>
      <c r="DG64" s="5" t="n"/>
      <c r="ED64" s="5" t="n"/>
      <c r="EG64" s="5" t="n"/>
      <c r="EH64" s="328" t="n"/>
      <c r="EL64" s="328" t="n"/>
      <c r="EN64" s="328" t="n"/>
      <c r="EP64" s="328" t="n"/>
    </row>
    <row r="65" hidden="1" ht="18.75" customHeight="1">
      <c r="A65" s="781" t="inlineStr">
        <is>
          <t>BOTIK AC MANDTR</t>
        </is>
      </c>
      <c r="B65" s="731" t="n"/>
      <c r="C65" s="731" t="n"/>
      <c r="D65" s="77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141" t="n"/>
      <c r="CA65" s="208" t="n"/>
      <c r="CB65" s="208" t="n"/>
      <c r="CC65" s="573" t="n"/>
      <c r="CE65" s="5" t="n"/>
      <c r="DG65" s="5" t="n"/>
      <c r="ED65" s="5" t="n"/>
      <c r="EG65" s="5" t="n"/>
      <c r="EH65" s="328" t="n"/>
      <c r="EL65" s="328" t="n"/>
      <c r="EN65" s="328" t="n"/>
      <c r="EP65" s="328" t="n"/>
    </row>
    <row r="66" hidden="1" ht="18.75" customHeight="1">
      <c r="A66" s="781" t="inlineStr">
        <is>
          <t>CBEM SHOW DE BANHO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141" t="n"/>
      <c r="CA66" s="208" t="n"/>
      <c r="CB66" s="208" t="n"/>
      <c r="CC66" s="573" t="n"/>
      <c r="CD66" s="29" t="n"/>
      <c r="CE66" s="29" t="n"/>
      <c r="CH66" s="5" t="n"/>
      <c r="CI66" s="29" t="n"/>
      <c r="CJ66" s="29" t="n"/>
      <c r="CK66" s="29" t="n"/>
      <c r="CL66" s="59" t="n"/>
      <c r="CM66" s="29" t="n"/>
      <c r="CN66" s="29" t="n"/>
      <c r="CO66" s="29" t="n"/>
      <c r="CP66" s="29" t="n"/>
      <c r="CQ66" s="29" t="n"/>
      <c r="CR66" s="29" t="n"/>
      <c r="CS66" s="29" t="n"/>
      <c r="CT66" s="29" t="n"/>
      <c r="CU66" s="29" t="n"/>
      <c r="CV66" s="29" t="n"/>
      <c r="CW66" s="29" t="n"/>
      <c r="CX66" s="29" t="n"/>
      <c r="CY66" s="29" t="n"/>
      <c r="CZ66" s="29" t="n"/>
      <c r="DA66" s="29" t="n"/>
      <c r="DB66" s="29" t="n"/>
      <c r="DC66" s="29" t="n"/>
      <c r="DD66" s="59" t="n"/>
      <c r="DE66" s="29" t="n"/>
      <c r="DF66" s="29" t="n"/>
      <c r="DG66" s="5" t="n"/>
      <c r="DH66" s="29" t="n"/>
      <c r="DI66" s="29" t="n"/>
      <c r="DJ66" s="29" t="n"/>
      <c r="DK66" s="29" t="n"/>
      <c r="DL66" s="29" t="n"/>
      <c r="DM66" s="29" t="n"/>
      <c r="DN66" s="29" t="n"/>
      <c r="DO66" s="29" t="n"/>
      <c r="DP66" s="29" t="n"/>
      <c r="DQ66" s="29" t="n"/>
      <c r="DT66" s="29" t="n"/>
      <c r="DU66" s="29" t="n"/>
      <c r="DV66" s="29" t="n"/>
      <c r="DX66" s="29" t="n"/>
      <c r="DY66" s="29" t="n"/>
      <c r="DZ66" s="29" t="n"/>
      <c r="EA66" s="29" t="n"/>
      <c r="EB66" s="29" t="n"/>
      <c r="EC66" s="29" t="n"/>
      <c r="EE66" s="29" t="n"/>
      <c r="EF66" s="29" t="n"/>
      <c r="EH66" s="329" t="n"/>
      <c r="EI66" s="29" t="n"/>
      <c r="EJ66" s="29" t="n"/>
      <c r="EK66" s="29" t="n"/>
      <c r="EL66" s="329" t="n"/>
      <c r="EM66" s="29" t="n"/>
      <c r="EN66" s="329" t="n"/>
      <c r="EO66" s="29" t="n"/>
      <c r="EP66" s="329" t="n"/>
      <c r="EQ66" s="29" t="n"/>
      <c r="ER66" s="29" t="n"/>
      <c r="ES66" s="29" t="n"/>
      <c r="ET66" s="29" t="n"/>
      <c r="EU66" s="29" t="n"/>
      <c r="EV66" s="29" t="n"/>
      <c r="EW66" s="29" t="n"/>
      <c r="EX66" s="29" t="n"/>
      <c r="EY66" s="29" t="n"/>
      <c r="EZ66" s="29" t="n"/>
      <c r="FA66" s="29" t="n"/>
      <c r="FB66" s="29" t="n"/>
      <c r="FD66" s="5" t="n"/>
      <c r="FE66" s="5" t="n"/>
      <c r="FF66" s="5" t="n"/>
      <c r="FG66" s="5" t="n"/>
      <c r="FH66" s="5" t="n"/>
      <c r="FI66" s="5" t="n"/>
      <c r="FJ66" s="5" t="n"/>
      <c r="FK66" s="5" t="n"/>
      <c r="FL66" s="5" t="n"/>
      <c r="FM66" s="5" t="n"/>
      <c r="FN66" s="5" t="n"/>
      <c r="FO66" s="5" t="n"/>
    </row>
    <row r="67" hidden="1" ht="18.75" customHeight="1">
      <c r="A67" s="781" t="inlineStr">
        <is>
          <t>CJ FLAC BOTICA 214 EDP FIJ P/FG/ES 5x1ml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141" t="n"/>
      <c r="CA67" s="208" t="n"/>
      <c r="CB67" s="208" t="n"/>
      <c r="DG67" s="5" t="n"/>
      <c r="ED67" s="5" t="n"/>
      <c r="EG67" s="5" t="n"/>
      <c r="EH67" s="329" t="n"/>
      <c r="EL67" s="329" t="n"/>
      <c r="EN67" s="329" t="n"/>
      <c r="EP67" s="329" t="n"/>
    </row>
    <row r="68" hidden="1" ht="18.75" customHeight="1">
      <c r="A68" s="781" t="inlineStr">
        <is>
          <t>CJ FLAC BOTICA 214 EDP FIJ P/FG/ES 5x1ml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141" t="n"/>
      <c r="CA68" s="208" t="n"/>
      <c r="CB68" s="208" t="n"/>
      <c r="CC68" s="573" t="n"/>
      <c r="EH68" s="329" t="n"/>
      <c r="EL68" s="329" t="n"/>
      <c r="EN68" s="329" t="n"/>
      <c r="EP68" s="329" t="n"/>
    </row>
    <row r="69" hidden="1" ht="18.75" customHeight="1">
      <c r="A69" s="781" t="inlineStr">
        <is>
          <t>CJ SCH BOTIK VITAM C SERUM ALT/POT 5x2ml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141" t="n"/>
      <c r="CA69" s="208" t="n"/>
      <c r="CB69" s="208" t="n"/>
      <c r="CC69" s="573" t="n"/>
      <c r="DG69" s="5" t="n"/>
      <c r="EH69" s="329" t="n"/>
      <c r="EL69" s="329" t="n"/>
      <c r="EN69" s="329" t="n"/>
      <c r="EP69" s="329" t="n"/>
    </row>
    <row r="70" hidden="1" ht="18.75" customHeight="1">
      <c r="A70" s="781" t="inlineStr">
        <is>
          <t>CJ FLAC EGEO FREE FIRE DES COL  5x1ml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141" t="n"/>
      <c r="CA70" s="208" t="n"/>
      <c r="CB70" s="208" t="n"/>
      <c r="CC70" s="573" t="n"/>
      <c r="DR70" s="5" t="n"/>
      <c r="DS70" s="5" t="n"/>
      <c r="DW70" s="5" t="n"/>
      <c r="ED70" s="173" t="n"/>
      <c r="EG70" s="173" t="n"/>
      <c r="EH70" s="329" t="n"/>
      <c r="EL70" s="329" t="n"/>
      <c r="EN70" s="329" t="n"/>
      <c r="EP70" s="329" t="n"/>
    </row>
    <row r="71" hidden="1" ht="18.75" customHeight="1">
      <c r="A71" s="781" t="inlineStr">
        <is>
          <t>CJ FLAC EAU DE PARFUM HER CODE 5x1ml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141" t="n"/>
      <c r="CA71" s="208" t="n"/>
      <c r="CB71" s="208" t="n"/>
      <c r="CC71" s="573" t="n"/>
      <c r="DR71" s="5" t="n"/>
      <c r="DS71" s="5" t="n"/>
      <c r="DW71" s="5" t="n"/>
      <c r="ED71" s="173" t="n"/>
      <c r="EG71" s="173" t="n"/>
      <c r="EH71" s="329" t="n"/>
      <c r="EL71" s="329" t="n"/>
      <c r="EN71" s="329" t="n"/>
      <c r="EP71" s="329" t="n"/>
    </row>
    <row r="72" hidden="1" ht="18.75" customHeight="1">
      <c r="A72" s="781" t="inlineStr">
        <is>
          <t>CJ SCH MALBEC CLUB SH/C ANTI CASPA V2 2x7ml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141" t="n"/>
      <c r="CA72" s="208" t="n"/>
      <c r="CB72" s="208" t="n"/>
      <c r="CC72" s="573" t="n"/>
      <c r="DG72" s="173" t="n"/>
      <c r="DR72" s="5" t="n"/>
      <c r="DS72" s="5" t="n"/>
      <c r="DW72" s="5" t="n"/>
      <c r="ED72" s="173" t="n"/>
      <c r="EG72" s="173" t="n"/>
      <c r="EH72" s="327" t="n"/>
      <c r="EL72" s="327" t="n"/>
      <c r="EN72" s="327" t="n"/>
      <c r="EP72" s="327" t="n"/>
    </row>
    <row r="73" hidden="1" ht="18.75" customHeight="1">
      <c r="A73" s="781" t="inlineStr">
        <is>
          <t>CJ SCH MALBEC CLUB SH/C ANTIQ V2 2x7ml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141" t="n"/>
      <c r="CA73" s="208" t="n"/>
      <c r="CB73" s="208" t="n"/>
      <c r="CC73" s="573" t="n"/>
      <c r="DG73" s="173" t="n"/>
      <c r="EH73" s="327" t="n"/>
      <c r="EL73" s="327" t="n"/>
      <c r="EN73" s="327" t="n"/>
      <c r="EP73" s="327" t="n"/>
    </row>
    <row r="74" hidden="1" ht="18.75" customHeight="1">
      <c r="A74" s="781" t="inlineStr">
        <is>
          <t>CJ SCH BOTIK ACIDO POLIGLUTAMICO 2x2g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141" t="n"/>
      <c r="CA74" s="208" t="n"/>
      <c r="CB74" s="208" t="n"/>
      <c r="CC74" s="573" t="n"/>
      <c r="DG74" s="173" t="n"/>
      <c r="EH74" s="327" t="n"/>
      <c r="EL74" s="327" t="n"/>
      <c r="EN74" s="327" t="n"/>
      <c r="EP74" s="327" t="n"/>
    </row>
    <row r="75" hidden="1" ht="18.75" customHeight="1">
      <c r="A75" s="781" t="inlineStr">
        <is>
          <t>LILY LEAU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141" t="n"/>
      <c r="CA75" s="208" t="n"/>
      <c r="CB75" s="208" t="n"/>
      <c r="CC75" s="573" t="n"/>
    </row>
    <row r="76" hidden="1" ht="18.75" customHeight="1">
      <c r="A76" s="781" t="inlineStr">
        <is>
          <t>QUASAR VISION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BZ76" s="141" t="n"/>
      <c r="CA76" s="208" t="n"/>
      <c r="CB76" s="208" t="n"/>
    </row>
    <row r="77" hidden="1" ht="18.75" customHeight="1">
      <c r="A77" s="781" t="inlineStr">
        <is>
          <t xml:space="preserve">CJ FLAC BOTICOL PORTINAR D/COL ABS 5x1ml 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BZ77" s="141" t="n"/>
      <c r="CA77" s="208" t="n"/>
      <c r="CB77" s="208" t="n"/>
    </row>
    <row r="78" hidden="1" ht="18.75" customHeight="1">
      <c r="A78" s="781" t="inlineStr">
        <is>
          <t>CJ SCH BOTI BABY SAB LIQLOC CPO 2x7ML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  <c r="BZ78" s="141" t="n"/>
      <c r="CA78" s="208" t="n"/>
      <c r="CB78" s="208" t="n"/>
    </row>
    <row r="79" hidden="1" ht="18.75" customHeight="1">
      <c r="A79" s="781" t="inlineStr">
        <is>
          <t>BASE MAKE B SACHE</t>
        </is>
      </c>
      <c r="B79" s="731" t="n"/>
      <c r="C79" s="731" t="n"/>
      <c r="D79" s="775" t="n"/>
      <c r="E79" s="573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BZ79" s="141" t="n"/>
      <c r="CA79" s="208" t="n"/>
      <c r="CB79" s="208" t="n"/>
      <c r="CR79" s="59" t="n"/>
      <c r="CS79" s="59" t="n"/>
      <c r="CT79" s="59" t="n"/>
      <c r="CU79" s="59" t="n"/>
      <c r="CV79" s="59" t="n"/>
      <c r="CW79" s="59" t="n"/>
    </row>
    <row r="80" hidden="1" ht="18.75" customHeight="1">
      <c r="A80" s="781" t="inlineStr">
        <is>
          <t>PORTINARI</t>
        </is>
      </c>
      <c r="B80" s="731" t="n"/>
      <c r="C80" s="731" t="n"/>
      <c r="D80" s="775" t="n"/>
      <c r="E80" s="573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BZ80" s="141" t="n"/>
      <c r="CA80" s="208" t="n"/>
      <c r="CB80" s="208" t="n"/>
      <c r="CR80" s="573" t="n"/>
      <c r="CS80" s="573" t="n"/>
      <c r="CT80" s="573" t="n"/>
      <c r="CU80" s="573" t="n"/>
      <c r="CV80" s="573" t="n"/>
      <c r="CW80" s="573" t="n"/>
    </row>
    <row r="81" hidden="1" ht="18.75" customHeight="1">
      <c r="A81" s="781" t="inlineStr">
        <is>
          <t>FLORATTA ROMANCE VERÃO</t>
        </is>
      </c>
      <c r="B81" s="731" t="n"/>
      <c r="C81" s="731" t="n"/>
      <c r="D81" s="775" t="n"/>
      <c r="E81" s="573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BZ81" s="141" t="n"/>
      <c r="CA81" s="208" t="n"/>
      <c r="CB81" s="208" t="n"/>
      <c r="CR81" s="573" t="n"/>
      <c r="CS81" s="573" t="n"/>
      <c r="CT81" s="573" t="n"/>
      <c r="CU81" s="573" t="n"/>
      <c r="CV81" s="573" t="n"/>
      <c r="CW81" s="573" t="n"/>
    </row>
    <row r="82" hidden="1" ht="18.75" customHeight="1">
      <c r="A82" s="781" t="inlineStr">
        <is>
          <t>BATOM INTENSE CREMOSO</t>
        </is>
      </c>
      <c r="B82" s="731" t="n"/>
      <c r="C82" s="731" t="n"/>
      <c r="D82" s="775" t="n"/>
      <c r="E82" s="573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  <c r="BZ82" s="141" t="n"/>
      <c r="CA82" s="208" t="n"/>
      <c r="CB82" s="208" t="n"/>
    </row>
    <row r="83" hidden="1" ht="18.75" customHeight="1">
      <c r="A83" s="781" t="inlineStr">
        <is>
          <t>BOTI SUN FLUIDO</t>
        </is>
      </c>
      <c r="B83" s="731" t="n"/>
      <c r="C83" s="731" t="n"/>
      <c r="D83" s="775" t="n"/>
      <c r="E83" s="573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  <c r="BZ83" s="141" t="n"/>
      <c r="CA83" s="208" t="n"/>
      <c r="CB83" s="208" t="n"/>
    </row>
    <row r="84" hidden="1" ht="18.75" customHeight="1">
      <c r="A84" s="781" t="inlineStr">
        <is>
          <t>cuidese bem</t>
        </is>
      </c>
      <c r="B84" s="731" t="n"/>
      <c r="C84" s="731" t="n"/>
      <c r="D84" s="775" t="n"/>
      <c r="E84" s="573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  <c r="BZ84" s="141" t="n"/>
      <c r="CA84" s="208" t="n"/>
      <c r="CB84" s="208" t="n"/>
    </row>
    <row r="85" hidden="1" ht="18.75" customHeight="1">
      <c r="A85" s="781" t="inlineStr">
        <is>
          <t>make be</t>
        </is>
      </c>
      <c r="B85" s="731" t="n"/>
      <c r="C85" s="731" t="n"/>
      <c r="D85" s="775" t="n"/>
      <c r="E85" s="573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  <c r="BZ85" s="141" t="n"/>
      <c r="CA85" s="208" t="n"/>
      <c r="CB85" s="208" t="n"/>
    </row>
    <row r="86" hidden="1" ht="18.75" customHeight="1">
      <c r="A86" s="781" t="inlineStr">
        <is>
          <t>QUASAR blue</t>
        </is>
      </c>
      <c r="B86" s="731" t="n"/>
      <c r="C86" s="731" t="n"/>
      <c r="D86" s="775" t="n"/>
      <c r="E86" s="573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  <c r="BZ86" s="141" t="n"/>
      <c r="CA86" s="208" t="n"/>
      <c r="CB86" s="208" t="n"/>
    </row>
    <row r="87" hidden="1" ht="18.75" customHeight="1">
      <c r="A87" s="781" t="inlineStr">
        <is>
          <t>ARBO PURO</t>
        </is>
      </c>
      <c r="B87" s="731" t="n"/>
      <c r="C87" s="731" t="n"/>
      <c r="D87" s="775" t="n"/>
      <c r="E87" s="573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  <c r="BZ87" s="141" t="n"/>
      <c r="CA87" s="208" t="n"/>
      <c r="CB87" s="208" t="n"/>
    </row>
    <row r="88" hidden="1" ht="18.75" customHeight="1">
      <c r="A88" s="781" t="inlineStr">
        <is>
          <t>FEIRA BANANA</t>
        </is>
      </c>
      <c r="B88" s="731" t="n"/>
      <c r="C88" s="731" t="n"/>
      <c r="D88" s="775" t="n"/>
      <c r="E88" s="573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  <c r="BZ88" s="141" t="n"/>
      <c r="CA88" s="208" t="n"/>
      <c r="CB88" s="208" t="n"/>
    </row>
    <row r="89" hidden="1" ht="18.75" customHeight="1">
      <c r="A89" s="781" t="inlineStr">
        <is>
          <t>CJ SCH CBEM LOC HID FEIRA SORT3X7ML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  <c r="BZ89" s="141" t="n"/>
      <c r="CA89" s="208" t="n"/>
      <c r="CB89" s="208" t="n"/>
    </row>
    <row r="90" hidden="1" ht="18.75" customHeight="1">
      <c r="A90" s="781" t="inlineStr">
        <is>
          <t>FLACONETE QUASAR BLUE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  <c r="BZ90" s="141" t="n"/>
      <c r="CA90" s="208" t="n"/>
      <c r="CB90" s="208" t="n"/>
    </row>
    <row r="91" hidden="1" ht="18.75" customHeight="1">
      <c r="A91" s="781" t="inlineStr">
        <is>
          <t>SACHE DELEITE 3X7ML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  <c r="BZ91" s="141" t="n"/>
      <c r="CA91" s="208" t="n"/>
      <c r="CB91" s="208" t="n"/>
    </row>
    <row r="92" hidden="1" ht="18.75" customHeight="1">
      <c r="A92" s="781" t="inlineStr">
        <is>
          <t>SACHE ROSA E ALGODÃO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BZ92" s="141" t="n"/>
      <c r="CA92" s="208" t="n"/>
      <c r="CB92" s="208" t="n"/>
    </row>
    <row r="93" hidden="1" ht="18.75" customHeight="1">
      <c r="A93" s="781" t="inlineStr">
        <is>
          <t>SACHE NUVEM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BZ93" s="141" t="n"/>
      <c r="CA93" s="208" t="n"/>
      <c r="CB93" s="208" t="n"/>
    </row>
    <row r="94" hidden="1" ht="18.75" customHeight="1">
      <c r="A94" s="482" t="inlineStr">
        <is>
          <t>FLAC HER CODE TOUCH 5X1ML</t>
        </is>
      </c>
      <c r="B94" s="483" t="n"/>
      <c r="C94" s="484" t="n"/>
      <c r="D94" s="484" t="n"/>
      <c r="F94" s="141" t="n">
        <v>0</v>
      </c>
      <c r="G94" s="141" t="n">
        <v>0</v>
      </c>
      <c r="H94" s="141" t="n">
        <v>0</v>
      </c>
      <c r="I94" s="141" t="n">
        <v>0</v>
      </c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BZ94" s="141" t="n"/>
      <c r="CA94" s="208" t="n"/>
      <c r="CB94" s="208" t="n"/>
    </row>
    <row r="95" hidden="1" ht="18.75" customHeight="1">
      <c r="A95" s="482" t="inlineStr">
        <is>
          <t xml:space="preserve">FLAC DIVERTIDAMENTE2 5X1 ML </t>
        </is>
      </c>
      <c r="B95" s="483" t="n"/>
      <c r="C95" s="484" t="n"/>
      <c r="D95" s="484" t="n"/>
      <c r="F95" s="141" t="n">
        <v>0</v>
      </c>
      <c r="G95" s="141" t="n">
        <v>0</v>
      </c>
      <c r="H95" s="141" t="n">
        <v>0</v>
      </c>
      <c r="I95" s="141" t="n">
        <v>0</v>
      </c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  <c r="BZ95" s="141" t="n"/>
      <c r="CA95" s="208" t="n"/>
      <c r="CB95" s="208" t="n"/>
    </row>
    <row r="96" hidden="1" ht="18.75" customHeight="1">
      <c r="A96" s="482" t="inlineStr">
        <is>
          <t>FLAC ZAAD VENTURE 5X1ML</t>
        </is>
      </c>
      <c r="B96" s="483" t="n"/>
      <c r="C96" s="484" t="n"/>
      <c r="D96" s="484" t="n"/>
      <c r="F96" s="141" t="n">
        <v>0</v>
      </c>
      <c r="G96" s="141" t="n">
        <v>0</v>
      </c>
      <c r="H96" s="141" t="n">
        <v>0</v>
      </c>
      <c r="I96" s="141" t="n">
        <v>0</v>
      </c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  <c r="BZ96" s="141" t="n"/>
      <c r="CA96" s="208" t="n"/>
      <c r="CB96" s="208" t="n"/>
    </row>
    <row r="97" hidden="1" ht="18.75" customHeight="1">
      <c r="A97" s="781" t="inlineStr">
        <is>
          <t>SCH BOTIK SERUM FAC RESV/SILICIO 2ML</t>
        </is>
      </c>
      <c r="B97" s="731" t="n"/>
      <c r="C97" s="731" t="n"/>
      <c r="D97" s="775" t="n"/>
      <c r="F97" s="141" t="n">
        <v>0</v>
      </c>
      <c r="G97" s="141" t="n">
        <v>0</v>
      </c>
      <c r="H97" s="141" t="n">
        <v>0</v>
      </c>
      <c r="I97" s="141" t="n">
        <v>0</v>
      </c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  <c r="BZ97" s="141" t="n"/>
      <c r="CA97" s="208" t="n"/>
      <c r="CB97" s="208" t="n"/>
    </row>
    <row r="98" hidden="1" ht="18.75" customHeight="1">
      <c r="A98" s="781" t="inlineStr">
        <is>
          <t>NATIVA SPA CEREJA ROUGE</t>
        </is>
      </c>
      <c r="B98" s="731" t="n"/>
      <c r="C98" s="731" t="n"/>
      <c r="D98" s="775" t="n"/>
      <c r="F98" s="141" t="n">
        <v>0</v>
      </c>
      <c r="G98" s="141" t="n">
        <v>0</v>
      </c>
      <c r="H98" s="141" t="n">
        <v>0</v>
      </c>
      <c r="I98" s="141" t="n">
        <v>0</v>
      </c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  <c r="BZ98" s="141" t="n"/>
      <c r="CA98" s="208" t="n"/>
      <c r="CB98" s="208" t="n"/>
    </row>
    <row r="99" hidden="1" ht="18.75" customHeight="1">
      <c r="A99" s="781" t="inlineStr">
        <is>
          <t>LILLY GARDENIA</t>
        </is>
      </c>
      <c r="B99" s="731" t="n"/>
      <c r="C99" s="731" t="n"/>
      <c r="D99" s="775" t="n"/>
      <c r="F99" s="141" t="n">
        <v>0</v>
      </c>
      <c r="G99" s="141" t="n">
        <v>0</v>
      </c>
      <c r="H99" s="141" t="n">
        <v>0</v>
      </c>
      <c r="I99" s="141" t="n">
        <v>0</v>
      </c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  <c r="BZ99" s="141" t="n"/>
      <c r="CA99" s="208" t="n"/>
      <c r="CB99" s="208" t="n"/>
    </row>
    <row r="100" hidden="1" ht="18.75" customHeight="1">
      <c r="A100" s="781" t="inlineStr">
        <is>
          <t>MALBEC ICON</t>
        </is>
      </c>
      <c r="B100" s="731" t="n"/>
      <c r="C100" s="731" t="n"/>
      <c r="D100" s="775" t="n"/>
      <c r="F100" s="141" t="n">
        <v>45</v>
      </c>
      <c r="G100" s="141" t="n">
        <v>45</v>
      </c>
      <c r="H100" s="141" t="n">
        <v>40</v>
      </c>
      <c r="I100" s="141" t="n">
        <v>40</v>
      </c>
      <c r="J100" s="141" t="n">
        <v>35</v>
      </c>
      <c r="K100" s="141" t="n">
        <v>35</v>
      </c>
      <c r="L100" s="141" t="n">
        <v>25</v>
      </c>
      <c r="M100" s="141" t="n">
        <v>20</v>
      </c>
      <c r="N100" s="141" t="n">
        <v>15</v>
      </c>
      <c r="O100" s="141" t="n">
        <v>15</v>
      </c>
      <c r="P100" s="141" t="n">
        <v>10</v>
      </c>
      <c r="Q100" s="141" t="n">
        <v>10</v>
      </c>
      <c r="R100" s="141" t="n">
        <v>10</v>
      </c>
      <c r="S100" s="141" t="n">
        <v>10</v>
      </c>
      <c r="T100" s="141" t="n">
        <v>10</v>
      </c>
      <c r="U100" s="141" t="n">
        <v>10</v>
      </c>
      <c r="V100" s="141" t="n">
        <v>5</v>
      </c>
      <c r="W100" s="141" t="n">
        <v>0</v>
      </c>
      <c r="X100" s="141" t="n">
        <v>0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>
        <v>0</v>
      </c>
      <c r="AX100" s="141" t="n">
        <v>0</v>
      </c>
      <c r="AY100" s="141" t="n">
        <v>0</v>
      </c>
      <c r="AZ100" s="141" t="n">
        <v>0</v>
      </c>
      <c r="BA100" s="141" t="n">
        <v>0</v>
      </c>
      <c r="BB100" s="141" t="n">
        <v>0</v>
      </c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  <c r="BZ100" s="141" t="n"/>
      <c r="CA100" s="208" t="n"/>
      <c r="CB100" s="208" t="n"/>
    </row>
    <row r="101" hidden="1" ht="18.75" customHeight="1">
      <c r="A101" s="781" t="inlineStr">
        <is>
          <t>FLORATTA RED PASSION</t>
        </is>
      </c>
      <c r="B101" s="731" t="n"/>
      <c r="C101" s="731" t="n"/>
      <c r="D101" s="775" t="n"/>
      <c r="F101" s="141" t="n">
        <v>0</v>
      </c>
      <c r="G101" s="141" t="n">
        <v>0</v>
      </c>
      <c r="H101" s="141" t="n">
        <v>45</v>
      </c>
      <c r="I101" s="141" t="n">
        <v>45</v>
      </c>
      <c r="J101" s="141" t="n">
        <v>35</v>
      </c>
      <c r="K101" s="141" t="n">
        <v>35</v>
      </c>
      <c r="L101" s="141" t="n">
        <v>20</v>
      </c>
      <c r="M101" s="141" t="n">
        <v>10</v>
      </c>
      <c r="N101" s="141" t="n">
        <v>10</v>
      </c>
      <c r="O101" s="141" t="n">
        <v>10</v>
      </c>
      <c r="P101" s="141" t="n">
        <v>0</v>
      </c>
      <c r="Q101" s="141" t="n">
        <v>0</v>
      </c>
      <c r="R101" s="141" t="n">
        <v>0</v>
      </c>
      <c r="S101" s="141" t="n">
        <v>0</v>
      </c>
      <c r="T101" s="141" t="n">
        <v>0</v>
      </c>
      <c r="U101" s="141" t="n">
        <v>0</v>
      </c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  <c r="BZ101" s="141" t="n"/>
      <c r="CA101" s="208" t="n"/>
      <c r="CB101" s="208" t="n"/>
    </row>
    <row r="102" hidden="1" ht="18.75" customHeight="1">
      <c r="A102" s="781" t="inlineStr">
        <is>
          <t>CBEM HIDR. DOCURA NA PESSEGURA</t>
        </is>
      </c>
      <c r="B102" s="731" t="n"/>
      <c r="C102" s="731" t="n"/>
      <c r="D102" s="775" t="n"/>
      <c r="J102" s="141" t="n">
        <v>0</v>
      </c>
      <c r="K102" s="141" t="n">
        <v>240</v>
      </c>
      <c r="L102" s="141" t="n">
        <v>224</v>
      </c>
      <c r="M102" s="141" t="n">
        <v>216</v>
      </c>
      <c r="N102" s="141" t="n">
        <v>200</v>
      </c>
      <c r="O102" s="141" t="n">
        <v>200</v>
      </c>
      <c r="P102" s="141" t="n">
        <v>160</v>
      </c>
      <c r="Q102" s="141" t="n">
        <v>160</v>
      </c>
      <c r="R102" s="141" t="n">
        <v>160</v>
      </c>
      <c r="S102" s="141" t="n">
        <v>160</v>
      </c>
      <c r="T102" s="141" t="n">
        <v>160</v>
      </c>
      <c r="U102" s="141" t="n">
        <v>160</v>
      </c>
      <c r="V102" s="141" t="n">
        <v>148</v>
      </c>
      <c r="W102" s="141" t="n">
        <v>148</v>
      </c>
      <c r="X102" s="141" t="n">
        <v>144</v>
      </c>
      <c r="Y102" s="141" t="n">
        <v>140</v>
      </c>
      <c r="Z102" s="141" t="n">
        <v>120</v>
      </c>
      <c r="AA102" s="141" t="n">
        <v>120</v>
      </c>
      <c r="AB102" s="141" t="n">
        <v>116</v>
      </c>
      <c r="AC102" s="141" t="n">
        <v>104</v>
      </c>
      <c r="AD102" s="141" t="n">
        <v>104</v>
      </c>
      <c r="AE102" s="141" t="n">
        <v>104</v>
      </c>
      <c r="AF102" s="141" t="n">
        <v>100</v>
      </c>
      <c r="AG102" s="141" t="n">
        <v>56</v>
      </c>
      <c r="AH102" s="141" t="n">
        <v>52</v>
      </c>
      <c r="AI102" s="141" t="n">
        <v>48</v>
      </c>
      <c r="AJ102" s="141" t="n">
        <v>40</v>
      </c>
      <c r="AK102" s="141" t="n">
        <v>36</v>
      </c>
      <c r="AL102" s="141" t="n">
        <v>28</v>
      </c>
      <c r="AM102" s="141" t="n">
        <v>28</v>
      </c>
      <c r="AN102" s="141" t="n">
        <v>24</v>
      </c>
      <c r="AO102" s="141" t="n">
        <v>24</v>
      </c>
      <c r="AP102" s="141" t="n">
        <v>20</v>
      </c>
      <c r="AQ102" s="141" t="n">
        <v>20</v>
      </c>
      <c r="AR102" s="141" t="n">
        <v>16</v>
      </c>
      <c r="AS102" s="141" t="n">
        <v>12</v>
      </c>
      <c r="AT102" s="141" t="n">
        <v>12</v>
      </c>
      <c r="AU102" s="141" t="n">
        <v>4</v>
      </c>
      <c r="AV102" s="141" t="n">
        <v>0</v>
      </c>
      <c r="AW102" s="141" t="n">
        <v>0</v>
      </c>
      <c r="AX102" s="141" t="n">
        <v>0</v>
      </c>
      <c r="AY102" s="141" t="n">
        <v>0</v>
      </c>
      <c r="AZ102" s="141" t="n">
        <v>0</v>
      </c>
      <c r="BA102" s="141" t="n">
        <v>0</v>
      </c>
      <c r="BB102" s="141" t="n">
        <v>0</v>
      </c>
      <c r="BC102" s="141" t="n">
        <v>0</v>
      </c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  <c r="BZ102" s="141" t="n"/>
      <c r="CA102" s="208" t="n"/>
      <c r="CB102" s="208" t="n"/>
    </row>
    <row r="103" hidden="1" ht="18.75" customHeight="1">
      <c r="A103" s="781" t="inlineStr">
        <is>
          <t>LILY BLANCHE</t>
        </is>
      </c>
      <c r="B103" s="731" t="n"/>
      <c r="C103" s="731" t="n"/>
      <c r="D103" s="775" t="n"/>
      <c r="L103" s="141" t="n">
        <v>0</v>
      </c>
      <c r="M103" s="141" t="n">
        <v>60</v>
      </c>
      <c r="N103" s="141" t="n">
        <v>55</v>
      </c>
      <c r="O103" s="141" t="n">
        <v>55</v>
      </c>
      <c r="P103" s="141" t="n">
        <v>50</v>
      </c>
      <c r="Q103" s="141" t="n">
        <v>40</v>
      </c>
      <c r="R103" s="141" t="n">
        <v>40</v>
      </c>
      <c r="S103" s="141" t="n">
        <v>35</v>
      </c>
      <c r="T103" s="141" t="n">
        <v>35</v>
      </c>
      <c r="U103" s="141" t="n">
        <v>35</v>
      </c>
      <c r="V103" s="141" t="n">
        <v>20</v>
      </c>
      <c r="W103" s="141" t="n">
        <v>20</v>
      </c>
      <c r="X103" s="141" t="n">
        <v>15</v>
      </c>
      <c r="Y103" s="141" t="n">
        <v>15</v>
      </c>
      <c r="Z103" s="141" t="n">
        <v>15</v>
      </c>
      <c r="AA103" s="141" t="n">
        <v>10</v>
      </c>
      <c r="AB103" s="141" t="n">
        <v>5</v>
      </c>
      <c r="AC103" s="141" t="n">
        <v>5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>
        <v>0</v>
      </c>
      <c r="AX103" s="141" t="n">
        <v>0</v>
      </c>
      <c r="AY103" s="141" t="n">
        <v>0</v>
      </c>
      <c r="AZ103" s="141" t="n">
        <v>0</v>
      </c>
      <c r="BA103" s="141" t="n">
        <v>0</v>
      </c>
      <c r="BB103" s="141" t="n">
        <v>0</v>
      </c>
      <c r="BC103" s="141" t="n">
        <v>0</v>
      </c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  <c r="BZ103" s="141" t="n"/>
      <c r="CA103" s="208" t="n"/>
      <c r="CB103" s="208" t="n"/>
    </row>
    <row r="104">
      <c r="A104" s="781" t="inlineStr">
        <is>
          <t>MEN NBA</t>
        </is>
      </c>
      <c r="B104" s="731" t="n"/>
      <c r="C104" s="731" t="n"/>
      <c r="D104" s="775" t="n"/>
      <c r="O104" s="141" t="n">
        <v>0</v>
      </c>
      <c r="P104" s="141" t="n">
        <v>95</v>
      </c>
      <c r="Q104" s="141" t="n">
        <v>90</v>
      </c>
      <c r="R104" s="141" t="n">
        <v>90</v>
      </c>
      <c r="S104" s="141" t="n">
        <v>80</v>
      </c>
      <c r="T104" s="141" t="n">
        <v>80</v>
      </c>
      <c r="U104" s="141" t="n">
        <v>80</v>
      </c>
      <c r="V104" s="141" t="n">
        <v>80</v>
      </c>
      <c r="W104" s="141" t="n">
        <v>80</v>
      </c>
      <c r="X104" s="141" t="n">
        <v>80</v>
      </c>
      <c r="Y104" s="141" t="n">
        <v>75</v>
      </c>
      <c r="Z104" s="141" t="n">
        <v>75</v>
      </c>
      <c r="AA104" s="141" t="n">
        <v>145</v>
      </c>
      <c r="AB104" s="141" t="n">
        <v>70</v>
      </c>
      <c r="AC104" s="141" t="n">
        <v>65</v>
      </c>
      <c r="AD104" s="141" t="n">
        <v>65</v>
      </c>
      <c r="AE104" s="141" t="n">
        <v>65</v>
      </c>
      <c r="AF104" s="141" t="n">
        <v>60</v>
      </c>
      <c r="AG104" s="141" t="n">
        <v>60</v>
      </c>
      <c r="AH104" s="141" t="n">
        <v>60</v>
      </c>
      <c r="AI104" s="141" t="n">
        <v>50</v>
      </c>
      <c r="AJ104" s="141" t="n">
        <v>50</v>
      </c>
      <c r="AK104" s="141" t="n">
        <v>50</v>
      </c>
      <c r="AL104" s="141" t="n">
        <v>45</v>
      </c>
      <c r="AM104" s="141" t="n">
        <v>45</v>
      </c>
      <c r="AN104" s="141" t="n">
        <v>40</v>
      </c>
      <c r="AO104" s="141" t="n">
        <v>40</v>
      </c>
      <c r="AP104" s="141" t="n">
        <v>40</v>
      </c>
      <c r="AQ104" s="141" t="n">
        <v>40</v>
      </c>
      <c r="AR104" s="141" t="n">
        <v>40</v>
      </c>
      <c r="AS104" s="141" t="n">
        <v>35</v>
      </c>
      <c r="AT104" s="141" t="n">
        <v>35</v>
      </c>
      <c r="AU104" s="141" t="n">
        <v>30</v>
      </c>
      <c r="AV104" s="141" t="n">
        <v>25</v>
      </c>
      <c r="AW104" s="141" t="n">
        <v>30</v>
      </c>
      <c r="AX104" s="141" t="n">
        <v>25</v>
      </c>
      <c r="AY104" s="141" t="n">
        <v>25</v>
      </c>
      <c r="AZ104" s="141" t="n">
        <v>25</v>
      </c>
      <c r="BA104" s="141" t="n">
        <v>25</v>
      </c>
      <c r="BB104" s="141" t="n">
        <v>15</v>
      </c>
      <c r="BC104" s="141" t="n">
        <v>10</v>
      </c>
      <c r="BD104" s="141" t="n">
        <v>5</v>
      </c>
      <c r="BE104" s="141" t="n">
        <v>5</v>
      </c>
      <c r="BF104" s="141" t="n">
        <v>5</v>
      </c>
      <c r="BG104" s="141" t="n">
        <v>0</v>
      </c>
      <c r="BH104" s="141" t="n">
        <v>0</v>
      </c>
      <c r="BI104" s="141" t="n">
        <v>0</v>
      </c>
      <c r="BJ104" s="141" t="n">
        <v>0</v>
      </c>
      <c r="BK104" s="141" t="n">
        <v>0</v>
      </c>
      <c r="BL104" s="141" t="n">
        <v>0</v>
      </c>
      <c r="BM104" s="141" t="n">
        <v>0</v>
      </c>
      <c r="BN104" s="141" t="n">
        <v>0</v>
      </c>
      <c r="BO104" s="141" t="n">
        <v>0</v>
      </c>
      <c r="BP104" s="141" t="n">
        <v>0</v>
      </c>
      <c r="BQ104" s="141" t="n">
        <v>0</v>
      </c>
      <c r="BR104" s="141" t="n">
        <v>0</v>
      </c>
      <c r="BS104" s="141" t="n">
        <v>0</v>
      </c>
      <c r="BT104" s="141" t="n">
        <v>0</v>
      </c>
      <c r="BU104" s="141" t="n">
        <v>0</v>
      </c>
      <c r="BV104" s="141" t="n">
        <v>0</v>
      </c>
      <c r="BW104" s="141" t="n"/>
      <c r="BX104" s="141" t="n">
        <v>0</v>
      </c>
      <c r="BY104" s="141" t="n">
        <v>0</v>
      </c>
      <c r="BZ104" s="141" t="n"/>
      <c r="CA104" s="208" t="n"/>
      <c r="CB104" s="208" t="n"/>
    </row>
    <row r="105">
      <c r="A105" s="781" t="inlineStr">
        <is>
          <t>QUASAR DEEP BLUE</t>
        </is>
      </c>
      <c r="B105" s="731" t="n"/>
      <c r="C105" s="731" t="n"/>
      <c r="D105" s="775" t="n"/>
      <c r="S105" s="141" t="n">
        <v>0</v>
      </c>
      <c r="T105" s="141" t="n">
        <v>100</v>
      </c>
      <c r="U105" s="141" t="n">
        <v>100</v>
      </c>
      <c r="V105" s="141" t="n">
        <v>95</v>
      </c>
      <c r="W105" s="141" t="n">
        <v>95</v>
      </c>
      <c r="X105" s="141" t="n">
        <v>95</v>
      </c>
      <c r="Y105" s="141" t="n">
        <v>90</v>
      </c>
      <c r="Z105" s="141" t="n">
        <v>90</v>
      </c>
      <c r="AA105" s="141" t="n">
        <v>85</v>
      </c>
      <c r="AB105" s="141" t="n">
        <v>85</v>
      </c>
      <c r="AC105" s="141" t="n">
        <v>80</v>
      </c>
      <c r="AD105" s="141" t="n">
        <v>80</v>
      </c>
      <c r="AE105" s="141" t="n">
        <v>75</v>
      </c>
      <c r="AF105" s="141" t="n">
        <v>70</v>
      </c>
      <c r="AG105" s="141" t="n">
        <v>70</v>
      </c>
      <c r="AH105" s="141" t="n">
        <v>70</v>
      </c>
      <c r="AI105" s="141" t="n">
        <v>70</v>
      </c>
      <c r="AJ105" s="141" t="n">
        <v>70</v>
      </c>
      <c r="AK105" s="141" t="n">
        <v>60</v>
      </c>
      <c r="AL105" s="141" t="n">
        <v>60</v>
      </c>
      <c r="AM105" s="141" t="n">
        <v>60</v>
      </c>
      <c r="AN105" s="141" t="n">
        <v>55</v>
      </c>
      <c r="AO105" s="141" t="n">
        <v>55</v>
      </c>
      <c r="AP105" s="141" t="n">
        <v>55</v>
      </c>
      <c r="AQ105" s="141" t="n">
        <v>55</v>
      </c>
      <c r="AR105" s="141" t="n">
        <v>55</v>
      </c>
      <c r="AS105" s="141" t="n">
        <v>55</v>
      </c>
      <c r="AT105" s="141" t="n">
        <v>55</v>
      </c>
      <c r="AU105" s="141" t="n">
        <v>50</v>
      </c>
      <c r="AV105" s="141" t="n">
        <v>45</v>
      </c>
      <c r="AW105" s="141" t="n">
        <v>40</v>
      </c>
      <c r="AX105" s="141" t="n">
        <v>40</v>
      </c>
      <c r="AY105" s="141" t="n">
        <v>40</v>
      </c>
      <c r="AZ105" s="141" t="n">
        <v>40</v>
      </c>
      <c r="BA105" s="141" t="n">
        <v>40</v>
      </c>
      <c r="BB105" s="141" t="n">
        <v>30</v>
      </c>
      <c r="BC105" s="141" t="n">
        <v>25</v>
      </c>
      <c r="BD105" s="141" t="n">
        <v>20</v>
      </c>
      <c r="BE105" s="141" t="n">
        <v>15</v>
      </c>
      <c r="BF105" s="141" t="n">
        <v>15</v>
      </c>
      <c r="BG105" s="141" t="n">
        <v>15</v>
      </c>
      <c r="BH105" s="141" t="n">
        <v>10</v>
      </c>
      <c r="BI105" s="141" t="n">
        <v>5</v>
      </c>
      <c r="BJ105" s="141" t="n">
        <v>5</v>
      </c>
      <c r="BK105" s="141" t="n">
        <v>0</v>
      </c>
      <c r="BL105" s="141" t="n">
        <v>0</v>
      </c>
      <c r="BM105" s="141" t="n">
        <v>0</v>
      </c>
      <c r="BN105" s="141" t="n">
        <v>0</v>
      </c>
      <c r="BO105" s="141" t="n">
        <v>0</v>
      </c>
      <c r="BP105" s="141" t="n">
        <v>0</v>
      </c>
      <c r="BQ105" s="141" t="n">
        <v>0</v>
      </c>
      <c r="BR105" s="141" t="n">
        <v>0</v>
      </c>
      <c r="BS105" s="141" t="n">
        <v>0</v>
      </c>
      <c r="BT105" s="141" t="n">
        <v>0</v>
      </c>
      <c r="BU105" s="141" t="n">
        <v>0</v>
      </c>
      <c r="BV105" s="141" t="n">
        <v>0</v>
      </c>
      <c r="BW105" s="141" t="n"/>
      <c r="BX105" s="141" t="n">
        <v>0</v>
      </c>
      <c r="BY105" s="141" t="n">
        <v>0</v>
      </c>
      <c r="BZ105" s="141" t="n"/>
      <c r="CA105" s="208" t="n"/>
      <c r="CB105" s="208" t="n"/>
    </row>
    <row r="106">
      <c r="A106" s="781" t="inlineStr">
        <is>
          <t>ARBO ATLANTICA</t>
        </is>
      </c>
      <c r="B106" s="731" t="n"/>
      <c r="C106" s="731" t="n"/>
      <c r="D106" s="775" t="n"/>
      <c r="S106" s="141" t="n">
        <v>0</v>
      </c>
      <c r="T106" s="141" t="n">
        <v>120</v>
      </c>
      <c r="U106" s="141" t="n">
        <v>120</v>
      </c>
      <c r="V106" s="141" t="n">
        <v>110</v>
      </c>
      <c r="W106" s="141" t="n">
        <v>11</v>
      </c>
      <c r="X106" s="141" t="n">
        <v>110</v>
      </c>
      <c r="Y106" s="141" t="n">
        <v>110</v>
      </c>
      <c r="Z106" s="141" t="n">
        <v>100</v>
      </c>
      <c r="AA106" s="141" t="n">
        <v>95</v>
      </c>
      <c r="AB106" s="141" t="n">
        <v>95</v>
      </c>
      <c r="AC106" s="141" t="n">
        <v>90</v>
      </c>
      <c r="AD106" s="141" t="n">
        <v>90</v>
      </c>
      <c r="AE106" s="141" t="n">
        <v>90</v>
      </c>
      <c r="AF106" s="141" t="n">
        <v>80</v>
      </c>
      <c r="AG106" s="141" t="n">
        <v>80</v>
      </c>
      <c r="AH106" s="141" t="n">
        <v>80</v>
      </c>
      <c r="AI106" s="141" t="n">
        <v>75</v>
      </c>
      <c r="AJ106" s="141" t="n">
        <v>75</v>
      </c>
      <c r="AK106" s="141" t="n">
        <v>75</v>
      </c>
      <c r="AL106" s="141" t="n">
        <v>70</v>
      </c>
      <c r="AM106" s="141" t="n">
        <v>70</v>
      </c>
      <c r="AN106" s="141" t="n">
        <v>65</v>
      </c>
      <c r="AO106" s="141" t="n">
        <v>65</v>
      </c>
      <c r="AP106" s="141" t="n">
        <v>65</v>
      </c>
      <c r="AQ106" s="141" t="n">
        <v>65</v>
      </c>
      <c r="AR106" s="141" t="n">
        <v>65</v>
      </c>
      <c r="AS106" s="141" t="n">
        <v>60</v>
      </c>
      <c r="AT106" s="141" t="n">
        <v>60</v>
      </c>
      <c r="AU106" s="141" t="n">
        <v>55</v>
      </c>
      <c r="AV106" s="141" t="n">
        <v>55</v>
      </c>
      <c r="AW106" s="141" t="n">
        <v>50</v>
      </c>
      <c r="AX106" s="141" t="n">
        <v>50</v>
      </c>
      <c r="AY106" s="141" t="n">
        <v>50</v>
      </c>
      <c r="AZ106" s="141" t="n">
        <v>50</v>
      </c>
      <c r="BA106" s="141" t="n">
        <v>50</v>
      </c>
      <c r="BB106" s="141" t="n">
        <v>40</v>
      </c>
      <c r="BC106" s="141" t="n">
        <v>40</v>
      </c>
      <c r="BD106" s="141" t="n">
        <v>35</v>
      </c>
      <c r="BE106" s="141" t="n">
        <v>30</v>
      </c>
      <c r="BF106" s="141" t="n">
        <v>30</v>
      </c>
      <c r="BG106" s="141" t="n">
        <v>35</v>
      </c>
      <c r="BH106" s="141" t="n">
        <v>35</v>
      </c>
      <c r="BI106" s="141" t="n">
        <v>35</v>
      </c>
      <c r="BJ106" s="141" t="n">
        <v>35</v>
      </c>
      <c r="BK106" s="141" t="n">
        <v>30</v>
      </c>
      <c r="BL106" s="141" t="n">
        <v>30</v>
      </c>
      <c r="BM106" s="141" t="n">
        <v>30</v>
      </c>
      <c r="BN106" s="141" t="n">
        <v>20</v>
      </c>
      <c r="BO106" s="141" t="n">
        <v>15</v>
      </c>
      <c r="BP106" s="141" t="n">
        <v>15</v>
      </c>
      <c r="BQ106" s="141" t="n">
        <v>10</v>
      </c>
      <c r="BR106" s="141" t="n">
        <v>10</v>
      </c>
      <c r="BS106" s="141" t="n">
        <v>20</v>
      </c>
      <c r="BT106" s="141" t="n">
        <v>15</v>
      </c>
      <c r="BU106" s="141" t="n">
        <v>15</v>
      </c>
      <c r="BV106" s="141" t="n">
        <v>15</v>
      </c>
      <c r="BW106" s="141" t="n"/>
      <c r="BX106" s="141" t="n">
        <v>15</v>
      </c>
      <c r="BY106" s="141" t="n">
        <v>10</v>
      </c>
      <c r="BZ106" s="141" t="n"/>
      <c r="CA106" s="208" t="n"/>
      <c r="CB106" s="208" t="n"/>
    </row>
    <row r="107" hidden="1" ht="18.75" customHeight="1">
      <c r="A107" s="781" t="inlineStr">
        <is>
          <t>BOTICA 214 SEVILLA DOURADA FEM</t>
        </is>
      </c>
      <c r="B107" s="731" t="n"/>
      <c r="C107" s="731" t="n"/>
      <c r="D107" s="775" t="n"/>
      <c r="S107" s="141" t="n"/>
      <c r="T107" s="141" t="n"/>
      <c r="U107" s="141" t="n"/>
      <c r="V107" s="141" t="n">
        <v>0</v>
      </c>
      <c r="W107" s="141" t="n">
        <v>20</v>
      </c>
      <c r="X107" s="141" t="n">
        <v>20</v>
      </c>
      <c r="Y107" s="141" t="n">
        <v>20</v>
      </c>
      <c r="Z107" s="141" t="n">
        <v>20</v>
      </c>
      <c r="AA107" s="141" t="n">
        <v>70</v>
      </c>
      <c r="AB107" s="141" t="n">
        <v>15</v>
      </c>
      <c r="AC107" s="141" t="n">
        <v>10</v>
      </c>
      <c r="AD107" s="141" t="n">
        <v>10</v>
      </c>
      <c r="AE107" s="141" t="n">
        <v>10</v>
      </c>
      <c r="AF107" s="141" t="n">
        <v>5</v>
      </c>
      <c r="AG107" s="141" t="n">
        <v>0</v>
      </c>
      <c r="AH107" s="141" t="n">
        <v>0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>
        <v>0</v>
      </c>
      <c r="AX107" s="141" t="n">
        <v>0</v>
      </c>
      <c r="AY107" s="141" t="n">
        <v>0</v>
      </c>
      <c r="AZ107" s="141" t="n">
        <v>0</v>
      </c>
      <c r="BA107" s="141" t="n">
        <v>0</v>
      </c>
      <c r="BB107" s="141" t="n">
        <v>0</v>
      </c>
      <c r="BC107" s="141" t="n">
        <v>0</v>
      </c>
      <c r="BD107" s="141" t="n">
        <v>0</v>
      </c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  <c r="BZ107" s="141" t="n"/>
      <c r="CA107" s="208" t="n"/>
      <c r="CB107" s="208" t="n"/>
    </row>
    <row r="108" hidden="1" ht="18.75" customHeight="1">
      <c r="A108" s="781" t="inlineStr">
        <is>
          <t>BOTICA 214 SEVILLA DOURADA MASC</t>
        </is>
      </c>
      <c r="B108" s="731" t="n"/>
      <c r="C108" s="731" t="n"/>
      <c r="D108" s="775" t="n"/>
      <c r="V108" s="141" t="n"/>
      <c r="W108" s="141" t="n"/>
      <c r="X108" s="141" t="n"/>
      <c r="Y108" s="141" t="n"/>
      <c r="Z108" s="141" t="n">
        <v>0</v>
      </c>
      <c r="AA108" s="141" t="n">
        <v>10</v>
      </c>
      <c r="AB108" s="141" t="n">
        <v>5</v>
      </c>
      <c r="AC108" s="141" t="n">
        <v>5</v>
      </c>
      <c r="AD108" s="141" t="n">
        <v>5</v>
      </c>
      <c r="AE108" s="141" t="n">
        <v>5</v>
      </c>
      <c r="AF108" s="141" t="n">
        <v>0</v>
      </c>
      <c r="AG108" s="141" t="n">
        <v>0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>
        <v>0</v>
      </c>
      <c r="AX108" s="141" t="n">
        <v>0</v>
      </c>
      <c r="AY108" s="141" t="n">
        <v>0</v>
      </c>
      <c r="AZ108" s="141" t="n">
        <v>0</v>
      </c>
      <c r="BA108" s="141" t="n">
        <v>0</v>
      </c>
      <c r="BB108" s="141" t="n">
        <v>0</v>
      </c>
      <c r="BC108" s="141" t="n">
        <v>0</v>
      </c>
      <c r="BD108" s="141" t="n">
        <v>0</v>
      </c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  <c r="BZ108" s="141" t="n"/>
      <c r="CA108" s="208" t="n"/>
      <c r="CB108" s="208" t="n"/>
    </row>
    <row r="109" hidden="1" ht="18.75" customHeight="1">
      <c r="A109" s="781" t="inlineStr">
        <is>
          <t>BOTI SUN 3X5ML</t>
        </is>
      </c>
      <c r="B109" s="731" t="n"/>
      <c r="C109" s="731" t="n"/>
      <c r="D109" s="775" t="n"/>
      <c r="Z109" s="141" t="n">
        <v>0</v>
      </c>
      <c r="AA109" s="141" t="n">
        <v>0</v>
      </c>
      <c r="AB109" s="141" t="n">
        <v>36</v>
      </c>
      <c r="AC109" s="141" t="n">
        <v>42</v>
      </c>
      <c r="AD109" s="141" t="n">
        <v>42</v>
      </c>
      <c r="AE109" s="141" t="n">
        <v>42</v>
      </c>
      <c r="AF109" s="141" t="n">
        <v>33</v>
      </c>
      <c r="AG109" s="141" t="n">
        <v>33</v>
      </c>
      <c r="AH109" s="141" t="n">
        <v>33</v>
      </c>
      <c r="AI109" s="141" t="n">
        <v>24</v>
      </c>
      <c r="AJ109" s="141" t="n">
        <v>21</v>
      </c>
      <c r="AK109" s="141" t="n">
        <v>18</v>
      </c>
      <c r="AL109" s="141" t="n">
        <v>15</v>
      </c>
      <c r="AM109" s="141" t="n">
        <v>15</v>
      </c>
      <c r="AN109" s="141" t="n">
        <v>15</v>
      </c>
      <c r="AO109" s="141" t="n">
        <v>15</v>
      </c>
      <c r="AP109" s="141" t="n">
        <v>15</v>
      </c>
      <c r="AQ109" s="141" t="n">
        <v>12</v>
      </c>
      <c r="AR109" s="141" t="n">
        <v>12</v>
      </c>
      <c r="AS109" s="141" t="n">
        <v>9</v>
      </c>
      <c r="AT109" s="141" t="n">
        <v>9</v>
      </c>
      <c r="AU109" s="141" t="n">
        <v>6</v>
      </c>
      <c r="AV109" s="141" t="n">
        <v>6</v>
      </c>
      <c r="AW109" s="141" t="n">
        <v>6</v>
      </c>
      <c r="AX109" s="141" t="n">
        <v>3</v>
      </c>
      <c r="AY109" s="141" t="n">
        <v>3</v>
      </c>
      <c r="AZ109" s="141" t="n">
        <v>3</v>
      </c>
      <c r="BA109" s="141" t="n">
        <v>0</v>
      </c>
      <c r="BB109" s="141" t="n">
        <v>0</v>
      </c>
      <c r="BC109" s="141" t="n">
        <v>0</v>
      </c>
      <c r="BD109" s="141" t="n">
        <v>0</v>
      </c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  <c r="BZ109" s="141" t="n"/>
      <c r="CA109" s="208" t="n"/>
      <c r="CB109" s="208" t="n"/>
    </row>
    <row r="110" hidden="1" ht="18.75" customHeight="1">
      <c r="A110" s="781" t="inlineStr">
        <is>
          <t>EGEO COGU</t>
        </is>
      </c>
      <c r="B110" s="731" t="n"/>
      <c r="C110" s="731" t="n"/>
      <c r="D110" s="775" t="n"/>
      <c r="AG110" s="141" t="n">
        <v>0</v>
      </c>
      <c r="AH110" s="141" t="n">
        <v>50</v>
      </c>
      <c r="AI110" s="141" t="n">
        <v>45</v>
      </c>
      <c r="AJ110" s="141" t="n">
        <v>35</v>
      </c>
      <c r="AK110" s="141" t="n">
        <v>35</v>
      </c>
      <c r="AL110" s="141" t="n">
        <v>30</v>
      </c>
      <c r="AM110" s="141" t="n">
        <v>25</v>
      </c>
      <c r="AN110" s="141" t="n">
        <v>25</v>
      </c>
      <c r="AO110" s="141" t="n">
        <v>25</v>
      </c>
      <c r="AP110" s="141" t="n">
        <v>20</v>
      </c>
      <c r="AQ110" s="141" t="n">
        <v>20</v>
      </c>
      <c r="AR110" s="141" t="n">
        <v>20</v>
      </c>
      <c r="AS110" s="141" t="n">
        <v>20</v>
      </c>
      <c r="AT110" s="141" t="n">
        <v>5</v>
      </c>
      <c r="AU110" s="141" t="n">
        <v>10</v>
      </c>
      <c r="AV110" s="141" t="n">
        <v>5</v>
      </c>
      <c r="AW110" s="141" t="n">
        <v>5</v>
      </c>
      <c r="AX110" s="141" t="n">
        <v>0</v>
      </c>
      <c r="AY110" s="141" t="n">
        <v>0</v>
      </c>
      <c r="AZ110" s="141" t="n">
        <v>0</v>
      </c>
      <c r="BA110" s="141" t="n">
        <v>0</v>
      </c>
      <c r="BB110" s="141" t="n">
        <v>0</v>
      </c>
      <c r="BC110" s="141" t="n">
        <v>0</v>
      </c>
      <c r="BD110" s="141" t="n">
        <v>0</v>
      </c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  <c r="BZ110" s="141" t="n"/>
      <c r="CA110" s="208" t="n"/>
      <c r="CB110" s="208" t="n"/>
    </row>
    <row r="111" hidden="1" ht="18.75" customHeight="1">
      <c r="A111" s="781" t="inlineStr">
        <is>
          <t>ZAAD INTENSE</t>
        </is>
      </c>
      <c r="B111" s="731" t="n"/>
      <c r="C111" s="731" t="n"/>
      <c r="D111" s="775" t="n"/>
      <c r="AG111" s="141" t="n">
        <v>0</v>
      </c>
      <c r="AH111" s="141" t="n">
        <v>5</v>
      </c>
      <c r="AI111" s="141" t="n">
        <v>0</v>
      </c>
      <c r="AJ111" s="141" t="n">
        <v>0</v>
      </c>
      <c r="AK111" s="141" t="n">
        <v>0</v>
      </c>
      <c r="AL111" s="141" t="n">
        <v>0</v>
      </c>
      <c r="AM111" s="141" t="n">
        <v>0</v>
      </c>
      <c r="AN111" s="141" t="n">
        <v>0</v>
      </c>
      <c r="AO111" s="141" t="n">
        <v>0</v>
      </c>
      <c r="AP111" s="141" t="n">
        <v>0</v>
      </c>
      <c r="AQ111" s="141" t="n">
        <v>0</v>
      </c>
      <c r="AR111" s="141" t="n">
        <v>0</v>
      </c>
      <c r="AS111" s="141" t="n">
        <v>0</v>
      </c>
      <c r="AT111" s="141" t="n">
        <v>0</v>
      </c>
      <c r="AU111" s="141" t="n">
        <v>0</v>
      </c>
      <c r="AV111" s="141" t="n">
        <v>0</v>
      </c>
      <c r="AW111" s="141" t="n">
        <v>0</v>
      </c>
      <c r="AX111" s="141" t="n">
        <v>0</v>
      </c>
      <c r="AY111" s="141" t="n">
        <v>0</v>
      </c>
      <c r="AZ111" s="141" t="n">
        <v>0</v>
      </c>
      <c r="BA111" s="141" t="n">
        <v>0</v>
      </c>
      <c r="BB111" s="141" t="n">
        <v>0</v>
      </c>
      <c r="BC111" s="141" t="n">
        <v>0</v>
      </c>
      <c r="BD111" s="141" t="n">
        <v>0</v>
      </c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  <c r="BZ111" s="141" t="n"/>
      <c r="CA111" s="208" t="n"/>
      <c r="CB111" s="208" t="n"/>
    </row>
    <row r="112" hidden="1" ht="18.75" customHeight="1">
      <c r="A112" s="781" t="inlineStr">
        <is>
          <t>HER CODE CLIMAX</t>
        </is>
      </c>
      <c r="B112" s="731" t="n"/>
      <c r="C112" s="731" t="n"/>
      <c r="D112" s="775" t="n"/>
      <c r="AJ112" s="141" t="n">
        <v>0</v>
      </c>
      <c r="AK112" s="141" t="n">
        <v>50</v>
      </c>
      <c r="AL112" s="141" t="n">
        <v>35</v>
      </c>
      <c r="AM112" s="141" t="n">
        <v>30</v>
      </c>
      <c r="AN112" s="141" t="n">
        <v>30</v>
      </c>
      <c r="AO112" s="141" t="n">
        <v>25</v>
      </c>
      <c r="AP112" s="141" t="n">
        <v>20</v>
      </c>
      <c r="AQ112" s="141" t="n">
        <v>15</v>
      </c>
      <c r="AR112" s="141" t="n">
        <v>5</v>
      </c>
      <c r="AS112" s="141" t="n">
        <v>0</v>
      </c>
      <c r="AT112" s="141" t="n">
        <v>0</v>
      </c>
      <c r="AU112" s="141" t="n">
        <v>0</v>
      </c>
      <c r="AV112" s="141" t="n">
        <v>0</v>
      </c>
      <c r="AW112" s="141" t="n">
        <v>0</v>
      </c>
      <c r="AX112" s="141" t="n">
        <v>0</v>
      </c>
      <c r="AY112" s="141" t="n">
        <v>0</v>
      </c>
      <c r="AZ112" s="141" t="n">
        <v>0</v>
      </c>
      <c r="BA112" s="141" t="n">
        <v>0</v>
      </c>
      <c r="BB112" s="141" t="n">
        <v>0</v>
      </c>
      <c r="BC112" s="141" t="n">
        <v>0</v>
      </c>
      <c r="BD112" s="141" t="n">
        <v>0</v>
      </c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  <c r="BZ112" s="141" t="n"/>
      <c r="CA112" s="208" t="n"/>
      <c r="CB112" s="208" t="n"/>
    </row>
    <row r="113" hidden="1" ht="18.75" customHeight="1">
      <c r="A113" s="781" t="inlineStr">
        <is>
          <t>FLORATTA BOUQUET</t>
        </is>
      </c>
      <c r="B113" s="731" t="n"/>
      <c r="C113" s="731" t="n"/>
      <c r="D113" s="775" t="n"/>
      <c r="AP113" s="141" t="n">
        <v>0</v>
      </c>
      <c r="AQ113" s="141" t="n">
        <v>25</v>
      </c>
      <c r="AR113" s="141" t="n">
        <v>15</v>
      </c>
      <c r="AS113" s="141" t="n">
        <v>10</v>
      </c>
      <c r="AT113" s="141" t="n">
        <v>5</v>
      </c>
      <c r="AU113" s="141" t="n">
        <v>0</v>
      </c>
      <c r="AV113" s="141" t="n">
        <v>0</v>
      </c>
      <c r="AW113" s="141" t="n">
        <v>0</v>
      </c>
      <c r="AX113" s="141" t="n">
        <v>0</v>
      </c>
      <c r="AY113" s="141" t="n">
        <v>0</v>
      </c>
      <c r="AZ113" s="141" t="n">
        <v>0</v>
      </c>
      <c r="BA113" s="141" t="n">
        <v>0</v>
      </c>
      <c r="BB113" s="141" t="n">
        <v>0</v>
      </c>
      <c r="BC113" s="141" t="n">
        <v>0</v>
      </c>
      <c r="BD113" s="141" t="n">
        <v>0</v>
      </c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  <c r="BZ113" s="141" t="n"/>
      <c r="CA113" s="208" t="n"/>
      <c r="CB113" s="208" t="n"/>
    </row>
    <row r="114">
      <c r="A114" s="781" t="inlineStr">
        <is>
          <t>EGEO DOLCE ILUSION</t>
        </is>
      </c>
      <c r="B114" s="731" t="n"/>
      <c r="C114" s="731" t="n"/>
      <c r="D114" s="775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>
        <v>0</v>
      </c>
      <c r="BA114" s="141" t="n">
        <v>110</v>
      </c>
      <c r="BB114" s="141" t="n">
        <v>90</v>
      </c>
      <c r="BC114" s="141" t="n">
        <v>65</v>
      </c>
      <c r="BD114" s="141" t="n">
        <v>65</v>
      </c>
      <c r="BE114" s="141" t="n">
        <v>60</v>
      </c>
      <c r="BF114" s="141" t="n">
        <v>50</v>
      </c>
      <c r="BG114" s="141" t="n">
        <v>30</v>
      </c>
      <c r="BH114" s="141" t="n">
        <v>25</v>
      </c>
      <c r="BI114" s="141" t="n">
        <v>20</v>
      </c>
      <c r="BJ114" s="141" t="n">
        <v>20</v>
      </c>
      <c r="BK114" s="141" t="n">
        <v>15</v>
      </c>
      <c r="BL114" s="141" t="n">
        <v>10</v>
      </c>
      <c r="BM114" s="141" t="n">
        <v>10</v>
      </c>
      <c r="BN114" s="141" t="n">
        <v>10</v>
      </c>
      <c r="BO114" s="141" t="n">
        <v>5</v>
      </c>
      <c r="BP114" s="141" t="n">
        <v>5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>
        <v>0</v>
      </c>
      <c r="BV114" s="141" t="n">
        <v>0</v>
      </c>
      <c r="BW114" s="141" t="n"/>
      <c r="BX114" s="141" t="n">
        <v>0</v>
      </c>
      <c r="BY114" s="141" t="n">
        <v>0</v>
      </c>
      <c r="BZ114" s="141" t="n"/>
      <c r="CA114" s="208" t="n"/>
      <c r="CB114" s="208" t="n"/>
    </row>
    <row r="115">
      <c r="A115" s="781" t="inlineStr">
        <is>
          <t>HADYA</t>
        </is>
      </c>
      <c r="B115" s="731" t="n"/>
      <c r="C115" s="731" t="n"/>
      <c r="D115" s="775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>
        <v>0</v>
      </c>
      <c r="BA115" s="141" t="n">
        <v>81</v>
      </c>
      <c r="BB115" s="141" t="n">
        <v>51</v>
      </c>
      <c r="BC115" s="141" t="n">
        <v>39</v>
      </c>
      <c r="BD115" s="141" t="n">
        <v>33</v>
      </c>
      <c r="BE115" s="141" t="n">
        <v>30</v>
      </c>
      <c r="BF115" s="141" t="n">
        <v>24</v>
      </c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0</v>
      </c>
      <c r="BN115" s="141" t="n">
        <v>0</v>
      </c>
      <c r="BO115" s="141" t="n">
        <v>0</v>
      </c>
      <c r="BP115" s="141" t="n">
        <v>0</v>
      </c>
      <c r="BQ115" s="141" t="n">
        <v>0</v>
      </c>
      <c r="BR115" s="141" t="n">
        <v>0</v>
      </c>
      <c r="BS115" s="141" t="n">
        <v>0</v>
      </c>
      <c r="BT115" s="141" t="n">
        <v>0</v>
      </c>
      <c r="BU115" s="141" t="n">
        <v>0</v>
      </c>
      <c r="BV115" s="141" t="n">
        <v>0</v>
      </c>
      <c r="BW115" s="141" t="n"/>
      <c r="BX115" s="141" t="n">
        <v>0</v>
      </c>
      <c r="BY115" s="141" t="n">
        <v>0</v>
      </c>
      <c r="BZ115" s="141" t="n"/>
      <c r="CA115" s="208" t="n"/>
      <c r="CB115" s="208" t="n"/>
    </row>
    <row r="116">
      <c r="A116" s="781" t="inlineStr">
        <is>
          <t>CLASH</t>
        </is>
      </c>
      <c r="B116" s="731" t="n"/>
      <c r="C116" s="731" t="n"/>
      <c r="D116" s="775" t="n"/>
      <c r="BK116" s="141" t="n">
        <v>0</v>
      </c>
      <c r="BL116" s="141" t="n">
        <v>0</v>
      </c>
      <c r="BM116" s="141" t="n">
        <v>20</v>
      </c>
      <c r="BN116" s="141" t="n">
        <v>20</v>
      </c>
      <c r="BO116" s="141" t="n">
        <v>15</v>
      </c>
      <c r="BP116" s="141" t="n">
        <v>15</v>
      </c>
      <c r="BQ116" s="141" t="n">
        <v>10</v>
      </c>
      <c r="BR116" s="141" t="n">
        <v>10</v>
      </c>
      <c r="BS116" s="141" t="n">
        <v>5</v>
      </c>
      <c r="BT116" s="141" t="n">
        <v>20</v>
      </c>
      <c r="BU116" s="141" t="n">
        <v>0</v>
      </c>
      <c r="BV116" s="141" t="n">
        <v>0</v>
      </c>
      <c r="BW116" s="141" t="n"/>
      <c r="BX116" s="141" t="n">
        <v>0</v>
      </c>
      <c r="BY116" s="141" t="n">
        <v>0</v>
      </c>
      <c r="BZ116" s="141" t="n"/>
      <c r="CA116" s="208" t="n"/>
      <c r="CB116" s="208" t="n"/>
    </row>
    <row r="117">
      <c r="A117" s="781" t="inlineStr">
        <is>
          <t xml:space="preserve">BOTIK </t>
        </is>
      </c>
      <c r="B117" s="731" t="n"/>
      <c r="C117" s="731" t="n"/>
      <c r="D117" s="775" t="n"/>
      <c r="BK117" s="141" t="n">
        <v>0</v>
      </c>
      <c r="BL117" s="141" t="n">
        <v>0</v>
      </c>
      <c r="BM117" s="141" t="n">
        <v>30</v>
      </c>
      <c r="BN117" s="141" t="n">
        <v>30</v>
      </c>
      <c r="BO117" s="141" t="n">
        <v>20</v>
      </c>
      <c r="BP117" s="141" t="n">
        <v>20</v>
      </c>
      <c r="BQ117" s="141" t="n">
        <v>20</v>
      </c>
      <c r="BR117" s="141" t="n">
        <v>20</v>
      </c>
      <c r="BS117" s="141" t="n">
        <v>65</v>
      </c>
      <c r="BT117" s="141" t="n">
        <v>60</v>
      </c>
      <c r="BU117" s="141" t="n">
        <v>55</v>
      </c>
      <c r="BV117" s="141" t="n">
        <v>50</v>
      </c>
      <c r="BW117" s="141" t="n"/>
      <c r="BX117" s="141" t="n">
        <v>40</v>
      </c>
      <c r="BY117" s="141" t="n">
        <v>40</v>
      </c>
      <c r="BZ117" s="141" t="n"/>
      <c r="CA117" s="208" t="n"/>
      <c r="CB117" s="208" t="n"/>
    </row>
    <row r="118">
      <c r="A118" s="781" t="inlineStr">
        <is>
          <t>CEREJA EM FASES</t>
        </is>
      </c>
      <c r="B118" s="731" t="n"/>
      <c r="C118" s="731" t="n"/>
      <c r="D118" s="775" t="n"/>
      <c r="BM118" s="141" t="n">
        <v>0</v>
      </c>
      <c r="BN118" s="141" t="n">
        <v>0</v>
      </c>
      <c r="BO118" s="141" t="n">
        <v>0</v>
      </c>
      <c r="BP118" s="141" t="n">
        <v>0</v>
      </c>
      <c r="BQ118" s="141" t="n">
        <v>0</v>
      </c>
      <c r="BR118" s="141" t="n">
        <v>0</v>
      </c>
      <c r="BS118" s="141" t="n">
        <v>84</v>
      </c>
      <c r="BT118" s="141" t="n">
        <v>80</v>
      </c>
      <c r="BU118" s="141" t="n">
        <v>72</v>
      </c>
      <c r="BV118" s="141" t="n">
        <v>64</v>
      </c>
      <c r="BW118" s="141" t="n"/>
      <c r="BX118" s="141" t="n">
        <v>52</v>
      </c>
      <c r="BY118" s="141" t="n">
        <v>52</v>
      </c>
      <c r="BZ118" s="141" t="n"/>
      <c r="CA118" s="208" t="n"/>
      <c r="CB118" s="208" t="n"/>
    </row>
    <row r="119">
      <c r="A119" s="781" t="n"/>
      <c r="B119" s="731" t="n"/>
      <c r="C119" s="731" t="n"/>
      <c r="D119" s="775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  <c r="BZ119" s="141" t="n"/>
      <c r="CA119" s="208" t="n"/>
      <c r="CB119" s="208" t="n"/>
    </row>
  </sheetData>
  <mergeCells count="65">
    <mergeCell ref="A116:D116"/>
    <mergeCell ref="A106:D106"/>
    <mergeCell ref="A91:D91"/>
    <mergeCell ref="A97:D97"/>
    <mergeCell ref="A62:D62"/>
    <mergeCell ref="A100:D100"/>
    <mergeCell ref="A72:D72"/>
    <mergeCell ref="A109:D109"/>
    <mergeCell ref="A81:D81"/>
    <mergeCell ref="A112:D112"/>
    <mergeCell ref="A63:D63"/>
    <mergeCell ref="A117:D117"/>
    <mergeCell ref="A115:D115"/>
    <mergeCell ref="A93:D93"/>
    <mergeCell ref="A111:D111"/>
    <mergeCell ref="FB7:FJ7"/>
    <mergeCell ref="A68:D68"/>
    <mergeCell ref="A102:D102"/>
    <mergeCell ref="A1:BZ1"/>
    <mergeCell ref="A67:D67"/>
    <mergeCell ref="A77:D77"/>
    <mergeCell ref="A83:D83"/>
    <mergeCell ref="A114:D114"/>
    <mergeCell ref="A92:D92"/>
    <mergeCell ref="A64:D64"/>
    <mergeCell ref="A82:D82"/>
    <mergeCell ref="A73:D73"/>
    <mergeCell ref="A107:D107"/>
    <mergeCell ref="A60:D60"/>
    <mergeCell ref="A98:D98"/>
    <mergeCell ref="A5:A6"/>
    <mergeCell ref="A103:D103"/>
    <mergeCell ref="A70:D70"/>
    <mergeCell ref="A79:D79"/>
    <mergeCell ref="A110:D110"/>
    <mergeCell ref="A61:D61"/>
    <mergeCell ref="A119:D119"/>
    <mergeCell ref="A88:D88"/>
    <mergeCell ref="A69:D69"/>
    <mergeCell ref="A78:D78"/>
    <mergeCell ref="A87:D87"/>
    <mergeCell ref="A65:D65"/>
    <mergeCell ref="A99:D99"/>
    <mergeCell ref="A90:D90"/>
    <mergeCell ref="A84:D84"/>
    <mergeCell ref="A66:D66"/>
    <mergeCell ref="B5:B6"/>
    <mergeCell ref="D5:D6"/>
    <mergeCell ref="A80:D80"/>
    <mergeCell ref="A75:D75"/>
    <mergeCell ref="B3:D3"/>
    <mergeCell ref="A108:D108"/>
    <mergeCell ref="A89:D89"/>
    <mergeCell ref="A118:D118"/>
    <mergeCell ref="A74:D74"/>
    <mergeCell ref="A105:D105"/>
    <mergeCell ref="A101:D101"/>
    <mergeCell ref="A86:D86"/>
    <mergeCell ref="A104:D104"/>
    <mergeCell ref="A113:D113"/>
    <mergeCell ref="A71:D71"/>
    <mergeCell ref="A85:D85"/>
    <mergeCell ref="A76:D76"/>
    <mergeCell ref="B2:D2"/>
    <mergeCell ref="C5:C6"/>
  </mergeCells>
  <conditionalFormatting sqref="CC8">
    <cfRule type="cellIs" priority="1" operator="lessThan" dxfId="48">
      <formula>0</formula>
    </cfRule>
  </conditionalFormatting>
  <printOptions horizontalCentered="1" verticalCentered="1"/>
  <pageMargins left="0.25" right="0.25" top="0.75" bottom="0.75" header="0.3" footer="0.3"/>
  <pageSetup orientation="landscape" paperSize="9" scale="80"/>
</worksheet>
</file>

<file path=xl/worksheets/sheet14.xml><?xml version="1.0" encoding="utf-8"?>
<worksheet xmlns="http://schemas.openxmlformats.org/spreadsheetml/2006/main">
  <sheetPr codeName="Planilha28">
    <tabColor theme="9"/>
    <outlinePr summaryBelow="1" summaryRight="1"/>
    <pageSetUpPr fitToPage="1"/>
  </sheetPr>
  <dimension ref="A1:MI119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8.42578125" customWidth="1" style="42" min="1" max="1"/>
    <col width="9.140625" customWidth="1" style="5" min="2" max="2"/>
    <col width="14.42578125" customWidth="1" style="5" min="3" max="4"/>
    <col width="2.42578125" customWidth="1" style="5" min="5" max="5"/>
    <col hidden="1" width="8.140625" customWidth="1" style="5" min="6" max="75"/>
    <col width="8.140625" customWidth="1" style="5" min="76" max="77"/>
    <col width="9.140625" customWidth="1" style="5" min="78" max="78"/>
    <col width="1.42578125" customWidth="1" style="29" min="79" max="79"/>
    <col width="14.28515625" bestFit="1" customWidth="1" style="2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6"/>
    <col width="8.7109375" customWidth="1" style="59" min="87" max="87"/>
    <col width="9.28515625" customWidth="1" style="29" min="88" max="89"/>
    <col hidden="1" width="9.28515625" customWidth="1" style="29" min="90" max="90"/>
    <col hidden="1" width="12.28515625" customWidth="1" style="29" min="91" max="91"/>
    <col hidden="1" width="9.28515625" customWidth="1" style="29" min="92" max="102"/>
    <col hidden="1" width="12.85546875" customWidth="1" style="29" min="103" max="103"/>
    <col hidden="1" width="9.28515625" customWidth="1" style="29" min="104" max="104"/>
    <col hidden="1" width="8.7109375" customWidth="1" style="59" min="105" max="105"/>
    <col hidden="1" width="9.28515625" customWidth="1" style="29" min="106" max="107"/>
    <col hidden="1" width="14.42578125" customWidth="1" style="29" min="108" max="108"/>
    <col hidden="1" width="9.28515625" customWidth="1" style="29" min="109" max="112"/>
    <col hidden="1" width="12.85546875" customWidth="1" style="29" min="113" max="113"/>
    <col hidden="1" width="8.140625" customWidth="1" style="29" min="114" max="114"/>
    <col hidden="1" width="9.28515625" customWidth="1" style="29" min="115" max="115"/>
    <col hidden="1" width="13" customWidth="1" style="29" min="116" max="116"/>
    <col hidden="1" width="9.28515625" customWidth="1" style="29" min="117" max="118"/>
    <col hidden="1" width="12" customWidth="1" style="59" min="119" max="119"/>
    <col hidden="1" width="13.140625" customWidth="1" style="59" min="120" max="120"/>
    <col hidden="1" width="9.28515625" customWidth="1" style="29" min="121" max="123"/>
    <col hidden="1" width="8.7109375" customWidth="1" style="59" min="124" max="124"/>
    <col hidden="1" width="9.28515625" customWidth="1" style="29" min="125" max="127"/>
    <col hidden="1" width="13.140625" customWidth="1" style="29" min="128" max="128"/>
    <col hidden="1" width="9.28515625" customWidth="1" style="29" min="129" max="129"/>
    <col hidden="1" width="13.140625" customWidth="1" style="29" min="130" max="130"/>
    <col hidden="1" width="13.5703125" customWidth="1" style="29" min="131" max="131"/>
    <col hidden="1" width="9.28515625" customWidth="1" style="29" min="132" max="133"/>
    <col hidden="1" width="9.7109375" customWidth="1" style="29" min="134" max="134"/>
    <col hidden="1" width="14.85546875" customWidth="1" style="323" min="135" max="135"/>
    <col hidden="1" width="9.28515625" customWidth="1" style="29" min="136" max="137"/>
    <col hidden="1" width="14.5703125" customWidth="1" style="29" min="138" max="138"/>
    <col hidden="1" width="14.85546875" customWidth="1" style="323" min="139" max="139"/>
    <col hidden="1" width="9.28515625" customWidth="1" style="29" min="140" max="140"/>
    <col hidden="1" width="14.85546875" customWidth="1" style="323" min="141" max="141"/>
    <col hidden="1" width="9.28515625" customWidth="1" style="29" min="142" max="142"/>
    <col hidden="1" width="12" customWidth="1" style="323" min="143" max="143"/>
    <col hidden="1" width="14.140625" customWidth="1" style="29" min="144" max="144"/>
    <col hidden="1" width="9.28515625" customWidth="1" style="29" min="145" max="146"/>
    <col hidden="1" width="12.7109375" customWidth="1" style="29" min="147" max="147"/>
    <col hidden="1" width="9.28515625" customWidth="1" style="29" min="148" max="155"/>
    <col width="3.5703125" customWidth="1" style="5" min="156" max="156"/>
    <col width="21.85546875" bestFit="1" customWidth="1" style="5" min="157" max="157"/>
    <col width="9.140625" customWidth="1" style="5" min="158" max="158"/>
    <col hidden="1" width="13" customWidth="1" style="5" min="159" max="162"/>
    <col width="9.140625" customWidth="1" style="5" min="163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49" t="n"/>
      <c r="DB1" s="132" t="n"/>
      <c r="DC1" s="132" t="n"/>
      <c r="DD1" s="149" t="n"/>
      <c r="DE1" s="132" t="n"/>
      <c r="DF1" s="132" t="n"/>
      <c r="DG1" s="132" t="n"/>
      <c r="DH1" s="132" t="n"/>
      <c r="DI1" s="132" t="n"/>
      <c r="DJ1" s="132" t="n"/>
      <c r="DK1" s="132" t="n"/>
      <c r="DL1" s="132" t="n"/>
      <c r="DM1" s="132" t="n"/>
      <c r="DN1" s="132" t="n"/>
      <c r="DO1" s="149" t="n"/>
      <c r="DP1" s="149" t="n"/>
      <c r="DQ1" s="132" t="n"/>
      <c r="DR1" s="132" t="n"/>
      <c r="DS1" s="132" t="n"/>
      <c r="DT1" s="149" t="n"/>
      <c r="DU1" s="132" t="n"/>
      <c r="DV1" s="132" t="n"/>
      <c r="DW1" s="132" t="n"/>
      <c r="DX1" s="132" t="n"/>
      <c r="DY1" s="132" t="n"/>
      <c r="DZ1" s="132" t="n"/>
      <c r="EA1" s="149" t="n"/>
      <c r="EB1" s="132" t="n"/>
      <c r="EC1" s="132" t="n"/>
      <c r="ED1" s="149" t="n"/>
      <c r="EE1" s="488" t="n"/>
      <c r="EF1" s="132" t="n"/>
      <c r="EG1" s="132" t="n"/>
      <c r="EH1" s="132" t="n"/>
      <c r="EI1" s="488" t="n"/>
      <c r="EJ1" s="132" t="n"/>
      <c r="EK1" s="488" t="n"/>
      <c r="EL1" s="132" t="n"/>
      <c r="EM1" s="488" t="n"/>
      <c r="EN1" s="132" t="n"/>
      <c r="EO1" s="132" t="n"/>
      <c r="EP1" s="132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</row>
    <row r="2">
      <c r="A2" s="43" t="inlineStr">
        <is>
          <t>LOJA:</t>
        </is>
      </c>
      <c r="B2" s="722" t="inlineStr">
        <is>
          <t>GETÚLIO</t>
        </is>
      </c>
      <c r="C2" s="723" t="n"/>
      <c r="D2" s="724" t="n"/>
      <c r="CA2" s="5" t="n"/>
      <c r="CB2" s="5" t="n"/>
      <c r="CC2" s="5" t="n"/>
      <c r="CD2" s="5" t="n"/>
      <c r="CE2" s="5" t="n"/>
      <c r="DD2" s="5" t="n"/>
      <c r="EA2" s="5" t="n"/>
      <c r="ED2" s="5" t="n"/>
    </row>
    <row r="3">
      <c r="A3" s="43" t="inlineStr">
        <is>
          <t>Responsável:</t>
        </is>
      </c>
      <c r="B3" s="725" t="inlineStr">
        <is>
          <t>EVA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CE3" s="5" t="n"/>
      <c r="DD3" s="726" t="n"/>
      <c r="EA3" s="726" t="n"/>
      <c r="ED3" s="726" t="n"/>
    </row>
    <row r="4" ht="8.25" customHeight="1">
      <c r="CA4" s="133" t="n"/>
      <c r="CC4" s="5" t="n"/>
      <c r="CD4" s="5" t="n"/>
      <c r="CE4" s="5" t="n"/>
      <c r="CI4" s="249" t="n"/>
      <c r="DA4" s="249" t="n"/>
      <c r="DD4" s="5" t="n"/>
      <c r="DO4" s="249" t="n"/>
      <c r="DP4" s="249" t="n"/>
      <c r="DT4" s="249" t="n"/>
      <c r="EA4" s="5" t="n"/>
      <c r="ED4" s="5" t="n"/>
      <c r="EE4" s="324" t="n"/>
      <c r="EI4" s="324" t="n"/>
      <c r="EK4" s="324" t="n"/>
      <c r="EM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122" t="n"/>
      <c r="G5" s="122" t="n"/>
      <c r="H5" s="122" t="n"/>
      <c r="I5" s="122" t="n"/>
      <c r="J5" s="122" t="n"/>
      <c r="K5" s="122" t="n"/>
      <c r="L5" s="122" t="n"/>
      <c r="M5" s="122" t="n"/>
      <c r="N5" s="122" t="n"/>
      <c r="O5" s="122" t="n"/>
      <c r="P5" s="122" t="n"/>
      <c r="Q5" s="122" t="n"/>
      <c r="R5" s="122" t="n"/>
      <c r="S5" s="122" t="n"/>
      <c r="T5" s="122" t="n"/>
      <c r="U5" s="122" t="n"/>
      <c r="V5" s="122" t="n"/>
      <c r="W5" s="122" t="n"/>
      <c r="X5" s="122" t="n"/>
      <c r="Y5" s="122" t="n"/>
      <c r="Z5" s="122" t="n"/>
      <c r="AA5" s="122" t="n"/>
      <c r="AB5" s="122" t="n"/>
      <c r="AC5" s="122" t="n"/>
      <c r="AD5" s="122" t="n"/>
      <c r="AE5" s="122" t="n"/>
      <c r="AF5" s="122" t="n"/>
      <c r="AG5" s="122" t="n"/>
      <c r="AH5" s="122" t="n"/>
      <c r="AI5" s="122" t="n"/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  <c r="AW5" s="122" t="n"/>
      <c r="AX5" s="122" t="n"/>
      <c r="AY5" s="122" t="n"/>
      <c r="AZ5" s="122" t="n"/>
      <c r="BA5" s="122" t="n"/>
      <c r="BB5" s="122" t="n"/>
      <c r="BC5" s="122" t="n"/>
      <c r="BD5" s="122" t="n"/>
      <c r="BE5" s="122" t="n"/>
      <c r="BF5" s="122" t="n"/>
      <c r="BG5" s="122" t="n"/>
      <c r="BH5" s="122" t="n"/>
      <c r="BI5" s="122" t="n"/>
      <c r="BJ5" s="122" t="n"/>
      <c r="BK5" s="122" t="n"/>
      <c r="BL5" s="122" t="n"/>
      <c r="BM5" s="122" t="n"/>
      <c r="BN5" s="122" t="n"/>
      <c r="BO5" s="122" t="n"/>
      <c r="BP5" s="122" t="n"/>
      <c r="BQ5" s="122" t="n"/>
      <c r="BR5" s="122" t="n"/>
      <c r="BS5" s="122" t="n"/>
      <c r="BT5" s="122" t="n"/>
      <c r="BU5" s="122" t="n"/>
      <c r="BV5" s="122" t="n"/>
      <c r="BW5" s="122" t="n"/>
      <c r="BX5" s="122" t="n"/>
      <c r="BY5" s="122" t="n"/>
      <c r="BZ5" s="122" t="n"/>
      <c r="CA5" s="60" t="n"/>
      <c r="CB5" s="44" t="inlineStr">
        <is>
          <t>Pendências</t>
        </is>
      </c>
      <c r="CC5" s="5" t="n"/>
      <c r="CD5" s="12" t="inlineStr">
        <is>
          <t>Novo Pedido</t>
        </is>
      </c>
      <c r="CE5" s="5" t="n"/>
      <c r="CF5" s="734" t="n">
        <v>46149</v>
      </c>
      <c r="CG5" s="734" t="n">
        <v>46142</v>
      </c>
      <c r="CH5" s="734" t="n">
        <v>46114</v>
      </c>
      <c r="CI5" s="735" t="n">
        <v>46065</v>
      </c>
      <c r="CJ5" s="734" t="n">
        <v>46099</v>
      </c>
      <c r="CK5" s="734" t="n">
        <v>46092</v>
      </c>
      <c r="CL5" s="734" t="n">
        <v>46084</v>
      </c>
      <c r="CM5" s="736" t="inlineStr">
        <is>
          <t>TRANSF.</t>
        </is>
      </c>
      <c r="CN5" s="734" t="n">
        <v>46071</v>
      </c>
      <c r="CO5" s="734" t="n">
        <v>46056</v>
      </c>
      <c r="CP5" s="734" t="n">
        <v>46043</v>
      </c>
      <c r="CQ5" s="734" t="n">
        <v>46035</v>
      </c>
      <c r="CR5" s="734" t="n">
        <v>46029</v>
      </c>
      <c r="CS5" s="734" t="n">
        <v>46024</v>
      </c>
      <c r="CT5" s="734" t="n">
        <v>46017</v>
      </c>
      <c r="CU5" s="734" t="n">
        <v>46007</v>
      </c>
      <c r="CV5" s="734" t="n">
        <v>46001</v>
      </c>
      <c r="CW5" s="734" t="n">
        <v>45986</v>
      </c>
      <c r="CX5" s="734" t="n">
        <v>45965</v>
      </c>
      <c r="CY5" s="736" t="inlineStr">
        <is>
          <t>TRANSF.</t>
        </is>
      </c>
      <c r="CZ5" s="734" t="n">
        <v>45951</v>
      </c>
      <c r="DA5" s="737" t="n">
        <v>45903</v>
      </c>
      <c r="DB5" s="734" t="n">
        <v>45937</v>
      </c>
      <c r="DC5" s="734" t="n">
        <v>45923</v>
      </c>
      <c r="DD5" s="738" t="inlineStr">
        <is>
          <t>TRANSF.</t>
        </is>
      </c>
      <c r="DE5" s="734" t="n">
        <v>45915</v>
      </c>
      <c r="DF5" s="734" t="n">
        <v>45909</v>
      </c>
      <c r="DG5" s="734" t="n">
        <v>45903</v>
      </c>
      <c r="DH5" s="734" t="n">
        <v>45903</v>
      </c>
      <c r="DI5" s="736" t="inlineStr">
        <is>
          <t>TRANSF.</t>
        </is>
      </c>
      <c r="DJ5" s="734" t="n">
        <v>45895</v>
      </c>
      <c r="DK5" s="734" t="n">
        <v>45881</v>
      </c>
      <c r="DL5" s="739" t="inlineStr">
        <is>
          <t>TRANSF.</t>
        </is>
      </c>
      <c r="DM5" s="734" t="n">
        <v>45874</v>
      </c>
      <c r="DN5" s="734" t="n">
        <v>45860</v>
      </c>
      <c r="DO5" s="739" t="inlineStr">
        <is>
          <t>TRANSF.</t>
        </is>
      </c>
      <c r="DP5" s="739" t="inlineStr">
        <is>
          <t>TRANSF.</t>
        </is>
      </c>
      <c r="DQ5" s="734" t="n">
        <v>45853</v>
      </c>
      <c r="DR5" s="734" t="n">
        <v>45848</v>
      </c>
      <c r="DS5" s="734" t="n">
        <v>45839</v>
      </c>
      <c r="DT5" s="739" t="n">
        <v>45791</v>
      </c>
      <c r="DU5" s="734" t="n">
        <v>45832</v>
      </c>
      <c r="DV5" s="734" t="n">
        <v>45825</v>
      </c>
      <c r="DW5" s="734" t="n">
        <v>45819</v>
      </c>
      <c r="DX5" s="736" t="inlineStr">
        <is>
          <t>TRANSF.</t>
        </is>
      </c>
      <c r="DY5" s="734" t="n">
        <v>45813</v>
      </c>
      <c r="DZ5" s="736" t="inlineStr">
        <is>
          <t>TRANSF.</t>
        </is>
      </c>
      <c r="EA5" s="742" t="inlineStr">
        <is>
          <t>TRANSF.</t>
        </is>
      </c>
      <c r="EB5" s="734" t="n">
        <v>45798</v>
      </c>
      <c r="EC5" s="734" t="n">
        <v>45790</v>
      </c>
      <c r="ED5" s="742" t="n">
        <v>45735</v>
      </c>
      <c r="EE5" s="740" t="inlineStr">
        <is>
          <t>TRANSF.</t>
        </is>
      </c>
      <c r="EF5" s="734" t="n">
        <v>45783</v>
      </c>
      <c r="EG5" s="734" t="n">
        <v>45756</v>
      </c>
      <c r="EH5" s="736" t="inlineStr">
        <is>
          <t>TRANSF.</t>
        </is>
      </c>
      <c r="EI5" s="740" t="inlineStr">
        <is>
          <t>TRANSF.</t>
        </is>
      </c>
      <c r="EJ5" s="734" t="n">
        <v>45749</v>
      </c>
      <c r="EK5" s="740" t="inlineStr">
        <is>
          <t>TRANSF.</t>
        </is>
      </c>
      <c r="EL5" s="734" t="n">
        <v>45734</v>
      </c>
      <c r="EM5" s="740" t="n">
        <v>45700</v>
      </c>
      <c r="EN5" s="736" t="inlineStr">
        <is>
          <t>TRANSF.</t>
        </is>
      </c>
      <c r="EO5" s="734" t="n">
        <v>45728</v>
      </c>
      <c r="EP5" s="734" t="n">
        <v>45722</v>
      </c>
      <c r="EQ5" s="736" t="inlineStr">
        <is>
          <t>TRANSF.</t>
        </is>
      </c>
      <c r="ER5" s="734" t="n">
        <v>45714</v>
      </c>
      <c r="ES5" s="734" t="n">
        <v>45706</v>
      </c>
      <c r="ET5" s="734" t="n">
        <v>45699</v>
      </c>
      <c r="EU5" s="734" t="n">
        <v>45685</v>
      </c>
      <c r="EV5" s="734" t="n">
        <v>45674</v>
      </c>
      <c r="EW5" s="734" t="n">
        <v>45664</v>
      </c>
      <c r="EX5" s="734" t="n">
        <v>45660</v>
      </c>
      <c r="EY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751" t="n"/>
      <c r="CD6" s="752" t="n">
        <v>46156</v>
      </c>
      <c r="CE6" s="751" t="n"/>
      <c r="CF6" s="734" t="n">
        <v>46155</v>
      </c>
      <c r="CG6" s="734" t="n">
        <v>46148</v>
      </c>
      <c r="CH6" s="734" t="n">
        <v>46125</v>
      </c>
      <c r="CI6" s="735" t="n">
        <v>46111</v>
      </c>
      <c r="CJ6" s="734" t="n">
        <v>46105</v>
      </c>
      <c r="CK6" s="734" t="n">
        <v>46100</v>
      </c>
      <c r="CL6" s="734" t="n">
        <v>46091</v>
      </c>
      <c r="CM6" s="736" t="n">
        <v>46085</v>
      </c>
      <c r="CN6" s="734" t="n">
        <v>46077</v>
      </c>
      <c r="CO6" s="734" t="n">
        <v>46062</v>
      </c>
      <c r="CP6" s="734" t="n">
        <v>46048</v>
      </c>
      <c r="CQ6" s="734" t="n">
        <v>46043</v>
      </c>
      <c r="CR6" s="734" t="n">
        <v>46036</v>
      </c>
      <c r="CS6" s="734" t="n">
        <v>46035</v>
      </c>
      <c r="CT6" s="734" t="n">
        <v>46027</v>
      </c>
      <c r="CU6" s="734" t="n">
        <v>46010</v>
      </c>
      <c r="CV6" s="734" t="n">
        <v>46009</v>
      </c>
      <c r="CW6" s="734" t="n">
        <v>45994</v>
      </c>
      <c r="CX6" s="734" t="n">
        <v>45972</v>
      </c>
      <c r="CY6" s="736" t="n">
        <v>45961</v>
      </c>
      <c r="CZ6" s="734" t="n">
        <v>45958</v>
      </c>
      <c r="DA6" s="753" t="n">
        <v>45954</v>
      </c>
      <c r="DB6" s="734" t="n">
        <v>45945</v>
      </c>
      <c r="DC6" s="734" t="n">
        <v>45926</v>
      </c>
      <c r="DD6" s="754" t="n">
        <v>45923</v>
      </c>
      <c r="DE6" s="734" t="n">
        <v>45919</v>
      </c>
      <c r="DF6" s="734" t="n">
        <v>45915</v>
      </c>
      <c r="DG6" s="734" t="n">
        <v>45915</v>
      </c>
      <c r="DH6" s="734" t="n">
        <v>45908</v>
      </c>
      <c r="DI6" s="736" t="n">
        <v>45902</v>
      </c>
      <c r="DJ6" s="734" t="n">
        <v>45898</v>
      </c>
      <c r="DK6" s="734" t="n">
        <v>45888</v>
      </c>
      <c r="DL6" s="739" t="n">
        <v>45884</v>
      </c>
      <c r="DM6" s="734" t="n">
        <v>45876</v>
      </c>
      <c r="DN6" s="734" t="n">
        <v>45863</v>
      </c>
      <c r="DO6" s="739" t="n">
        <v>45861</v>
      </c>
      <c r="DP6" s="739" t="n">
        <v>45860</v>
      </c>
      <c r="DQ6" s="734" t="n">
        <v>45856</v>
      </c>
      <c r="DR6" s="734" t="n">
        <v>45852</v>
      </c>
      <c r="DS6" s="734" t="n">
        <v>45846</v>
      </c>
      <c r="DT6" s="739" t="n">
        <v>45840</v>
      </c>
      <c r="DU6" s="734" t="n">
        <v>45838</v>
      </c>
      <c r="DV6" s="734" t="n">
        <v>45833</v>
      </c>
      <c r="DW6" s="734" t="n">
        <v>45824</v>
      </c>
      <c r="DX6" s="736" t="n">
        <v>45820</v>
      </c>
      <c r="DY6" s="734" t="n">
        <v>45819</v>
      </c>
      <c r="DZ6" s="736" t="n">
        <v>45806</v>
      </c>
      <c r="EA6" s="755" t="n">
        <v>45803</v>
      </c>
      <c r="EB6" s="734" t="n">
        <v>45800</v>
      </c>
      <c r="EC6" s="734" t="n">
        <v>45793</v>
      </c>
      <c r="ED6" s="755" t="n">
        <v>45793</v>
      </c>
      <c r="EE6" s="740" t="n">
        <v>45790</v>
      </c>
      <c r="EF6" s="734" t="n">
        <v>45785</v>
      </c>
      <c r="EG6" s="734" t="n">
        <v>45775</v>
      </c>
      <c r="EH6" s="736" t="n">
        <v>45770</v>
      </c>
      <c r="EI6" s="740" t="n">
        <v>45756</v>
      </c>
      <c r="EJ6" s="734" t="n">
        <v>45755</v>
      </c>
      <c r="EK6" s="740" t="n">
        <v>45750</v>
      </c>
      <c r="EL6" s="734" t="n">
        <v>45743</v>
      </c>
      <c r="EM6" s="740" t="n">
        <v>45744</v>
      </c>
      <c r="EN6" s="736" t="n">
        <v>45731</v>
      </c>
      <c r="EO6" s="734" t="n">
        <v>45733</v>
      </c>
      <c r="EP6" s="734" t="n">
        <v>45726</v>
      </c>
      <c r="EQ6" s="736" t="n">
        <v>45722</v>
      </c>
      <c r="ER6" s="734" t="n">
        <v>45721</v>
      </c>
      <c r="ES6" s="734" t="n">
        <v>45713</v>
      </c>
      <c r="ET6" s="734" t="n">
        <v>45706</v>
      </c>
      <c r="EU6" s="734" t="n">
        <v>45688</v>
      </c>
      <c r="EV6" s="734" t="n">
        <v>45678</v>
      </c>
      <c r="EW6" s="734" t="n">
        <v>45670</v>
      </c>
      <c r="EX6" s="734" t="n">
        <v>45665</v>
      </c>
      <c r="EY6" s="734" t="n">
        <v>45659</v>
      </c>
      <c r="FA6" s="5" t="n"/>
      <c r="FB6" s="5" t="n"/>
      <c r="FC6" s="5" t="n"/>
      <c r="FD6" s="5" t="n"/>
      <c r="FE6" s="5" t="n"/>
      <c r="FF6" s="5" t="n"/>
      <c r="FG6" s="5" t="n"/>
      <c r="FH6" s="5" t="n"/>
      <c r="FI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D7" s="13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PAIS/25</t>
        </is>
      </c>
      <c r="DM7" s="13" t="n"/>
      <c r="DN7" s="13" t="n"/>
      <c r="DO7" s="13" t="inlineStr">
        <is>
          <t>PAIS/25</t>
        </is>
      </c>
      <c r="DP7" s="13" t="inlineStr">
        <is>
          <t>PAIS/25</t>
        </is>
      </c>
      <c r="DQ7" s="13" t="n"/>
      <c r="DR7" s="13" t="n"/>
      <c r="DS7" s="13" t="n"/>
      <c r="DT7" s="13" t="n"/>
      <c r="DU7" s="13" t="n"/>
      <c r="DV7" s="13" t="n"/>
      <c r="DW7" s="13" t="n"/>
      <c r="DX7" s="320" t="n"/>
      <c r="DY7" s="13" t="n"/>
      <c r="DZ7" s="320" t="n"/>
      <c r="EA7" s="13" t="inlineStr">
        <is>
          <t>NAMO/25</t>
        </is>
      </c>
      <c r="EB7" s="320" t="n"/>
      <c r="EC7" s="320" t="n"/>
      <c r="ED7" s="320" t="n"/>
      <c r="EE7" s="13" t="inlineStr">
        <is>
          <t>MÃES/25</t>
        </is>
      </c>
      <c r="EF7" s="320" t="n"/>
      <c r="EG7" s="320" t="n"/>
      <c r="EH7" s="320" t="n"/>
      <c r="EI7" s="13" t="inlineStr">
        <is>
          <t>MÃES/25</t>
        </is>
      </c>
      <c r="EJ7" s="320" t="n"/>
      <c r="EK7" s="13" t="inlineStr">
        <is>
          <t>MÃES/25</t>
        </is>
      </c>
      <c r="EL7" s="320" t="n"/>
      <c r="EM7" s="13" t="inlineStr">
        <is>
          <t>MÃES/25</t>
        </is>
      </c>
      <c r="EN7" s="13" t="n"/>
      <c r="EO7" s="13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FA7" s="235" t="inlineStr">
        <is>
          <t>MÃES 2026</t>
        </is>
      </c>
      <c r="FB7" s="731" t="n"/>
      <c r="FC7" s="731" t="n"/>
      <c r="FD7" s="731" t="n"/>
      <c r="FE7" s="731" t="n"/>
      <c r="FF7" s="731" t="n"/>
      <c r="FG7" s="731" t="n"/>
      <c r="FH7" s="731" t="n"/>
      <c r="FI7" s="775" t="n"/>
    </row>
    <row r="8" ht="19.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450</v>
      </c>
      <c r="E8" s="5" t="n"/>
      <c r="F8" s="697" t="n">
        <v>380</v>
      </c>
      <c r="G8" s="697">
        <f>320+EX8</f>
        <v/>
      </c>
      <c r="H8" s="697" t="n">
        <v>560</v>
      </c>
      <c r="I8" s="697" t="n">
        <v>480</v>
      </c>
      <c r="J8" s="697" t="n">
        <v>400</v>
      </c>
      <c r="K8" s="697" t="n">
        <v>320</v>
      </c>
      <c r="L8" s="697" t="n">
        <v>240</v>
      </c>
      <c r="M8" s="697" t="n">
        <v>160</v>
      </c>
      <c r="N8" s="697" t="n">
        <v>80</v>
      </c>
      <c r="O8" s="697">
        <f>40+ER8</f>
        <v/>
      </c>
      <c r="P8" s="697" t="n">
        <v>220</v>
      </c>
      <c r="Q8" s="697" t="n">
        <v>120</v>
      </c>
      <c r="R8" s="697" t="n">
        <v>40</v>
      </c>
      <c r="S8" s="697" t="n">
        <v>300</v>
      </c>
      <c r="T8" s="697" t="n">
        <v>160</v>
      </c>
      <c r="U8" s="697" t="n">
        <v>40</v>
      </c>
      <c r="V8" s="697">
        <f>0+300</f>
        <v/>
      </c>
      <c r="W8" s="697">
        <f>160+EG8</f>
        <v/>
      </c>
      <c r="X8" s="697" t="n">
        <v>680</v>
      </c>
      <c r="Y8" s="697" t="n">
        <v>1020</v>
      </c>
      <c r="Z8" s="697" t="n">
        <v>940</v>
      </c>
      <c r="AA8" s="697" t="n">
        <v>860</v>
      </c>
      <c r="AB8" s="697" t="n">
        <v>820</v>
      </c>
      <c r="AC8" s="697" t="n">
        <v>700</v>
      </c>
      <c r="AD8" s="697" t="n">
        <v>580</v>
      </c>
      <c r="AE8" s="697" t="n">
        <v>520</v>
      </c>
      <c r="AF8" s="697" t="n">
        <v>360</v>
      </c>
      <c r="AG8" s="697">
        <f>280+DS8</f>
        <v/>
      </c>
      <c r="AH8" s="697" t="n">
        <v>480</v>
      </c>
      <c r="AI8" s="697" t="n">
        <v>420</v>
      </c>
      <c r="AJ8" s="697" t="n">
        <v>360</v>
      </c>
      <c r="AK8" s="697" t="n">
        <v>300</v>
      </c>
      <c r="AL8" s="697" t="n">
        <v>100</v>
      </c>
      <c r="AM8" s="697">
        <f>40+DK8</f>
        <v/>
      </c>
      <c r="AN8" s="697" t="n">
        <v>300</v>
      </c>
      <c r="AO8" s="697" t="n">
        <v>200</v>
      </c>
      <c r="AP8" s="697" t="n">
        <v>160</v>
      </c>
      <c r="AQ8" s="697">
        <f>80+DG8</f>
        <v/>
      </c>
      <c r="AR8" s="697" t="n">
        <v>300</v>
      </c>
      <c r="AS8" s="697">
        <f>220+DC8</f>
        <v/>
      </c>
      <c r="AT8" s="697" t="n">
        <v>420</v>
      </c>
      <c r="AU8" s="697" t="n">
        <v>300</v>
      </c>
      <c r="AV8" s="697" t="n">
        <v>220</v>
      </c>
      <c r="AW8" s="697">
        <f>120+CZ8</f>
        <v/>
      </c>
      <c r="AX8" s="697" t="n">
        <v>380</v>
      </c>
      <c r="AY8" s="697">
        <f>300+CX8</f>
        <v/>
      </c>
      <c r="AZ8" s="697" t="n">
        <v>540</v>
      </c>
      <c r="BA8" s="697" t="n">
        <v>400</v>
      </c>
      <c r="BB8" s="697">
        <f>300+CW8</f>
        <v/>
      </c>
      <c r="BC8" s="697" t="n">
        <v>480</v>
      </c>
      <c r="BD8" s="697">
        <f>380+CV8</f>
        <v/>
      </c>
      <c r="BE8" s="697">
        <f>440+CU8</f>
        <v/>
      </c>
      <c r="BF8" s="697" t="n">
        <v>420</v>
      </c>
      <c r="BG8" s="697" t="n">
        <v>400</v>
      </c>
      <c r="BH8" s="697">
        <f>400+CS8</f>
        <v/>
      </c>
      <c r="BI8" s="697" t="n">
        <v>660</v>
      </c>
      <c r="BJ8" s="697" t="n">
        <v>600</v>
      </c>
      <c r="BK8" s="697" t="n">
        <v>580</v>
      </c>
      <c r="BL8" s="697" t="n">
        <v>500</v>
      </c>
      <c r="BM8" s="697" t="n">
        <v>440</v>
      </c>
      <c r="BN8" s="697" t="n">
        <v>380</v>
      </c>
      <c r="BO8" s="697" t="n">
        <v>300</v>
      </c>
      <c r="BP8" s="697">
        <f>180+CL8</f>
        <v/>
      </c>
      <c r="BQ8" s="697" t="n">
        <v>400</v>
      </c>
      <c r="BR8" s="697" t="n">
        <v>340</v>
      </c>
      <c r="BS8" s="697" t="n">
        <v>260</v>
      </c>
      <c r="BT8" s="697" t="n">
        <v>200</v>
      </c>
      <c r="BU8" s="697" t="n">
        <v>440</v>
      </c>
      <c r="BV8" s="697" t="n">
        <v>360</v>
      </c>
      <c r="BW8" s="697" t="n">
        <v>280</v>
      </c>
      <c r="BX8" s="697">
        <f>200+CG8</f>
        <v/>
      </c>
      <c r="BY8" s="697">
        <f>300+CF8</f>
        <v/>
      </c>
      <c r="BZ8" s="192">
        <f>BX8+IF(NOT(ISBLANK(OFFSET(BZ8,0,6))),N(OFFSET(BZ8,0,6)),N(OFFSET(BZ8,0,7)))-BY8</f>
        <v/>
      </c>
      <c r="CA8" s="129" t="n"/>
      <c r="CB8" s="22" t="n"/>
      <c r="CD8" s="49" t="n"/>
      <c r="CF8" s="23" t="n">
        <v>300</v>
      </c>
      <c r="CG8" s="23" t="n">
        <v>300</v>
      </c>
      <c r="CH8" s="23" t="n">
        <v>300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>
        <v>300</v>
      </c>
      <c r="CT8" s="23" t="n"/>
      <c r="CU8" s="23" t="n">
        <v>300</v>
      </c>
      <c r="CV8" s="23" t="n">
        <v>300</v>
      </c>
      <c r="CW8" s="23" t="n">
        <v>300</v>
      </c>
      <c r="CX8" s="23" t="n">
        <v>300</v>
      </c>
      <c r="CY8" s="23" t="n"/>
      <c r="CZ8" s="23" t="n">
        <v>300</v>
      </c>
      <c r="DA8" s="219" t="n"/>
      <c r="DB8" s="23" t="n"/>
      <c r="DC8" s="23" t="n">
        <v>300</v>
      </c>
      <c r="DD8" s="219" t="n"/>
      <c r="DE8" s="23" t="n"/>
      <c r="DF8" s="23" t="n"/>
      <c r="DG8" s="23" t="n">
        <v>300</v>
      </c>
      <c r="DH8" s="23" t="n"/>
      <c r="DI8" s="23" t="n"/>
      <c r="DJ8" s="23" t="n"/>
      <c r="DK8" s="23" t="n">
        <v>300</v>
      </c>
      <c r="DL8" s="23" t="n"/>
      <c r="DM8" s="23" t="n"/>
      <c r="DN8" s="23" t="n"/>
      <c r="DO8" s="219" t="n"/>
      <c r="DP8" s="219" t="n"/>
      <c r="DQ8" s="23" t="n"/>
      <c r="DR8" s="23" t="n"/>
      <c r="DS8" s="23" t="n">
        <v>300</v>
      </c>
      <c r="DT8" s="219" t="n"/>
      <c r="DU8" s="23" t="n"/>
      <c r="DV8" s="23" t="n"/>
      <c r="DW8" s="23" t="n"/>
      <c r="DX8" s="23" t="n"/>
      <c r="DY8" s="23" t="n"/>
      <c r="DZ8" s="23" t="n"/>
      <c r="EA8" s="219" t="n"/>
      <c r="EB8" s="23" t="n"/>
      <c r="EC8" s="23" t="n"/>
      <c r="ED8" s="219" t="n"/>
      <c r="EE8" s="219" t="n"/>
      <c r="EF8" s="23" t="n">
        <v>600</v>
      </c>
      <c r="EG8" s="23" t="n">
        <v>600</v>
      </c>
      <c r="EH8" s="282" t="inlineStr">
        <is>
          <t>300 DE CDB</t>
        </is>
      </c>
      <c r="EI8" s="219" t="n"/>
      <c r="EJ8" s="23" t="n"/>
      <c r="EK8" s="219" t="n"/>
      <c r="EL8" s="23" t="n">
        <v>300</v>
      </c>
      <c r="EM8" s="219" t="n"/>
      <c r="EN8" s="23" t="n"/>
      <c r="EO8" s="23" t="n"/>
      <c r="EP8" s="23" t="n"/>
      <c r="EQ8" s="23" t="n"/>
      <c r="ER8" s="23" t="n">
        <v>300</v>
      </c>
      <c r="ES8" s="23" t="n"/>
      <c r="ET8" s="23" t="n"/>
      <c r="EU8" s="23" t="n"/>
      <c r="EV8" s="23" t="n"/>
      <c r="EW8" s="23" t="n"/>
      <c r="EX8" s="23" t="n">
        <v>300</v>
      </c>
      <c r="EY8" s="23" t="n"/>
      <c r="FA8" s="304" t="inlineStr">
        <is>
          <t xml:space="preserve">SACOLAS </t>
        </is>
      </c>
      <c r="FB8" s="235" t="inlineStr">
        <is>
          <t>PCT</t>
        </is>
      </c>
      <c r="FC8" s="746" t="n">
        <v>46118</v>
      </c>
      <c r="FD8" s="746" t="n">
        <v>46125</v>
      </c>
      <c r="FE8" s="746" t="n">
        <v>46132</v>
      </c>
      <c r="FF8" s="746" t="n">
        <v>46139</v>
      </c>
      <c r="FG8" s="746" t="n">
        <v>46146</v>
      </c>
      <c r="FH8" s="746" t="n">
        <v>46154</v>
      </c>
      <c r="FI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750</v>
      </c>
      <c r="E9" s="5" t="n"/>
      <c r="F9" s="697" t="n">
        <v>600</v>
      </c>
      <c r="G9" s="697">
        <f>500+EX9</f>
        <v/>
      </c>
      <c r="H9" s="697">
        <f>680+EW9</f>
        <v/>
      </c>
      <c r="I9" s="697">
        <f>720+EV9</f>
        <v/>
      </c>
      <c r="J9" s="697" t="n">
        <v>840</v>
      </c>
      <c r="K9" s="697" t="n">
        <v>1160</v>
      </c>
      <c r="L9" s="697" t="n">
        <v>940</v>
      </c>
      <c r="M9" s="697" t="n">
        <v>720</v>
      </c>
      <c r="N9" s="697" t="n">
        <v>560</v>
      </c>
      <c r="O9" s="697" t="n">
        <v>400</v>
      </c>
      <c r="P9" s="697">
        <f>160+EP9</f>
        <v/>
      </c>
      <c r="Q9" s="697" t="n">
        <v>360</v>
      </c>
      <c r="R9" s="697" t="n">
        <v>200</v>
      </c>
      <c r="S9" s="697" t="n">
        <v>400</v>
      </c>
      <c r="T9" s="697">
        <f>240+EJ9</f>
        <v/>
      </c>
      <c r="U9" s="697" t="n">
        <v>540</v>
      </c>
      <c r="V9" s="697" t="n">
        <v>540</v>
      </c>
      <c r="W9" s="697" t="n">
        <v>540</v>
      </c>
      <c r="X9" s="697" t="n">
        <v>520</v>
      </c>
      <c r="Y9" s="697" t="n">
        <v>520</v>
      </c>
      <c r="Z9" s="697" t="n">
        <v>300</v>
      </c>
      <c r="AA9" s="697">
        <f>480+200</f>
        <v/>
      </c>
      <c r="AB9" s="697" t="n">
        <v>560</v>
      </c>
      <c r="AC9" s="697">
        <f>400+DY9</f>
        <v/>
      </c>
      <c r="AD9" s="697">
        <f>400+DW9</f>
        <v/>
      </c>
      <c r="AE9" s="697">
        <f>460+DV9</f>
        <v/>
      </c>
      <c r="AF9" s="697">
        <f>480+DU9</f>
        <v/>
      </c>
      <c r="AG9" s="697">
        <f>560+DS9</f>
        <v/>
      </c>
      <c r="AH9" s="697" t="n">
        <v>680</v>
      </c>
      <c r="AI9" s="697" t="n">
        <v>840</v>
      </c>
      <c r="AJ9" s="697" t="n">
        <v>700</v>
      </c>
      <c r="AK9" s="697" t="n">
        <v>580</v>
      </c>
      <c r="AL9" s="697" t="n">
        <v>420</v>
      </c>
      <c r="AM9" s="697">
        <f>320+DK9</f>
        <v/>
      </c>
      <c r="AN9" s="697" t="n">
        <v>780</v>
      </c>
      <c r="AO9" s="697" t="n">
        <v>600</v>
      </c>
      <c r="AP9" s="697" t="n">
        <v>360</v>
      </c>
      <c r="AQ9" s="697">
        <f>240+DF9</f>
        <v/>
      </c>
      <c r="AR9" s="697" t="n">
        <v>840</v>
      </c>
      <c r="AS9" s="697">
        <f>740+DC9</f>
        <v/>
      </c>
      <c r="AT9" s="697" t="n">
        <v>1360</v>
      </c>
      <c r="AU9" s="697" t="n">
        <v>1200</v>
      </c>
      <c r="AV9" s="697" t="n">
        <v>1040</v>
      </c>
      <c r="AW9" s="697" t="n">
        <v>920</v>
      </c>
      <c r="AX9" s="697" t="n">
        <v>880</v>
      </c>
      <c r="AY9" s="697" t="n">
        <v>800</v>
      </c>
      <c r="AZ9" s="697" t="n">
        <v>800</v>
      </c>
      <c r="BA9" s="697" t="n">
        <v>800</v>
      </c>
      <c r="BB9" s="697" t="n">
        <v>800</v>
      </c>
      <c r="BC9" s="697" t="n">
        <v>800</v>
      </c>
      <c r="BD9" s="697" t="n">
        <v>800</v>
      </c>
      <c r="BE9" s="697">
        <f>400+CU9</f>
        <v/>
      </c>
      <c r="BF9" s="697" t="n">
        <v>200</v>
      </c>
      <c r="BG9" s="697">
        <f>40+CT9</f>
        <v/>
      </c>
      <c r="BH9" s="697">
        <f>160+CS9+CR9</f>
        <v/>
      </c>
      <c r="BI9" s="697" t="n">
        <v>800</v>
      </c>
      <c r="BJ9" s="697">
        <f>600+CP9</f>
        <v/>
      </c>
      <c r="BK9" s="697" t="n">
        <v>660</v>
      </c>
      <c r="BL9" s="697">
        <f>480+CO9</f>
        <v/>
      </c>
      <c r="BM9" s="697" t="n">
        <v>500</v>
      </c>
      <c r="BN9" s="697">
        <f>360+CN9</f>
        <v/>
      </c>
      <c r="BO9" s="697" t="n">
        <v>360</v>
      </c>
      <c r="BP9" s="697">
        <f>280+CL9</f>
        <v/>
      </c>
      <c r="BQ9" s="697" t="n">
        <v>600</v>
      </c>
      <c r="BR9" s="697">
        <f>600+CJ9</f>
        <v/>
      </c>
      <c r="BS9" s="697" t="n">
        <v>600</v>
      </c>
      <c r="BT9" s="697" t="n">
        <v>480</v>
      </c>
      <c r="BU9" s="697" t="n">
        <v>600</v>
      </c>
      <c r="BV9" s="697" t="n">
        <v>580</v>
      </c>
      <c r="BW9" s="697" t="n">
        <v>580</v>
      </c>
      <c r="BX9" s="697" t="n">
        <v>580</v>
      </c>
      <c r="BY9" s="697" t="n">
        <v>580</v>
      </c>
      <c r="BZ9" s="192">
        <f>BX9+IF(NOT(ISBLANK(OFFSET(BZ9,0,6))),N(OFFSET(BZ9,0,6)),N(OFFSET(BZ9,0,7)))-BY9</f>
        <v/>
      </c>
      <c r="CA9" s="129" t="n"/>
      <c r="CB9" s="22" t="n"/>
      <c r="CD9" s="49" t="n"/>
      <c r="CF9" s="23" t="n">
        <v>0</v>
      </c>
      <c r="CG9" s="23" t="n">
        <v>0</v>
      </c>
      <c r="CH9" s="23" t="n">
        <v>200</v>
      </c>
      <c r="CI9" s="219" t="n">
        <v>1200</v>
      </c>
      <c r="CJ9" s="23" t="n">
        <v>200</v>
      </c>
      <c r="CK9" s="23" t="n"/>
      <c r="CL9" s="23" t="n">
        <v>600</v>
      </c>
      <c r="CM9" s="23" t="n"/>
      <c r="CN9" s="23" t="n">
        <v>400</v>
      </c>
      <c r="CO9" s="23" t="n">
        <v>200</v>
      </c>
      <c r="CP9" s="23" t="n">
        <v>200</v>
      </c>
      <c r="CQ9" s="23" t="n"/>
      <c r="CR9" s="23" t="n">
        <v>400</v>
      </c>
      <c r="CS9" s="23" t="n">
        <v>400</v>
      </c>
      <c r="CT9" s="23" t="n">
        <v>400</v>
      </c>
      <c r="CU9" s="23" t="n">
        <v>400</v>
      </c>
      <c r="CV9" s="23" t="n"/>
      <c r="CW9" s="23" t="n"/>
      <c r="CX9" s="23" t="n"/>
      <c r="CY9" s="23" t="n"/>
      <c r="CZ9" s="23" t="n"/>
      <c r="DA9" s="219" t="n">
        <v>1600</v>
      </c>
      <c r="DB9" s="23" t="n"/>
      <c r="DC9" s="23" t="n">
        <v>800</v>
      </c>
      <c r="DD9" s="219" t="n"/>
      <c r="DE9" s="23" t="n">
        <v>400</v>
      </c>
      <c r="DF9" s="23" t="n">
        <v>400</v>
      </c>
      <c r="DG9" s="23" t="n"/>
      <c r="DH9" s="23" t="n"/>
      <c r="DI9" s="23" t="n"/>
      <c r="DJ9" s="23" t="n"/>
      <c r="DK9" s="23" t="n">
        <v>600</v>
      </c>
      <c r="DL9" s="23" t="n"/>
      <c r="DM9" s="23" t="n">
        <v>200</v>
      </c>
      <c r="DN9" s="23" t="n"/>
      <c r="DO9" s="219" t="n"/>
      <c r="DP9" s="219" t="n"/>
      <c r="DQ9" s="23" t="n">
        <v>200</v>
      </c>
      <c r="DR9" s="23" t="n"/>
      <c r="DS9" s="23" t="n">
        <v>200</v>
      </c>
      <c r="DT9" s="219" t="n"/>
      <c r="DU9" s="23" t="n">
        <v>200</v>
      </c>
      <c r="DV9" s="23" t="n">
        <v>200</v>
      </c>
      <c r="DW9" s="23" t="n">
        <v>200</v>
      </c>
      <c r="DX9" s="23" t="n"/>
      <c r="DY9" s="23" t="n">
        <v>200</v>
      </c>
      <c r="DZ9" s="282" t="inlineStr">
        <is>
          <t>200 DE CD</t>
        </is>
      </c>
      <c r="EA9" s="219" t="n"/>
      <c r="EB9" s="23" t="n">
        <v>400</v>
      </c>
      <c r="EC9" s="23" t="n"/>
      <c r="ED9" s="219" t="n"/>
      <c r="EE9" s="219" t="n"/>
      <c r="EF9" s="23" t="n"/>
      <c r="EG9" s="23" t="n"/>
      <c r="EH9" s="23" t="n"/>
      <c r="EI9" s="219" t="n"/>
      <c r="EJ9" s="23" t="n">
        <v>400</v>
      </c>
      <c r="EK9" s="219" t="n"/>
      <c r="EL9" s="23" t="n">
        <v>400</v>
      </c>
      <c r="EM9" s="219" t="n">
        <v>1000</v>
      </c>
      <c r="EN9" s="23" t="n"/>
      <c r="EO9" s="23" t="n"/>
      <c r="EP9" s="23" t="n">
        <v>400</v>
      </c>
      <c r="EQ9" s="23" t="n"/>
      <c r="ER9" s="23" t="n"/>
      <c r="ES9" s="23" t="n"/>
      <c r="ET9" s="23" t="n"/>
      <c r="EU9" s="23" t="n">
        <v>400</v>
      </c>
      <c r="EV9" s="23" t="n">
        <v>400</v>
      </c>
      <c r="EW9" s="23" t="n">
        <v>200</v>
      </c>
      <c r="EX9" s="23" t="n">
        <v>400</v>
      </c>
      <c r="EY9" s="23" t="n"/>
      <c r="FA9" s="300" t="inlineStr">
        <is>
          <t xml:space="preserve">SACOLA P </t>
        </is>
      </c>
      <c r="FB9" s="162" t="n">
        <v>200</v>
      </c>
      <c r="FC9" s="697">
        <f>CI9</f>
        <v/>
      </c>
      <c r="FD9" s="697" t="n">
        <v>1140</v>
      </c>
      <c r="FE9" s="697" t="n">
        <v>980</v>
      </c>
      <c r="FF9" s="697" t="n">
        <v>840</v>
      </c>
      <c r="FG9" s="697" t="n">
        <v>720</v>
      </c>
      <c r="FH9" s="697" t="n">
        <v>120</v>
      </c>
      <c r="FI9" s="431">
        <f>FG9+IF(NOT(ISBLANK(OFFSET(FI9,0,6))),N(OFFSET(FI9,0,6)),N(OFFSET(FI9,0,7)))-FH9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>
        <f>200+EY10</f>
        <v/>
      </c>
      <c r="G10" s="697">
        <f>360+EX10</f>
        <v/>
      </c>
      <c r="H10" s="697">
        <f>680+EW10</f>
        <v/>
      </c>
      <c r="I10" s="697" t="n">
        <v>800</v>
      </c>
      <c r="J10" s="697" t="n">
        <v>740</v>
      </c>
      <c r="K10" s="697" t="n">
        <v>660</v>
      </c>
      <c r="L10" s="697" t="n">
        <v>580</v>
      </c>
      <c r="M10" s="697" t="n">
        <v>480</v>
      </c>
      <c r="N10" s="697" t="n">
        <v>380</v>
      </c>
      <c r="O10" s="697">
        <f>300+ER10</f>
        <v/>
      </c>
      <c r="P10" s="697" t="n">
        <v>340</v>
      </c>
      <c r="Q10" s="697" t="n">
        <v>280</v>
      </c>
      <c r="R10" s="697" t="n">
        <v>160</v>
      </c>
      <c r="S10" s="697" t="n">
        <v>320</v>
      </c>
      <c r="T10" s="697" t="n">
        <v>240</v>
      </c>
      <c r="U10" s="697" t="n">
        <v>180</v>
      </c>
      <c r="V10" s="697" t="n">
        <v>180</v>
      </c>
      <c r="W10" s="697" t="n">
        <v>180</v>
      </c>
      <c r="X10" s="697" t="n">
        <v>180</v>
      </c>
      <c r="Y10" s="697" t="n">
        <v>180</v>
      </c>
      <c r="Z10" s="697" t="n">
        <v>360</v>
      </c>
      <c r="AA10" s="697" t="n">
        <v>260</v>
      </c>
      <c r="AB10" s="697" t="n">
        <v>200</v>
      </c>
      <c r="AC10" s="697" t="n">
        <v>100</v>
      </c>
      <c r="AD10" s="697" t="n">
        <v>40</v>
      </c>
      <c r="AE10" s="697">
        <f>0+DV10</f>
        <v/>
      </c>
      <c r="AF10" s="697">
        <f>140+DU10</f>
        <v/>
      </c>
      <c r="AG10" s="697" t="n">
        <v>300</v>
      </c>
      <c r="AH10" s="697" t="n">
        <v>160</v>
      </c>
      <c r="AI10" s="697" t="n">
        <v>100</v>
      </c>
      <c r="AJ10" s="697" t="n">
        <v>60</v>
      </c>
      <c r="AK10" s="697" t="n">
        <v>20</v>
      </c>
      <c r="AL10" s="697" t="n">
        <v>0</v>
      </c>
      <c r="AM10" s="697">
        <f>0+DK10</f>
        <v/>
      </c>
      <c r="AN10" s="697" t="n">
        <v>360</v>
      </c>
      <c r="AO10" s="697" t="n">
        <v>440</v>
      </c>
      <c r="AP10" s="697">
        <f>380+DH10</f>
        <v/>
      </c>
      <c r="AQ10" s="697" t="n">
        <v>480</v>
      </c>
      <c r="AR10" s="697" t="n">
        <v>340</v>
      </c>
      <c r="AS10" s="697" t="n">
        <v>460</v>
      </c>
      <c r="AT10" s="697" t="n">
        <v>360</v>
      </c>
      <c r="AU10" s="697">
        <f>240+DB10</f>
        <v/>
      </c>
      <c r="AV10" s="697" t="n">
        <v>280</v>
      </c>
      <c r="AW10" s="697">
        <f>220+CZ10</f>
        <v/>
      </c>
      <c r="AX10" s="697" t="n">
        <v>600</v>
      </c>
      <c r="AY10" s="697" t="n">
        <v>600</v>
      </c>
      <c r="AZ10" s="697" t="n">
        <v>600</v>
      </c>
      <c r="BA10" s="697" t="n">
        <v>600</v>
      </c>
      <c r="BB10" s="697" t="n">
        <v>600</v>
      </c>
      <c r="BC10" s="697" t="n">
        <v>600</v>
      </c>
      <c r="BD10" s="697" t="n">
        <v>600</v>
      </c>
      <c r="BE10" s="697">
        <f>400+CU10</f>
        <v/>
      </c>
      <c r="BF10" s="697" t="n">
        <v>240</v>
      </c>
      <c r="BG10" s="697">
        <f>60+CT10</f>
        <v/>
      </c>
      <c r="BH10" s="697">
        <f>160+CS10+CR10</f>
        <v/>
      </c>
      <c r="BI10" s="697" t="n">
        <v>740</v>
      </c>
      <c r="BJ10" s="697" t="n">
        <v>660</v>
      </c>
      <c r="BK10" s="697" t="n">
        <v>600</v>
      </c>
      <c r="BL10" s="697" t="n">
        <v>540</v>
      </c>
      <c r="BM10" s="697" t="n">
        <v>480</v>
      </c>
      <c r="BN10" s="697" t="n">
        <v>460</v>
      </c>
      <c r="BO10" s="697" t="n">
        <v>400</v>
      </c>
      <c r="BP10" s="697" t="n">
        <v>220</v>
      </c>
      <c r="BQ10" s="697">
        <f>160+CK10</f>
        <v/>
      </c>
      <c r="BR10" s="697" t="n">
        <v>300</v>
      </c>
      <c r="BS10" s="697" t="n">
        <v>200</v>
      </c>
      <c r="BT10" s="697" t="n">
        <v>100</v>
      </c>
      <c r="BU10" s="697" t="n">
        <v>320</v>
      </c>
      <c r="BV10" s="697" t="n">
        <v>320</v>
      </c>
      <c r="BW10" s="697" t="n">
        <v>320</v>
      </c>
      <c r="BX10" s="697" t="n">
        <v>320</v>
      </c>
      <c r="BY10" s="697" t="n">
        <v>320</v>
      </c>
      <c r="BZ10" s="192">
        <f>BX10+IF(NOT(ISBLANK(OFFSET(BZ10,0,6))),N(OFFSET(BZ10,0,6)),N(OFFSET(BZ10,0,7)))-BY10</f>
        <v/>
      </c>
      <c r="CA10" s="129" t="n"/>
      <c r="CB10" s="22" t="n"/>
      <c r="CC10" s="4" t="n"/>
      <c r="CD10" s="49" t="n"/>
      <c r="CE10" s="4" t="n"/>
      <c r="CF10" s="23" t="n">
        <v>0</v>
      </c>
      <c r="CG10" s="23" t="n">
        <v>0</v>
      </c>
      <c r="CH10" s="23" t="n">
        <v>200</v>
      </c>
      <c r="CI10" s="219" t="n">
        <v>800</v>
      </c>
      <c r="CJ10" s="23" t="n"/>
      <c r="CK10" s="23" t="n">
        <v>200</v>
      </c>
      <c r="CL10" s="23" t="n"/>
      <c r="CM10" s="23" t="n"/>
      <c r="CN10" s="23" t="n"/>
      <c r="CO10" s="23" t="n"/>
      <c r="CP10" s="23" t="n"/>
      <c r="CQ10" s="23" t="n"/>
      <c r="CR10" s="23" t="n">
        <v>400</v>
      </c>
      <c r="CS10" s="23" t="n">
        <v>200</v>
      </c>
      <c r="CT10" s="23" t="n">
        <v>200</v>
      </c>
      <c r="CU10" s="23" t="n">
        <v>200</v>
      </c>
      <c r="CV10" s="23" t="n"/>
      <c r="CW10" s="23" t="n"/>
      <c r="CX10" s="23" t="n"/>
      <c r="CY10" s="23" t="n"/>
      <c r="CZ10" s="23" t="n">
        <v>400</v>
      </c>
      <c r="DA10" s="219" t="n">
        <v>1000</v>
      </c>
      <c r="DB10" s="23" t="n">
        <v>200</v>
      </c>
      <c r="DC10" s="23" t="n">
        <v>200</v>
      </c>
      <c r="DD10" s="219" t="n"/>
      <c r="DE10" s="23" t="n"/>
      <c r="DF10" s="23" t="n"/>
      <c r="DG10" s="23" t="n"/>
      <c r="DH10" s="23" t="n">
        <v>200</v>
      </c>
      <c r="DI10" s="23" t="n"/>
      <c r="DJ10" s="23" t="n">
        <v>200</v>
      </c>
      <c r="DK10" s="23" t="n">
        <v>400</v>
      </c>
      <c r="DL10" s="419" t="inlineStr">
        <is>
          <t>160 DE Q2</t>
        </is>
      </c>
      <c r="DM10" s="23" t="n"/>
      <c r="DN10" s="23" t="n"/>
      <c r="DO10" s="219" t="n"/>
      <c r="DP10" s="219" t="n"/>
      <c r="DQ10" s="23" t="n"/>
      <c r="DR10" s="23" t="n"/>
      <c r="DS10" s="23" t="n"/>
      <c r="DT10" s="219" t="n">
        <v>400</v>
      </c>
      <c r="DU10" s="23" t="n">
        <v>200</v>
      </c>
      <c r="DV10" s="23" t="n">
        <v>200</v>
      </c>
      <c r="DW10" s="23" t="n"/>
      <c r="DX10" s="23" t="n"/>
      <c r="DY10" s="23" t="n"/>
      <c r="DZ10" s="23" t="n"/>
      <c r="EA10" s="219" t="n"/>
      <c r="EB10" s="23" t="n"/>
      <c r="EC10" s="23" t="n">
        <v>200</v>
      </c>
      <c r="ED10" s="219" t="n">
        <v>400</v>
      </c>
      <c r="EE10" s="219" t="n"/>
      <c r="EF10" s="23" t="n"/>
      <c r="EG10" s="23" t="n"/>
      <c r="EH10" s="23" t="n"/>
      <c r="EI10" s="219" t="n"/>
      <c r="EJ10" s="23" t="n"/>
      <c r="EK10" s="219" t="n"/>
      <c r="EL10" s="23" t="n">
        <v>200</v>
      </c>
      <c r="EM10" s="219" t="n">
        <v>800</v>
      </c>
      <c r="EN10" s="23" t="n"/>
      <c r="EO10" s="23" t="n"/>
      <c r="EP10" s="23" t="n"/>
      <c r="EQ10" s="23" t="n"/>
      <c r="ER10" s="23" t="n">
        <v>200</v>
      </c>
      <c r="ES10" s="23" t="n"/>
      <c r="ET10" s="23" t="n"/>
      <c r="EU10" s="23" t="n"/>
      <c r="EV10" s="23" t="n"/>
      <c r="EW10" s="23" t="n">
        <v>200</v>
      </c>
      <c r="EX10" s="23" t="n">
        <v>400</v>
      </c>
      <c r="EY10" s="23" t="n">
        <v>200</v>
      </c>
      <c r="FA10" s="65" t="inlineStr">
        <is>
          <t xml:space="preserve">SACOLA M </t>
        </is>
      </c>
      <c r="FB10" s="699" t="n">
        <v>200</v>
      </c>
      <c r="FC10" s="697">
        <f>CI10</f>
        <v/>
      </c>
      <c r="FD10" s="697" t="n">
        <v>740</v>
      </c>
      <c r="FE10" s="697" t="n">
        <v>660</v>
      </c>
      <c r="FF10" s="697" t="n">
        <v>600</v>
      </c>
      <c r="FG10" s="697" t="n">
        <v>500</v>
      </c>
      <c r="FH10" s="697" t="n">
        <v>60</v>
      </c>
      <c r="FI10" s="431">
        <f>FG10+IF(NOT(ISBLANK(OFFSET(FI10,0,6))),N(OFFSET(FI10,0,6)),N(OFFSET(FI10,0,7)))-FH10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120</v>
      </c>
      <c r="G11" s="697" t="n">
        <v>120</v>
      </c>
      <c r="H11" s="697" t="n">
        <v>120</v>
      </c>
      <c r="I11" s="697" t="n">
        <v>120</v>
      </c>
      <c r="J11" s="697" t="n">
        <v>120</v>
      </c>
      <c r="K11" s="697" t="n">
        <v>120</v>
      </c>
      <c r="L11" s="697" t="n">
        <v>120</v>
      </c>
      <c r="M11" s="697" t="n">
        <v>120</v>
      </c>
      <c r="N11" s="697" t="n">
        <v>120</v>
      </c>
      <c r="O11" s="697" t="n">
        <v>120</v>
      </c>
      <c r="P11" s="697" t="n">
        <v>120</v>
      </c>
      <c r="Q11" s="697" t="n">
        <v>120</v>
      </c>
      <c r="R11" s="697" t="n">
        <v>120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80</v>
      </c>
      <c r="AD11" s="697" t="n">
        <v>60</v>
      </c>
      <c r="AE11" s="697" t="n">
        <v>60</v>
      </c>
      <c r="AF11" s="697" t="n">
        <v>60</v>
      </c>
      <c r="AG11" s="697" t="n">
        <v>60</v>
      </c>
      <c r="AH11" s="697" t="n">
        <v>40</v>
      </c>
      <c r="AI11" s="697" t="n">
        <v>40</v>
      </c>
      <c r="AJ11" s="697" t="n">
        <v>40</v>
      </c>
      <c r="AK11" s="697" t="n">
        <v>40</v>
      </c>
      <c r="AL11" s="697" t="n">
        <v>40</v>
      </c>
      <c r="AM11" s="697" t="n">
        <v>40</v>
      </c>
      <c r="AN11" s="697" t="n">
        <v>20</v>
      </c>
      <c r="AO11" s="697" t="n">
        <v>20</v>
      </c>
      <c r="AP11" s="697" t="n">
        <v>20</v>
      </c>
      <c r="AQ11" s="697" t="n">
        <v>20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 t="n">
        <v>0</v>
      </c>
      <c r="AW11" s="697" t="n">
        <v>0</v>
      </c>
      <c r="AX11" s="697">
        <f>0+50</f>
        <v/>
      </c>
      <c r="AY11" s="697" t="n">
        <v>50</v>
      </c>
      <c r="AZ11" s="697" t="n">
        <v>50</v>
      </c>
      <c r="BA11" s="697" t="n">
        <v>50</v>
      </c>
      <c r="BB11" s="697" t="n">
        <v>36</v>
      </c>
      <c r="BC11" s="697" t="n">
        <v>36</v>
      </c>
      <c r="BD11" s="697">
        <f>36+CV11</f>
        <v/>
      </c>
      <c r="BE11" s="697" t="n">
        <v>100</v>
      </c>
      <c r="BF11" s="697" t="n">
        <v>60</v>
      </c>
      <c r="BG11" s="697" t="n">
        <v>60</v>
      </c>
      <c r="BH11" s="697">
        <f>40+CS11</f>
        <v/>
      </c>
      <c r="BI11" s="697" t="n">
        <v>140</v>
      </c>
      <c r="BJ11" s="697" t="n">
        <v>100</v>
      </c>
      <c r="BK11" s="697" t="n">
        <v>100</v>
      </c>
      <c r="BL11" s="697" t="n">
        <v>100</v>
      </c>
      <c r="BM11" s="697" t="n">
        <v>100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100</v>
      </c>
      <c r="BZ11" s="192">
        <f>BX11+IF(NOT(ISBLANK(OFFSET(BZ11,0,6))),N(OFFSET(BZ11,0,6)),N(OFFSET(BZ11,0,7)))-BY11</f>
        <v/>
      </c>
      <c r="CA11" s="129" t="n"/>
      <c r="CB11" s="22" t="n"/>
      <c r="CC11" s="4" t="n"/>
      <c r="CD11" s="49" t="n"/>
      <c r="CE11" s="4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>
        <v>100</v>
      </c>
      <c r="CT11" s="23" t="n"/>
      <c r="CU11" s="23" t="n"/>
      <c r="CV11" s="23" t="n">
        <v>100</v>
      </c>
      <c r="CW11" s="23" t="n"/>
      <c r="CX11" s="23" t="n"/>
      <c r="CY11" s="192" t="inlineStr">
        <is>
          <t>50 DE BSH</t>
        </is>
      </c>
      <c r="CZ11" s="23" t="n"/>
      <c r="DA11" s="219" t="n">
        <v>100</v>
      </c>
      <c r="DB11" s="23" t="n"/>
      <c r="DC11" s="23" t="n"/>
      <c r="DD11" s="219" t="n"/>
      <c r="DE11" s="23" t="n"/>
      <c r="DF11" s="23" t="n"/>
      <c r="DG11" s="23" t="n"/>
      <c r="DH11" s="23" t="n"/>
      <c r="DI11" s="23" t="n"/>
      <c r="DJ11" s="23" t="n"/>
      <c r="DK11" s="23" t="n"/>
      <c r="DL11" s="23" t="n"/>
      <c r="DM11" s="23" t="n"/>
      <c r="DN11" s="23" t="n"/>
      <c r="DO11" s="219" t="n"/>
      <c r="DP11" s="219" t="n"/>
      <c r="DQ11" s="23" t="n"/>
      <c r="DR11" s="23" t="n"/>
      <c r="DS11" s="23" t="n"/>
      <c r="DT11" s="219" t="n"/>
      <c r="DU11" s="23" t="n"/>
      <c r="DV11" s="23" t="n"/>
      <c r="DW11" s="23" t="n"/>
      <c r="DX11" s="23" t="n"/>
      <c r="DY11" s="23" t="n"/>
      <c r="DZ11" s="23" t="n"/>
      <c r="EA11" s="219" t="n"/>
      <c r="EB11" s="23" t="n"/>
      <c r="EC11" s="23" t="n"/>
      <c r="ED11" s="219" t="n"/>
      <c r="EE11" s="219" t="n"/>
      <c r="EF11" s="23" t="n"/>
      <c r="EG11" s="23" t="n"/>
      <c r="EH11" s="23" t="n"/>
      <c r="EI11" s="219" t="n"/>
      <c r="EJ11" s="23" t="n"/>
      <c r="EK11" s="219" t="n"/>
      <c r="EL11" s="23" t="n"/>
      <c r="EM11" s="219" t="n">
        <v>100</v>
      </c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FA11" s="66" t="inlineStr">
        <is>
          <t xml:space="preserve">SACOLA G </t>
        </is>
      </c>
      <c r="FB11" s="699" t="n">
        <v>100</v>
      </c>
      <c r="FC11" s="697">
        <f>CI11</f>
        <v/>
      </c>
      <c r="FD11" s="697" t="n">
        <v>80</v>
      </c>
      <c r="FE11" s="697" t="n">
        <v>80</v>
      </c>
      <c r="FF11" s="697" t="n">
        <v>80</v>
      </c>
      <c r="FG11" s="697" t="n">
        <v>80</v>
      </c>
      <c r="FH11" s="697" t="n">
        <v>20</v>
      </c>
      <c r="FI11" s="431">
        <f>FG11+IF(NOT(ISBLANK(OFFSET(FI11,0,6))),N(OFFSET(FI11,0,6)),N(OFFSET(FI11,0,7)))-FH11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4" t="n"/>
      <c r="CD12" s="64" t="n"/>
      <c r="CE12" s="4" t="n"/>
      <c r="CI12" s="47" t="n"/>
      <c r="DA12" s="47" t="n"/>
      <c r="DD12" s="64" t="n"/>
      <c r="DO12" s="47" t="n"/>
      <c r="DP12" s="47" t="n"/>
      <c r="DT12" s="47" t="n"/>
      <c r="EA12" s="64" t="n"/>
      <c r="ED12" s="64" t="n"/>
      <c r="EE12" s="308" t="n"/>
      <c r="EI12" s="308" t="n"/>
      <c r="EK12" s="308" t="n"/>
      <c r="EM12" s="308" t="n"/>
      <c r="FA12" s="35" t="n"/>
      <c r="FB12" s="2" t="n"/>
      <c r="FC12" s="4" t="n"/>
      <c r="FD12" s="4" t="n"/>
      <c r="FE12" s="4" t="n"/>
      <c r="FF12" s="4" t="n"/>
      <c r="FG12" s="4" t="n"/>
      <c r="FH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34" t="n">
        <v>46149</v>
      </c>
      <c r="CG13" s="734" t="n">
        <v>46142</v>
      </c>
      <c r="CH13" s="734" t="n">
        <v>46114</v>
      </c>
      <c r="CI13" s="735" t="n">
        <v>46065</v>
      </c>
      <c r="CJ13" s="734" t="n">
        <v>46099</v>
      </c>
      <c r="CK13" s="734" t="n">
        <v>46092</v>
      </c>
      <c r="CL13" s="734" t="n">
        <v>46084</v>
      </c>
      <c r="CM13" s="736" t="n">
        <v>46085</v>
      </c>
      <c r="CN13" s="734" t="n">
        <v>46071</v>
      </c>
      <c r="CO13" s="734" t="n">
        <v>46056</v>
      </c>
      <c r="CP13" s="734" t="n">
        <v>46043</v>
      </c>
      <c r="CQ13" s="734" t="n">
        <v>46035</v>
      </c>
      <c r="CR13" s="734" t="n">
        <v>46029</v>
      </c>
      <c r="CS13" s="734" t="n">
        <v>46024</v>
      </c>
      <c r="CT13" s="734" t="n">
        <v>46017</v>
      </c>
      <c r="CU13" s="734" t="n">
        <v>46007</v>
      </c>
      <c r="CV13" s="734" t="n">
        <v>46001</v>
      </c>
      <c r="CW13" s="734" t="n">
        <v>45986</v>
      </c>
      <c r="CX13" s="734" t="n">
        <v>45965</v>
      </c>
      <c r="CY13" s="736" t="n">
        <v>45961</v>
      </c>
      <c r="CZ13" s="734" t="n">
        <v>45951</v>
      </c>
      <c r="DA13" s="737" t="n">
        <v>45903</v>
      </c>
      <c r="DB13" s="734" t="n">
        <v>45937</v>
      </c>
      <c r="DC13" s="734" t="n">
        <v>45923</v>
      </c>
      <c r="DD13" s="754" t="n">
        <v>45923</v>
      </c>
      <c r="DE13" s="734" t="n">
        <v>45915</v>
      </c>
      <c r="DF13" s="734" t="n">
        <v>45909</v>
      </c>
      <c r="DG13" s="734" t="n">
        <v>45903</v>
      </c>
      <c r="DH13" s="734" t="n">
        <v>45903</v>
      </c>
      <c r="DI13" s="736" t="n">
        <v>45902</v>
      </c>
      <c r="DJ13" s="734" t="n">
        <v>45895</v>
      </c>
      <c r="DK13" s="734" t="n">
        <v>45881</v>
      </c>
      <c r="DL13" s="739" t="n">
        <v>45884</v>
      </c>
      <c r="DM13" s="734" t="n">
        <v>45874</v>
      </c>
      <c r="DN13" s="734" t="n">
        <v>45860</v>
      </c>
      <c r="DO13" s="739" t="n">
        <v>45861</v>
      </c>
      <c r="DP13" s="739" t="n">
        <v>45860</v>
      </c>
      <c r="DQ13" s="734" t="n">
        <v>45853</v>
      </c>
      <c r="DR13" s="734" t="n">
        <v>45848</v>
      </c>
      <c r="DS13" s="734" t="n">
        <v>45839</v>
      </c>
      <c r="DT13" s="739" t="n">
        <v>45791</v>
      </c>
      <c r="DU13" s="734" t="n">
        <v>45832</v>
      </c>
      <c r="DV13" s="734" t="n">
        <v>45825</v>
      </c>
      <c r="DW13" s="734" t="n">
        <v>45819</v>
      </c>
      <c r="DX13" s="736" t="n">
        <v>45820</v>
      </c>
      <c r="DY13" s="734" t="n">
        <v>45813</v>
      </c>
      <c r="DZ13" s="736" t="n">
        <v>45806</v>
      </c>
      <c r="EA13" s="755" t="n">
        <v>45803</v>
      </c>
      <c r="EB13" s="734" t="n">
        <v>45798</v>
      </c>
      <c r="EC13" s="734" t="n">
        <v>45790</v>
      </c>
      <c r="ED13" s="742" t="n">
        <v>45735</v>
      </c>
      <c r="EE13" s="740" t="n">
        <v>45790</v>
      </c>
      <c r="EF13" s="734" t="n">
        <v>45783</v>
      </c>
      <c r="EG13" s="734" t="n">
        <v>45756</v>
      </c>
      <c r="EH13" s="736" t="n">
        <v>45770</v>
      </c>
      <c r="EI13" s="740" t="n">
        <v>45756</v>
      </c>
      <c r="EJ13" s="734" t="n">
        <v>45749</v>
      </c>
      <c r="EK13" s="740" t="n">
        <v>45750</v>
      </c>
      <c r="EL13" s="734" t="n">
        <v>45734</v>
      </c>
      <c r="EM13" s="740" t="n">
        <v>45700</v>
      </c>
      <c r="EN13" s="736" t="n">
        <v>45731</v>
      </c>
      <c r="EO13" s="734" t="n">
        <v>45728</v>
      </c>
      <c r="EP13" s="734" t="n">
        <v>45722</v>
      </c>
      <c r="EQ13" s="736" t="n">
        <v>45722</v>
      </c>
      <c r="ER13" s="734" t="n">
        <v>45714</v>
      </c>
      <c r="ES13" s="734" t="n">
        <v>45706</v>
      </c>
      <c r="ET13" s="734" t="n">
        <v>45699</v>
      </c>
      <c r="EU13" s="734" t="n">
        <v>45685</v>
      </c>
      <c r="EV13" s="734" t="n">
        <v>45674</v>
      </c>
      <c r="EW13" s="734" t="n">
        <v>45664</v>
      </c>
      <c r="EX13" s="734" t="n">
        <v>45660</v>
      </c>
      <c r="EY13" s="734" t="n">
        <v>45652</v>
      </c>
      <c r="FA13" s="304" t="inlineStr">
        <is>
          <t>DIVERSOS</t>
        </is>
      </c>
      <c r="FB13" s="235" t="inlineStr">
        <is>
          <t>PCT</t>
        </is>
      </c>
      <c r="FC13" s="746" t="n">
        <v>46118</v>
      </c>
      <c r="FD13" s="746" t="n">
        <v>46125</v>
      </c>
      <c r="FE13" s="746" t="n">
        <v>46132</v>
      </c>
      <c r="FF13" s="746" t="n">
        <v>46139</v>
      </c>
      <c r="FG13" s="746" t="n">
        <v>46146</v>
      </c>
      <c r="FH13" s="746" t="n">
        <v>46154</v>
      </c>
      <c r="FI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3</v>
      </c>
      <c r="G14" s="697" t="n">
        <v>3</v>
      </c>
      <c r="H14" s="697">
        <f>2+EW14</f>
        <v/>
      </c>
      <c r="I14" s="697" t="n">
        <v>4</v>
      </c>
      <c r="J14" s="697" t="n">
        <v>3</v>
      </c>
      <c r="K14" s="697" t="n">
        <v>5</v>
      </c>
      <c r="L14" s="697" t="n">
        <v>4</v>
      </c>
      <c r="M14" s="697">
        <f>3+ET14</f>
        <v/>
      </c>
      <c r="N14" s="697">
        <f>3+ES14</f>
        <v/>
      </c>
      <c r="O14" s="697">
        <f>4+ER14</f>
        <v/>
      </c>
      <c r="P14" s="697" t="n">
        <v>5</v>
      </c>
      <c r="Q14" s="697" t="n">
        <v>5</v>
      </c>
      <c r="R14" s="697" t="n">
        <v>4</v>
      </c>
      <c r="S14" s="697" t="n">
        <v>4</v>
      </c>
      <c r="T14" s="697" t="n">
        <v>3</v>
      </c>
      <c r="U14" s="697" t="n">
        <v>3</v>
      </c>
      <c r="V14" s="697" t="n">
        <v>3</v>
      </c>
      <c r="W14" s="697" t="n">
        <v>3</v>
      </c>
      <c r="X14" s="697" t="n">
        <v>3</v>
      </c>
      <c r="Y14" s="697" t="n">
        <v>2</v>
      </c>
      <c r="Z14" s="697" t="n">
        <v>3</v>
      </c>
      <c r="AA14" s="697" t="n">
        <v>2</v>
      </c>
      <c r="AB14" s="697" t="n">
        <v>2</v>
      </c>
      <c r="AC14" s="697">
        <f>1+DY14</f>
        <v/>
      </c>
      <c r="AD14" s="697">
        <f>2+DW14</f>
        <v/>
      </c>
      <c r="AE14" s="697" t="n">
        <v>4</v>
      </c>
      <c r="AF14" s="697" t="n">
        <v>4</v>
      </c>
      <c r="AG14" s="697" t="n">
        <v>4</v>
      </c>
      <c r="AH14" s="697" t="n">
        <v>3</v>
      </c>
      <c r="AI14" s="697" t="n">
        <v>2</v>
      </c>
      <c r="AJ14" s="697" t="n">
        <v>3</v>
      </c>
      <c r="AK14" s="697" t="n">
        <v>3</v>
      </c>
      <c r="AL14" s="697" t="n">
        <v>3</v>
      </c>
      <c r="AM14" s="697" t="n">
        <v>2</v>
      </c>
      <c r="AN14" s="697" t="n">
        <v>2</v>
      </c>
      <c r="AO14" s="697" t="n">
        <v>1</v>
      </c>
      <c r="AP14" s="697">
        <f>1+DH14</f>
        <v/>
      </c>
      <c r="AQ14" s="697" t="n">
        <v>3</v>
      </c>
      <c r="AR14" s="697" t="n">
        <v>2</v>
      </c>
      <c r="AS14" s="697" t="n">
        <v>3</v>
      </c>
      <c r="AT14" s="697" t="n">
        <v>2</v>
      </c>
      <c r="AU14" s="697">
        <f>1+DB14</f>
        <v/>
      </c>
      <c r="AV14" s="697" t="n">
        <v>1</v>
      </c>
      <c r="AW14" s="697">
        <f>1+CZ14</f>
        <v/>
      </c>
      <c r="AX14" s="697" t="n">
        <v>3</v>
      </c>
      <c r="AY14" s="697" t="n">
        <v>3</v>
      </c>
      <c r="AZ14" s="697" t="n">
        <v>3</v>
      </c>
      <c r="BA14" s="697" t="n">
        <v>3</v>
      </c>
      <c r="BB14" s="697" t="n">
        <v>3</v>
      </c>
      <c r="BC14" s="697" t="n">
        <v>3</v>
      </c>
      <c r="BD14" s="697">
        <f>3+CV14</f>
        <v/>
      </c>
      <c r="BE14" s="697" t="n">
        <v>1</v>
      </c>
      <c r="BF14" s="697" t="n">
        <v>0</v>
      </c>
      <c r="BG14" s="697">
        <f>0+CT14</f>
        <v/>
      </c>
      <c r="BH14" s="697">
        <f>4+CS14+CR14</f>
        <v/>
      </c>
      <c r="BI14" s="697" t="n">
        <v>10</v>
      </c>
      <c r="BJ14" s="697" t="n">
        <v>9</v>
      </c>
      <c r="BK14" s="697" t="n">
        <v>8</v>
      </c>
      <c r="BL14" s="697">
        <f>7+CO14</f>
        <v/>
      </c>
      <c r="BM14" s="697" t="n">
        <v>8</v>
      </c>
      <c r="BN14" s="697" t="n">
        <v>7</v>
      </c>
      <c r="BO14" s="697" t="n">
        <v>6</v>
      </c>
      <c r="BP14" s="697" t="n">
        <v>4</v>
      </c>
      <c r="BQ14" s="697">
        <f>3+CK14</f>
        <v/>
      </c>
      <c r="BR14" s="697" t="n">
        <v>4</v>
      </c>
      <c r="BS14" s="697" t="n">
        <v>4</v>
      </c>
      <c r="BT14" s="697" t="n">
        <v>3</v>
      </c>
      <c r="BU14" s="697" t="n">
        <v>2</v>
      </c>
      <c r="BV14" s="697" t="n">
        <v>2</v>
      </c>
      <c r="BW14" s="697" t="n">
        <v>2</v>
      </c>
      <c r="BX14" s="697">
        <f>2+CG14</f>
        <v/>
      </c>
      <c r="BY14" s="697">
        <f>3+CF14</f>
        <v/>
      </c>
      <c r="BZ14" s="192">
        <f>BX14+IF(NOT(ISBLANK(OFFSET(BZ14,0,6))),N(OFFSET(BZ14,0,6)),N(OFFSET(BZ14,0,7)))-BY14</f>
        <v/>
      </c>
      <c r="CB14" s="22" t="n"/>
      <c r="CC14" s="4" t="n"/>
      <c r="CD14" s="49" t="n"/>
      <c r="CE14" s="4" t="n"/>
      <c r="CF14" s="23" t="n">
        <v>2</v>
      </c>
      <c r="CG14" s="23" t="n">
        <v>4</v>
      </c>
      <c r="CH14" s="23" t="n"/>
      <c r="CI14" s="219" t="n">
        <v>5</v>
      </c>
      <c r="CJ14" s="23" t="n"/>
      <c r="CK14" s="23" t="n">
        <v>2</v>
      </c>
      <c r="CL14" s="23" t="n"/>
      <c r="CM14" s="23" t="n"/>
      <c r="CN14" s="23" t="n"/>
      <c r="CO14" s="23" t="n">
        <v>2</v>
      </c>
      <c r="CP14" s="23" t="n"/>
      <c r="CQ14" s="23" t="n"/>
      <c r="CR14" s="23" t="n">
        <v>2</v>
      </c>
      <c r="CS14" s="23" t="n">
        <v>5</v>
      </c>
      <c r="CT14" s="23" t="n">
        <v>6</v>
      </c>
      <c r="CU14" s="23" t="n"/>
      <c r="CV14" s="23" t="n">
        <v>2</v>
      </c>
      <c r="CW14" s="23" t="n"/>
      <c r="CX14" s="23" t="n"/>
      <c r="CY14" s="23" t="n"/>
      <c r="CZ14" s="23" t="n">
        <v>2</v>
      </c>
      <c r="DA14" s="219" t="n">
        <v>10</v>
      </c>
      <c r="DB14" s="23" t="n">
        <v>1</v>
      </c>
      <c r="DC14" s="23" t="n">
        <v>1</v>
      </c>
      <c r="DD14" s="219" t="n"/>
      <c r="DE14" s="23" t="n"/>
      <c r="DF14" s="23" t="n"/>
      <c r="DG14" s="23" t="n"/>
      <c r="DH14" s="23" t="n">
        <v>3</v>
      </c>
      <c r="DI14" s="23" t="n"/>
      <c r="DJ14" s="23" t="n"/>
      <c r="DK14" s="23" t="n"/>
      <c r="DL14" s="23" t="n"/>
      <c r="DM14" s="23" t="n"/>
      <c r="DN14" s="23" t="n">
        <v>1</v>
      </c>
      <c r="DO14" s="219" t="n"/>
      <c r="DP14" s="219" t="n"/>
      <c r="DQ14" s="23" t="n"/>
      <c r="DR14" s="23" t="n"/>
      <c r="DS14" s="23" t="n"/>
      <c r="DT14" s="219" t="n">
        <v>4</v>
      </c>
      <c r="DU14" s="23" t="n"/>
      <c r="DV14" s="23" t="n"/>
      <c r="DW14" s="23" t="n">
        <v>3</v>
      </c>
      <c r="DX14" s="23" t="n"/>
      <c r="DY14" s="23" t="n">
        <v>1</v>
      </c>
      <c r="DZ14" s="23" t="n"/>
      <c r="EA14" s="219" t="n"/>
      <c r="EB14" s="23" t="n"/>
      <c r="EC14" s="23" t="n">
        <v>2</v>
      </c>
      <c r="ED14" s="219" t="n">
        <v>1</v>
      </c>
      <c r="EE14" s="219" t="n"/>
      <c r="EF14" s="23" t="n"/>
      <c r="EG14" s="23" t="n"/>
      <c r="EH14" s="23" t="n"/>
      <c r="EI14" s="219" t="n"/>
      <c r="EJ14" s="23" t="n"/>
      <c r="EK14" s="219" t="n"/>
      <c r="EL14" s="23" t="n"/>
      <c r="EM14" s="219" t="n">
        <v>5</v>
      </c>
      <c r="EN14" s="23" t="n"/>
      <c r="EO14" s="23" t="n"/>
      <c r="EP14" s="23" t="n"/>
      <c r="EQ14" s="23" t="n"/>
      <c r="ER14" s="23" t="n">
        <v>2</v>
      </c>
      <c r="ES14" s="23" t="n">
        <v>1</v>
      </c>
      <c r="ET14" s="23" t="n">
        <v>1</v>
      </c>
      <c r="EU14" s="23" t="n">
        <v>2</v>
      </c>
      <c r="EV14" s="23" t="n"/>
      <c r="EW14" s="23" t="n">
        <v>2</v>
      </c>
      <c r="EX14" s="23" t="n"/>
      <c r="EY14" s="23" t="n"/>
      <c r="FA14" s="300" t="inlineStr">
        <is>
          <t>PAPEL DE SEDA</t>
        </is>
      </c>
      <c r="FB14" s="162" t="n">
        <v>200</v>
      </c>
      <c r="FC14" s="697">
        <f>CI14</f>
        <v/>
      </c>
      <c r="FD14" s="697" t="n">
        <v>5</v>
      </c>
      <c r="FE14" s="697" t="n">
        <v>4</v>
      </c>
      <c r="FF14" s="697" t="n">
        <v>3</v>
      </c>
      <c r="FG14" s="697" t="n">
        <v>2</v>
      </c>
      <c r="FH14" s="697" t="n">
        <v>0</v>
      </c>
      <c r="FI14" s="431">
        <f>FG14+IF(NOT(ISBLANK(OFFSET(FI14,0,6))),N(OFFSET(FI14,0,6)),N(OFFSET(FI14,0,7)))-FH14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1+EX15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4</v>
      </c>
      <c r="M15" s="697" t="n">
        <v>4</v>
      </c>
      <c r="N15" s="697" t="n">
        <v>4</v>
      </c>
      <c r="O15" s="697" t="n">
        <v>4</v>
      </c>
      <c r="P15" s="697" t="n">
        <v>3</v>
      </c>
      <c r="Q15" s="697" t="n">
        <v>3</v>
      </c>
      <c r="R15" s="697" t="n">
        <v>3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2</v>
      </c>
      <c r="AA15" s="697" t="n">
        <v>2</v>
      </c>
      <c r="AB15" s="697" t="n">
        <v>2</v>
      </c>
      <c r="AC15" s="697" t="n">
        <v>2</v>
      </c>
      <c r="AD15" s="697" t="n">
        <v>2</v>
      </c>
      <c r="AE15" s="697" t="n">
        <v>1</v>
      </c>
      <c r="AF15" s="697">
        <f>1+DU15</f>
        <v/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1</v>
      </c>
      <c r="AO15" s="697" t="n">
        <v>2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1</v>
      </c>
      <c r="AX15" s="697" t="n">
        <v>1</v>
      </c>
      <c r="AY15" s="697" t="n">
        <v>1</v>
      </c>
      <c r="AZ15" s="697" t="n">
        <v>1</v>
      </c>
      <c r="BA15" s="697" t="n">
        <v>1</v>
      </c>
      <c r="BB15" s="697">
        <f>1+CW15</f>
        <v/>
      </c>
      <c r="BC15" s="697" t="n">
        <v>2</v>
      </c>
      <c r="BD15" s="697">
        <f>1+CV15</f>
        <v/>
      </c>
      <c r="BE15" s="697">
        <f>4+CU15</f>
        <v/>
      </c>
      <c r="BF15" s="697" t="n">
        <v>4</v>
      </c>
      <c r="BG15" s="697" t="n">
        <v>4</v>
      </c>
      <c r="BH15" s="697">
        <f>4+CS15</f>
        <v/>
      </c>
      <c r="BI15" s="697" t="n">
        <v>7</v>
      </c>
      <c r="BJ15" s="697" t="n">
        <v>10</v>
      </c>
      <c r="BK15" s="697" t="n">
        <v>10</v>
      </c>
      <c r="BL15" s="697" t="n">
        <v>9</v>
      </c>
      <c r="BM15" s="697" t="n">
        <v>9</v>
      </c>
      <c r="BN15" s="697">
        <f>9+CN15</f>
        <v/>
      </c>
      <c r="BO15" s="697">
        <f>14-10</f>
        <v/>
      </c>
      <c r="BP15" s="697" t="n">
        <v>4</v>
      </c>
      <c r="BQ15" s="697" t="n">
        <v>4</v>
      </c>
      <c r="BR15" s="697" t="n">
        <v>4</v>
      </c>
      <c r="BS15" s="697" t="n">
        <v>3</v>
      </c>
      <c r="BT15" s="697" t="n">
        <v>3</v>
      </c>
      <c r="BU15" s="697" t="n">
        <v>3</v>
      </c>
      <c r="BV15" s="697" t="n">
        <v>2</v>
      </c>
      <c r="BW15" s="697" t="n">
        <v>2</v>
      </c>
      <c r="BX15" s="697" t="n">
        <v>2</v>
      </c>
      <c r="BY15" s="697" t="n">
        <v>2</v>
      </c>
      <c r="BZ15" s="192">
        <f>BX15+IF(NOT(ISBLANK(OFFSET(BZ15,0,6))),N(OFFSET(BZ15,0,6)),N(OFFSET(BZ15,0,7)))-BY15</f>
        <v/>
      </c>
      <c r="CB15" s="22" t="n"/>
      <c r="CC15" s="4" t="n"/>
      <c r="CD15" s="49" t="n"/>
      <c r="CE15" s="4" t="n"/>
      <c r="CF15" s="23" t="n">
        <v>0</v>
      </c>
      <c r="CG15" s="23" t="n">
        <v>0</v>
      </c>
      <c r="CH15" s="23" t="n"/>
      <c r="CI15" s="219" t="n">
        <v>3</v>
      </c>
      <c r="CJ15" s="23" t="n"/>
      <c r="CK15" s="23" t="n"/>
      <c r="CL15" s="23" t="n"/>
      <c r="CM15" s="192" t="inlineStr">
        <is>
          <t>10 P/ ERB</t>
        </is>
      </c>
      <c r="CN15" s="23" t="n">
        <v>5</v>
      </c>
      <c r="CO15" s="23" t="n"/>
      <c r="CP15" s="23" t="n"/>
      <c r="CQ15" s="23" t="n"/>
      <c r="CR15" s="23" t="n"/>
      <c r="CS15" s="23" t="n">
        <v>3</v>
      </c>
      <c r="CT15" s="23" t="n"/>
      <c r="CU15" s="23" t="n">
        <v>3</v>
      </c>
      <c r="CV15" s="23" t="n">
        <v>3</v>
      </c>
      <c r="CW15" s="23" t="n">
        <v>2</v>
      </c>
      <c r="CX15" s="23" t="n"/>
      <c r="CY15" s="23" t="n"/>
      <c r="CZ15" s="23" t="n"/>
      <c r="DA15" s="219" t="n">
        <v>7</v>
      </c>
      <c r="DB15" s="23" t="n"/>
      <c r="DC15" s="23" t="n"/>
      <c r="DD15" s="219" t="n"/>
      <c r="DE15" s="23" t="n"/>
      <c r="DF15" s="23" t="n"/>
      <c r="DG15" s="23" t="n"/>
      <c r="DH15" s="23" t="n"/>
      <c r="DI15" s="23" t="n"/>
      <c r="DJ15" s="23" t="n">
        <v>1</v>
      </c>
      <c r="DK15" s="23" t="n"/>
      <c r="DL15" s="23" t="n"/>
      <c r="DM15" s="23" t="n"/>
      <c r="DN15" s="23" t="n"/>
      <c r="DO15" s="219" t="n"/>
      <c r="DP15" s="219" t="n"/>
      <c r="DQ15" s="23" t="n"/>
      <c r="DR15" s="23" t="n"/>
      <c r="DS15" s="23" t="n"/>
      <c r="DT15" s="219" t="n"/>
      <c r="DU15" s="23" t="n">
        <v>1</v>
      </c>
      <c r="DV15" s="23" t="n"/>
      <c r="DW15" s="23" t="n"/>
      <c r="DX15" s="23" t="n"/>
      <c r="DY15" s="23" t="n"/>
      <c r="DZ15" s="23" t="n"/>
      <c r="EA15" s="219" t="n"/>
      <c r="EB15" s="23" t="n"/>
      <c r="EC15" s="23" t="n"/>
      <c r="ED15" s="219" t="n">
        <v>1</v>
      </c>
      <c r="EE15" s="219" t="n"/>
      <c r="EF15" s="23" t="n"/>
      <c r="EG15" s="23" t="n"/>
      <c r="EH15" s="23" t="n"/>
      <c r="EI15" s="219" t="n"/>
      <c r="EJ15" s="23" t="n"/>
      <c r="EK15" s="219" t="n"/>
      <c r="EL15" s="23" t="n"/>
      <c r="EM15" s="219" t="n"/>
      <c r="EN15" s="23" t="n"/>
      <c r="EO15" s="23" t="n"/>
      <c r="EP15" s="23" t="n"/>
      <c r="EQ15" s="23" t="n"/>
      <c r="ER15" s="23" t="n"/>
      <c r="ES15" s="23" t="n"/>
      <c r="ET15" s="23" t="n"/>
      <c r="EU15" s="23" t="n"/>
      <c r="EV15" s="23" t="n"/>
      <c r="EW15" s="23" t="n"/>
      <c r="EX15" s="23" t="n">
        <v>3</v>
      </c>
      <c r="EY15" s="23" t="n"/>
      <c r="FA15" s="65" t="inlineStr">
        <is>
          <t>ADESIVOS</t>
        </is>
      </c>
      <c r="FB15" s="699" t="n">
        <v>200</v>
      </c>
      <c r="FC15" s="697">
        <f>CI15</f>
        <v/>
      </c>
      <c r="FD15" s="697" t="n">
        <v>3</v>
      </c>
      <c r="FE15" s="697" t="n">
        <v>3</v>
      </c>
      <c r="FF15" s="697" t="n">
        <v>3</v>
      </c>
      <c r="FG15" s="697" t="n">
        <v>3</v>
      </c>
      <c r="FH15" s="697" t="n">
        <v>0</v>
      </c>
      <c r="FI15" s="431">
        <f>FG15+IF(NOT(ISBLANK(OFFSET(FI15,0,6))),N(OFFSET(FI15,0,6)),N(OFFSET(FI15,0,7)))-FH15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0+EY16</f>
        <v/>
      </c>
      <c r="G16" s="697">
        <f>0+EX16</f>
        <v/>
      </c>
      <c r="H16" s="697" t="n">
        <v>1</v>
      </c>
      <c r="I16" s="697">
        <f>1+EV16</f>
        <v/>
      </c>
      <c r="J16" s="697" t="n">
        <v>2</v>
      </c>
      <c r="K16" s="697" t="n">
        <v>3</v>
      </c>
      <c r="L16" s="697" t="n">
        <v>2</v>
      </c>
      <c r="M16" s="697">
        <f>1+ET16</f>
        <v/>
      </c>
      <c r="N16" s="697">
        <f>1+ES16</f>
        <v/>
      </c>
      <c r="O16" s="697">
        <f>3+ER16-3</f>
        <v/>
      </c>
      <c r="P16" s="697" t="n">
        <v>2</v>
      </c>
      <c r="Q16" s="697">
        <f>1+EO16</f>
        <v/>
      </c>
      <c r="R16" s="697" t="n">
        <v>3</v>
      </c>
      <c r="S16" s="697" t="n">
        <v>5</v>
      </c>
      <c r="T16" s="697" t="n">
        <v>4</v>
      </c>
      <c r="U16" s="697" t="n">
        <v>4</v>
      </c>
      <c r="V16" s="697" t="n">
        <v>3</v>
      </c>
      <c r="W16" s="697" t="n">
        <v>2</v>
      </c>
      <c r="X16" s="697" t="n">
        <v>1</v>
      </c>
      <c r="Y16" s="697" t="n">
        <v>5</v>
      </c>
      <c r="Z16" s="697" t="n">
        <v>4</v>
      </c>
      <c r="AA16" s="697" t="n">
        <v>3</v>
      </c>
      <c r="AB16" s="697" t="n">
        <v>2</v>
      </c>
      <c r="AC16" s="697">
        <f>1+DY16</f>
        <v/>
      </c>
      <c r="AD16" s="697">
        <f>3+DW16</f>
        <v/>
      </c>
      <c r="AE16" s="697" t="n">
        <v>4</v>
      </c>
      <c r="AF16" s="697" t="n">
        <v>2</v>
      </c>
      <c r="AG16" s="697">
        <f>2+DS16</f>
        <v/>
      </c>
      <c r="AH16" s="697" t="n">
        <v>5</v>
      </c>
      <c r="AI16" s="697" t="n">
        <v>5</v>
      </c>
      <c r="AJ16" s="697" t="n">
        <v>4</v>
      </c>
      <c r="AK16" s="697" t="n">
        <v>4</v>
      </c>
      <c r="AL16" s="697" t="n">
        <v>3</v>
      </c>
      <c r="AM16" s="697">
        <f>3+DK16</f>
        <v/>
      </c>
      <c r="AN16" s="697" t="n">
        <v>2</v>
      </c>
      <c r="AO16" s="697" t="n">
        <v>5</v>
      </c>
      <c r="AP16" s="697" t="n">
        <v>4</v>
      </c>
      <c r="AQ16" s="697" t="n">
        <v>3</v>
      </c>
      <c r="AR16" s="697" t="n">
        <v>3</v>
      </c>
      <c r="AS16" s="697" t="n">
        <v>4</v>
      </c>
      <c r="AT16" s="697" t="n">
        <v>3</v>
      </c>
      <c r="AU16" s="697">
        <f>2+DB16</f>
        <v/>
      </c>
      <c r="AV16" s="697" t="n">
        <v>2</v>
      </c>
      <c r="AW16" s="697" t="n">
        <v>1</v>
      </c>
      <c r="AX16" s="697" t="n">
        <v>0</v>
      </c>
      <c r="AY16" s="697">
        <f>0+CX16</f>
        <v/>
      </c>
      <c r="AZ16" s="697" t="n">
        <v>3</v>
      </c>
      <c r="BA16" s="697" t="n">
        <v>2</v>
      </c>
      <c r="BB16" s="697">
        <f>0+CW16</f>
        <v/>
      </c>
      <c r="BC16" s="697" t="n">
        <v>2</v>
      </c>
      <c r="BD16" s="697">
        <f>1+CV16</f>
        <v/>
      </c>
      <c r="BE16" s="697">
        <f>2+CU16</f>
        <v/>
      </c>
      <c r="BF16" s="697" t="n">
        <v>2</v>
      </c>
      <c r="BG16" s="697" t="n">
        <v>1</v>
      </c>
      <c r="BH16" s="697">
        <f>0+CS16</f>
        <v/>
      </c>
      <c r="BI16" s="697" t="n">
        <v>5</v>
      </c>
      <c r="BJ16" s="697">
        <f>4+CP16</f>
        <v/>
      </c>
      <c r="BK16" s="697" t="n">
        <v>6</v>
      </c>
      <c r="BL16" s="697" t="n">
        <v>5</v>
      </c>
      <c r="BM16" s="697" t="n">
        <v>5</v>
      </c>
      <c r="BN16" s="697" t="n">
        <v>3</v>
      </c>
      <c r="BO16" s="697" t="n">
        <v>3</v>
      </c>
      <c r="BP16" s="697">
        <f>2+CL16</f>
        <v/>
      </c>
      <c r="BQ16" s="697" t="n">
        <v>2</v>
      </c>
      <c r="BR16" s="697">
        <f>1+CJ16</f>
        <v/>
      </c>
      <c r="BS16" s="697" t="n">
        <v>1</v>
      </c>
      <c r="BT16" s="697" t="n">
        <v>1</v>
      </c>
      <c r="BU16" s="697" t="n">
        <v>3</v>
      </c>
      <c r="BV16" s="697" t="n">
        <v>2</v>
      </c>
      <c r="BW16" s="697" t="n">
        <v>1</v>
      </c>
      <c r="BX16" s="697">
        <f>1+CG16</f>
        <v/>
      </c>
      <c r="BY16" s="697" t="n">
        <v>2</v>
      </c>
      <c r="BZ16" s="192">
        <f>BX16+IF(NOT(ISBLANK(OFFSET(BZ16,0,6))),N(OFFSET(BZ16,0,6)),N(OFFSET(BZ16,0,7)))-BY16</f>
        <v/>
      </c>
      <c r="CB16" s="22" t="n"/>
      <c r="CC16" s="4" t="n"/>
      <c r="CD16" s="49" t="n"/>
      <c r="CE16" s="4" t="n"/>
      <c r="CF16" s="23" t="n">
        <v>0</v>
      </c>
      <c r="CG16" s="23" t="n">
        <v>3</v>
      </c>
      <c r="CH16" s="23" t="n">
        <v>3</v>
      </c>
      <c r="CI16" s="23" t="n"/>
      <c r="CJ16" s="23" t="n">
        <v>1</v>
      </c>
      <c r="CK16" s="23" t="n"/>
      <c r="CL16" s="23" t="n">
        <v>1</v>
      </c>
      <c r="CM16" s="23" t="n"/>
      <c r="CN16" s="23" t="n"/>
      <c r="CO16" s="23" t="n"/>
      <c r="CP16" s="23" t="n">
        <v>2</v>
      </c>
      <c r="CQ16" s="23" t="n"/>
      <c r="CR16" s="23" t="n"/>
      <c r="CS16" s="23" t="n">
        <v>6</v>
      </c>
      <c r="CT16" s="23" t="n"/>
      <c r="CU16" s="23" t="n">
        <v>4</v>
      </c>
      <c r="CV16" s="23" t="n">
        <v>3</v>
      </c>
      <c r="CW16" s="23" t="n">
        <v>3</v>
      </c>
      <c r="CX16" s="23" t="n">
        <v>4</v>
      </c>
      <c r="CY16" s="23" t="n"/>
      <c r="CZ16" s="23" t="n"/>
      <c r="DA16" s="219" t="n"/>
      <c r="DB16" s="23" t="n">
        <v>1</v>
      </c>
      <c r="DC16" s="23" t="n">
        <v>1</v>
      </c>
      <c r="DD16" s="219" t="n"/>
      <c r="DE16" s="23" t="n">
        <v>1</v>
      </c>
      <c r="DF16" s="23" t="n"/>
      <c r="DG16" s="23" t="n"/>
      <c r="DH16" s="23" t="n"/>
      <c r="DI16" s="23" t="n"/>
      <c r="DJ16" s="23" t="n">
        <v>4</v>
      </c>
      <c r="DK16" s="23" t="n">
        <v>1</v>
      </c>
      <c r="DL16" s="23" t="n"/>
      <c r="DM16" s="23" t="n"/>
      <c r="DN16" s="23" t="n"/>
      <c r="DO16" s="219" t="n"/>
      <c r="DP16" s="219" t="n"/>
      <c r="DQ16" s="23" t="n"/>
      <c r="DR16" s="23" t="n"/>
      <c r="DS16" s="23" t="n">
        <v>4</v>
      </c>
      <c r="DT16" s="219" t="n"/>
      <c r="DU16" s="23" t="n"/>
      <c r="DV16" s="23" t="n"/>
      <c r="DW16" s="23" t="n">
        <v>1</v>
      </c>
      <c r="DX16" s="23" t="n"/>
      <c r="DY16" s="23" t="n">
        <v>3</v>
      </c>
      <c r="DZ16" s="23" t="n"/>
      <c r="EA16" s="219" t="n"/>
      <c r="EB16" s="23" t="n"/>
      <c r="EC16" s="23" t="n"/>
      <c r="ED16" s="219" t="n"/>
      <c r="EE16" s="219" t="n"/>
      <c r="EF16" s="23" t="n">
        <v>5</v>
      </c>
      <c r="EG16" s="23" t="n"/>
      <c r="EH16" s="23" t="n"/>
      <c r="EI16" s="219" t="n"/>
      <c r="EJ16" s="23" t="n"/>
      <c r="EK16" s="219" t="n"/>
      <c r="EL16" s="23" t="n">
        <v>3</v>
      </c>
      <c r="EM16" s="219" t="n">
        <v>2</v>
      </c>
      <c r="EN16" s="316" t="n"/>
      <c r="EO16" s="23" t="n">
        <v>3</v>
      </c>
      <c r="EP16" s="23" t="n"/>
      <c r="EQ16" s="282" t="inlineStr">
        <is>
          <t>03 P/ BSH</t>
        </is>
      </c>
      <c r="ER16" s="23" t="n">
        <v>3</v>
      </c>
      <c r="ES16" s="23" t="n">
        <v>2</v>
      </c>
      <c r="ET16" s="23" t="n">
        <v>2</v>
      </c>
      <c r="EU16" s="23" t="n">
        <v>2</v>
      </c>
      <c r="EV16" s="23" t="n">
        <v>2</v>
      </c>
      <c r="EW16" s="23" t="n"/>
      <c r="EX16" s="23" t="n">
        <v>2</v>
      </c>
      <c r="EY16" s="23" t="n">
        <v>1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2</v>
      </c>
      <c r="E17" s="2" t="n"/>
      <c r="F17" s="697" t="n">
        <v>3</v>
      </c>
      <c r="G17" s="697">
        <f>3+EX17</f>
        <v/>
      </c>
      <c r="H17" s="697" t="n">
        <v>3</v>
      </c>
      <c r="I17" s="697">
        <f>3+EV17</f>
        <v/>
      </c>
      <c r="J17" s="697" t="n">
        <v>4</v>
      </c>
      <c r="K17" s="697" t="n">
        <v>4</v>
      </c>
      <c r="L17" s="697" t="n">
        <v>3</v>
      </c>
      <c r="M17" s="697">
        <f>3+ET17</f>
        <v/>
      </c>
      <c r="N17" s="697" t="n">
        <v>4</v>
      </c>
      <c r="O17" s="697" t="n">
        <v>3</v>
      </c>
      <c r="P17" s="697">
        <f>3+EP17</f>
        <v/>
      </c>
      <c r="Q17" s="697" t="n">
        <v>5</v>
      </c>
      <c r="R17" s="697" t="n">
        <v>5</v>
      </c>
      <c r="S17" s="697" t="n">
        <v>5</v>
      </c>
      <c r="T17" s="697" t="n">
        <v>4</v>
      </c>
      <c r="U17" s="697" t="n">
        <v>4</v>
      </c>
      <c r="V17" s="697" t="n">
        <v>4</v>
      </c>
      <c r="W17" s="697">
        <f>3+EG17</f>
        <v/>
      </c>
      <c r="X17" s="697" t="n">
        <v>4</v>
      </c>
      <c r="Y17" s="697" t="n">
        <v>4</v>
      </c>
      <c r="Z17" s="697" t="n">
        <v>3</v>
      </c>
      <c r="AA17" s="697" t="n">
        <v>3</v>
      </c>
      <c r="AB17" s="697" t="n">
        <v>3</v>
      </c>
      <c r="AC17" s="697" t="n">
        <v>3</v>
      </c>
      <c r="AD17" s="697" t="n">
        <v>2</v>
      </c>
      <c r="AE17" s="697" t="n">
        <v>2</v>
      </c>
      <c r="AF17" s="697" t="n">
        <v>2</v>
      </c>
      <c r="AG17" s="697" t="n">
        <v>2</v>
      </c>
      <c r="AH17" s="697" t="n">
        <v>1</v>
      </c>
      <c r="AI17" s="697" t="n">
        <v>2</v>
      </c>
      <c r="AJ17" s="697" t="n">
        <v>2</v>
      </c>
      <c r="AK17" s="697" t="n">
        <v>2</v>
      </c>
      <c r="AL17" s="697" t="n">
        <v>2</v>
      </c>
      <c r="AM17" s="697" t="n">
        <v>1</v>
      </c>
      <c r="AN17" s="697" t="n">
        <v>1</v>
      </c>
      <c r="AO17" s="697" t="n">
        <v>2</v>
      </c>
      <c r="AP17" s="697" t="n">
        <v>1</v>
      </c>
      <c r="AQ17" s="697">
        <f>1+DF17</f>
        <v/>
      </c>
      <c r="AR17" s="697" t="n">
        <v>2</v>
      </c>
      <c r="AS17" s="697" t="n">
        <v>1</v>
      </c>
      <c r="AT17" s="697" t="n">
        <v>1</v>
      </c>
      <c r="AU17" s="697">
        <f>1+DB17</f>
        <v/>
      </c>
      <c r="AV17" s="697" t="n">
        <v>2</v>
      </c>
      <c r="AW17" s="697" t="n">
        <v>2</v>
      </c>
      <c r="AX17" s="697" t="n">
        <v>1</v>
      </c>
      <c r="AY17" s="697">
        <f>1+CX17</f>
        <v/>
      </c>
      <c r="AZ17" s="697" t="n">
        <v>3</v>
      </c>
      <c r="BA17" s="697" t="n">
        <v>3</v>
      </c>
      <c r="BB17" s="697" t="n">
        <v>2</v>
      </c>
      <c r="BC17" s="697" t="n">
        <v>2</v>
      </c>
      <c r="BD17" s="697">
        <f>2+CV17</f>
        <v/>
      </c>
      <c r="BE17" s="697">
        <f>2+CU17</f>
        <v/>
      </c>
      <c r="BF17" s="697" t="n">
        <v>2</v>
      </c>
      <c r="BG17" s="697" t="n">
        <v>2</v>
      </c>
      <c r="BH17" s="697">
        <f>1+CS17</f>
        <v/>
      </c>
      <c r="BI17" s="697" t="n">
        <v>3</v>
      </c>
      <c r="BJ17" s="697" t="n">
        <v>3</v>
      </c>
      <c r="BK17" s="697" t="n">
        <v>3</v>
      </c>
      <c r="BL17" s="697" t="n">
        <v>3</v>
      </c>
      <c r="BM17" s="697" t="n">
        <v>3</v>
      </c>
      <c r="BN17" s="697" t="n">
        <v>3</v>
      </c>
      <c r="BO17" s="697" t="n">
        <v>2</v>
      </c>
      <c r="BP17" s="697">
        <f>2+CL17</f>
        <v/>
      </c>
      <c r="BQ17" s="697" t="n">
        <v>3</v>
      </c>
      <c r="BR17" s="697" t="n">
        <v>3</v>
      </c>
      <c r="BS17" s="697" t="n">
        <v>2</v>
      </c>
      <c r="BT17" s="697" t="n">
        <v>2</v>
      </c>
      <c r="BU17" s="697" t="n">
        <v>3</v>
      </c>
      <c r="BV17" s="697" t="n">
        <v>2</v>
      </c>
      <c r="BW17" s="697" t="n">
        <v>2</v>
      </c>
      <c r="BX17" s="697" t="n">
        <v>2</v>
      </c>
      <c r="BY17" s="697" t="n">
        <v>1</v>
      </c>
      <c r="BZ17" s="192">
        <f>BX17+IF(NOT(ISBLANK(OFFSET(BZ17,0,6))),N(OFFSET(BZ17,0,6)),N(OFFSET(BZ17,0,7)))-BY17</f>
        <v/>
      </c>
      <c r="CB17" s="22" t="n"/>
      <c r="CC17" s="4" t="n"/>
      <c r="CD17" s="49" t="n"/>
      <c r="CE17" s="4" t="n"/>
      <c r="CF17" s="23" t="n">
        <v>0</v>
      </c>
      <c r="CG17" s="23" t="n">
        <v>0</v>
      </c>
      <c r="CH17" s="23" t="n">
        <v>1</v>
      </c>
      <c r="CI17" s="23" t="n"/>
      <c r="CJ17" s="23" t="n"/>
      <c r="CK17" s="23" t="n"/>
      <c r="CL17" s="23" t="n">
        <v>1</v>
      </c>
      <c r="CM17" s="23" t="n"/>
      <c r="CN17" s="23" t="n"/>
      <c r="CO17" s="23" t="n"/>
      <c r="CP17" s="23" t="n"/>
      <c r="CQ17" s="23" t="n"/>
      <c r="CR17" s="23" t="n"/>
      <c r="CS17" s="23" t="n">
        <v>2</v>
      </c>
      <c r="CT17" s="23" t="n"/>
      <c r="CU17" s="23" t="n">
        <v>1</v>
      </c>
      <c r="CV17" s="23" t="n">
        <v>1</v>
      </c>
      <c r="CW17" s="23" t="n"/>
      <c r="CX17" s="23" t="n">
        <v>2</v>
      </c>
      <c r="CY17" s="23" t="n"/>
      <c r="CZ17" s="23" t="n"/>
      <c r="DA17" s="219" t="n"/>
      <c r="DB17" s="23" t="n">
        <v>1</v>
      </c>
      <c r="DC17" s="23" t="n"/>
      <c r="DD17" s="219" t="n"/>
      <c r="DE17" s="23" t="n"/>
      <c r="DF17" s="23" t="n">
        <v>1</v>
      </c>
      <c r="DG17" s="23" t="n"/>
      <c r="DH17" s="23" t="n"/>
      <c r="DI17" s="23" t="n"/>
      <c r="DJ17" s="23" t="n">
        <v>1</v>
      </c>
      <c r="DK17" s="23" t="n"/>
      <c r="DL17" s="23" t="n"/>
      <c r="DM17" s="23" t="n"/>
      <c r="DN17" s="23" t="n"/>
      <c r="DO17" s="219" t="n"/>
      <c r="DP17" s="219" t="n"/>
      <c r="DQ17" s="23" t="n">
        <v>1</v>
      </c>
      <c r="DR17" s="23" t="n"/>
      <c r="DS17" s="23" t="n"/>
      <c r="DT17" s="219" t="n"/>
      <c r="DU17" s="23" t="n"/>
      <c r="DV17" s="23" t="n"/>
      <c r="DW17" s="23" t="n"/>
      <c r="DX17" s="23" t="n"/>
      <c r="DY17" s="23" t="n"/>
      <c r="DZ17" s="23" t="n"/>
      <c r="EA17" s="219" t="n"/>
      <c r="EB17" s="23" t="n"/>
      <c r="EC17" s="23" t="n"/>
      <c r="ED17" s="219" t="n"/>
      <c r="EE17" s="219" t="n"/>
      <c r="EF17" s="23" t="n"/>
      <c r="EG17" s="23" t="n">
        <v>1</v>
      </c>
      <c r="EH17" s="23" t="n"/>
      <c r="EI17" s="219" t="n"/>
      <c r="EJ17" s="23" t="n"/>
      <c r="EK17" s="219" t="n"/>
      <c r="EL17" s="23" t="n"/>
      <c r="EM17" s="219" t="n"/>
      <c r="EN17" s="23" t="n"/>
      <c r="EO17" s="23" t="n"/>
      <c r="EP17" s="23" t="n">
        <v>2</v>
      </c>
      <c r="EQ17" s="23" t="n"/>
      <c r="ER17" s="23" t="n"/>
      <c r="ES17" s="23" t="n"/>
      <c r="ET17" s="23" t="n">
        <v>1</v>
      </c>
      <c r="EU17" s="23" t="n"/>
      <c r="EV17" s="23" t="n">
        <v>1</v>
      </c>
      <c r="EW17" s="23" t="n"/>
      <c r="EX17" s="23" t="n">
        <v>1</v>
      </c>
      <c r="EY17" s="23" t="n"/>
    </row>
    <row r="18" ht="14.25" customFormat="1" customHeight="1" s="3">
      <c r="A18" s="35" t="n"/>
      <c r="C18" s="763" t="n"/>
      <c r="D18" s="450" t="n"/>
      <c r="CB18" s="48" t="n"/>
      <c r="CD18" s="61" t="n"/>
      <c r="CI18" s="250" t="n"/>
      <c r="DD18" s="372" t="n"/>
      <c r="DO18" s="250" t="n"/>
      <c r="DP18" s="250" t="n"/>
      <c r="DT18" s="250" t="n"/>
      <c r="EA18" s="372" t="n"/>
      <c r="ED18" s="372" t="n"/>
      <c r="EE18" s="19" t="n"/>
      <c r="EI18" s="19" t="n"/>
      <c r="EK18" s="19" t="n"/>
      <c r="EM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34" t="n">
        <v>46149</v>
      </c>
      <c r="CG19" s="734" t="n">
        <v>46142</v>
      </c>
      <c r="CH19" s="734" t="n">
        <v>46114</v>
      </c>
      <c r="CI19" s="735" t="n">
        <v>46065</v>
      </c>
      <c r="CJ19" s="734" t="n">
        <v>46099</v>
      </c>
      <c r="CK19" s="734" t="n">
        <v>46092</v>
      </c>
      <c r="CL19" s="734" t="n">
        <v>46084</v>
      </c>
      <c r="CM19" s="736" t="n">
        <v>46085</v>
      </c>
      <c r="CN19" s="734" t="n">
        <v>46071</v>
      </c>
      <c r="CO19" s="734" t="n">
        <v>46056</v>
      </c>
      <c r="CP19" s="734" t="n">
        <v>46043</v>
      </c>
      <c r="CQ19" s="734" t="n">
        <v>46035</v>
      </c>
      <c r="CR19" s="734" t="n">
        <v>46029</v>
      </c>
      <c r="CS19" s="734" t="n">
        <v>46024</v>
      </c>
      <c r="CT19" s="734" t="n">
        <v>46017</v>
      </c>
      <c r="CU19" s="734" t="n">
        <v>46007</v>
      </c>
      <c r="CV19" s="734" t="n">
        <v>46001</v>
      </c>
      <c r="CW19" s="734" t="n">
        <v>45986</v>
      </c>
      <c r="CX19" s="734" t="n">
        <v>45965</v>
      </c>
      <c r="CY19" s="736" t="n">
        <v>45961</v>
      </c>
      <c r="CZ19" s="734" t="n">
        <v>45951</v>
      </c>
      <c r="DA19" s="737" t="n">
        <v>45903</v>
      </c>
      <c r="DB19" s="734" t="n">
        <v>45937</v>
      </c>
      <c r="DC19" s="734" t="n">
        <v>45923</v>
      </c>
      <c r="DD19" s="754" t="n">
        <v>45923</v>
      </c>
      <c r="DE19" s="734" t="n">
        <v>45915</v>
      </c>
      <c r="DF19" s="734" t="n">
        <v>45909</v>
      </c>
      <c r="DG19" s="734" t="n">
        <v>45903</v>
      </c>
      <c r="DH19" s="734" t="n">
        <v>45903</v>
      </c>
      <c r="DI19" s="736" t="n">
        <v>45902</v>
      </c>
      <c r="DJ19" s="734" t="n">
        <v>45895</v>
      </c>
      <c r="DK19" s="734" t="n">
        <v>45881</v>
      </c>
      <c r="DL19" s="739" t="n">
        <v>45884</v>
      </c>
      <c r="DM19" s="734" t="n">
        <v>45874</v>
      </c>
      <c r="DN19" s="734" t="n">
        <v>45860</v>
      </c>
      <c r="DO19" s="739" t="n">
        <v>45861</v>
      </c>
      <c r="DP19" s="739" t="n">
        <v>45860</v>
      </c>
      <c r="DQ19" s="734" t="n">
        <v>45853</v>
      </c>
      <c r="DR19" s="734" t="n">
        <v>45848</v>
      </c>
      <c r="DS19" s="734" t="n">
        <v>45839</v>
      </c>
      <c r="DT19" s="739" t="n">
        <v>45791</v>
      </c>
      <c r="DU19" s="734" t="n">
        <v>45832</v>
      </c>
      <c r="DV19" s="734" t="n">
        <v>45825</v>
      </c>
      <c r="DW19" s="734" t="n">
        <v>45819</v>
      </c>
      <c r="DX19" s="736" t="n">
        <v>45820</v>
      </c>
      <c r="DY19" s="734" t="n">
        <v>45813</v>
      </c>
      <c r="DZ19" s="736" t="n">
        <v>45806</v>
      </c>
      <c r="EA19" s="755" t="n">
        <v>45803</v>
      </c>
      <c r="EB19" s="734" t="n">
        <v>45798</v>
      </c>
      <c r="EC19" s="734" t="n">
        <v>45790</v>
      </c>
      <c r="ED19" s="742" t="n">
        <v>45735</v>
      </c>
      <c r="EE19" s="740" t="n">
        <v>45790</v>
      </c>
      <c r="EF19" s="734" t="n">
        <v>45783</v>
      </c>
      <c r="EG19" s="734" t="n">
        <v>45756</v>
      </c>
      <c r="EH19" s="736" t="n">
        <v>45770</v>
      </c>
      <c r="EI19" s="740" t="n">
        <v>45756</v>
      </c>
      <c r="EJ19" s="734" t="n">
        <v>45749</v>
      </c>
      <c r="EK19" s="740" t="n">
        <v>45750</v>
      </c>
      <c r="EL19" s="734" t="n">
        <v>45734</v>
      </c>
      <c r="EM19" s="740" t="n">
        <v>45700</v>
      </c>
      <c r="EN19" s="736" t="n">
        <v>45731</v>
      </c>
      <c r="EO19" s="734" t="n">
        <v>45728</v>
      </c>
      <c r="EP19" s="734" t="n">
        <v>45722</v>
      </c>
      <c r="EQ19" s="736" t="n">
        <v>45722</v>
      </c>
      <c r="ER19" s="734" t="n">
        <v>45714</v>
      </c>
      <c r="ES19" s="734" t="n">
        <v>45706</v>
      </c>
      <c r="ET19" s="734" t="n">
        <v>45699</v>
      </c>
      <c r="EU19" s="734" t="n">
        <v>45685</v>
      </c>
      <c r="EV19" s="734" t="n">
        <v>45674</v>
      </c>
      <c r="EW19" s="734" t="n">
        <v>45664</v>
      </c>
      <c r="EX19" s="734" t="n">
        <v>45660</v>
      </c>
      <c r="EY19" s="734" t="n">
        <v>45652</v>
      </c>
      <c r="FA19" s="304" t="inlineStr">
        <is>
          <t>CAIXAS</t>
        </is>
      </c>
      <c r="FB19" s="235" t="inlineStr">
        <is>
          <t>PCT</t>
        </is>
      </c>
      <c r="FC19" s="746" t="n">
        <v>46118</v>
      </c>
      <c r="FD19" s="746" t="n">
        <v>46125</v>
      </c>
      <c r="FE19" s="746" t="n">
        <v>46132</v>
      </c>
      <c r="FF19" s="746" t="n">
        <v>46139</v>
      </c>
      <c r="FG19" s="746" t="n">
        <v>46146</v>
      </c>
      <c r="FH19" s="746" t="n">
        <v>46154</v>
      </c>
      <c r="FI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76</v>
      </c>
      <c r="G20" s="697" t="n">
        <v>45</v>
      </c>
      <c r="H20" s="697" t="n">
        <v>166</v>
      </c>
      <c r="I20" s="697" t="n">
        <v>141</v>
      </c>
      <c r="J20" s="697" t="n">
        <v>117</v>
      </c>
      <c r="K20" s="697" t="n">
        <v>94</v>
      </c>
      <c r="L20" s="697" t="n">
        <v>66</v>
      </c>
      <c r="M20" s="697">
        <f>28+ET20</f>
        <v/>
      </c>
      <c r="N20" s="697" t="n">
        <v>144</v>
      </c>
      <c r="O20" s="697" t="n">
        <v>112</v>
      </c>
      <c r="P20" s="697">
        <f>71+EP20</f>
        <v/>
      </c>
      <c r="Q20" s="697">
        <f>207+EO20</f>
        <v/>
      </c>
      <c r="R20" s="697" t="n">
        <v>334</v>
      </c>
      <c r="S20" s="697" t="n">
        <v>304</v>
      </c>
      <c r="T20" s="697" t="n">
        <v>287</v>
      </c>
      <c r="U20" s="697" t="n">
        <v>265</v>
      </c>
      <c r="V20" s="697" t="n">
        <v>261</v>
      </c>
      <c r="W20" s="697" t="n">
        <v>251</v>
      </c>
      <c r="X20" s="697" t="n">
        <v>249</v>
      </c>
      <c r="Y20" s="697" t="n">
        <v>250</v>
      </c>
      <c r="Z20" s="697" t="n">
        <v>250</v>
      </c>
      <c r="AA20" s="697" t="n">
        <v>241</v>
      </c>
      <c r="AB20" s="697" t="n">
        <v>221</v>
      </c>
      <c r="AC20" s="697" t="n">
        <v>200</v>
      </c>
      <c r="AD20" s="697" t="n">
        <v>161</v>
      </c>
      <c r="AE20" s="697" t="n">
        <v>137</v>
      </c>
      <c r="AF20" s="697" t="n">
        <v>111</v>
      </c>
      <c r="AG20" s="697" t="n">
        <v>97</v>
      </c>
      <c r="AH20" s="697" t="n">
        <v>71</v>
      </c>
      <c r="AI20" s="697" t="n">
        <v>45</v>
      </c>
      <c r="AJ20" s="697" t="n">
        <v>179</v>
      </c>
      <c r="AK20" s="697" t="n">
        <v>156</v>
      </c>
      <c r="AL20" s="697" t="n">
        <v>66</v>
      </c>
      <c r="AM20" s="697">
        <f>43+DK20</f>
        <v/>
      </c>
      <c r="AN20" s="697" t="n">
        <v>163</v>
      </c>
      <c r="AO20" s="697" t="n">
        <v>138</v>
      </c>
      <c r="AP20" s="697" t="n">
        <v>108</v>
      </c>
      <c r="AQ20" s="697" t="n">
        <v>67</v>
      </c>
      <c r="AR20" s="697" t="n">
        <v>173</v>
      </c>
      <c r="AS20" s="697" t="n">
        <v>126</v>
      </c>
      <c r="AT20" s="697" t="n">
        <v>101</v>
      </c>
      <c r="AU20" s="697">
        <f>61+DB20</f>
        <v/>
      </c>
      <c r="AV20" s="697" t="n">
        <v>196</v>
      </c>
      <c r="AW20" s="697" t="n">
        <v>164</v>
      </c>
      <c r="AX20" s="697" t="n">
        <v>122</v>
      </c>
      <c r="AY20" s="697" t="n">
        <v>93</v>
      </c>
      <c r="AZ20" s="697" t="n">
        <v>75</v>
      </c>
      <c r="BA20" s="697" t="n">
        <v>57</v>
      </c>
      <c r="BB20" s="697" t="n">
        <v>37</v>
      </c>
      <c r="BC20" s="697" t="n">
        <v>19</v>
      </c>
      <c r="BD20" s="697" t="n">
        <v>9</v>
      </c>
      <c r="BE20" s="697" t="n">
        <v>153</v>
      </c>
      <c r="BF20" s="697" t="n">
        <v>149</v>
      </c>
      <c r="BG20" s="697" t="n">
        <v>145</v>
      </c>
      <c r="BH20" s="697" t="n">
        <v>136</v>
      </c>
      <c r="BI20" s="697">
        <f>134+CQ20</f>
        <v/>
      </c>
      <c r="BJ20" s="697" t="n">
        <v>281</v>
      </c>
      <c r="BK20" s="697" t="n">
        <v>265</v>
      </c>
      <c r="BL20" s="697" t="n">
        <v>249</v>
      </c>
      <c r="BM20" s="697" t="n">
        <v>243</v>
      </c>
      <c r="BN20" s="697" t="n">
        <v>231</v>
      </c>
      <c r="BO20" s="697" t="n">
        <v>223</v>
      </c>
      <c r="BP20" s="697" t="n">
        <v>216</v>
      </c>
      <c r="BQ20" s="697" t="n">
        <v>212</v>
      </c>
      <c r="BR20" s="697" t="n">
        <v>202</v>
      </c>
      <c r="BS20" s="697" t="n">
        <v>196</v>
      </c>
      <c r="BT20" s="697" t="n"/>
      <c r="BU20" s="697" t="n"/>
      <c r="BV20" s="697" t="n"/>
      <c r="BW20" s="697" t="n">
        <v>181</v>
      </c>
      <c r="BX20" s="697" t="n">
        <v>181</v>
      </c>
      <c r="BY20" s="697" t="n">
        <v>169</v>
      </c>
      <c r="BZ20" s="192">
        <f>BX20+IF(NOT(ISBLANK(OFFSET(BZ20,0,6))),N(OFFSET(BZ20,0,6)),N(OFFSET(BZ20,0,7)))-BY20</f>
        <v/>
      </c>
      <c r="CA20" s="50" t="n"/>
      <c r="CB20" s="22" t="n"/>
      <c r="CC20" s="4" t="n"/>
      <c r="CD20" s="49" t="n"/>
      <c r="CE20" s="4" t="n"/>
      <c r="CF20" s="23" t="n">
        <v>0</v>
      </c>
      <c r="CG20" s="23" t="n">
        <v>0</v>
      </c>
      <c r="CH20" s="23" t="n"/>
      <c r="CI20" s="219" t="n"/>
      <c r="CJ20" s="23" t="n"/>
      <c r="CK20" s="23" t="n"/>
      <c r="CL20" s="23" t="n"/>
      <c r="CM20" s="23" t="n"/>
      <c r="CN20" s="23" t="n"/>
      <c r="CO20" s="23" t="n"/>
      <c r="CP20" s="23" t="n"/>
      <c r="CQ20" s="23" t="n">
        <v>150</v>
      </c>
      <c r="CR20" s="23" t="n"/>
      <c r="CS20" s="23" t="n"/>
      <c r="CT20" s="23" t="n"/>
      <c r="CU20" s="23" t="n">
        <v>150</v>
      </c>
      <c r="CV20" s="23" t="n"/>
      <c r="CW20" s="23" t="n"/>
      <c r="CX20" s="23" t="n"/>
      <c r="CY20" s="23" t="n"/>
      <c r="CZ20" s="23" t="n"/>
      <c r="DA20" s="219" t="n">
        <v>150</v>
      </c>
      <c r="DB20" s="23" t="n">
        <v>150</v>
      </c>
      <c r="DC20" s="23" t="n"/>
      <c r="DD20" s="219" t="n"/>
      <c r="DE20" s="23" t="n">
        <v>150</v>
      </c>
      <c r="DF20" s="23" t="n"/>
      <c r="DG20" s="23" t="n"/>
      <c r="DH20" s="23" t="n"/>
      <c r="DI20" s="23" t="n"/>
      <c r="DJ20" s="23" t="n"/>
      <c r="DK20" s="23" t="n">
        <v>150</v>
      </c>
      <c r="DL20" s="23" t="n"/>
      <c r="DM20" s="23" t="n"/>
      <c r="DN20" s="23" t="n">
        <v>150</v>
      </c>
      <c r="DO20" s="219" t="n"/>
      <c r="DP20" s="219" t="n"/>
      <c r="DQ20" s="23" t="n"/>
      <c r="DR20" s="23" t="n"/>
      <c r="DS20" s="23" t="n"/>
      <c r="DT20" s="219" t="n"/>
      <c r="DU20" s="23" t="n"/>
      <c r="DV20" s="23" t="n"/>
      <c r="DW20" s="23" t="n"/>
      <c r="DX20" s="23" t="n"/>
      <c r="DY20" s="23" t="n"/>
      <c r="DZ20" s="23" t="n"/>
      <c r="EA20" s="219" t="n"/>
      <c r="EB20" s="23" t="n"/>
      <c r="EC20" s="23" t="n"/>
      <c r="ED20" s="219" t="n"/>
      <c r="EE20" s="219" t="n"/>
      <c r="EF20" s="23" t="n"/>
      <c r="EG20" s="23" t="n"/>
      <c r="EH20" s="23" t="n"/>
      <c r="EI20" s="292" t="inlineStr">
        <is>
          <t>100 DE TTR</t>
        </is>
      </c>
      <c r="EJ20" s="23" t="n"/>
      <c r="EK20" s="219" t="n"/>
      <c r="EL20" s="23" t="n"/>
      <c r="EM20" s="219" t="n"/>
      <c r="EN20" s="23" t="n"/>
      <c r="EO20" s="23" t="n">
        <v>150</v>
      </c>
      <c r="EP20" s="23" t="n">
        <v>150</v>
      </c>
      <c r="EQ20" s="23" t="n"/>
      <c r="ER20" s="23" t="n"/>
      <c r="ES20" s="23" t="n"/>
      <c r="ET20" s="23" t="n">
        <v>150</v>
      </c>
      <c r="EU20" s="23" t="n"/>
      <c r="EV20" s="23" t="n"/>
      <c r="EW20" s="23" t="n">
        <v>150</v>
      </c>
      <c r="EX20" s="23" t="n"/>
      <c r="EY20" s="23" t="n"/>
      <c r="FA20" s="300" t="inlineStr">
        <is>
          <t>CAIXA P</t>
        </is>
      </c>
      <c r="FB20" s="162" t="n">
        <v>150</v>
      </c>
      <c r="FC20" s="697" t="n">
        <v>0</v>
      </c>
      <c r="FD20" s="697" t="n"/>
      <c r="FE20" s="697" t="n"/>
      <c r="FF20" s="697" t="n">
        <v>17</v>
      </c>
      <c r="FG20" s="697" t="n">
        <v>11</v>
      </c>
      <c r="FH20" s="697" t="n"/>
      <c r="FI20" s="431">
        <f>FG20+IF(NOT(ISBLANK(OFFSET(FI20,0,6))),N(OFFSET(FI20,0,6)),N(OFFSET(FI20,0,7)))-FH20</f>
        <v/>
      </c>
    </row>
    <row r="21" ht="19.5" customFormat="1" customHeigh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146</v>
      </c>
      <c r="G21" s="697" t="n">
        <v>123</v>
      </c>
      <c r="H21" s="697" t="n">
        <v>87</v>
      </c>
      <c r="I21" s="697">
        <f>66+EV21</f>
        <v/>
      </c>
      <c r="J21" s="697" t="n">
        <v>143</v>
      </c>
      <c r="K21" s="697" t="n">
        <v>97</v>
      </c>
      <c r="L21" s="697" t="n">
        <v>58</v>
      </c>
      <c r="M21" s="697">
        <f>18+ET21</f>
        <v/>
      </c>
      <c r="N21" s="697">
        <f>76+ES21</f>
        <v/>
      </c>
      <c r="O21" s="697">
        <f>128+ER21</f>
        <v/>
      </c>
      <c r="P21" s="697">
        <f>174+EP21</f>
        <v/>
      </c>
      <c r="Q21" s="697">
        <f>190+EO21</f>
        <v/>
      </c>
      <c r="R21" s="697" t="n">
        <v>249</v>
      </c>
      <c r="S21" s="697" t="n">
        <v>211</v>
      </c>
      <c r="T21" s="697" t="n">
        <v>183</v>
      </c>
      <c r="U21" s="697" t="n">
        <v>160</v>
      </c>
      <c r="V21" s="697" t="n">
        <v>160</v>
      </c>
      <c r="W21" s="697" t="n">
        <v>160</v>
      </c>
      <c r="X21" s="697" t="n">
        <v>157</v>
      </c>
      <c r="Y21" s="697" t="n">
        <v>156</v>
      </c>
      <c r="Z21" s="697" t="n">
        <v>152</v>
      </c>
      <c r="AA21" s="697" t="n">
        <v>115</v>
      </c>
      <c r="AB21" s="697" t="n">
        <v>94</v>
      </c>
      <c r="AC21" s="697">
        <f>76+DY21-50</f>
        <v/>
      </c>
      <c r="AD21" s="697" t="n">
        <v>100</v>
      </c>
      <c r="AE21" s="697">
        <f>74+DV21</f>
        <v/>
      </c>
      <c r="AF21" s="697" t="n">
        <v>154</v>
      </c>
      <c r="AG21" s="697" t="n">
        <v>112</v>
      </c>
      <c r="AH21" s="697">
        <f>76+DR21</f>
        <v/>
      </c>
      <c r="AI21" s="697" t="n">
        <v>139</v>
      </c>
      <c r="AJ21" s="697" t="n">
        <v>99</v>
      </c>
      <c r="AK21" s="697" t="n">
        <v>62</v>
      </c>
      <c r="AL21" s="697" t="n">
        <v>95</v>
      </c>
      <c r="AM21" s="697">
        <f>62+DK21</f>
        <v/>
      </c>
      <c r="AN21" s="697" t="n">
        <v>117</v>
      </c>
      <c r="AO21" s="697">
        <f>85+DJ21</f>
        <v/>
      </c>
      <c r="AP21" s="697" t="n">
        <v>140</v>
      </c>
      <c r="AQ21" s="697" t="n">
        <v>102</v>
      </c>
      <c r="AR21" s="697" t="n">
        <v>158</v>
      </c>
      <c r="AS21" s="697" t="n">
        <v>125</v>
      </c>
      <c r="AT21" s="697" t="n">
        <v>87</v>
      </c>
      <c r="AU21" s="697">
        <f>33+DB21</f>
        <v/>
      </c>
      <c r="AV21" s="697" t="n">
        <v>96</v>
      </c>
      <c r="AW21" s="697" t="n">
        <v>60</v>
      </c>
      <c r="AX21" s="697" t="n">
        <v>25</v>
      </c>
      <c r="AY21" s="697" t="n">
        <v>1</v>
      </c>
      <c r="AZ21" s="697" t="n">
        <v>0</v>
      </c>
      <c r="BA21" s="697" t="n">
        <v>0</v>
      </c>
      <c r="BB21" s="697" t="n">
        <v>0</v>
      </c>
      <c r="BC21" s="697" t="n">
        <v>0</v>
      </c>
      <c r="BD21" s="697">
        <f>0+CV21</f>
        <v/>
      </c>
      <c r="BE21" s="697" t="n">
        <v>100</v>
      </c>
      <c r="BF21" s="697" t="n">
        <v>97</v>
      </c>
      <c r="BG21" s="697" t="n">
        <v>84</v>
      </c>
      <c r="BH21" s="697" t="n">
        <v>78</v>
      </c>
      <c r="BI21" s="697">
        <f>70+CQ21</f>
        <v/>
      </c>
      <c r="BJ21" s="697" t="n">
        <v>157</v>
      </c>
      <c r="BK21" s="697" t="n">
        <v>147</v>
      </c>
      <c r="BL21" s="697" t="n">
        <v>128</v>
      </c>
      <c r="BM21" s="697" t="n">
        <v>124</v>
      </c>
      <c r="BN21" s="697" t="n">
        <v>112</v>
      </c>
      <c r="BO21" s="697" t="n">
        <v>106</v>
      </c>
      <c r="BP21" s="697" t="n">
        <v>89</v>
      </c>
      <c r="BQ21" s="697">
        <f>84+CK21</f>
        <v/>
      </c>
      <c r="BR21" s="697" t="n">
        <v>172</v>
      </c>
      <c r="BS21" s="697" t="n">
        <v>163</v>
      </c>
      <c r="BT21" s="697" t="n"/>
      <c r="BU21" s="697" t="n"/>
      <c r="BV21" s="697" t="n"/>
      <c r="BW21" s="697" t="n">
        <v>147</v>
      </c>
      <c r="BX21" s="697" t="n">
        <v>147</v>
      </c>
      <c r="BY21" s="697" t="n">
        <v>145</v>
      </c>
      <c r="BZ21" s="192">
        <f>BX21+IF(NOT(ISBLANK(OFFSET(BZ21,0,6))),N(OFFSET(BZ21,0,6)),N(OFFSET(BZ21,0,7)))-BY21</f>
        <v/>
      </c>
      <c r="CA21" s="50" t="n"/>
      <c r="CB21" s="22" t="n"/>
      <c r="CC21" s="4" t="n"/>
      <c r="CD21" s="49" t="n"/>
      <c r="CE21" s="4" t="n"/>
      <c r="CF21" s="23" t="n">
        <v>0</v>
      </c>
      <c r="CG21" s="23" t="n">
        <v>0</v>
      </c>
      <c r="CH21" s="23" t="n"/>
      <c r="CI21" s="219" t="n">
        <v>100</v>
      </c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>
        <v>100</v>
      </c>
      <c r="CW21" s="23" t="n"/>
      <c r="CX21" s="23" t="n"/>
      <c r="CY21" s="23" t="n"/>
      <c r="CZ21" s="23" t="n"/>
      <c r="DA21" s="219" t="n">
        <v>200</v>
      </c>
      <c r="DB21" s="23" t="n">
        <v>100</v>
      </c>
      <c r="DC21" s="23" t="n"/>
      <c r="DD21" s="437" t="inlineStr">
        <is>
          <t>10 DE SHN</t>
        </is>
      </c>
      <c r="DE21" s="23" t="n">
        <v>100</v>
      </c>
      <c r="DF21" s="23" t="n"/>
      <c r="DG21" s="23" t="n"/>
      <c r="DH21" s="23" t="n"/>
      <c r="DI21" s="23" t="n"/>
      <c r="DJ21" s="23" t="n">
        <v>100</v>
      </c>
      <c r="DK21" s="23" t="n">
        <v>100</v>
      </c>
      <c r="DL21" s="23" t="n"/>
      <c r="DM21" s="23" t="n">
        <v>100</v>
      </c>
      <c r="DN21" s="23" t="n"/>
      <c r="DO21" s="219" t="n"/>
      <c r="DP21" s="292" t="inlineStr">
        <is>
          <t>35 DE TDQ</t>
        </is>
      </c>
      <c r="DQ21" s="23" t="n"/>
      <c r="DR21" s="23" t="n">
        <v>100</v>
      </c>
      <c r="DS21" s="23" t="n"/>
      <c r="DT21" s="219" t="n"/>
      <c r="DU21" s="23" t="n"/>
      <c r="DV21" s="23" t="n">
        <v>100</v>
      </c>
      <c r="DW21" s="23" t="n"/>
      <c r="DX21" s="282" t="inlineStr">
        <is>
          <t>50 P/ Q7</t>
        </is>
      </c>
      <c r="DY21" s="23" t="n">
        <v>100</v>
      </c>
      <c r="DZ21" s="23" t="n"/>
      <c r="EA21" s="376" t="inlineStr">
        <is>
          <t>50 DE TDQ</t>
        </is>
      </c>
      <c r="EB21" s="23" t="n"/>
      <c r="EC21" s="23" t="n"/>
      <c r="ED21" s="219" t="n"/>
      <c r="EE21" s="292" t="inlineStr">
        <is>
          <t>48 P/ BSH</t>
        </is>
      </c>
      <c r="EF21" s="23" t="n"/>
      <c r="EG21" s="23" t="n"/>
      <c r="EH21" s="23" t="n"/>
      <c r="EI21" s="219" t="n"/>
      <c r="EJ21" s="23" t="n"/>
      <c r="EK21" s="292" t="inlineStr">
        <is>
          <t>50 P/ MD</t>
        </is>
      </c>
      <c r="EL21" s="23" t="n"/>
      <c r="EM21" s="219" t="n">
        <v>200</v>
      </c>
      <c r="EN21" s="736" t="inlineStr">
        <is>
          <t>50 P/ BOUL</t>
        </is>
      </c>
      <c r="EO21" s="23" t="n">
        <v>100</v>
      </c>
      <c r="EP21" s="23" t="n">
        <v>100</v>
      </c>
      <c r="EQ21" s="23" t="n"/>
      <c r="ER21" s="23" t="n">
        <v>100</v>
      </c>
      <c r="ES21" s="23" t="n">
        <v>100</v>
      </c>
      <c r="ET21" s="23" t="n">
        <v>100</v>
      </c>
      <c r="EU21" s="23" t="n"/>
      <c r="EV21" s="23" t="n">
        <v>100</v>
      </c>
      <c r="EW21" s="23" t="n"/>
      <c r="EX21" s="23" t="n"/>
      <c r="EY21" s="23" t="n"/>
      <c r="FA21" s="65" t="inlineStr">
        <is>
          <t>CAIXA M</t>
        </is>
      </c>
      <c r="FB21" s="699" t="n">
        <v>100</v>
      </c>
      <c r="FC21" s="697">
        <f>CI21</f>
        <v/>
      </c>
      <c r="FD21" s="697" t="n"/>
      <c r="FE21" s="697" t="n"/>
      <c r="FF21" s="697" t="n">
        <v>83</v>
      </c>
      <c r="FG21" s="697" t="n">
        <v>75</v>
      </c>
      <c r="FH21" s="697" t="n"/>
      <c r="FI21" s="431">
        <f>FG21+IF(NOT(ISBLANK(OFFSET(FI21,0,6))),N(OFFSET(FI21,0,6)),N(OFFSET(FI21,0,7)))-FH21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2</v>
      </c>
      <c r="G22" s="697" t="n">
        <v>23</v>
      </c>
      <c r="H22" s="697" t="n">
        <v>18</v>
      </c>
      <c r="I22" s="697" t="n">
        <v>16</v>
      </c>
      <c r="J22" s="697" t="n">
        <v>11</v>
      </c>
      <c r="K22" s="697" t="n">
        <v>20</v>
      </c>
      <c r="L22" s="697" t="n">
        <v>18</v>
      </c>
      <c r="M22" s="697" t="n">
        <v>18</v>
      </c>
      <c r="N22" s="697" t="n">
        <v>18</v>
      </c>
      <c r="O22" s="697" t="n">
        <v>18</v>
      </c>
      <c r="P22" s="697" t="n">
        <v>18</v>
      </c>
      <c r="Q22" s="697" t="n">
        <v>17</v>
      </c>
      <c r="R22" s="697" t="n">
        <v>15</v>
      </c>
      <c r="S22" s="697" t="n">
        <v>15</v>
      </c>
      <c r="T22" s="697" t="n">
        <v>15</v>
      </c>
      <c r="U22" s="697" t="n">
        <v>14</v>
      </c>
      <c r="V22" s="697" t="n">
        <v>13</v>
      </c>
      <c r="W22" s="697" t="n">
        <v>12</v>
      </c>
      <c r="X22" s="697" t="n">
        <v>12</v>
      </c>
      <c r="Y22" s="697" t="n">
        <v>10</v>
      </c>
      <c r="Z22" s="697" t="n">
        <v>10</v>
      </c>
      <c r="AA22" s="697" t="n">
        <v>10</v>
      </c>
      <c r="AB22" s="697" t="n">
        <v>10</v>
      </c>
      <c r="AC22" s="697" t="n">
        <v>9</v>
      </c>
      <c r="AD22" s="697" t="n">
        <v>8</v>
      </c>
      <c r="AE22" s="697" t="n">
        <v>7</v>
      </c>
      <c r="AF22" s="697" t="n">
        <v>6</v>
      </c>
      <c r="AG22" s="697" t="n">
        <v>6</v>
      </c>
      <c r="AH22" s="697" t="n">
        <v>5</v>
      </c>
      <c r="AI22" s="697" t="n">
        <v>5</v>
      </c>
      <c r="AJ22" s="697" t="n">
        <v>3</v>
      </c>
      <c r="AK22" s="697" t="n">
        <v>3</v>
      </c>
      <c r="AL22" s="697" t="n">
        <v>3</v>
      </c>
      <c r="AM22" s="697" t="n">
        <v>1</v>
      </c>
      <c r="AN22" s="697" t="n">
        <v>0</v>
      </c>
      <c r="AO22" s="697">
        <f>0+20</f>
        <v/>
      </c>
      <c r="AP22" s="697" t="n">
        <v>20</v>
      </c>
      <c r="AQ22" s="697" t="n">
        <v>20</v>
      </c>
      <c r="AR22" s="697" t="n">
        <v>17</v>
      </c>
      <c r="AS22" s="697" t="n">
        <v>16</v>
      </c>
      <c r="AT22" s="697" t="n">
        <v>14</v>
      </c>
      <c r="AU22" s="697" t="n">
        <v>13</v>
      </c>
      <c r="AV22" s="697" t="n">
        <v>13</v>
      </c>
      <c r="AW22" s="697" t="n">
        <v>13</v>
      </c>
      <c r="AX22" s="697" t="n">
        <v>13</v>
      </c>
      <c r="AY22" s="697" t="n">
        <v>12</v>
      </c>
      <c r="AZ22" s="697" t="n">
        <v>12</v>
      </c>
      <c r="BA22" s="697" t="n">
        <v>12</v>
      </c>
      <c r="BB22" s="697" t="n">
        <v>12</v>
      </c>
      <c r="BC22" s="697" t="n">
        <v>10</v>
      </c>
      <c r="BD22" s="697" t="n">
        <v>10</v>
      </c>
      <c r="BE22" s="697" t="n">
        <v>10</v>
      </c>
      <c r="BF22" s="697" t="n">
        <v>7</v>
      </c>
      <c r="BG22" s="697" t="n">
        <v>7</v>
      </c>
      <c r="BH22" s="697" t="n">
        <v>7</v>
      </c>
      <c r="BI22" s="697" t="n">
        <v>7</v>
      </c>
      <c r="BJ22" s="697" t="n">
        <v>7</v>
      </c>
      <c r="BK22" s="697" t="n">
        <v>7</v>
      </c>
      <c r="BL22" s="697" t="n">
        <v>7</v>
      </c>
      <c r="BM22" s="697" t="n">
        <v>7</v>
      </c>
      <c r="BN22" s="697" t="n">
        <v>7</v>
      </c>
      <c r="BO22" s="697" t="n">
        <v>6</v>
      </c>
      <c r="BP22" s="697" t="n">
        <v>5</v>
      </c>
      <c r="BQ22" s="697" t="n">
        <v>5</v>
      </c>
      <c r="BR22" s="697" t="n">
        <v>5</v>
      </c>
      <c r="BS22" s="697" t="n">
        <v>5</v>
      </c>
      <c r="BT22" s="697" t="n">
        <v>5</v>
      </c>
      <c r="BU22" s="697" t="n">
        <v>4</v>
      </c>
      <c r="BV22" s="697" t="n">
        <v>3</v>
      </c>
      <c r="BW22" s="697" t="n">
        <v>2</v>
      </c>
      <c r="BX22" s="697" t="n">
        <v>1</v>
      </c>
      <c r="BY22" s="697" t="n">
        <v>0</v>
      </c>
      <c r="BZ22" s="192">
        <f>BX22+IF(NOT(ISBLANK(OFFSET(BZ22,0,6))),N(OFFSET(BZ22,0,6)),N(OFFSET(BZ22,0,7)))-BY22</f>
        <v/>
      </c>
      <c r="CA22" s="50" t="n"/>
      <c r="CB22" s="22" t="n"/>
      <c r="CC22" s="4" t="n"/>
      <c r="CD22" s="49" t="n"/>
      <c r="CE22" s="4" t="n"/>
      <c r="CF22" s="23" t="n">
        <v>0</v>
      </c>
      <c r="CG22" s="23" t="n">
        <v>0</v>
      </c>
      <c r="CH22" s="23" t="n"/>
      <c r="CI22" s="219" t="n">
        <v>200</v>
      </c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443" t="n">
        <v>400</v>
      </c>
      <c r="DB22" s="23" t="n"/>
      <c r="DC22" s="23" t="n"/>
      <c r="DD22" s="219" t="n"/>
      <c r="DE22" s="23" t="n"/>
      <c r="DF22" s="23" t="n"/>
      <c r="DG22" s="23" t="n"/>
      <c r="DH22" s="23" t="n"/>
      <c r="DI22" s="192" t="inlineStr">
        <is>
          <t>20 DE Q7</t>
        </is>
      </c>
      <c r="DJ22" s="23" t="n"/>
      <c r="DK22" s="23" t="n"/>
      <c r="DL22" s="23" t="n"/>
      <c r="DM22" s="23" t="n"/>
      <c r="DN22" s="23" t="n"/>
      <c r="DO22" s="219" t="n"/>
      <c r="DP22" s="219" t="n"/>
      <c r="DQ22" s="23" t="n"/>
      <c r="DR22" s="23" t="n"/>
      <c r="DS22" s="23" t="n"/>
      <c r="DT22" s="219" t="n"/>
      <c r="DU22" s="23" t="n"/>
      <c r="DV22" s="23" t="n"/>
      <c r="DW22" s="23" t="n"/>
      <c r="DX22" s="23" t="n"/>
      <c r="DY22" s="23" t="n"/>
      <c r="DZ22" s="23" t="n"/>
      <c r="EA22" s="376" t="inlineStr">
        <is>
          <t>50 DE TDQ</t>
        </is>
      </c>
      <c r="EB22" s="23" t="n"/>
      <c r="EC22" s="23" t="n"/>
      <c r="ED22" s="219" t="n"/>
      <c r="EE22" s="219" t="n"/>
      <c r="EF22" s="23" t="n"/>
      <c r="EG22" s="23" t="n"/>
      <c r="EH22" s="23" t="n"/>
      <c r="EI22" s="219" t="n"/>
      <c r="EJ22" s="23" t="n"/>
      <c r="EK22" s="219" t="n"/>
      <c r="EL22" s="23" t="n"/>
      <c r="EM22" s="219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FA22" s="66" t="inlineStr">
        <is>
          <t>CARTUCHO P</t>
        </is>
      </c>
      <c r="FB22" s="699" t="n">
        <v>200</v>
      </c>
      <c r="FC22" s="697">
        <f>CI22</f>
        <v/>
      </c>
      <c r="FD22" s="697" t="n"/>
      <c r="FE22" s="697" t="n"/>
      <c r="FF22" s="697" t="n">
        <v>179</v>
      </c>
      <c r="FG22" s="697" t="n">
        <v>167</v>
      </c>
      <c r="FH22" s="697" t="n"/>
      <c r="FI22" s="431">
        <f>FG22+IF(NOT(ISBLANK(OFFSET(FI22,0,6))),N(OFFSET(FI22,0,6)),N(OFFSET(FI22,0,7)))-FH22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>
        <f>0+CV23</f>
        <v/>
      </c>
      <c r="BE23" s="697" t="n">
        <v>150</v>
      </c>
      <c r="BF23" s="697" t="n">
        <v>150</v>
      </c>
      <c r="BG23" s="697" t="n">
        <v>146</v>
      </c>
      <c r="BH23" s="697" t="n">
        <v>132</v>
      </c>
      <c r="BI23" s="697" t="n">
        <v>120</v>
      </c>
      <c r="BJ23" s="697" t="n">
        <v>106</v>
      </c>
      <c r="BK23" s="697" t="n">
        <v>96</v>
      </c>
      <c r="BL23" s="697" t="n">
        <v>63</v>
      </c>
      <c r="BM23" s="697" t="n">
        <v>53</v>
      </c>
      <c r="BN23" s="697">
        <f>32+CN23</f>
        <v/>
      </c>
      <c r="BO23" s="697" t="n">
        <v>157</v>
      </c>
      <c r="BP23" s="697" t="n">
        <v>108</v>
      </c>
      <c r="BQ23" s="697" t="n">
        <v>78</v>
      </c>
      <c r="BR23" s="697">
        <f>56+CJ23</f>
        <v/>
      </c>
      <c r="BS23" s="697" t="n">
        <v>172</v>
      </c>
      <c r="BT23" s="697" t="n"/>
      <c r="BU23" s="697" t="n"/>
      <c r="BV23" s="697" t="n"/>
      <c r="BW23" s="697" t="n">
        <v>137</v>
      </c>
      <c r="BX23" s="697" t="n">
        <v>137</v>
      </c>
      <c r="BY23" s="697" t="n"/>
      <c r="BZ23" s="192">
        <f>BX23+IF(NOT(ISBLANK(OFFSET(BZ23,0,6))),N(OFFSET(BZ23,0,6)),N(OFFSET(BZ23,0,7)))-BY23</f>
        <v/>
      </c>
      <c r="CA23" s="50" t="n"/>
      <c r="CB23" s="22" t="n"/>
      <c r="CC23" s="50" t="n"/>
      <c r="CD23" s="49" t="n"/>
      <c r="CE23" s="50" t="n"/>
      <c r="CF23" s="23" t="n">
        <v>0</v>
      </c>
      <c r="CG23" s="23" t="n">
        <v>0</v>
      </c>
      <c r="CH23" s="23" t="n"/>
      <c r="CI23" s="219" t="n">
        <v>150</v>
      </c>
      <c r="CJ23" s="23" t="n">
        <v>150</v>
      </c>
      <c r="CK23" s="23" t="n"/>
      <c r="CL23" s="23" t="n"/>
      <c r="CM23" s="23" t="n"/>
      <c r="CN23" s="23" t="n">
        <v>150</v>
      </c>
      <c r="CO23" s="330" t="n"/>
      <c r="CP23" s="330" t="n"/>
      <c r="CQ23" s="330" t="n"/>
      <c r="CR23" s="330" t="n"/>
      <c r="CS23" s="330" t="n"/>
      <c r="CT23" s="330" t="n"/>
      <c r="CU23" s="23" t="n"/>
      <c r="CV23" s="23" t="n">
        <v>150</v>
      </c>
      <c r="CW23" s="23" t="n"/>
      <c r="CX23" s="23" t="n"/>
      <c r="CY23" s="23" t="n"/>
      <c r="DA23" s="326" t="n">
        <v>150</v>
      </c>
      <c r="DD23" s="5" t="n"/>
      <c r="DO23" s="292" t="inlineStr">
        <is>
          <t>15 DE MD</t>
        </is>
      </c>
      <c r="DP23" s="5" t="n"/>
      <c r="DT23" s="5" t="n"/>
      <c r="EA23" s="5" t="n"/>
      <c r="ED23" s="5" t="n"/>
      <c r="EM23" s="326" t="n">
        <v>200</v>
      </c>
      <c r="FA23" s="66" t="inlineStr">
        <is>
          <t>CARTUCHO M</t>
        </is>
      </c>
      <c r="FB23" s="699" t="n">
        <v>150</v>
      </c>
      <c r="FC23" s="697">
        <f>CI23</f>
        <v/>
      </c>
      <c r="FD23" s="697" t="n"/>
      <c r="FE23" s="697" t="n"/>
      <c r="FF23" s="697" t="n">
        <v>121</v>
      </c>
      <c r="FG23" s="697" t="n">
        <v>104</v>
      </c>
      <c r="FH23" s="697" t="n"/>
      <c r="FI23" s="431">
        <f>FG23+IF(NOT(ISBLANK(OFFSET(FI23,0,6))),N(OFFSET(FI23,0,6)),N(OFFSET(FI23,0,7)))-FH23</f>
        <v/>
      </c>
    </row>
    <row r="24" ht="22.5" customHeight="1">
      <c r="C24" s="72" t="n"/>
      <c r="D24" s="72" t="n"/>
      <c r="BZ24" s="4" t="n"/>
      <c r="CA24" s="50" t="n"/>
      <c r="CC24" s="50" t="n"/>
      <c r="CD24" s="50" t="n"/>
      <c r="CE24" s="50" t="n"/>
      <c r="CI24" s="5" t="n"/>
      <c r="DA24" s="5" t="n"/>
      <c r="DD24" s="5" t="n"/>
      <c r="DO24" s="292" t="inlineStr">
        <is>
          <t>13 DE MD</t>
        </is>
      </c>
      <c r="DP24" s="5" t="n"/>
      <c r="DT24" s="5" t="n"/>
      <c r="EA24" s="5" t="n"/>
      <c r="ED24" s="5" t="n"/>
      <c r="EM24" s="326" t="n">
        <v>150</v>
      </c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C25" s="50" t="n"/>
      <c r="CD25" s="50" t="n"/>
      <c r="CE25" s="50" t="n"/>
      <c r="CI25" s="5" t="n"/>
      <c r="DA25" s="5" t="n"/>
      <c r="DD25" s="5" t="n"/>
      <c r="DO25" s="292" t="inlineStr">
        <is>
          <t>12 DE MD</t>
        </is>
      </c>
      <c r="DP25" s="5" t="n"/>
      <c r="DT25" s="5" t="n"/>
      <c r="EA25" s="5" t="n"/>
      <c r="ED25" s="5" t="n"/>
      <c r="EE25" s="327" t="n"/>
      <c r="EI25" s="327" t="n"/>
      <c r="EK25" s="327" t="n"/>
      <c r="EM25" s="327" t="n"/>
    </row>
    <row r="26">
      <c r="A26" s="224" t="inlineStr">
        <is>
          <t>CAIXA M DIVERT./24</t>
        </is>
      </c>
      <c r="B26" s="287" t="n">
        <v>100</v>
      </c>
      <c r="C26" s="768" t="n">
        <v>790</v>
      </c>
      <c r="D26" s="217" t="n"/>
      <c r="F26" s="697" t="n">
        <v>237</v>
      </c>
      <c r="G26" s="697" t="n">
        <v>214</v>
      </c>
      <c r="H26" s="697" t="n">
        <v>214</v>
      </c>
      <c r="I26" s="697" t="n">
        <v>214</v>
      </c>
      <c r="J26" s="697" t="n">
        <v>214</v>
      </c>
      <c r="K26" s="697" t="n">
        <v>197</v>
      </c>
      <c r="L26" s="697" t="n">
        <v>197</v>
      </c>
      <c r="M26" s="697" t="n">
        <v>189</v>
      </c>
      <c r="N26" s="697" t="n">
        <v>189</v>
      </c>
      <c r="O26" s="697" t="n">
        <v>189</v>
      </c>
      <c r="P26" s="697" t="n">
        <v>189</v>
      </c>
      <c r="Q26" s="697" t="n">
        <v>188</v>
      </c>
      <c r="R26" s="697" t="n">
        <v>188</v>
      </c>
      <c r="S26" s="697" t="n">
        <v>184</v>
      </c>
      <c r="T26" s="697" t="n">
        <v>179</v>
      </c>
      <c r="U26" s="697" t="n">
        <v>179</v>
      </c>
      <c r="V26" s="697" t="n">
        <v>179</v>
      </c>
      <c r="W26" s="697" t="n">
        <v>178</v>
      </c>
      <c r="X26" s="697" t="n">
        <v>176</v>
      </c>
      <c r="Y26" s="697" t="n">
        <v>176</v>
      </c>
      <c r="Z26" s="697" t="n">
        <v>176</v>
      </c>
      <c r="AA26" s="697" t="n">
        <v>175</v>
      </c>
      <c r="AB26" s="697" t="n">
        <v>175</v>
      </c>
      <c r="AC26" s="697" t="n">
        <v>173</v>
      </c>
      <c r="AD26" s="697" t="n">
        <v>173</v>
      </c>
      <c r="AE26" s="697" t="n">
        <v>172</v>
      </c>
      <c r="AF26" s="697" t="n">
        <v>172</v>
      </c>
      <c r="AG26" s="314" t="n">
        <v>201</v>
      </c>
      <c r="AH26" s="314" t="n">
        <v>220</v>
      </c>
      <c r="AI26" s="697" t="n">
        <v>168</v>
      </c>
      <c r="AJ26" s="697" t="n">
        <v>161</v>
      </c>
      <c r="AK26" s="697" t="n">
        <v>161</v>
      </c>
      <c r="AL26" s="697" t="n">
        <v>157</v>
      </c>
      <c r="AM26" s="697" t="n">
        <v>157</v>
      </c>
      <c r="AN26" s="697" t="n">
        <v>157</v>
      </c>
      <c r="AO26" s="697" t="n">
        <v>157</v>
      </c>
      <c r="AP26" s="697" t="n">
        <v>157</v>
      </c>
      <c r="AQ26" s="697" t="n">
        <v>153</v>
      </c>
      <c r="AR26" s="697" t="n">
        <v>151</v>
      </c>
      <c r="AS26" s="697" t="n">
        <v>149</v>
      </c>
      <c r="AT26" s="697" t="n">
        <v>147</v>
      </c>
      <c r="AU26" s="697" t="n">
        <v>142</v>
      </c>
      <c r="AV26" s="697" t="n">
        <v>142</v>
      </c>
      <c r="AW26" s="697" t="n">
        <v>142</v>
      </c>
      <c r="AX26" s="697" t="n">
        <v>142</v>
      </c>
      <c r="AY26" s="697" t="n">
        <v>142</v>
      </c>
      <c r="AZ26" s="697" t="n">
        <v>142</v>
      </c>
      <c r="BA26" s="697" t="n">
        <v>138</v>
      </c>
      <c r="BB26" s="697" t="n">
        <v>136</v>
      </c>
      <c r="BC26" s="697" t="n">
        <v>135</v>
      </c>
      <c r="BD26" s="697" t="n">
        <v>133</v>
      </c>
      <c r="BE26" s="697" t="n">
        <v>119</v>
      </c>
      <c r="BF26" s="697" t="n">
        <v>123</v>
      </c>
      <c r="BG26" s="697" t="n">
        <v>123</v>
      </c>
      <c r="BH26" s="697" t="n">
        <v>123</v>
      </c>
      <c r="BI26" s="697" t="n">
        <v>123</v>
      </c>
      <c r="BJ26" s="697" t="n">
        <v>122</v>
      </c>
      <c r="BK26" s="697" t="n">
        <v>121</v>
      </c>
      <c r="BL26" s="697" t="n">
        <v>120</v>
      </c>
      <c r="BM26" s="697" t="n">
        <v>119</v>
      </c>
      <c r="BN26" s="697" t="n">
        <v>118</v>
      </c>
      <c r="BO26" s="697" t="n">
        <v>118</v>
      </c>
      <c r="BP26" s="697" t="n">
        <v>118</v>
      </c>
      <c r="BQ26" s="697" t="n">
        <v>118</v>
      </c>
      <c r="BR26" s="697" t="n">
        <v>118</v>
      </c>
      <c r="BS26" s="697" t="n">
        <v>118</v>
      </c>
      <c r="BT26" s="697" t="n">
        <v>118</v>
      </c>
      <c r="BU26" s="697" t="n">
        <v>117</v>
      </c>
      <c r="BV26" s="697" t="n">
        <v>117</v>
      </c>
      <c r="BW26" s="697" t="n">
        <v>117</v>
      </c>
      <c r="BX26" s="697" t="n">
        <v>115</v>
      </c>
      <c r="BY26" s="697" t="n">
        <v>118</v>
      </c>
      <c r="BZ26" s="192">
        <f>BX26+IF(NOT(ISBLANK(OFFSET(BZ26,0,6))),N(OFFSET(BZ26,0,6)),N(OFFSET(BZ26,0,7)))-BY26</f>
        <v/>
      </c>
      <c r="CA26" s="50" t="n"/>
      <c r="CC26" s="50" t="n"/>
      <c r="CD26" s="50" t="n"/>
      <c r="CE26" s="50" t="n"/>
      <c r="CI26" s="5" t="n"/>
      <c r="DA26" s="5" t="n"/>
      <c r="DD26" s="5" t="n"/>
      <c r="DO26" s="5" t="n"/>
      <c r="DP26" s="5" t="n"/>
      <c r="DT26" s="5" t="n"/>
      <c r="EA26" s="5" t="n"/>
      <c r="ED26" s="5" t="n"/>
      <c r="EE26" s="327" t="n"/>
      <c r="EI26" s="327" t="n"/>
      <c r="EK26" s="327" t="n"/>
      <c r="EM26" s="327" t="n"/>
    </row>
    <row r="27" hidden="1">
      <c r="A27" s="289" t="inlineStr">
        <is>
          <t>CAIXA P NAT./24</t>
        </is>
      </c>
      <c r="B27" s="290" t="n">
        <v>150</v>
      </c>
      <c r="C27" s="769" t="n">
        <v>715.5</v>
      </c>
      <c r="D27" s="217" t="n"/>
      <c r="F27" s="699" t="n">
        <v>5</v>
      </c>
      <c r="G27" s="699" t="n">
        <v>0</v>
      </c>
      <c r="H27" s="697" t="n">
        <v>0</v>
      </c>
      <c r="I27" s="697" t="n">
        <v>0</v>
      </c>
      <c r="J27" s="697" t="n">
        <v>0</v>
      </c>
      <c r="K27" s="697" t="n">
        <v>0</v>
      </c>
      <c r="L27" s="697" t="n">
        <v>0</v>
      </c>
      <c r="M27" s="697" t="n">
        <v>0</v>
      </c>
      <c r="N27" s="697" t="n">
        <v>0</v>
      </c>
      <c r="O27" s="697" t="n">
        <v>0</v>
      </c>
      <c r="P27" s="697" t="n">
        <v>0</v>
      </c>
      <c r="Q27" s="697" t="n">
        <v>0</v>
      </c>
      <c r="R27" s="697" t="n">
        <v>0</v>
      </c>
      <c r="S27" s="697" t="n">
        <v>0</v>
      </c>
      <c r="T27" s="697" t="n">
        <v>0</v>
      </c>
      <c r="U27" s="697" t="n">
        <v>0</v>
      </c>
      <c r="V27" s="697" t="n">
        <v>0</v>
      </c>
      <c r="W27" s="697" t="n">
        <v>0</v>
      </c>
      <c r="X27" s="697" t="n">
        <v>0</v>
      </c>
      <c r="Y27" s="697" t="n">
        <v>0</v>
      </c>
      <c r="Z27" s="697" t="n">
        <v>0</v>
      </c>
      <c r="AA27" s="697" t="n">
        <v>0</v>
      </c>
      <c r="AB27" s="697" t="n">
        <v>0</v>
      </c>
      <c r="AC27" s="697" t="n">
        <v>0</v>
      </c>
      <c r="AD27" s="697" t="n">
        <v>0</v>
      </c>
      <c r="AE27" s="697" t="n">
        <v>0</v>
      </c>
      <c r="AF27" s="697" t="n"/>
      <c r="AG27" s="697" t="n"/>
      <c r="AH27" s="697" t="n"/>
      <c r="AI27" s="697" t="n"/>
      <c r="AJ27" s="697" t="n"/>
      <c r="AK27" s="697" t="n"/>
      <c r="AL27" s="697" t="n"/>
      <c r="AM27" s="697" t="n"/>
      <c r="AN27" s="697" t="n"/>
      <c r="AO27" s="697" t="n"/>
      <c r="AP27" s="697" t="n"/>
      <c r="AQ27" s="697" t="n"/>
      <c r="AR27" s="697" t="n"/>
      <c r="AS27" s="697" t="n"/>
      <c r="AT27" s="697" t="n"/>
      <c r="AU27" s="697" t="n"/>
      <c r="AV27" s="697" t="n"/>
      <c r="AW27" s="697" t="n"/>
      <c r="AX27" s="697" t="n"/>
      <c r="AY27" s="697" t="n"/>
      <c r="AZ27" s="697" t="n"/>
      <c r="BA27" s="697" t="n"/>
      <c r="BB27" s="697" t="n"/>
      <c r="BC27" s="697" t="n"/>
      <c r="BD27" s="697" t="n"/>
      <c r="BE27" s="697" t="n"/>
      <c r="BF27" s="697" t="n"/>
      <c r="BG27" s="697" t="n"/>
      <c r="BH27" s="697" t="n"/>
      <c r="BI27" s="697" t="n"/>
      <c r="BJ27" s="697" t="n"/>
      <c r="BK27" s="697" t="n"/>
      <c r="BL27" s="697" t="n"/>
      <c r="BM27" s="697" t="n"/>
      <c r="BN27" s="697" t="n"/>
      <c r="BO27" s="697" t="n"/>
      <c r="BP27" s="697" t="n"/>
      <c r="BQ27" s="697" t="n"/>
      <c r="BR27" s="697" t="n"/>
      <c r="BS27" s="697" t="n"/>
      <c r="BT27" s="697" t="n"/>
      <c r="BU27" s="697" t="n"/>
      <c r="BV27" s="697" t="n"/>
      <c r="BW27" s="697" t="n"/>
      <c r="BX27" s="697" t="n"/>
      <c r="BY27" s="697" t="n"/>
      <c r="BZ27" s="192">
        <f>BX27+IF(NOT(ISBLANK(OFFSET(BZ27,0,6))),N(OFFSET(BZ27,0,6)),N(OFFSET(BZ27,0,7)))-BY27</f>
        <v/>
      </c>
      <c r="CA27" s="50" t="n"/>
      <c r="CC27" s="50" t="n"/>
      <c r="CD27" s="50" t="n"/>
      <c r="CE27" s="50" t="n"/>
      <c r="CI27" s="5" t="n"/>
      <c r="DA27" s="5" t="n"/>
      <c r="DD27" s="5" t="n"/>
      <c r="DO27" s="5" t="n"/>
      <c r="DP27" s="5" t="n"/>
      <c r="DT27" s="5" t="n"/>
      <c r="EA27" s="5" t="n"/>
      <c r="ED27" s="5" t="n"/>
      <c r="EE27" s="327" t="n"/>
      <c r="EI27" s="327" t="n"/>
      <c r="EK27" s="327" t="n"/>
      <c r="EM27" s="327" t="n"/>
    </row>
    <row r="28" hidden="1" ht="18.75" customHeight="1">
      <c r="A28" s="289" t="inlineStr">
        <is>
          <t>CAIXA M NAT./24</t>
        </is>
      </c>
      <c r="B28" s="290" t="n">
        <v>100</v>
      </c>
      <c r="C28" s="769" t="n">
        <v>746</v>
      </c>
      <c r="D28" s="217" t="n"/>
      <c r="F28" s="699" t="n">
        <v>6</v>
      </c>
      <c r="G28" s="699" t="n">
        <v>2</v>
      </c>
      <c r="H28" s="697" t="n">
        <v>2</v>
      </c>
      <c r="I28" s="697" t="n">
        <v>2</v>
      </c>
      <c r="J28" s="697" t="n">
        <v>2</v>
      </c>
      <c r="K28" s="697" t="n">
        <v>1</v>
      </c>
      <c r="L28" s="697" t="n">
        <v>1</v>
      </c>
      <c r="M28" s="697" t="n">
        <v>1</v>
      </c>
      <c r="N28" s="697" t="n">
        <v>1</v>
      </c>
      <c r="O28" s="697" t="n">
        <v>1</v>
      </c>
      <c r="P28" s="697" t="n">
        <v>1</v>
      </c>
      <c r="Q28" s="697" t="n">
        <v>1</v>
      </c>
      <c r="R28" s="697" t="n">
        <v>1</v>
      </c>
      <c r="S28" s="697" t="n">
        <v>1</v>
      </c>
      <c r="T28" s="697" t="n">
        <v>1</v>
      </c>
      <c r="U28" s="697" t="n">
        <v>1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1</v>
      </c>
      <c r="AE28" s="697" t="n">
        <v>1</v>
      </c>
      <c r="AF28" s="697" t="n">
        <v>1</v>
      </c>
      <c r="AG28" s="697" t="n">
        <v>1</v>
      </c>
      <c r="AH28" s="697" t="n">
        <v>1</v>
      </c>
      <c r="AI28" s="697" t="n">
        <v>1</v>
      </c>
      <c r="AJ28" s="697" t="n">
        <v>1</v>
      </c>
      <c r="AK28" s="697" t="n">
        <v>1</v>
      </c>
      <c r="AL28" s="697" t="n">
        <v>1</v>
      </c>
      <c r="AM28" s="697" t="n">
        <v>1</v>
      </c>
      <c r="AN28" s="697" t="n">
        <v>1</v>
      </c>
      <c r="AO28" s="697" t="n">
        <v>1</v>
      </c>
      <c r="AP28" s="697" t="n">
        <v>1</v>
      </c>
      <c r="AQ28" s="697" t="n">
        <v>1</v>
      </c>
      <c r="AR28" s="697" t="n">
        <v>1</v>
      </c>
      <c r="AS28" s="697" t="n">
        <v>1</v>
      </c>
      <c r="AT28" s="697" t="n">
        <v>1</v>
      </c>
      <c r="AU28" s="697" t="n">
        <v>1</v>
      </c>
      <c r="AV28" s="697" t="n">
        <v>1</v>
      </c>
      <c r="AW28" s="697" t="n">
        <v>1</v>
      </c>
      <c r="AX28" s="697" t="n">
        <v>1</v>
      </c>
      <c r="AY28" s="697" t="n">
        <v>1</v>
      </c>
      <c r="AZ28" s="314" t="n">
        <v>8</v>
      </c>
      <c r="BA28" s="314" t="n">
        <v>8</v>
      </c>
      <c r="BB28" s="697" t="n">
        <v>8</v>
      </c>
      <c r="BC28" s="697" t="n">
        <v>0</v>
      </c>
      <c r="BD28" s="697" t="n">
        <v>0</v>
      </c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I28" s="5" t="n"/>
      <c r="DA28" s="5" t="n"/>
      <c r="DO28" s="5" t="n"/>
      <c r="DP28" s="5" t="n"/>
      <c r="DT28" s="5" t="n"/>
      <c r="EE28" s="327" t="n"/>
      <c r="EI28" s="327" t="n"/>
      <c r="EK28" s="327" t="n"/>
      <c r="EM28" s="327" t="n"/>
    </row>
    <row r="29" hidden="1" ht="18.75" customHeight="1">
      <c r="A29" s="289" t="inlineStr">
        <is>
          <t>CAIXA G NAT./24</t>
        </is>
      </c>
      <c r="B29" s="290" t="n">
        <v>50</v>
      </c>
      <c r="C29" s="769" t="n">
        <v>777</v>
      </c>
      <c r="D29" s="217" t="n"/>
      <c r="F29" s="699" t="n">
        <v>0</v>
      </c>
      <c r="G29" s="699" t="n">
        <v>0</v>
      </c>
      <c r="H29" s="697" t="n">
        <v>0</v>
      </c>
      <c r="I29" s="697" t="n">
        <v>0</v>
      </c>
      <c r="J29" s="697" t="n">
        <v>0</v>
      </c>
      <c r="K29" s="697" t="n">
        <v>0</v>
      </c>
      <c r="L29" s="697" t="n">
        <v>0</v>
      </c>
      <c r="M29" s="697" t="n">
        <v>0</v>
      </c>
      <c r="N29" s="697" t="n">
        <v>0</v>
      </c>
      <c r="O29" s="697" t="n">
        <v>0</v>
      </c>
      <c r="P29" s="697" t="n">
        <v>0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I29" s="5" t="n"/>
      <c r="DA29" s="5" t="n"/>
      <c r="DO29" s="5" t="n"/>
      <c r="DP29" s="5" t="n"/>
      <c r="DT29" s="5" t="n"/>
      <c r="EE29" s="327" t="n"/>
      <c r="EI29" s="327" t="n"/>
      <c r="EK29" s="327" t="n"/>
      <c r="EM29" s="327" t="n"/>
    </row>
    <row r="30" hidden="1" ht="18.75" customHeight="1">
      <c r="A30" s="289" t="inlineStr">
        <is>
          <t>CARTUCHO P NAT./24</t>
        </is>
      </c>
      <c r="B30" s="290" t="n">
        <v>200</v>
      </c>
      <c r="C30" s="769" t="n">
        <v>486</v>
      </c>
      <c r="D30" s="217" t="n"/>
      <c r="F30" s="699" t="n">
        <v>1</v>
      </c>
      <c r="G30" s="697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I30" s="5" t="n"/>
      <c r="DA30" s="5" t="n"/>
      <c r="DO30" s="5" t="n"/>
      <c r="DP30" s="5" t="n"/>
      <c r="DT30" s="5" t="n"/>
      <c r="EB30" s="59" t="n"/>
      <c r="EC30" s="59" t="n"/>
      <c r="EE30" s="327" t="n"/>
      <c r="EF30" s="59" t="n"/>
      <c r="EG30" s="59" t="n"/>
      <c r="EH30" s="59" t="n"/>
      <c r="EI30" s="327" t="n"/>
      <c r="EJ30" s="59" t="n"/>
      <c r="EK30" s="327" t="n"/>
      <c r="EL30" s="59" t="n"/>
      <c r="EM30" s="327" t="n"/>
      <c r="EN30" s="59" t="n"/>
      <c r="EO30" s="59" t="n"/>
      <c r="EP30" s="59" t="n"/>
      <c r="EQ30" s="59" t="n"/>
      <c r="ER30" s="59" t="n"/>
      <c r="ES30" s="59" t="n"/>
      <c r="ET30" s="59" t="n"/>
      <c r="EU30" s="59" t="n"/>
      <c r="EV30" s="59" t="n"/>
      <c r="EW30" s="59" t="n"/>
      <c r="EX30" s="59" t="n"/>
      <c r="EY30" s="59" t="n"/>
    </row>
    <row r="31" hidden="1" ht="18.75" customHeight="1">
      <c r="A31" s="289" t="inlineStr">
        <is>
          <t>CARTUCHO M NAT./24</t>
        </is>
      </c>
      <c r="B31" s="290" t="n">
        <v>150</v>
      </c>
      <c r="C31" s="769" t="n">
        <v>459</v>
      </c>
      <c r="D31" s="217" t="n"/>
      <c r="F31" s="699" t="n">
        <v>4</v>
      </c>
      <c r="G31" s="699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I31" s="5" t="n"/>
      <c r="DA31" s="5" t="n"/>
      <c r="DO31" s="5" t="n"/>
      <c r="DP31" s="5" t="n"/>
      <c r="DT31" s="5" t="n"/>
      <c r="EB31" s="573" t="n"/>
      <c r="EC31" s="573" t="n"/>
      <c r="EE31" s="327" t="n"/>
      <c r="EF31" s="573" t="n"/>
      <c r="EG31" s="573" t="n"/>
      <c r="EH31" s="573" t="n"/>
      <c r="EI31" s="327" t="n"/>
      <c r="EJ31" s="573" t="n"/>
      <c r="EK31" s="327" t="n"/>
      <c r="EL31" s="573" t="n"/>
      <c r="EM31" s="327" t="n"/>
      <c r="EN31" s="573" t="n"/>
      <c r="EO31" s="573" t="n"/>
      <c r="EP31" s="573" t="n"/>
      <c r="EQ31" s="573" t="n"/>
      <c r="ER31" s="573" t="n"/>
      <c r="ES31" s="573" t="n"/>
      <c r="ET31" s="573" t="n"/>
      <c r="EU31" s="573" t="n"/>
      <c r="EV31" s="573" t="n"/>
      <c r="EW31" s="573" t="n"/>
      <c r="EX31" s="573" t="n"/>
      <c r="EY31" s="573" t="n"/>
    </row>
    <row r="32" ht="18.75" customHeight="1">
      <c r="A32" s="289" t="inlineStr">
        <is>
          <t>ÁRVORE</t>
        </is>
      </c>
      <c r="B32" s="290" t="n">
        <v>100</v>
      </c>
      <c r="C32" s="769" t="n">
        <v>295</v>
      </c>
      <c r="D32" s="217" t="n"/>
      <c r="F32" s="699" t="n">
        <v>1</v>
      </c>
      <c r="G32" s="699" t="n">
        <v>1</v>
      </c>
      <c r="H32" s="697" t="n">
        <v>1</v>
      </c>
      <c r="I32" s="697" t="n">
        <v>1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>
        <v>0</v>
      </c>
      <c r="AZ32" s="314" t="n">
        <v>17</v>
      </c>
      <c r="BA32" s="314" t="n">
        <v>17</v>
      </c>
      <c r="BB32" s="697" t="n">
        <v>17</v>
      </c>
      <c r="BC32" s="697" t="n">
        <v>10</v>
      </c>
      <c r="BD32" s="697" t="n">
        <v>10</v>
      </c>
      <c r="BE32" s="697" t="n">
        <v>9</v>
      </c>
      <c r="BF32" s="697" t="n">
        <v>8</v>
      </c>
      <c r="BG32" s="697" t="n">
        <v>8</v>
      </c>
      <c r="BH32" s="697" t="n">
        <v>3</v>
      </c>
      <c r="BI32" s="697" t="n">
        <v>3</v>
      </c>
      <c r="BJ32" s="697" t="n">
        <v>3</v>
      </c>
      <c r="BK32" s="697" t="n">
        <v>3</v>
      </c>
      <c r="BL32" s="697" t="n">
        <v>3</v>
      </c>
      <c r="BM32" s="697" t="n">
        <v>3</v>
      </c>
      <c r="BN32" s="697" t="n">
        <v>3</v>
      </c>
      <c r="BO32" s="697" t="n">
        <v>3</v>
      </c>
      <c r="BP32" s="697" t="n">
        <v>3</v>
      </c>
      <c r="BQ32" s="697" t="n">
        <v>3</v>
      </c>
      <c r="BR32" s="697" t="n">
        <v>3</v>
      </c>
      <c r="BS32" s="697" t="n">
        <v>3</v>
      </c>
      <c r="BT32" s="697" t="n">
        <v>3</v>
      </c>
      <c r="BU32" s="697" t="n">
        <v>3</v>
      </c>
      <c r="BV32" s="697" t="n">
        <v>3</v>
      </c>
      <c r="BW32" s="697" t="n">
        <v>3</v>
      </c>
      <c r="BX32" s="697" t="n">
        <v>3</v>
      </c>
      <c r="BY32" s="697" t="n">
        <v>3</v>
      </c>
      <c r="BZ32" s="192">
        <f>BX32+IF(NOT(ISBLANK(OFFSET(BZ32,0,6))),N(OFFSET(BZ32,0,6)),N(OFFSET(BZ32,0,7)))-BY32</f>
        <v/>
      </c>
      <c r="CI32" s="5" t="n"/>
      <c r="DA32" s="5" t="n"/>
      <c r="DO32" s="5" t="n"/>
      <c r="DP32" s="5" t="n"/>
      <c r="DT32" s="5" t="n"/>
      <c r="EB32" s="573" t="n"/>
      <c r="EC32" s="573" t="n"/>
      <c r="EE32" s="327" t="n"/>
      <c r="EF32" s="573" t="n"/>
      <c r="EG32" s="573" t="n"/>
      <c r="EH32" s="573" t="n"/>
      <c r="EI32" s="327" t="n"/>
      <c r="EJ32" s="573" t="n"/>
      <c r="EK32" s="327" t="n"/>
      <c r="EL32" s="573" t="n"/>
      <c r="EM32" s="327" t="n"/>
      <c r="EN32" s="573" t="n"/>
      <c r="EO32" s="573" t="n"/>
      <c r="EP32" s="573" t="n"/>
      <c r="EQ32" s="573" t="n"/>
      <c r="ER32" s="573" t="n"/>
      <c r="ES32" s="573" t="n"/>
      <c r="ET32" s="573" t="n"/>
      <c r="EU32" s="573" t="n"/>
      <c r="EV32" s="573" t="n"/>
      <c r="EW32" s="573" t="n"/>
      <c r="EX32" s="573" t="n"/>
      <c r="EY32" s="573" t="n"/>
    </row>
    <row r="33" ht="18.75" customHeight="1">
      <c r="A33" s="289" t="inlineStr">
        <is>
          <t>BOLA</t>
        </is>
      </c>
      <c r="B33" s="290" t="n">
        <v>100</v>
      </c>
      <c r="C33" s="769" t="n">
        <v>283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>
        <v>0</v>
      </c>
      <c r="AZ33" s="314" t="n">
        <v>30</v>
      </c>
      <c r="BA33" s="314" t="n">
        <v>30</v>
      </c>
      <c r="BB33" s="697" t="n">
        <v>30</v>
      </c>
      <c r="BC33" s="697" t="n">
        <v>10</v>
      </c>
      <c r="BD33" s="697" t="n">
        <v>10</v>
      </c>
      <c r="BE33" s="697" t="n">
        <v>8</v>
      </c>
      <c r="BF33" s="697" t="n">
        <v>8</v>
      </c>
      <c r="BG33" s="697" t="n">
        <v>8</v>
      </c>
      <c r="BH33" s="697" t="n">
        <v>7</v>
      </c>
      <c r="BI33" s="697" t="n">
        <v>7</v>
      </c>
      <c r="BJ33" s="697" t="n">
        <v>6</v>
      </c>
      <c r="BK33" s="697" t="n">
        <v>6</v>
      </c>
      <c r="BL33" s="697" t="n">
        <v>6</v>
      </c>
      <c r="BM33" s="697" t="n">
        <v>6</v>
      </c>
      <c r="BN33" s="697" t="n">
        <v>6</v>
      </c>
      <c r="BO33" s="697" t="n">
        <v>6</v>
      </c>
      <c r="BP33" s="697" t="n">
        <v>6</v>
      </c>
      <c r="BQ33" s="697" t="n">
        <v>6</v>
      </c>
      <c r="BR33" s="697" t="n">
        <v>6</v>
      </c>
      <c r="BS33" s="697" t="n">
        <v>6</v>
      </c>
      <c r="BT33" s="697" t="n">
        <v>6</v>
      </c>
      <c r="BU33" s="697" t="n">
        <v>6</v>
      </c>
      <c r="BV33" s="697" t="n">
        <v>6</v>
      </c>
      <c r="BW33" s="697" t="n">
        <v>6</v>
      </c>
      <c r="BX33" s="697" t="n">
        <v>6</v>
      </c>
      <c r="BY33" s="697" t="n">
        <v>6</v>
      </c>
      <c r="BZ33" s="192">
        <f>BX33+IF(NOT(ISBLANK(OFFSET(BZ33,0,6))),N(OFFSET(BZ33,0,6)),N(OFFSET(BZ33,0,7)))-BY33</f>
        <v/>
      </c>
      <c r="CI33" s="5" t="n"/>
      <c r="DA33" s="5" t="n"/>
      <c r="DO33" s="5" t="n"/>
      <c r="DP33" s="5" t="n"/>
      <c r="DT33" s="5" t="n"/>
      <c r="EB33" s="573" t="n"/>
      <c r="EC33" s="573" t="n"/>
      <c r="EE33" s="327" t="n"/>
      <c r="EF33" s="573" t="n"/>
      <c r="EG33" s="573" t="n"/>
      <c r="EH33" s="573" t="n"/>
      <c r="EI33" s="327" t="n"/>
      <c r="EJ33" s="573" t="n"/>
      <c r="EK33" s="327" t="n"/>
      <c r="EL33" s="573" t="n"/>
      <c r="EM33" s="327" t="n"/>
      <c r="EN33" s="573" t="n"/>
      <c r="EO33" s="573" t="n"/>
      <c r="EP33" s="573" t="n"/>
      <c r="EQ33" s="573" t="n"/>
      <c r="ER33" s="573" t="n"/>
      <c r="ES33" s="573" t="n"/>
      <c r="ET33" s="573" t="n"/>
      <c r="EU33" s="573" t="n"/>
      <c r="EV33" s="573" t="n"/>
      <c r="EW33" s="573" t="n"/>
      <c r="EX33" s="573" t="n"/>
      <c r="EY33" s="573" t="n"/>
    </row>
    <row r="34" hidden="1" ht="18.75" customHeight="1">
      <c r="A34" s="284" t="inlineStr">
        <is>
          <t>CAIXA P MÃES/25</t>
        </is>
      </c>
      <c r="B34" s="285" t="n">
        <v>150</v>
      </c>
      <c r="C34" s="770" t="n">
        <v>781.05</v>
      </c>
      <c r="D34" s="217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699" t="n">
        <v>68</v>
      </c>
      <c r="AA34" s="699" t="n">
        <v>62</v>
      </c>
      <c r="AB34" s="697" t="n">
        <v>56</v>
      </c>
      <c r="AC34" s="697" t="n">
        <v>55</v>
      </c>
      <c r="AD34" s="697" t="n">
        <v>38</v>
      </c>
      <c r="AE34" s="697" t="n">
        <v>37</v>
      </c>
      <c r="AF34" s="697" t="n">
        <v>36</v>
      </c>
      <c r="AG34" s="697" t="n">
        <v>34</v>
      </c>
      <c r="AH34" s="697" t="n">
        <v>30</v>
      </c>
      <c r="AI34" s="697" t="n">
        <v>30</v>
      </c>
      <c r="AJ34" s="697" t="n">
        <v>29</v>
      </c>
      <c r="AK34" s="697" t="n">
        <v>27</v>
      </c>
      <c r="AL34" s="697" t="n">
        <v>27</v>
      </c>
      <c r="AM34" s="697" t="n">
        <v>26</v>
      </c>
      <c r="AN34" s="697" t="n">
        <v>23</v>
      </c>
      <c r="AO34" s="697" t="n">
        <v>17</v>
      </c>
      <c r="AP34" s="697" t="n">
        <v>16</v>
      </c>
      <c r="AQ34" s="697" t="n">
        <v>16</v>
      </c>
      <c r="AR34" s="697" t="n">
        <v>12</v>
      </c>
      <c r="AS34" s="697" t="n">
        <v>11</v>
      </c>
      <c r="AT34" s="697" t="n">
        <v>9</v>
      </c>
      <c r="AU34" s="697" t="n">
        <v>7</v>
      </c>
      <c r="AV34" s="697" t="n">
        <v>7</v>
      </c>
      <c r="AW34" s="697" t="n">
        <v>2</v>
      </c>
      <c r="AX34" s="697" t="n">
        <v>0</v>
      </c>
      <c r="AY34" s="697" t="n">
        <v>0</v>
      </c>
      <c r="AZ34" s="697" t="n">
        <v>0</v>
      </c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I34" s="5" t="n"/>
      <c r="DA34" s="5" t="n"/>
      <c r="DO34" s="5" t="n"/>
      <c r="DP34" s="5" t="n"/>
      <c r="DT34" s="5" t="n"/>
      <c r="EB34" s="573" t="n"/>
      <c r="EC34" s="573" t="n"/>
      <c r="EE34" s="327" t="n"/>
      <c r="EF34" s="573" t="n"/>
      <c r="EG34" s="573" t="n"/>
      <c r="EH34" s="573" t="n"/>
      <c r="EI34" s="327" t="n"/>
      <c r="EJ34" s="573" t="n"/>
      <c r="EK34" s="327" t="n"/>
      <c r="EL34" s="573" t="n"/>
      <c r="EM34" s="327" t="n"/>
      <c r="EN34" s="573" t="n"/>
      <c r="EO34" s="573" t="n"/>
      <c r="EP34" s="573" t="n"/>
      <c r="EQ34" s="573" t="n"/>
      <c r="ER34" s="573" t="n"/>
      <c r="ES34" s="573" t="n"/>
      <c r="ET34" s="573" t="n"/>
      <c r="EU34" s="573" t="n"/>
      <c r="EV34" s="573" t="n"/>
      <c r="EW34" s="573" t="n"/>
      <c r="EX34" s="573" t="n"/>
      <c r="EY34" s="573" t="n"/>
    </row>
    <row r="35" hidden="1" ht="18.75" customHeight="1">
      <c r="A35" s="284" t="inlineStr">
        <is>
          <t>CAIXA M MÃES/25</t>
        </is>
      </c>
      <c r="B35" s="285" t="n">
        <v>100</v>
      </c>
      <c r="C35" s="770" t="n">
        <v>789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17</v>
      </c>
      <c r="AA35" s="699" t="n">
        <v>10</v>
      </c>
      <c r="AB35" s="697" t="n">
        <v>8</v>
      </c>
      <c r="AC35" s="697" t="n">
        <v>4</v>
      </c>
      <c r="AD35" s="697" t="n">
        <v>0</v>
      </c>
      <c r="AE35" s="697" t="n">
        <v>0</v>
      </c>
      <c r="AF35" s="697" t="n">
        <v>0</v>
      </c>
      <c r="AG35" s="697" t="n">
        <v>0</v>
      </c>
      <c r="AH35" s="697" t="n"/>
      <c r="AI35" s="697" t="n"/>
      <c r="AJ35" s="697" t="n"/>
      <c r="AK35" s="697" t="n"/>
      <c r="AL35" s="697" t="n"/>
      <c r="AM35" s="697" t="n"/>
      <c r="AN35" s="697" t="n"/>
      <c r="AO35" s="697" t="n"/>
      <c r="AP35" s="697" t="n"/>
      <c r="AQ35" s="697" t="n"/>
      <c r="AR35" s="697" t="n"/>
      <c r="AS35" s="697" t="n"/>
      <c r="AT35" s="697" t="n"/>
      <c r="AU35" s="697" t="n"/>
      <c r="AV35" s="697" t="n"/>
      <c r="AW35" s="697" t="n"/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192">
        <f>BX35+IF(NOT(ISBLANK(OFFSET(BZ35,0,6))),N(OFFSET(BZ35,0,6)),N(OFFSET(BZ35,0,7)))-BY35</f>
        <v/>
      </c>
      <c r="CI35" s="5" t="n"/>
      <c r="DA35" s="5" t="n"/>
      <c r="DO35" s="5" t="n"/>
      <c r="DP35" s="5" t="n"/>
      <c r="DT35" s="5" t="n"/>
      <c r="EB35" s="573" t="n"/>
      <c r="EC35" s="573" t="n"/>
      <c r="EE35" s="327" t="n"/>
      <c r="EF35" s="573" t="n"/>
      <c r="EG35" s="573" t="n"/>
      <c r="EH35" s="573" t="n"/>
      <c r="EI35" s="327" t="n"/>
      <c r="EJ35" s="573" t="n"/>
      <c r="EK35" s="327" t="n"/>
      <c r="EL35" s="573" t="n"/>
      <c r="EM35" s="327" t="n"/>
      <c r="EN35" s="573" t="n"/>
      <c r="EO35" s="573" t="n"/>
      <c r="EP35" s="573" t="n"/>
      <c r="EQ35" s="573" t="n"/>
      <c r="ER35" s="573" t="n"/>
      <c r="ES35" s="573" t="n"/>
      <c r="ET35" s="573" t="n"/>
      <c r="EU35" s="573" t="n"/>
      <c r="EV35" s="573" t="n"/>
      <c r="EW35" s="573" t="n"/>
      <c r="EX35" s="573" t="n"/>
      <c r="EY35" s="573" t="n"/>
    </row>
    <row r="36" hidden="1" ht="18.75" customHeight="1">
      <c r="A36" s="284" t="inlineStr">
        <is>
          <t>CAIXA G MÃES/25</t>
        </is>
      </c>
      <c r="B36" s="285" t="n">
        <v>75</v>
      </c>
      <c r="C36" s="770" t="n">
        <v>844.05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0</v>
      </c>
      <c r="AA36" s="699" t="n">
        <v>0</v>
      </c>
      <c r="AB36" s="697" t="n">
        <v>0</v>
      </c>
      <c r="AC36" s="697" t="n">
        <v>0</v>
      </c>
      <c r="AD36" s="697" t="n">
        <v>0</v>
      </c>
      <c r="AE36" s="697" t="n">
        <v>0</v>
      </c>
      <c r="AF36" s="697" t="n">
        <v>0</v>
      </c>
      <c r="AG36" s="697" t="n">
        <v>0</v>
      </c>
      <c r="AH36" s="697" t="n"/>
      <c r="AI36" s="697" t="n"/>
      <c r="AJ36" s="697" t="n"/>
      <c r="AK36" s="697" t="n"/>
      <c r="AL36" s="697" t="n"/>
      <c r="AM36" s="697" t="n"/>
      <c r="AN36" s="697" t="n"/>
      <c r="AO36" s="697" t="n"/>
      <c r="AP36" s="697" t="n"/>
      <c r="AQ36" s="697" t="n"/>
      <c r="AR36" s="697" t="n"/>
      <c r="AS36" s="697" t="n"/>
      <c r="AT36" s="697" t="n"/>
      <c r="AU36" s="697" t="n"/>
      <c r="AV36" s="697" t="n"/>
      <c r="AW36" s="697" t="n"/>
      <c r="AX36" s="697" t="n"/>
      <c r="AY36" s="697" t="n"/>
      <c r="AZ36" s="697" t="n"/>
      <c r="BA36" s="697" t="n"/>
      <c r="BB36" s="697" t="n"/>
      <c r="BC36" s="697" t="n"/>
      <c r="BD36" s="697" t="n"/>
      <c r="BE36" s="697" t="n"/>
      <c r="BF36" s="697" t="n"/>
      <c r="BG36" s="697" t="n"/>
      <c r="BH36" s="697" t="n"/>
      <c r="BI36" s="697" t="n"/>
      <c r="BJ36" s="697" t="n"/>
      <c r="BK36" s="697" t="n"/>
      <c r="BL36" s="697" t="n"/>
      <c r="BM36" s="697" t="n"/>
      <c r="BN36" s="697" t="n"/>
      <c r="BO36" s="697" t="n"/>
      <c r="BP36" s="697" t="n"/>
      <c r="BQ36" s="697" t="n"/>
      <c r="BR36" s="697" t="n"/>
      <c r="BS36" s="697" t="n"/>
      <c r="BT36" s="697" t="n"/>
      <c r="BU36" s="697" t="n"/>
      <c r="BV36" s="697" t="n"/>
      <c r="BW36" s="697" t="n"/>
      <c r="BX36" s="697" t="n"/>
      <c r="BY36" s="697" t="n"/>
      <c r="BZ36" s="192">
        <f>BX36+IF(NOT(ISBLANK(OFFSET(BZ36,0,6))),N(OFFSET(BZ36,0,6)),N(OFFSET(BZ36,0,7)))-BY36</f>
        <v/>
      </c>
      <c r="CI36" s="5" t="n"/>
      <c r="DA36" s="5" t="n"/>
      <c r="DO36" s="5" t="n"/>
      <c r="DP36" s="5" t="n"/>
      <c r="DT36" s="5" t="n"/>
      <c r="EB36" s="573" t="n"/>
      <c r="EC36" s="573" t="n"/>
      <c r="EE36" s="327" t="n"/>
      <c r="EF36" s="573" t="n"/>
      <c r="EG36" s="573" t="n"/>
      <c r="EH36" s="573" t="n"/>
      <c r="EI36" s="327" t="n"/>
      <c r="EJ36" s="573" t="n"/>
      <c r="EK36" s="327" t="n"/>
      <c r="EL36" s="573" t="n"/>
      <c r="EM36" s="327" t="n"/>
      <c r="EN36" s="573" t="n"/>
      <c r="EO36" s="573" t="n"/>
      <c r="EP36" s="573" t="n"/>
      <c r="EQ36" s="573" t="n"/>
      <c r="ER36" s="573" t="n"/>
      <c r="ES36" s="573" t="n"/>
      <c r="ET36" s="573" t="n"/>
      <c r="EU36" s="573" t="n"/>
      <c r="EV36" s="573" t="n"/>
      <c r="EW36" s="573" t="n"/>
      <c r="EX36" s="573" t="n"/>
      <c r="EY36" s="573" t="n"/>
    </row>
    <row r="37" hidden="1" ht="18.75" customHeight="1">
      <c r="A37" s="284" t="inlineStr">
        <is>
          <t>CARTUCHO P MÃES/25</t>
        </is>
      </c>
      <c r="B37" s="285" t="n">
        <v>200</v>
      </c>
      <c r="C37" s="770" t="n">
        <v>450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27</v>
      </c>
      <c r="AA37" s="699" t="n">
        <v>1</v>
      </c>
      <c r="AB37" s="697" t="n">
        <v>1</v>
      </c>
      <c r="AC37" s="697" t="n">
        <v>1</v>
      </c>
      <c r="AD37" s="697" t="n">
        <v>1</v>
      </c>
      <c r="AE37" s="697" t="n">
        <v>0</v>
      </c>
      <c r="AF37" s="697" t="n">
        <v>0</v>
      </c>
      <c r="AG37" s="697" t="n">
        <v>0</v>
      </c>
      <c r="AH37" s="697" t="n"/>
      <c r="AI37" s="697" t="n"/>
      <c r="AJ37" s="697" t="n"/>
      <c r="AK37" s="697" t="n"/>
      <c r="AL37" s="697" t="n"/>
      <c r="AM37" s="697" t="n"/>
      <c r="AN37" s="697" t="n"/>
      <c r="AO37" s="697" t="n"/>
      <c r="AP37" s="697" t="n"/>
      <c r="AQ37" s="697" t="n"/>
      <c r="AR37" s="697" t="n"/>
      <c r="AS37" s="697" t="n"/>
      <c r="AT37" s="697" t="n"/>
      <c r="AU37" s="697" t="n"/>
      <c r="AV37" s="697" t="n"/>
      <c r="AW37" s="697" t="n"/>
      <c r="AX37" s="697" t="n"/>
      <c r="AY37" s="697" t="n"/>
      <c r="AZ37" s="697" t="n"/>
      <c r="BA37" s="697" t="n"/>
      <c r="BB37" s="697" t="n"/>
      <c r="BC37" s="697" t="n"/>
      <c r="BD37" s="697" t="n"/>
      <c r="BE37" s="697" t="n"/>
      <c r="BF37" s="697" t="n"/>
      <c r="BG37" s="697" t="n"/>
      <c r="BH37" s="697" t="n"/>
      <c r="BI37" s="697" t="n"/>
      <c r="BJ37" s="697" t="n"/>
      <c r="BK37" s="697" t="n"/>
      <c r="BL37" s="697" t="n"/>
      <c r="BM37" s="697" t="n"/>
      <c r="BN37" s="697" t="n"/>
      <c r="BO37" s="697" t="n"/>
      <c r="BP37" s="697" t="n"/>
      <c r="BQ37" s="697" t="n"/>
      <c r="BR37" s="697" t="n"/>
      <c r="BS37" s="697" t="n"/>
      <c r="BT37" s="697" t="n"/>
      <c r="BU37" s="697" t="n"/>
      <c r="BV37" s="697" t="n"/>
      <c r="BW37" s="697" t="n"/>
      <c r="BX37" s="697" t="n"/>
      <c r="BY37" s="697" t="n"/>
      <c r="BZ37" s="192">
        <f>BX37+IF(NOT(ISBLANK(OFFSET(BZ37,0,6))),N(OFFSET(BZ37,0,6)),N(OFFSET(BZ37,0,7)))-BY37</f>
        <v/>
      </c>
      <c r="CI37" s="5" t="n"/>
      <c r="DA37" s="5" t="n"/>
      <c r="DO37" s="5" t="n"/>
      <c r="DP37" s="5" t="n"/>
      <c r="DT37" s="5" t="n"/>
      <c r="EB37" s="573" t="n"/>
      <c r="EC37" s="573" t="n"/>
      <c r="EE37" s="327" t="n"/>
      <c r="EF37" s="573" t="n"/>
      <c r="EG37" s="573" t="n"/>
      <c r="EH37" s="573" t="n"/>
      <c r="EI37" s="327" t="n"/>
      <c r="EJ37" s="573" t="n"/>
      <c r="EK37" s="327" t="n"/>
      <c r="EL37" s="573" t="n"/>
      <c r="EM37" s="327" t="n"/>
      <c r="EN37" s="573" t="n"/>
      <c r="EO37" s="573" t="n"/>
      <c r="EP37" s="573" t="n"/>
      <c r="EQ37" s="573" t="n"/>
      <c r="ER37" s="573" t="n"/>
      <c r="ES37" s="573" t="n"/>
      <c r="ET37" s="573" t="n"/>
      <c r="EU37" s="573" t="n"/>
      <c r="EV37" s="573" t="n"/>
      <c r="EW37" s="573" t="n"/>
      <c r="EX37" s="573" t="n"/>
      <c r="EY37" s="573" t="n"/>
    </row>
    <row r="38" hidden="1" ht="18.75" customHeight="1">
      <c r="A38" s="284" t="inlineStr">
        <is>
          <t>CARTUCHO M MÃES/25</t>
        </is>
      </c>
      <c r="B38" s="285" t="n">
        <v>150</v>
      </c>
      <c r="C38" s="770" t="n">
        <v>430.5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0</v>
      </c>
      <c r="AA38" s="699" t="n">
        <v>0</v>
      </c>
      <c r="AB38" s="697" t="n">
        <v>0</v>
      </c>
      <c r="AC38" s="697" t="n">
        <v>0</v>
      </c>
      <c r="AD38" s="697" t="n">
        <v>0</v>
      </c>
      <c r="AE38" s="697" t="n">
        <v>0</v>
      </c>
      <c r="AF38" s="697" t="n">
        <v>0</v>
      </c>
      <c r="AG38" s="697" t="n">
        <v>0</v>
      </c>
      <c r="AH38" s="697" t="n"/>
      <c r="AI38" s="697" t="n"/>
      <c r="AJ38" s="697" t="n"/>
      <c r="AK38" s="697" t="n"/>
      <c r="AL38" s="697" t="n"/>
      <c r="AM38" s="697" t="n"/>
      <c r="AN38" s="697" t="n"/>
      <c r="AO38" s="697" t="n"/>
      <c r="AP38" s="697" t="n"/>
      <c r="AQ38" s="697" t="n"/>
      <c r="AR38" s="697" t="n"/>
      <c r="AS38" s="697" t="n"/>
      <c r="AT38" s="697" t="n"/>
      <c r="AU38" s="697" t="n"/>
      <c r="AV38" s="697" t="n"/>
      <c r="AW38" s="697" t="n"/>
      <c r="AX38" s="697" t="n"/>
      <c r="AY38" s="697" t="n"/>
      <c r="AZ38" s="697" t="n"/>
      <c r="BA38" s="697" t="n"/>
      <c r="BB38" s="697" t="n"/>
      <c r="BC38" s="697" t="n"/>
      <c r="BD38" s="697" t="n"/>
      <c r="BE38" s="697" t="n"/>
      <c r="BF38" s="697" t="n"/>
      <c r="BG38" s="697" t="n"/>
      <c r="BH38" s="697" t="n"/>
      <c r="BI38" s="697" t="n"/>
      <c r="BJ38" s="697" t="n"/>
      <c r="BK38" s="697" t="n"/>
      <c r="BL38" s="697" t="n"/>
      <c r="BM38" s="697" t="n"/>
      <c r="BN38" s="697" t="n"/>
      <c r="BO38" s="697" t="n"/>
      <c r="BP38" s="697" t="n"/>
      <c r="BQ38" s="697" t="n"/>
      <c r="BR38" s="697" t="n"/>
      <c r="BS38" s="697" t="n"/>
      <c r="BT38" s="697" t="n"/>
      <c r="BU38" s="697" t="n"/>
      <c r="BV38" s="697" t="n"/>
      <c r="BW38" s="697" t="n"/>
      <c r="BX38" s="697" t="n"/>
      <c r="BY38" s="697" t="n"/>
      <c r="BZ38" s="192">
        <f>BX38+IF(NOT(ISBLANK(OFFSET(BZ38,0,6))),N(OFFSET(BZ38,0,6)),N(OFFSET(BZ38,0,7)))-BY38</f>
        <v/>
      </c>
      <c r="CI38" s="5" t="n"/>
      <c r="DA38" s="5" t="n"/>
      <c r="DO38" s="5" t="n"/>
      <c r="DP38" s="5" t="n"/>
      <c r="DT38" s="5" t="n"/>
      <c r="EB38" s="573" t="n"/>
      <c r="EC38" s="573" t="n"/>
      <c r="EE38" s="327" t="n"/>
      <c r="EF38" s="573" t="n"/>
      <c r="EG38" s="573" t="n"/>
      <c r="EH38" s="573" t="n"/>
      <c r="EI38" s="327" t="n"/>
      <c r="EJ38" s="573" t="n"/>
      <c r="EK38" s="327" t="n"/>
      <c r="EL38" s="573" t="n"/>
      <c r="EM38" s="327" t="n"/>
      <c r="EN38" s="573" t="n"/>
      <c r="EO38" s="573" t="n"/>
      <c r="EP38" s="573" t="n"/>
      <c r="EQ38" s="573" t="n"/>
      <c r="ER38" s="573" t="n"/>
      <c r="ES38" s="573" t="n"/>
      <c r="ET38" s="573" t="n"/>
      <c r="EU38" s="573" t="n"/>
      <c r="EV38" s="573" t="n"/>
      <c r="EW38" s="573" t="n"/>
      <c r="EX38" s="573" t="n"/>
      <c r="EY38" s="573" t="n"/>
    </row>
    <row r="39" hidden="1" ht="18.75" customHeight="1">
      <c r="A39" s="400" t="inlineStr">
        <is>
          <t>CAIXA M NAMO/25</t>
        </is>
      </c>
      <c r="B39" s="357" t="n">
        <v>100</v>
      </c>
      <c r="C39" s="771" t="n">
        <v>789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7" t="n">
        <v>0</v>
      </c>
      <c r="AC39" s="697" t="n">
        <v>0</v>
      </c>
      <c r="AD39" s="697" t="n">
        <v>0</v>
      </c>
      <c r="AE39" s="697" t="n">
        <v>0</v>
      </c>
      <c r="AF39" s="697" t="n">
        <v>21</v>
      </c>
      <c r="AG39" s="697" t="n">
        <v>13</v>
      </c>
      <c r="AH39" s="697" t="n">
        <v>11</v>
      </c>
      <c r="AI39" s="697" t="n">
        <v>9</v>
      </c>
      <c r="AJ39" s="697" t="n">
        <v>7</v>
      </c>
      <c r="AK39" s="697" t="n">
        <v>5</v>
      </c>
      <c r="AL39" s="697" t="n">
        <v>3</v>
      </c>
      <c r="AM39" s="697" t="n">
        <v>2</v>
      </c>
      <c r="AN39" s="697" t="n">
        <v>0</v>
      </c>
      <c r="AO39" s="697" t="n"/>
      <c r="AP39" s="697" t="n"/>
      <c r="AQ39" s="697" t="n"/>
      <c r="AR39" s="697" t="n"/>
      <c r="AS39" s="697" t="n"/>
      <c r="AT39" s="697" t="n"/>
      <c r="AU39" s="697" t="n"/>
      <c r="AV39" s="697" t="n"/>
      <c r="AW39" s="697" t="n"/>
      <c r="AX39" s="697" t="n"/>
      <c r="AY39" s="697" t="n"/>
      <c r="AZ39" s="697" t="n"/>
      <c r="BA39" s="697" t="n"/>
      <c r="BB39" s="697" t="n"/>
      <c r="BC39" s="697" t="n"/>
      <c r="BD39" s="697" t="n"/>
      <c r="BE39" s="697" t="n"/>
      <c r="BF39" s="697" t="n"/>
      <c r="BG39" s="697" t="n"/>
      <c r="BH39" s="697" t="n"/>
      <c r="BI39" s="697" t="n"/>
      <c r="BJ39" s="697" t="n"/>
      <c r="BK39" s="697" t="n"/>
      <c r="BL39" s="697" t="n"/>
      <c r="BM39" s="697" t="n"/>
      <c r="BN39" s="697" t="n"/>
      <c r="BO39" s="697" t="n"/>
      <c r="BP39" s="697" t="n"/>
      <c r="BQ39" s="697" t="n"/>
      <c r="BR39" s="697" t="n"/>
      <c r="BS39" s="697" t="n"/>
      <c r="BT39" s="697" t="n"/>
      <c r="BU39" s="697" t="n"/>
      <c r="BV39" s="697" t="n"/>
      <c r="BW39" s="697" t="n"/>
      <c r="BX39" s="697" t="n"/>
      <c r="BY39" s="697" t="n"/>
      <c r="BZ39" s="192">
        <f>BX39+IF(NOT(ISBLANK(OFFSET(BZ39,0,6))),N(OFFSET(BZ39,0,6)),N(OFFSET(BZ39,0,7)))-BY39</f>
        <v/>
      </c>
      <c r="CI39" s="51" t="n"/>
      <c r="DA39" s="5" t="n"/>
      <c r="DO39" s="5" t="n"/>
      <c r="DP39" s="5" t="n"/>
      <c r="DT39" s="5" t="n"/>
      <c r="EB39" s="573" t="n"/>
      <c r="EC39" s="573" t="n"/>
      <c r="EE39" s="327" t="n"/>
      <c r="EF39" s="573" t="n"/>
      <c r="EG39" s="573" t="n"/>
      <c r="EH39" s="573" t="n"/>
      <c r="EI39" s="327" t="n"/>
      <c r="EJ39" s="573" t="n"/>
      <c r="EK39" s="327" t="n"/>
      <c r="EL39" s="573" t="n"/>
      <c r="EM39" s="327" t="n"/>
      <c r="EN39" s="573" t="n"/>
      <c r="EO39" s="573" t="n"/>
      <c r="EP39" s="573" t="n"/>
      <c r="EQ39" s="573" t="n"/>
      <c r="ER39" s="573" t="n"/>
      <c r="ES39" s="573" t="n"/>
      <c r="ET39" s="573" t="n"/>
      <c r="EU39" s="573" t="n"/>
      <c r="EV39" s="573" t="n"/>
      <c r="EW39" s="573" t="n"/>
      <c r="EX39" s="573" t="n"/>
      <c r="EY39" s="573" t="n"/>
    </row>
    <row r="40" hidden="1" ht="18.75" customHeight="1">
      <c r="A40" s="423" t="inlineStr">
        <is>
          <t>CAIXA M</t>
        </is>
      </c>
      <c r="B40" s="424" t="n">
        <v>100</v>
      </c>
      <c r="C40" s="771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697" t="n">
        <v>8</v>
      </c>
      <c r="AP40" s="697" t="n">
        <v>8</v>
      </c>
      <c r="AQ40" s="697" t="n">
        <v>7</v>
      </c>
      <c r="AR40" s="697" t="n">
        <v>7</v>
      </c>
      <c r="AS40" s="697" t="n">
        <v>6</v>
      </c>
      <c r="AT40" s="697" t="n">
        <v>6</v>
      </c>
      <c r="AU40" s="697" t="n">
        <v>6</v>
      </c>
      <c r="AV40" s="697" t="n">
        <v>6</v>
      </c>
      <c r="AW40" s="697" t="n">
        <v>6</v>
      </c>
      <c r="AX40" s="697" t="n">
        <v>5</v>
      </c>
      <c r="AY40" s="697" t="n">
        <v>4</v>
      </c>
      <c r="AZ40" s="697" t="n">
        <v>0</v>
      </c>
      <c r="BA40" s="697" t="n">
        <v>0</v>
      </c>
      <c r="BB40" s="697" t="n"/>
      <c r="BC40" s="697" t="n"/>
      <c r="BD40" s="697" t="n"/>
      <c r="BE40" s="697" t="n"/>
      <c r="BF40" s="697" t="n"/>
      <c r="BG40" s="697" t="n"/>
      <c r="BH40" s="697" t="n"/>
      <c r="BI40" s="697" t="n"/>
      <c r="BJ40" s="697" t="n"/>
      <c r="BK40" s="697" t="n"/>
      <c r="BL40" s="697" t="n"/>
      <c r="BM40" s="697" t="n"/>
      <c r="BN40" s="697" t="n"/>
      <c r="BO40" s="697" t="n"/>
      <c r="BP40" s="697" t="n"/>
      <c r="BQ40" s="697" t="n"/>
      <c r="BR40" s="697" t="n"/>
      <c r="BS40" s="697" t="n"/>
      <c r="BT40" s="697" t="n"/>
      <c r="BU40" s="697" t="n"/>
      <c r="BV40" s="697" t="n"/>
      <c r="BW40" s="697" t="n"/>
      <c r="BX40" s="697" t="n"/>
      <c r="BY40" s="697" t="n"/>
      <c r="BZ40" s="192">
        <f>BX40+IF(NOT(ISBLANK(OFFSET(BZ40,0,6))),N(OFFSET(BZ40,0,6)),N(OFFSET(BZ40,0,7)))-BY40</f>
        <v/>
      </c>
      <c r="CI40" s="51" t="n"/>
      <c r="DA40" s="5" t="n"/>
      <c r="DO40" s="5" t="n"/>
      <c r="DP40" s="5" t="n"/>
      <c r="DT40" s="5" t="n"/>
      <c r="EB40" s="573" t="n"/>
      <c r="EC40" s="573" t="n"/>
      <c r="EE40" s="327" t="n"/>
      <c r="EF40" s="573" t="n"/>
      <c r="EG40" s="573" t="n"/>
      <c r="EH40" s="573" t="n"/>
      <c r="EI40" s="327" t="n"/>
      <c r="EJ40" s="573" t="n"/>
      <c r="EK40" s="327" t="n"/>
      <c r="EL40" s="573" t="n"/>
      <c r="EM40" s="327" t="n"/>
      <c r="EN40" s="573" t="n"/>
      <c r="EO40" s="573" t="n"/>
      <c r="EP40" s="573" t="n"/>
      <c r="EQ40" s="573" t="n"/>
      <c r="ER40" s="573" t="n"/>
      <c r="ES40" s="573" t="n"/>
      <c r="ET40" s="573" t="n"/>
      <c r="EU40" s="573" t="n"/>
      <c r="EV40" s="573" t="n"/>
      <c r="EW40" s="573" t="n"/>
      <c r="EX40" s="573" t="n"/>
      <c r="EY40" s="573" t="n"/>
    </row>
    <row r="41" hidden="1" ht="18.75" customHeight="1">
      <c r="A41" s="423" t="inlineStr">
        <is>
          <t>PIN MELHOR PAI DO MDO</t>
        </is>
      </c>
      <c r="B41" s="424" t="n">
        <v>25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4" t="n"/>
      <c r="AC41" s="4" t="n"/>
      <c r="AD41" s="4" t="n"/>
      <c r="AE41" s="4" t="n"/>
      <c r="AF41" s="4" t="n"/>
      <c r="AG41" s="4" t="n"/>
      <c r="AH41" s="4" t="n"/>
      <c r="AI41" s="4" t="n"/>
      <c r="AJ41" s="4" t="n"/>
      <c r="AK41" s="4" t="n"/>
      <c r="AL41" s="4" t="n"/>
      <c r="AM41" s="4" t="n"/>
      <c r="AN41" s="4" t="n"/>
      <c r="AO41" s="697" t="n">
        <v>2</v>
      </c>
      <c r="AP41" s="697" t="n">
        <v>1</v>
      </c>
      <c r="AQ41" s="697" t="n">
        <v>1</v>
      </c>
      <c r="AR41" s="697" t="n">
        <v>1</v>
      </c>
      <c r="AS41" s="697" t="n">
        <v>1</v>
      </c>
      <c r="AT41" s="697" t="n">
        <v>1</v>
      </c>
      <c r="AU41" s="697" t="n">
        <v>1</v>
      </c>
      <c r="AV41" s="697" t="n">
        <v>0</v>
      </c>
      <c r="AW41" s="697" t="n">
        <v>0</v>
      </c>
      <c r="AX41" s="697" t="n"/>
      <c r="AY41" s="697" t="n"/>
      <c r="AZ41" s="697" t="n"/>
      <c r="BA41" s="697" t="n"/>
      <c r="BB41" s="697" t="n"/>
      <c r="BC41" s="697" t="n"/>
      <c r="BD41" s="697" t="n"/>
      <c r="BE41" s="697" t="n"/>
      <c r="BF41" s="697" t="n"/>
      <c r="BG41" s="697" t="n"/>
      <c r="BH41" s="697" t="n"/>
      <c r="BI41" s="697" t="n"/>
      <c r="BJ41" s="697" t="n"/>
      <c r="BK41" s="697" t="n"/>
      <c r="BL41" s="697" t="n"/>
      <c r="BM41" s="697" t="n"/>
      <c r="BN41" s="697" t="n"/>
      <c r="BO41" s="697" t="n"/>
      <c r="BP41" s="697" t="n"/>
      <c r="BQ41" s="697" t="n"/>
      <c r="BR41" s="697" t="n"/>
      <c r="BS41" s="697" t="n"/>
      <c r="BT41" s="697" t="n"/>
      <c r="BU41" s="697" t="n"/>
      <c r="BV41" s="697" t="n"/>
      <c r="BW41" s="697" t="n"/>
      <c r="BX41" s="697" t="n"/>
      <c r="BY41" s="697" t="n"/>
      <c r="BZ41" s="192">
        <f>BX41+IF(NOT(ISBLANK(OFFSET(BZ41,0,6))),N(OFFSET(BZ41,0,6)),N(OFFSET(BZ41,0,7)))-BY41</f>
        <v/>
      </c>
      <c r="CI41" s="573" t="n"/>
      <c r="DA41" s="5" t="n"/>
      <c r="DO41" s="5" t="n"/>
      <c r="DP41" s="5" t="n"/>
      <c r="DT41" s="5" t="n"/>
      <c r="EB41" s="573" t="n"/>
      <c r="EC41" s="573" t="n"/>
      <c r="EE41" s="327" t="n"/>
      <c r="EF41" s="573" t="n"/>
      <c r="EG41" s="573" t="n"/>
      <c r="EH41" s="573" t="n"/>
      <c r="EI41" s="327" t="n"/>
      <c r="EJ41" s="573" t="n"/>
      <c r="EK41" s="327" t="n"/>
      <c r="EL41" s="573" t="n"/>
      <c r="EM41" s="327" t="n"/>
      <c r="EN41" s="573" t="n"/>
      <c r="EO41" s="573" t="n"/>
      <c r="EP41" s="573" t="n"/>
      <c r="EQ41" s="573" t="n"/>
      <c r="ER41" s="573" t="n"/>
      <c r="ES41" s="573" t="n"/>
      <c r="ET41" s="573" t="n"/>
      <c r="EU41" s="573" t="n"/>
      <c r="EV41" s="573" t="n"/>
      <c r="EW41" s="573" t="n"/>
      <c r="EX41" s="573" t="n"/>
      <c r="EY41" s="573" t="n"/>
      <c r="FA41" s="573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</row>
    <row r="42" hidden="1" ht="18.75" customHeight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" t="n"/>
      <c r="AC42" s="4" t="n"/>
      <c r="AD42" s="4" t="n"/>
      <c r="AE42" s="4" t="n"/>
      <c r="AF42" s="4" t="n"/>
      <c r="AG42" s="4" t="n"/>
      <c r="AH42" s="4" t="n"/>
      <c r="AI42" s="4" t="n"/>
      <c r="AJ42" s="4" t="n"/>
      <c r="AK42" s="4" t="n"/>
      <c r="AL42" s="4" t="n"/>
      <c r="AM42" s="4" t="n"/>
      <c r="AN42" s="4" t="n"/>
      <c r="AO42" s="697" t="n">
        <v>3</v>
      </c>
      <c r="AP42" s="697" t="n">
        <v>1</v>
      </c>
      <c r="AQ42" s="697" t="n">
        <v>1</v>
      </c>
      <c r="AR42" s="697" t="n">
        <v>1</v>
      </c>
      <c r="AS42" s="697" t="n">
        <v>1</v>
      </c>
      <c r="AT42" s="697" t="n">
        <v>1</v>
      </c>
      <c r="AU42" s="697" t="n">
        <v>1</v>
      </c>
      <c r="AV42" s="697" t="n">
        <v>0</v>
      </c>
      <c r="AW42" s="697" t="n">
        <v>0</v>
      </c>
      <c r="AX42" s="697" t="n"/>
      <c r="AY42" s="697" t="n"/>
      <c r="AZ42" s="697" t="n"/>
      <c r="BA42" s="697" t="n"/>
      <c r="BB42" s="697" t="n"/>
      <c r="BC42" s="697" t="n"/>
      <c r="BD42" s="697" t="n"/>
      <c r="BE42" s="697" t="n"/>
      <c r="BF42" s="697" t="n"/>
      <c r="BG42" s="697" t="n"/>
      <c r="BH42" s="697" t="n"/>
      <c r="BI42" s="697" t="n"/>
      <c r="BJ42" s="697" t="n"/>
      <c r="BK42" s="697" t="n"/>
      <c r="BL42" s="697" t="n"/>
      <c r="BM42" s="697" t="n"/>
      <c r="BN42" s="697" t="n"/>
      <c r="BO42" s="697" t="n"/>
      <c r="BP42" s="697" t="n"/>
      <c r="BQ42" s="697" t="n"/>
      <c r="BR42" s="697" t="n"/>
      <c r="BS42" s="697" t="n"/>
      <c r="BT42" s="697" t="n"/>
      <c r="BU42" s="697" t="n"/>
      <c r="BV42" s="697" t="n"/>
      <c r="BW42" s="697" t="n"/>
      <c r="BX42" s="697" t="n"/>
      <c r="BY42" s="697" t="n"/>
      <c r="BZ42" s="192">
        <f>BX42+IF(NOT(ISBLANK(OFFSET(BZ42,0,6))),N(OFFSET(BZ42,0,6)),N(OFFSET(BZ42,0,7)))-BY42</f>
        <v/>
      </c>
      <c r="CI42" s="573" t="n"/>
      <c r="DA42" s="5" t="n"/>
      <c r="DO42" s="5" t="n"/>
      <c r="DP42" s="5" t="n"/>
      <c r="DT42" s="5" t="n"/>
      <c r="EB42" s="573" t="n"/>
      <c r="EC42" s="573" t="n"/>
      <c r="EE42" s="327" t="n"/>
      <c r="EF42" s="573" t="n"/>
      <c r="EG42" s="573" t="n"/>
      <c r="EH42" s="573" t="n"/>
      <c r="EI42" s="327" t="n"/>
      <c r="EJ42" s="573" t="n"/>
      <c r="EK42" s="327" t="n"/>
      <c r="EL42" s="573" t="n"/>
      <c r="EM42" s="327" t="n"/>
      <c r="EN42" s="573" t="n"/>
      <c r="EO42" s="573" t="n"/>
      <c r="EP42" s="573" t="n"/>
      <c r="EQ42" s="573" t="n"/>
      <c r="ER42" s="573" t="n"/>
      <c r="ES42" s="573" t="n"/>
      <c r="ET42" s="573" t="n"/>
      <c r="EU42" s="573" t="n"/>
      <c r="EV42" s="573" t="n"/>
      <c r="EW42" s="573" t="n"/>
      <c r="EX42" s="573" t="n"/>
      <c r="EY42" s="573" t="n"/>
      <c r="FA42" s="573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" t="n"/>
      <c r="AC43" s="4" t="n"/>
      <c r="AD43" s="4" t="n"/>
      <c r="AE43" s="4" t="n"/>
      <c r="AF43" s="4" t="n"/>
      <c r="AG43" s="4" t="n"/>
      <c r="AH43" s="4" t="n"/>
      <c r="AI43" s="4" t="n"/>
      <c r="AJ43" s="4" t="n"/>
      <c r="AK43" s="4" t="n"/>
      <c r="AL43" s="4" t="n"/>
      <c r="AM43" s="4" t="n"/>
      <c r="AN43" s="4" t="n"/>
      <c r="AO43" s="697" t="n">
        <v>3</v>
      </c>
      <c r="AP43" s="697" t="n">
        <v>2</v>
      </c>
      <c r="AQ43" s="697" t="n">
        <v>1</v>
      </c>
      <c r="AR43" s="697" t="n">
        <v>1</v>
      </c>
      <c r="AS43" s="697" t="n">
        <v>1</v>
      </c>
      <c r="AT43" s="697" t="n">
        <v>1</v>
      </c>
      <c r="AU43" s="697" t="n">
        <v>0</v>
      </c>
      <c r="AV43" s="697" t="n">
        <v>0</v>
      </c>
      <c r="AW43" s="697" t="n">
        <v>0</v>
      </c>
      <c r="AX43" s="697" t="n"/>
      <c r="AY43" s="697" t="n"/>
      <c r="AZ43" s="697" t="n"/>
      <c r="BA43" s="697" t="n"/>
      <c r="BB43" s="697" t="n"/>
      <c r="BC43" s="697" t="n"/>
      <c r="BD43" s="697" t="n"/>
      <c r="BE43" s="697" t="n"/>
      <c r="BF43" s="697" t="n"/>
      <c r="BG43" s="697" t="n"/>
      <c r="BH43" s="697" t="n"/>
      <c r="BI43" s="697" t="n"/>
      <c r="BJ43" s="697" t="n"/>
      <c r="BK43" s="697" t="n"/>
      <c r="BL43" s="697" t="n"/>
      <c r="BM43" s="697" t="n"/>
      <c r="BN43" s="697" t="n"/>
      <c r="BO43" s="697" t="n"/>
      <c r="BP43" s="697" t="n"/>
      <c r="BQ43" s="697" t="n"/>
      <c r="BR43" s="697" t="n"/>
      <c r="BS43" s="697" t="n"/>
      <c r="BT43" s="697" t="n"/>
      <c r="BU43" s="697" t="n"/>
      <c r="BV43" s="697" t="n"/>
      <c r="BW43" s="697" t="n"/>
      <c r="BX43" s="697" t="n"/>
      <c r="BY43" s="697" t="n"/>
      <c r="BZ43" s="192">
        <f>BX43+IF(NOT(ISBLANK(OFFSET(BZ43,0,6))),N(OFFSET(BZ43,0,6)),N(OFFSET(BZ43,0,7)))-BY43</f>
        <v/>
      </c>
      <c r="CC43" s="50" t="n"/>
      <c r="CD43" s="50" t="n"/>
      <c r="CE43" s="50" t="n"/>
      <c r="CI43" s="573" t="n"/>
      <c r="DA43" s="51" t="n"/>
      <c r="DO43" s="5" t="n"/>
      <c r="DP43" s="5" t="n"/>
      <c r="DT43" s="5" t="n"/>
      <c r="EA43" s="173" t="n"/>
      <c r="EB43" s="573" t="n"/>
      <c r="EC43" s="573" t="n"/>
      <c r="ED43" s="173" t="n"/>
      <c r="EE43" s="327" t="n"/>
      <c r="EF43" s="573" t="n"/>
      <c r="EG43" s="573" t="n"/>
      <c r="EH43" s="573" t="n"/>
      <c r="EI43" s="327" t="n"/>
      <c r="EJ43" s="573" t="n"/>
      <c r="EK43" s="327" t="n"/>
      <c r="EL43" s="573" t="n"/>
      <c r="EM43" s="327" t="n"/>
      <c r="EN43" s="573" t="n"/>
      <c r="EO43" s="573" t="n"/>
      <c r="EP43" s="573" t="n"/>
      <c r="EQ43" s="573" t="n"/>
      <c r="ER43" s="573" t="n"/>
      <c r="ES43" s="573" t="n"/>
      <c r="ET43" s="573" t="n"/>
      <c r="EU43" s="573" t="n"/>
      <c r="EV43" s="573" t="n"/>
      <c r="EW43" s="573" t="n"/>
      <c r="EX43" s="573" t="n"/>
      <c r="EY43" s="573" t="n"/>
      <c r="FA43" s="573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7" t="n">
        <v>97</v>
      </c>
      <c r="BE44" s="697" t="n">
        <v>88</v>
      </c>
      <c r="BF44" s="697" t="n">
        <v>48</v>
      </c>
      <c r="BG44" s="697" t="n">
        <v>40</v>
      </c>
      <c r="BH44" s="697" t="n">
        <v>7</v>
      </c>
      <c r="BI44" s="697" t="n">
        <v>6</v>
      </c>
      <c r="BJ44" s="697" t="n">
        <v>5</v>
      </c>
      <c r="BK44" s="697" t="n">
        <v>3</v>
      </c>
      <c r="BL44" s="697" t="n">
        <v>0</v>
      </c>
      <c r="BM44" s="697" t="n">
        <v>0</v>
      </c>
      <c r="BN44" s="697" t="n">
        <v>0</v>
      </c>
      <c r="BO44" s="697" t="n">
        <v>0</v>
      </c>
      <c r="BP44" s="697" t="n">
        <v>0</v>
      </c>
      <c r="BQ44" s="697" t="n">
        <v>0</v>
      </c>
      <c r="BR44" s="697" t="n">
        <v>0</v>
      </c>
      <c r="BS44" s="697" t="n"/>
      <c r="BT44" s="697" t="n"/>
      <c r="BU44" s="697" t="n"/>
      <c r="BV44" s="697" t="n"/>
      <c r="BW44" s="697" t="n"/>
      <c r="BX44" s="697" t="n"/>
      <c r="BY44" s="697" t="n"/>
      <c r="BZ44" s="192">
        <f>BX44+IF(NOT(ISBLANK(OFFSET(BZ44,0,6))),N(OFFSET(BZ44,0,6)),N(OFFSET(BZ44,0,7)))-BY44</f>
        <v/>
      </c>
      <c r="CA44" s="50" t="n"/>
      <c r="CC44" s="50" t="n"/>
      <c r="CD44" s="50" t="n"/>
      <c r="CE44" s="50" t="n"/>
      <c r="CI44" s="573" t="n"/>
      <c r="DA44" s="51" t="n"/>
      <c r="DO44" s="51" t="n"/>
      <c r="DP44" s="51" t="n"/>
      <c r="DT44" s="51" t="n"/>
      <c r="EA44" s="174" t="n"/>
      <c r="ED44" s="174" t="n"/>
      <c r="EE44" s="327" t="n"/>
      <c r="EI44" s="327" t="n"/>
      <c r="EK44" s="327" t="n"/>
      <c r="EM44" s="327" t="n"/>
      <c r="FA44" s="573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7" t="n">
        <v>164</v>
      </c>
      <c r="BE45" s="697" t="n">
        <v>121</v>
      </c>
      <c r="BF45" s="697" t="n">
        <v>16</v>
      </c>
      <c r="BG45" s="697" t="n">
        <v>9</v>
      </c>
      <c r="BH45" s="697" t="n">
        <v>24</v>
      </c>
      <c r="BI45" s="697" t="n">
        <v>23</v>
      </c>
      <c r="BJ45" s="697" t="n">
        <v>23</v>
      </c>
      <c r="BK45" s="697" t="n">
        <v>22</v>
      </c>
      <c r="BL45" s="697" t="n">
        <v>19</v>
      </c>
      <c r="BM45" s="697" t="n">
        <v>16</v>
      </c>
      <c r="BN45" s="697" t="n">
        <v>15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/>
      <c r="BT45" s="697" t="n"/>
      <c r="BU45" s="697" t="n"/>
      <c r="BV45" s="697" t="n"/>
      <c r="BW45" s="697" t="n"/>
      <c r="BX45" s="697" t="n"/>
      <c r="BY45" s="697" t="n"/>
      <c r="BZ45" s="192">
        <f>BX45+IF(NOT(ISBLANK(OFFSET(BZ45,0,6))),N(OFFSET(BZ45,0,6)),N(OFFSET(BZ45,0,7)))-BY45</f>
        <v/>
      </c>
      <c r="CA45" s="50" t="n"/>
      <c r="CC45" s="50" t="n"/>
      <c r="CD45" s="50" t="n"/>
      <c r="CE45" s="50" t="n"/>
      <c r="DA45" s="51" t="n"/>
      <c r="DO45" s="51" t="n"/>
      <c r="DP45" s="51" t="n"/>
      <c r="DT45" s="51" t="n"/>
      <c r="EA45" s="174" t="n"/>
      <c r="ED45" s="174" t="n"/>
      <c r="EE45" s="327" t="n"/>
      <c r="EI45" s="327" t="n"/>
      <c r="EK45" s="327" t="n"/>
      <c r="EM45" s="327" t="n"/>
    </row>
    <row r="46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7" t="n">
        <v>325</v>
      </c>
      <c r="BE46" s="697" t="n">
        <v>193</v>
      </c>
      <c r="BF46" s="697" t="n">
        <v>54</v>
      </c>
      <c r="BG46" s="697" t="n">
        <v>48</v>
      </c>
      <c r="BH46" s="697" t="n">
        <v>36</v>
      </c>
      <c r="BI46" s="697" t="n">
        <v>36</v>
      </c>
      <c r="BJ46" s="697" t="n">
        <v>36</v>
      </c>
      <c r="BK46" s="697" t="n">
        <v>36</v>
      </c>
      <c r="BL46" s="697" t="n">
        <v>36</v>
      </c>
      <c r="BM46" s="697" t="n">
        <v>36</v>
      </c>
      <c r="BN46" s="697" t="n">
        <v>36</v>
      </c>
      <c r="BO46" s="697" t="n">
        <v>36</v>
      </c>
      <c r="BP46" s="697" t="n">
        <v>36</v>
      </c>
      <c r="BQ46" s="697" t="n">
        <v>36</v>
      </c>
      <c r="BR46" s="697" t="n">
        <v>36</v>
      </c>
      <c r="BS46" s="697" t="n">
        <v>36</v>
      </c>
      <c r="BT46" s="697" t="n">
        <v>36</v>
      </c>
      <c r="BU46" s="697" t="n">
        <v>36</v>
      </c>
      <c r="BV46" s="697" t="n">
        <v>36</v>
      </c>
      <c r="BW46" s="697" t="n">
        <v>35</v>
      </c>
      <c r="BX46" s="697" t="n">
        <v>35</v>
      </c>
      <c r="BY46" s="697" t="n"/>
      <c r="BZ46" s="192">
        <f>BX46+IF(NOT(ISBLANK(OFFSET(BZ46,0,6))),N(OFFSET(BZ46,0,6)),N(OFFSET(BZ46,0,7)))-BY46</f>
        <v/>
      </c>
      <c r="CA46" s="50" t="n"/>
      <c r="CC46" s="50" t="n"/>
      <c r="CD46" s="50" t="n"/>
      <c r="CE46" s="50" t="n"/>
      <c r="DA46" s="51" t="n"/>
      <c r="DO46" s="51" t="n"/>
      <c r="DP46" s="51" t="n"/>
      <c r="DT46" s="51" t="n"/>
      <c r="EA46" s="174" t="n"/>
      <c r="ED46" s="174" t="n"/>
      <c r="EE46" s="327" t="n"/>
      <c r="EI46" s="327" t="n"/>
      <c r="EK46" s="327" t="n"/>
      <c r="EM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7" t="n">
        <v>42</v>
      </c>
      <c r="BE47" s="697" t="n">
        <v>7</v>
      </c>
      <c r="BF47" s="697" t="n">
        <v>3</v>
      </c>
      <c r="BG47" s="697" t="n">
        <v>3</v>
      </c>
      <c r="BH47" s="697" t="n">
        <v>1</v>
      </c>
      <c r="BI47" s="697" t="n">
        <v>1</v>
      </c>
      <c r="BJ47" s="697" t="n">
        <v>1</v>
      </c>
      <c r="BK47" s="697" t="n">
        <v>1</v>
      </c>
      <c r="BL47" s="697" t="n">
        <v>1</v>
      </c>
      <c r="BM47" s="697" t="n">
        <v>1</v>
      </c>
      <c r="BN47" s="697" t="n">
        <v>1</v>
      </c>
      <c r="BO47" s="697" t="n">
        <v>1</v>
      </c>
      <c r="BP47" s="697" t="n">
        <v>1</v>
      </c>
      <c r="BQ47" s="697" t="n">
        <v>1</v>
      </c>
      <c r="BR47" s="697" t="n">
        <v>1</v>
      </c>
      <c r="BS47" s="697" t="n">
        <v>1</v>
      </c>
      <c r="BT47" s="697" t="n">
        <v>1</v>
      </c>
      <c r="BU47" s="697" t="n">
        <v>1</v>
      </c>
      <c r="BV47" s="697" t="n">
        <v>1</v>
      </c>
      <c r="BW47" s="697" t="n">
        <v>1</v>
      </c>
      <c r="BX47" s="697" t="n">
        <v>1</v>
      </c>
      <c r="BY47" s="697" t="n"/>
      <c r="BZ47" s="192">
        <f>BX47+IF(NOT(ISBLANK(OFFSET(BZ47,0,6))),N(OFFSET(BZ47,0,6)),N(OFFSET(BZ47,0,7)))-BY47</f>
        <v/>
      </c>
      <c r="CA47" s="50" t="n"/>
      <c r="CC47" s="50" t="n"/>
      <c r="CD47" s="50" t="n"/>
      <c r="CE47" s="50" t="n"/>
      <c r="CI47" s="5" t="n"/>
      <c r="DA47" s="51" t="n"/>
      <c r="DO47" s="51" t="n"/>
      <c r="DP47" s="51" t="n"/>
      <c r="DT47" s="51" t="n"/>
      <c r="EA47" s="174" t="n"/>
      <c r="ED47" s="174" t="n"/>
      <c r="EE47" s="327" t="n"/>
      <c r="EI47" s="327" t="n"/>
      <c r="EK47" s="327" t="n"/>
      <c r="EM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7" t="n"/>
      <c r="BE48" s="697" t="n">
        <v>0</v>
      </c>
      <c r="BF48" s="697" t="n">
        <v>0</v>
      </c>
      <c r="BG48" s="697" t="n">
        <v>0</v>
      </c>
      <c r="BH48" s="697" t="n">
        <v>0</v>
      </c>
      <c r="BI48" s="697" t="n">
        <v>0</v>
      </c>
      <c r="BJ48" s="697" t="n">
        <v>0</v>
      </c>
      <c r="BK48" s="697" t="n">
        <v>0</v>
      </c>
      <c r="BL48" s="697" t="n">
        <v>0</v>
      </c>
      <c r="BM48" s="697" t="n">
        <v>0</v>
      </c>
      <c r="BN48" s="697" t="n">
        <v>0</v>
      </c>
      <c r="BO48" s="697" t="n">
        <v>0</v>
      </c>
      <c r="BP48" s="697" t="n">
        <v>0</v>
      </c>
      <c r="BQ48" s="697" t="n">
        <v>0</v>
      </c>
      <c r="BR48" s="697" t="n">
        <v>0</v>
      </c>
      <c r="BS48" s="697" t="n"/>
      <c r="BT48" s="697" t="n"/>
      <c r="BU48" s="697" t="n"/>
      <c r="BV48" s="697" t="n"/>
      <c r="BW48" s="697" t="n"/>
      <c r="BX48" s="697" t="n"/>
      <c r="BY48" s="697" t="n"/>
      <c r="BZ48" s="192">
        <f>BX48+IF(NOT(ISBLANK(OFFSET(BZ48,0,6))),N(OFFSET(BZ48,0,6)),N(OFFSET(BZ48,0,7)))-BY48</f>
        <v/>
      </c>
      <c r="CA48" s="50" t="n"/>
      <c r="CC48" s="50" t="n"/>
      <c r="CD48" s="50" t="n"/>
      <c r="CE48" s="50" t="n"/>
      <c r="DA48" s="51" t="n"/>
      <c r="DO48" s="51" t="n"/>
      <c r="DP48" s="51" t="n"/>
      <c r="DT48" s="51" t="n"/>
      <c r="EA48" s="174" t="n"/>
      <c r="ED48" s="174" t="n"/>
      <c r="EE48" s="327" t="n"/>
      <c r="EI48" s="327" t="n"/>
      <c r="EK48" s="327" t="n"/>
      <c r="EM48" s="327" t="n"/>
    </row>
    <row r="49">
      <c r="C49" s="72" t="n"/>
      <c r="D49" s="72" t="n"/>
      <c r="CA49" s="50" t="n"/>
      <c r="CC49" s="50" t="n"/>
      <c r="CD49" s="50" t="n"/>
      <c r="CE49" s="50" t="n"/>
      <c r="DA49" s="51" t="n"/>
      <c r="DO49" s="51" t="n"/>
      <c r="DP49" s="51" t="n"/>
      <c r="DT49" s="51" t="n"/>
      <c r="EA49" s="174" t="n"/>
      <c r="ED49" s="174" t="n"/>
      <c r="EE49" s="327" t="n"/>
      <c r="EI49" s="327" t="n"/>
      <c r="EK49" s="327" t="n"/>
      <c r="EM49" s="327" t="n"/>
    </row>
    <row r="50" ht="21" customHeight="1">
      <c r="A50" s="380" t="inlineStr">
        <is>
          <t>SOBRAS DATAS COMEMORATIVAS</t>
        </is>
      </c>
      <c r="B50" s="380" t="n"/>
      <c r="C50" s="380" t="n"/>
      <c r="CA50" s="50" t="n"/>
      <c r="CC50" s="50" t="n"/>
      <c r="CD50" s="50" t="n"/>
      <c r="CE50" s="50" t="n"/>
      <c r="DA50" s="573" t="n"/>
      <c r="DD50" s="173" t="n"/>
      <c r="DG50" s="59" t="n"/>
      <c r="DH50" s="59" t="n"/>
      <c r="DJ50" s="59" t="n"/>
      <c r="DK50" s="59" t="n"/>
      <c r="DL50" s="59" t="n"/>
      <c r="DM50" s="59" t="n"/>
      <c r="DN50" s="59" t="n"/>
      <c r="DO50" s="51" t="n"/>
      <c r="DP50" s="51" t="n"/>
      <c r="DQ50" s="59" t="n"/>
      <c r="DR50" s="59" t="n"/>
      <c r="DS50" s="59" t="n"/>
      <c r="DT50" s="51" t="n"/>
      <c r="DU50" s="59" t="n"/>
      <c r="DV50" s="59" t="n"/>
      <c r="DW50" s="59" t="n"/>
      <c r="DY50" s="59" t="n"/>
      <c r="EA50" s="174" t="n"/>
      <c r="ED50" s="174" t="n"/>
      <c r="EE50" s="327" t="n"/>
      <c r="EI50" s="327" t="n"/>
      <c r="EK50" s="327" t="n"/>
      <c r="EM50" s="327" t="n"/>
    </row>
    <row r="51" hidden="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CA51" s="50" t="n"/>
      <c r="CC51" s="573" t="n"/>
      <c r="CD51" s="251" t="n"/>
      <c r="CE51" s="573" t="n"/>
      <c r="DA51" s="573" t="n"/>
      <c r="DD51" s="174" t="n"/>
      <c r="DF51" s="59" t="n"/>
      <c r="DG51" s="573" t="n"/>
      <c r="DH51" s="573" t="n"/>
      <c r="DJ51" s="573" t="n"/>
      <c r="DK51" s="573" t="n"/>
      <c r="DL51" s="573" t="n"/>
      <c r="DM51" s="573" t="n"/>
      <c r="DN51" s="573" t="n"/>
      <c r="DO51" s="573" t="n"/>
      <c r="DP51" s="573" t="n"/>
      <c r="DQ51" s="573" t="n"/>
      <c r="DR51" s="573" t="n"/>
      <c r="DS51" s="573" t="n"/>
      <c r="DT51" s="573" t="n"/>
      <c r="DU51" s="573" t="n"/>
      <c r="DV51" s="573" t="n"/>
      <c r="DW51" s="573" t="n"/>
      <c r="DX51" s="59" t="n"/>
      <c r="DY51" s="573" t="n"/>
      <c r="DZ51" s="59" t="n"/>
      <c r="EE51" s="327" t="n"/>
      <c r="EI51" s="327" t="n"/>
      <c r="EK51" s="327" t="n"/>
      <c r="EM51" s="327" t="n"/>
      <c r="EZ51" s="573" t="n"/>
      <c r="FJ51" s="2" t="n"/>
      <c r="FK51" s="2" t="n"/>
      <c r="FL51" s="2" t="n"/>
      <c r="FM51" s="2" t="n"/>
      <c r="FN51" s="2" t="n"/>
      <c r="FO51" s="2" t="n"/>
      <c r="FP51" s="2" t="n"/>
      <c r="FQ51" s="2" t="n"/>
      <c r="FR51" s="2" t="n"/>
      <c r="FS51" s="2" t="n"/>
      <c r="FT51" s="2" t="n"/>
      <c r="FU51" s="2" t="n"/>
      <c r="FV51" s="2" t="n"/>
      <c r="FW51" s="2" t="n"/>
      <c r="FX51" s="2" t="n"/>
      <c r="FY51" s="2" t="n"/>
      <c r="FZ51" s="2" t="n"/>
      <c r="GA51" s="2" t="n"/>
      <c r="GB51" s="2" t="n"/>
      <c r="GC51" s="2" t="n"/>
      <c r="GD51" s="2" t="n"/>
      <c r="GE51" s="2" t="n"/>
      <c r="GF51" s="2" t="n"/>
      <c r="GG51" s="2" t="n"/>
      <c r="GH51" s="2" t="n"/>
      <c r="GI51" s="2" t="n"/>
      <c r="GJ51" s="2" t="n"/>
      <c r="GK51" s="29" t="n"/>
      <c r="GL51" s="29" t="n"/>
      <c r="GM51" s="29" t="n"/>
      <c r="GN51" s="29" t="n"/>
      <c r="GO51" s="29" t="n"/>
      <c r="GP51" s="29" t="n"/>
      <c r="GQ51" s="29" t="n"/>
      <c r="GR51" s="29" t="n"/>
      <c r="GS51" s="29" t="n"/>
      <c r="GT51" s="29" t="n"/>
      <c r="GU51" s="29" t="n"/>
      <c r="GV51" s="29" t="n"/>
      <c r="GW51" s="29" t="n"/>
      <c r="GX51" s="29" t="n"/>
      <c r="GY51" s="29" t="n"/>
      <c r="GZ51" s="29" t="n"/>
      <c r="HA51" s="29" t="n"/>
      <c r="HB51" s="29" t="n"/>
      <c r="HC51" s="29" t="n"/>
      <c r="HD51" s="29" t="n"/>
      <c r="HE51" s="29" t="n"/>
      <c r="HF51" s="29" t="n"/>
      <c r="HG51" s="29" t="n"/>
      <c r="HH51" s="29" t="n"/>
      <c r="HI51" s="29" t="n"/>
      <c r="HJ51" s="29" t="n"/>
      <c r="HK51" s="29" t="n"/>
      <c r="HL51" s="29" t="n"/>
      <c r="HM51" s="29" t="n"/>
      <c r="HN51" s="29" t="n"/>
      <c r="HO51" s="29" t="n"/>
      <c r="HP51" s="29" t="n"/>
      <c r="HQ51" s="29" t="n"/>
      <c r="HR51" s="29" t="n"/>
      <c r="HS51" s="29" t="n"/>
      <c r="HT51" s="29" t="n"/>
      <c r="HU51" s="29" t="n"/>
      <c r="HV51" s="29" t="n"/>
      <c r="HW51" s="29" t="n"/>
      <c r="HX51" s="29" t="n"/>
      <c r="HY51" s="29" t="n"/>
      <c r="HZ51" s="29" t="n"/>
      <c r="IA51" s="29" t="n"/>
      <c r="IB51" s="29" t="n"/>
      <c r="IC51" s="29" t="n"/>
      <c r="ID51" s="29" t="n"/>
      <c r="IE51" s="29" t="n"/>
      <c r="IF51" s="29" t="n"/>
      <c r="IG51" s="29" t="n"/>
      <c r="IH51" s="50" t="n"/>
      <c r="II51" s="50" t="n"/>
      <c r="IJ51" s="50" t="n"/>
      <c r="IK51" s="50" t="n"/>
      <c r="IL51" s="50" t="n"/>
      <c r="IM51" s="50" t="n"/>
      <c r="IN51" s="50" t="n"/>
      <c r="IO51" s="50" t="n"/>
      <c r="IP51" s="50" t="n"/>
      <c r="IQ51" s="50" t="n"/>
      <c r="IR51" s="50" t="n"/>
      <c r="IS51" s="50" t="n"/>
      <c r="IT51" s="50" t="n"/>
      <c r="IU51" s="50" t="n"/>
      <c r="IV51" s="50" t="n"/>
      <c r="IW51" s="29" t="n"/>
      <c r="IX51" s="29" t="n"/>
      <c r="IY51" s="29" t="n"/>
      <c r="IZ51" s="29" t="n"/>
      <c r="JA51" s="29" t="n"/>
      <c r="JB51" s="29" t="n"/>
      <c r="JC51" s="29" t="n"/>
      <c r="JD51" s="29" t="n"/>
      <c r="JE51" s="62" t="n"/>
      <c r="JF51" s="62" t="n"/>
      <c r="JG51" s="71" t="n"/>
      <c r="JH51" s="29" t="n"/>
      <c r="JI51" s="29" t="n"/>
      <c r="JJ51" s="62" t="n"/>
      <c r="JK51" s="62" t="n"/>
      <c r="JL51" s="29" t="n"/>
      <c r="JN51" s="29" t="n"/>
      <c r="JO51" s="174" t="n"/>
      <c r="JP51" s="29" t="n"/>
      <c r="JQ51" s="29" t="n"/>
      <c r="JR51" s="29" t="n"/>
      <c r="JS51" s="71" t="n"/>
      <c r="JT51" s="62" t="n"/>
      <c r="JU51" s="29" t="n"/>
      <c r="JW51" s="29" t="n"/>
      <c r="JX51" s="29" t="n"/>
      <c r="JY51" s="29" t="n"/>
      <c r="JZ51" s="29" t="n"/>
      <c r="KA51" s="29" t="n"/>
      <c r="KB51" s="174" t="n"/>
      <c r="KC51" s="29" t="n"/>
      <c r="KD51" s="29" t="n"/>
      <c r="KE51" s="71" t="n"/>
      <c r="KF51" s="29" t="n"/>
      <c r="KG51" s="29" t="n"/>
      <c r="KH51" s="29" t="n"/>
      <c r="KI51" s="29" t="n"/>
      <c r="KJ51" s="71" t="n"/>
      <c r="KK51" s="29" t="n"/>
      <c r="KL51" s="29" t="n"/>
      <c r="KM51" s="29" t="n"/>
      <c r="KN51" s="29" t="n"/>
      <c r="KO51" s="29" t="n"/>
      <c r="KP51" s="71" t="n"/>
      <c r="KQ51" s="29" t="n"/>
      <c r="KR51" s="29" t="n"/>
      <c r="KS51" s="29" t="n"/>
      <c r="KT51" s="29" t="n"/>
      <c r="KU51" s="29" t="n"/>
      <c r="KV51" s="29" t="n"/>
      <c r="KW51" s="29" t="n"/>
      <c r="KX51" s="29" t="n"/>
      <c r="KY51" s="29" t="n"/>
      <c r="KZ51" s="29" t="n"/>
      <c r="LA51" s="29" t="n"/>
      <c r="LB51" s="29" t="n"/>
      <c r="LC51" s="29" t="n"/>
      <c r="LD51" s="29" t="n"/>
      <c r="LE51" s="29" t="n"/>
      <c r="LF51" s="29" t="n"/>
      <c r="LG51" s="29" t="n"/>
      <c r="LH51" s="29" t="n"/>
      <c r="LI51" s="29" t="n"/>
      <c r="LJ51" s="29" t="n"/>
      <c r="LK51" s="29" t="n"/>
      <c r="LL51" s="29" t="n"/>
      <c r="LM51" s="29" t="n"/>
      <c r="LN51" s="29" t="n"/>
      <c r="LO51" s="29" t="n"/>
      <c r="LP51" s="29" t="n"/>
      <c r="LQ51" s="29" t="n"/>
      <c r="LR51" s="29" t="n"/>
      <c r="LS51" s="29" t="n"/>
      <c r="LT51" s="29" t="n"/>
      <c r="LU51" s="29" t="n"/>
      <c r="LV51" s="29" t="n"/>
      <c r="LW51" s="29" t="n"/>
      <c r="LX51" s="29" t="n"/>
      <c r="LY51" s="29" t="n"/>
      <c r="LZ51" s="29" t="n"/>
      <c r="MA51" s="29" t="n"/>
      <c r="MB51" s="29" t="n"/>
      <c r="MC51" s="29" t="n"/>
      <c r="MD51" s="29" t="n"/>
      <c r="ME51" s="29" t="n"/>
      <c r="MF51" s="29" t="n"/>
      <c r="MG51" s="29" t="n"/>
      <c r="MH51" s="29" t="n"/>
      <c r="MI51" s="29" t="n"/>
    </row>
    <row r="52" hidden="1">
      <c r="A52" s="179" t="inlineStr">
        <is>
          <t>TAG NAMORADOS/2023</t>
        </is>
      </c>
      <c r="B52" s="180" t="n">
        <v>300</v>
      </c>
      <c r="C52" s="136" t="n">
        <v>149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1" t="n"/>
      <c r="CC52" s="573" t="n"/>
      <c r="CD52" s="251" t="n"/>
      <c r="CE52" s="573" t="n"/>
      <c r="CU52" s="59" t="n"/>
      <c r="CV52" s="59" t="n"/>
      <c r="CW52" s="59" t="n"/>
      <c r="CX52" s="59" t="n"/>
      <c r="CY52" s="59" t="n"/>
      <c r="CZ52" s="59" t="n"/>
      <c r="DA52" s="573" t="n"/>
      <c r="DB52" s="59" t="n"/>
      <c r="DC52" s="59" t="n"/>
      <c r="DD52" s="174" t="n"/>
      <c r="DE52" s="59" t="n"/>
      <c r="DF52" s="573" t="n"/>
      <c r="DG52" s="573" t="n"/>
      <c r="DH52" s="573" t="n"/>
      <c r="DI52" s="59" t="n"/>
      <c r="DJ52" s="573" t="n"/>
      <c r="DK52" s="573" t="n"/>
      <c r="DL52" s="573" t="n"/>
      <c r="DM52" s="573" t="n"/>
      <c r="DN52" s="573" t="n"/>
      <c r="DO52" s="573" t="n"/>
      <c r="DP52" s="573" t="n"/>
      <c r="DQ52" s="573" t="n"/>
      <c r="DR52" s="573" t="n"/>
      <c r="DS52" s="573" t="n"/>
      <c r="DT52" s="573" t="n"/>
      <c r="DU52" s="573" t="n"/>
      <c r="DV52" s="573" t="n"/>
      <c r="DW52" s="573" t="n"/>
      <c r="DX52" s="573" t="n"/>
      <c r="DY52" s="573" t="n"/>
      <c r="DZ52" s="573" t="n"/>
      <c r="EE52" s="327" t="n"/>
      <c r="EI52" s="327" t="n"/>
      <c r="EK52" s="327" t="n"/>
      <c r="EM52" s="327" t="n"/>
      <c r="EZ52" s="573" t="n"/>
      <c r="FJ52" s="2" t="n"/>
      <c r="FK52" s="2" t="n"/>
      <c r="FL52" s="2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GH52" s="2" t="n"/>
      <c r="GI52" s="2" t="n"/>
      <c r="GJ52" s="2" t="n"/>
      <c r="GK52" s="29" t="n"/>
      <c r="GL52" s="29" t="n"/>
      <c r="GM52" s="29" t="n"/>
      <c r="GN52" s="29" t="n"/>
      <c r="GO52" s="29" t="n"/>
      <c r="GP52" s="29" t="n"/>
      <c r="GQ52" s="29" t="n"/>
      <c r="GR52" s="29" t="n"/>
      <c r="GS52" s="29" t="n"/>
      <c r="GT52" s="29" t="n"/>
      <c r="GU52" s="29" t="n"/>
      <c r="GV52" s="29" t="n"/>
      <c r="GW52" s="29" t="n"/>
      <c r="GX52" s="29" t="n"/>
      <c r="GY52" s="29" t="n"/>
      <c r="GZ52" s="29" t="n"/>
      <c r="HA52" s="29" t="n"/>
      <c r="HB52" s="29" t="n"/>
      <c r="HC52" s="29" t="n"/>
      <c r="HD52" s="29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29" t="n"/>
      <c r="IC52" s="29" t="n"/>
      <c r="ID52" s="29" t="n"/>
      <c r="IE52" s="29" t="n"/>
      <c r="IF52" s="29" t="n"/>
      <c r="IG52" s="29" t="n"/>
      <c r="IH52" s="50" t="n"/>
      <c r="II52" s="50" t="n"/>
      <c r="IJ52" s="50" t="n"/>
      <c r="IK52" s="50" t="n"/>
      <c r="IL52" s="50" t="n"/>
      <c r="IM52" s="50" t="n"/>
      <c r="IN52" s="50" t="n"/>
      <c r="IO52" s="50" t="n"/>
      <c r="IP52" s="50" t="n"/>
      <c r="IQ52" s="50" t="n"/>
      <c r="IR52" s="50" t="n"/>
      <c r="IS52" s="50" t="n"/>
      <c r="IT52" s="50" t="n"/>
      <c r="IU52" s="50" t="n"/>
      <c r="IV52" s="50" t="n"/>
      <c r="IW52" s="29" t="n"/>
      <c r="IX52" s="29" t="n"/>
      <c r="IY52" s="29" t="n"/>
      <c r="IZ52" s="29" t="n"/>
      <c r="JA52" s="29" t="n"/>
      <c r="JB52" s="29" t="n"/>
      <c r="JC52" s="29" t="n"/>
      <c r="JD52" s="29" t="n"/>
      <c r="JE52" s="62" t="n"/>
      <c r="JF52" s="62" t="n"/>
      <c r="JG52" s="71" t="n"/>
      <c r="JH52" s="29" t="n"/>
      <c r="JI52" s="29" t="n"/>
      <c r="JJ52" s="62" t="n"/>
      <c r="JK52" s="62" t="n"/>
      <c r="JL52" s="29" t="n"/>
      <c r="JN52" s="29" t="n"/>
      <c r="JO52" s="176" t="n"/>
      <c r="JP52" s="29" t="n"/>
      <c r="JQ52" s="29" t="n"/>
      <c r="JR52" s="29" t="n"/>
      <c r="JS52" s="71" t="n"/>
      <c r="JT52" s="62" t="n"/>
      <c r="JU52" s="29" t="n"/>
      <c r="JW52" s="29" t="n"/>
      <c r="JX52" s="29" t="n"/>
      <c r="JY52" s="29" t="n"/>
      <c r="JZ52" s="29" t="n"/>
      <c r="KA52" s="29" t="n"/>
      <c r="KB52" s="176" t="n"/>
      <c r="KC52" s="29" t="n"/>
      <c r="KD52" s="29" t="n"/>
      <c r="KE52" s="71" t="n"/>
      <c r="KF52" s="29" t="n"/>
      <c r="KG52" s="29" t="n"/>
      <c r="KH52" s="29" t="n"/>
      <c r="KI52" s="29" t="n"/>
      <c r="KJ52" s="71" t="n"/>
      <c r="KK52" s="29" t="n"/>
      <c r="KL52" s="29" t="n"/>
      <c r="KM52" s="29" t="n"/>
      <c r="KN52" s="29" t="n"/>
      <c r="KO52" s="29" t="n"/>
      <c r="KP52" s="71" t="n"/>
      <c r="KQ52" s="29" t="n"/>
      <c r="KR52" s="29" t="n"/>
      <c r="KS52" s="29" t="n"/>
      <c r="KT52" s="29" t="n"/>
      <c r="KU52" s="29" t="n"/>
      <c r="KV52" s="29" t="n"/>
      <c r="KW52" s="29" t="n"/>
      <c r="KX52" s="29" t="n"/>
      <c r="KY52" s="29" t="n"/>
      <c r="KZ52" s="29" t="n"/>
      <c r="LA52" s="29" t="n"/>
      <c r="LB52" s="29" t="n"/>
      <c r="LC52" s="29" t="n"/>
      <c r="LD52" s="29" t="n"/>
      <c r="LE52" s="29" t="n"/>
      <c r="LF52" s="29" t="n"/>
      <c r="LG52" s="29" t="n"/>
      <c r="LH52" s="29" t="n"/>
      <c r="LI52" s="29" t="n"/>
      <c r="LJ52" s="29" t="n"/>
      <c r="LK52" s="29" t="n"/>
      <c r="LL52" s="29" t="n"/>
      <c r="LM52" s="29" t="n"/>
      <c r="LN52" s="29" t="n"/>
      <c r="LO52" s="29" t="n"/>
      <c r="LP52" s="29" t="n"/>
      <c r="LQ52" s="29" t="n"/>
      <c r="LR52" s="29" t="n"/>
      <c r="LS52" s="29" t="n"/>
      <c r="LT52" s="29" t="n"/>
      <c r="LU52" s="29" t="n"/>
      <c r="LV52" s="29" t="n"/>
      <c r="LW52" s="29" t="n"/>
      <c r="LX52" s="29" t="n"/>
      <c r="LY52" s="29" t="n"/>
      <c r="LZ52" s="29" t="n"/>
      <c r="MA52" s="29" t="n"/>
      <c r="MB52" s="29" t="n"/>
      <c r="MC52" s="29" t="n"/>
      <c r="MD52" s="29" t="n"/>
      <c r="ME52" s="29" t="n"/>
      <c r="MF52" s="29" t="n"/>
      <c r="MG52" s="29" t="n"/>
      <c r="MH52" s="29" t="n"/>
      <c r="MI52" s="29" t="n"/>
    </row>
    <row r="53" hidden="1">
      <c r="A53" s="391" t="n"/>
      <c r="B53" s="391" t="n"/>
      <c r="C53" s="391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U53" s="573" t="n"/>
      <c r="CV53" s="573" t="n"/>
      <c r="CW53" s="573" t="n"/>
      <c r="CX53" s="573" t="n"/>
      <c r="CY53" s="573" t="n"/>
      <c r="CZ53" s="573" t="n"/>
      <c r="DA53" s="573" t="n"/>
      <c r="DB53" s="573" t="n"/>
      <c r="DC53" s="573" t="n"/>
      <c r="DE53" s="573" t="n"/>
      <c r="DF53" s="573" t="n"/>
      <c r="DI53" s="573" t="n"/>
      <c r="DO53" s="573" t="n"/>
      <c r="DP53" s="573" t="n"/>
      <c r="DT53" s="573" t="n"/>
      <c r="DX53" s="573" t="n"/>
      <c r="DZ53" s="573" t="n"/>
      <c r="EE53" s="327" t="n"/>
      <c r="EI53" s="327" t="n"/>
      <c r="EK53" s="327" t="n"/>
      <c r="EM53" s="327" t="n"/>
      <c r="EZ53" s="573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50" t="n"/>
      <c r="II53" s="50" t="n"/>
      <c r="IJ53" s="50" t="n"/>
      <c r="IK53" s="50" t="n"/>
      <c r="IL53" s="50" t="n"/>
      <c r="IM53" s="50" t="n"/>
      <c r="IN53" s="50" t="n"/>
      <c r="IO53" s="50" t="n"/>
      <c r="IP53" s="50" t="n"/>
      <c r="IQ53" s="50" t="n"/>
      <c r="IR53" s="50" t="n"/>
      <c r="IS53" s="50" t="n"/>
      <c r="IT53" s="50" t="n"/>
      <c r="IU53" s="50" t="n"/>
      <c r="IV53" s="50" t="n"/>
      <c r="IW53" s="29" t="n"/>
      <c r="IX53" s="29" t="n"/>
      <c r="IY53" s="29" t="n"/>
      <c r="IZ53" s="29" t="n"/>
      <c r="JA53" s="29" t="n"/>
      <c r="JB53" s="29" t="n"/>
      <c r="JC53" s="29" t="n"/>
      <c r="JD53" s="29" t="n"/>
      <c r="JE53" s="29" t="n"/>
      <c r="JF53" s="29" t="n"/>
      <c r="JG53" s="71" t="n"/>
      <c r="JH53" s="29" t="n"/>
      <c r="JI53" s="29" t="n"/>
      <c r="JJ53" s="29" t="n"/>
      <c r="JK53" s="29" t="n"/>
      <c r="JL53" s="29" t="n"/>
      <c r="JN53" s="29" t="n"/>
      <c r="JO53" s="176" t="n"/>
      <c r="JP53" s="29" t="n"/>
      <c r="JQ53" s="29" t="n"/>
      <c r="JR53" s="29" t="n"/>
      <c r="JS53" s="71" t="n"/>
      <c r="JT53" s="29" t="n"/>
      <c r="JU53" s="29" t="n"/>
      <c r="JW53" s="29" t="n"/>
      <c r="JX53" s="29" t="n"/>
      <c r="JY53" s="29" t="n"/>
      <c r="JZ53" s="29" t="n"/>
      <c r="KA53" s="29" t="n"/>
      <c r="KB53" s="176" t="n"/>
      <c r="KC53" s="29" t="n"/>
      <c r="KD53" s="29" t="n"/>
      <c r="KE53" s="71" t="n"/>
      <c r="KF53" s="29" t="n"/>
      <c r="KG53" s="29" t="n"/>
      <c r="KH53" s="29" t="n"/>
      <c r="KI53" s="29" t="n"/>
      <c r="KJ53" s="71" t="n"/>
      <c r="KK53" s="29" t="n"/>
      <c r="KL53" s="29" t="n"/>
      <c r="KM53" s="29" t="n"/>
      <c r="KN53" s="29" t="n"/>
      <c r="KO53" s="29" t="n"/>
      <c r="KP53" s="71" t="n"/>
      <c r="KQ53" s="29" t="n"/>
      <c r="KR53" s="29" t="n"/>
      <c r="KS53" s="29" t="n"/>
      <c r="KT53" s="29" t="n"/>
      <c r="KU53" s="29" t="n"/>
      <c r="KV53" s="29" t="n"/>
      <c r="KW53" s="29" t="n"/>
      <c r="KX53" s="29" t="n"/>
      <c r="KY53" s="29" t="n"/>
      <c r="KZ53" s="29" t="n"/>
      <c r="LA53" s="29" t="n"/>
      <c r="LB53" s="29" t="n"/>
      <c r="LC53" s="29" t="n"/>
      <c r="LD53" s="29" t="n"/>
      <c r="LE53" s="29" t="n"/>
      <c r="LF53" s="29" t="n"/>
      <c r="LG53" s="29" t="n"/>
      <c r="LH53" s="29" t="n"/>
      <c r="LI53" s="29" t="n"/>
      <c r="LJ53" s="29" t="n"/>
      <c r="LK53" s="29" t="n"/>
      <c r="LL53" s="29" t="n"/>
      <c r="LM53" s="29" t="n"/>
      <c r="LN53" s="29" t="n"/>
      <c r="LO53" s="29" t="n"/>
      <c r="LP53" s="29" t="n"/>
      <c r="LQ53" s="29" t="n"/>
      <c r="LR53" s="29" t="n"/>
      <c r="LS53" s="29" t="n"/>
      <c r="LT53" s="29" t="n"/>
      <c r="LU53" s="29" t="n"/>
      <c r="LV53" s="29" t="n"/>
      <c r="LW53" s="29" t="n"/>
      <c r="LX53" s="29" t="n"/>
      <c r="LY53" s="29" t="n"/>
      <c r="LZ53" s="29" t="n"/>
      <c r="MA53" s="29" t="n"/>
      <c r="MB53" s="29" t="n"/>
      <c r="MC53" s="29" t="n"/>
      <c r="MD53" s="29" t="n"/>
      <c r="ME53" s="29" t="n"/>
      <c r="MF53" s="29" t="n"/>
      <c r="MG53" s="29" t="n"/>
      <c r="MH53" s="29" t="n"/>
      <c r="MI53" s="29" t="n"/>
    </row>
    <row r="54">
      <c r="A54" s="787" t="inlineStr">
        <is>
          <t>TAG NATAL 23</t>
        </is>
      </c>
      <c r="B54" s="180" t="n">
        <v>300</v>
      </c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9" t="n"/>
      <c r="CG54" s="59" t="n"/>
      <c r="CH54" s="59" t="n"/>
      <c r="CJ54" s="59" t="n"/>
      <c r="CK54" s="59" t="n"/>
      <c r="CL54" s="59" t="n"/>
      <c r="CM54" s="59" t="n"/>
      <c r="CN54" s="59" t="n"/>
      <c r="CU54" s="573" t="n"/>
      <c r="CV54" s="573" t="n"/>
      <c r="CW54" s="573" t="n"/>
      <c r="CX54" s="573" t="n"/>
      <c r="CY54" s="573" t="n"/>
      <c r="CZ54" s="573" t="n"/>
      <c r="DA54" s="573" t="n"/>
      <c r="DB54" s="573" t="n"/>
      <c r="DC54" s="573" t="n"/>
      <c r="DE54" s="573" t="n"/>
      <c r="DI54" s="573" t="n"/>
      <c r="DO54" s="573" t="n"/>
      <c r="DP54" s="573" t="n"/>
      <c r="DT54" s="573" t="n"/>
      <c r="DX54" s="573" t="n"/>
      <c r="DZ54" s="573" t="n"/>
      <c r="EE54" s="327" t="n"/>
      <c r="EI54" s="327" t="n"/>
      <c r="EK54" s="327" t="n"/>
      <c r="EM54" s="327" t="n"/>
      <c r="EZ54" s="573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GJ54" s="2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50" t="n"/>
      <c r="II54" s="50" t="n"/>
      <c r="IJ54" s="50" t="n"/>
      <c r="IK54" s="50" t="n"/>
      <c r="IL54" s="50" t="n"/>
      <c r="IM54" s="50" t="n"/>
      <c r="IN54" s="50" t="n"/>
      <c r="IO54" s="50" t="n"/>
      <c r="IP54" s="50" t="n"/>
      <c r="IQ54" s="50" t="n"/>
      <c r="IR54" s="50" t="n"/>
      <c r="IS54" s="50" t="n"/>
      <c r="IT54" s="50" t="n"/>
      <c r="IU54" s="50" t="n"/>
      <c r="IV54" s="50" t="n"/>
      <c r="IW54" s="29" t="n"/>
      <c r="IX54" s="29" t="n"/>
      <c r="IY54" s="29" t="n"/>
      <c r="IZ54" s="29" t="n"/>
      <c r="JA54" s="29" t="n"/>
      <c r="JB54" s="29" t="n"/>
      <c r="JC54" s="29" t="n"/>
      <c r="JD54" s="29" t="n"/>
      <c r="JE54" s="29" t="n"/>
      <c r="JF54" s="29" t="n"/>
      <c r="JG54" s="71" t="n"/>
      <c r="JH54" s="29" t="n"/>
      <c r="JI54" s="29" t="n"/>
      <c r="JJ54" s="29" t="n"/>
      <c r="JK54" s="29" t="n"/>
      <c r="JL54" s="29" t="n"/>
      <c r="JN54" s="29" t="n"/>
      <c r="JO54" s="176" t="n"/>
      <c r="JP54" s="29" t="n"/>
      <c r="JQ54" s="29" t="n"/>
      <c r="JR54" s="29" t="n"/>
      <c r="JS54" s="71" t="n"/>
      <c r="JT54" s="29" t="n"/>
      <c r="JU54" s="29" t="n"/>
      <c r="JW54" s="29" t="n"/>
      <c r="JX54" s="29" t="n"/>
      <c r="JY54" s="29" t="n"/>
      <c r="JZ54" s="29" t="n"/>
      <c r="KA54" s="29" t="n"/>
      <c r="KB54" s="176" t="n"/>
      <c r="KC54" s="29" t="n"/>
      <c r="KD54" s="29" t="n"/>
      <c r="KE54" s="71" t="n"/>
      <c r="KF54" s="29" t="n"/>
      <c r="KG54" s="29" t="n"/>
      <c r="KH54" s="29" t="n"/>
      <c r="KI54" s="29" t="n"/>
      <c r="KJ54" s="71" t="n"/>
      <c r="KK54" s="29" t="n"/>
      <c r="KL54" s="29" t="n"/>
      <c r="KM54" s="29" t="n"/>
      <c r="KN54" s="29" t="n"/>
      <c r="KO54" s="29" t="n"/>
      <c r="KP54" s="71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  <c r="ME54" s="29" t="n"/>
      <c r="MF54" s="29" t="n"/>
      <c r="MG54" s="29" t="n"/>
      <c r="MH54" s="29" t="n"/>
      <c r="MI54" s="29" t="n"/>
    </row>
    <row r="55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J55" s="573" t="n"/>
      <c r="CK55" s="573" t="n"/>
      <c r="CL55" s="573" t="n"/>
      <c r="CM55" s="573" t="n"/>
      <c r="CN55" s="573" t="n"/>
      <c r="DA55" s="5" t="n"/>
      <c r="DO55" s="573" t="n"/>
      <c r="DP55" s="573" t="n"/>
      <c r="DT55" s="573" t="n"/>
      <c r="DX55" s="573" t="n"/>
      <c r="DZ55" s="573" t="n"/>
      <c r="EA55" s="5" t="n"/>
      <c r="ED55" s="5" t="n"/>
      <c r="EE55" s="327" t="n"/>
      <c r="EI55" s="327" t="n"/>
      <c r="EK55" s="327" t="n"/>
      <c r="EM55" s="327" t="n"/>
      <c r="EZ55" s="573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GJ55" s="2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50" t="n"/>
      <c r="II55" s="50" t="n"/>
      <c r="IJ55" s="50" t="n"/>
      <c r="IK55" s="50" t="n"/>
      <c r="IL55" s="50" t="n"/>
      <c r="IM55" s="50" t="n"/>
      <c r="IN55" s="50" t="n"/>
      <c r="IO55" s="50" t="n"/>
      <c r="IP55" s="50" t="n"/>
      <c r="IQ55" s="50" t="n"/>
      <c r="IR55" s="50" t="n"/>
      <c r="IS55" s="50" t="n"/>
      <c r="IT55" s="50" t="n"/>
      <c r="IU55" s="50" t="n"/>
      <c r="IV55" s="50" t="n"/>
      <c r="IW55" s="29" t="n"/>
      <c r="IX55" s="29" t="n"/>
      <c r="IY55" s="29" t="n"/>
      <c r="IZ55" s="29" t="n"/>
      <c r="JA55" s="29" t="n"/>
      <c r="JB55" s="29" t="n"/>
      <c r="JC55" s="29" t="n"/>
      <c r="JD55" s="29" t="n"/>
      <c r="JE55" s="29" t="n"/>
      <c r="JF55" s="29" t="n"/>
      <c r="JG55" s="71" t="n"/>
      <c r="JH55" s="29" t="n"/>
      <c r="JI55" s="29" t="n"/>
      <c r="JJ55" s="29" t="n"/>
      <c r="JK55" s="29" t="n"/>
      <c r="JL55" s="29" t="n"/>
      <c r="JN55" s="29" t="n"/>
      <c r="JO55" s="176" t="n"/>
      <c r="JP55" s="29" t="n"/>
      <c r="JQ55" s="29" t="n"/>
      <c r="JR55" s="29" t="n"/>
      <c r="JS55" s="71" t="n"/>
      <c r="JT55" s="29" t="n"/>
      <c r="JU55" s="29" t="n"/>
      <c r="JW55" s="29" t="n"/>
      <c r="JX55" s="29" t="n"/>
      <c r="JY55" s="29" t="n"/>
      <c r="JZ55" s="29" t="n"/>
      <c r="KA55" s="29" t="n"/>
      <c r="KB55" s="176" t="n"/>
      <c r="KC55" s="29" t="n"/>
      <c r="KD55" s="29" t="n"/>
      <c r="KE55" s="71" t="n"/>
      <c r="KF55" s="29" t="n"/>
      <c r="KG55" s="29" t="n"/>
      <c r="KH55" s="29" t="n"/>
      <c r="KI55" s="29" t="n"/>
      <c r="KJ55" s="71" t="n"/>
      <c r="KK55" s="29" t="n"/>
      <c r="KL55" s="29" t="n"/>
      <c r="KM55" s="29" t="n"/>
      <c r="KN55" s="29" t="n"/>
      <c r="KO55" s="29" t="n"/>
      <c r="KP55" s="71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  <c r="ME55" s="29" t="n"/>
      <c r="MF55" s="29" t="n"/>
      <c r="MG55" s="29" t="n"/>
      <c r="MH55" s="29" t="n"/>
      <c r="MI55" s="29" t="n"/>
    </row>
    <row r="56">
      <c r="A56" s="247" t="inlineStr">
        <is>
          <t>TAG PAIS/25</t>
        </is>
      </c>
      <c r="B56" s="248" t="n"/>
      <c r="C56" s="172" t="n">
        <v>24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J56" s="573" t="n"/>
      <c r="CK56" s="573" t="n"/>
      <c r="CL56" s="573" t="n"/>
      <c r="CM56" s="573" t="n"/>
      <c r="CN56" s="573" t="n"/>
      <c r="DA56" s="41" t="n"/>
      <c r="DO56" s="573" t="n"/>
      <c r="DP56" s="573" t="n"/>
      <c r="DT56" s="573" t="n"/>
      <c r="DX56" s="573" t="n"/>
      <c r="DZ56" s="573" t="n"/>
      <c r="EA56" s="5" t="n"/>
      <c r="ED56" s="5" t="n"/>
      <c r="EE56" s="327" t="n"/>
      <c r="EI56" s="327" t="n"/>
      <c r="EK56" s="327" t="n"/>
      <c r="EM56" s="327" t="n"/>
      <c r="EZ56" s="573" t="n"/>
      <c r="FJ56" s="2" t="n"/>
      <c r="FK56" s="2" t="n"/>
      <c r="FL56" s="2" t="n"/>
      <c r="FM56" s="2" t="n"/>
      <c r="FN56" s="2" t="n"/>
      <c r="FO56" s="2" t="n"/>
      <c r="FP56" s="2" t="n"/>
      <c r="FQ56" s="2" t="n"/>
      <c r="FR56" s="2" t="n"/>
      <c r="FS56" s="2" t="n"/>
      <c r="FT56" s="2" t="n"/>
      <c r="FU56" s="2" t="n"/>
      <c r="FV56" s="2" t="n"/>
      <c r="FW56" s="2" t="n"/>
      <c r="FX56" s="2" t="n"/>
      <c r="FY56" s="2" t="n"/>
      <c r="FZ56" s="2" t="n"/>
      <c r="GA56" s="2" t="n"/>
      <c r="GB56" s="2" t="n"/>
      <c r="GC56" s="2" t="n"/>
      <c r="GD56" s="2" t="n"/>
      <c r="GE56" s="2" t="n"/>
      <c r="GF56" s="2" t="n"/>
      <c r="GG56" s="2" t="n"/>
      <c r="GH56" s="2" t="n"/>
      <c r="GI56" s="2" t="n"/>
      <c r="GJ56" s="2" t="n"/>
      <c r="GK56" s="29" t="n"/>
      <c r="GL56" s="29" t="n"/>
      <c r="GM56" s="29" t="n"/>
      <c r="GN56" s="29" t="n"/>
      <c r="GO56" s="29" t="n"/>
      <c r="GP56" s="29" t="n"/>
      <c r="GQ56" s="29" t="n"/>
      <c r="GR56" s="29" t="n"/>
      <c r="GS56" s="29" t="n"/>
      <c r="GT56" s="29" t="n"/>
      <c r="GU56" s="29" t="n"/>
      <c r="GV56" s="29" t="n"/>
      <c r="GW56" s="29" t="n"/>
      <c r="GX56" s="29" t="n"/>
      <c r="GY56" s="29" t="n"/>
      <c r="GZ56" s="29" t="n"/>
      <c r="HA56" s="29" t="n"/>
      <c r="HB56" s="29" t="n"/>
      <c r="HC56" s="29" t="n"/>
      <c r="HD56" s="29" t="n"/>
      <c r="HE56" s="29" t="n"/>
      <c r="HF56" s="29" t="n"/>
      <c r="HG56" s="29" t="n"/>
      <c r="HH56" s="29" t="n"/>
      <c r="HI56" s="29" t="n"/>
      <c r="HJ56" s="29" t="n"/>
      <c r="HK56" s="29" t="n"/>
      <c r="HL56" s="29" t="n"/>
      <c r="HM56" s="29" t="n"/>
      <c r="HN56" s="29" t="n"/>
      <c r="HO56" s="29" t="n"/>
      <c r="HP56" s="29" t="n"/>
      <c r="HQ56" s="29" t="n"/>
      <c r="HR56" s="29" t="n"/>
      <c r="HS56" s="29" t="n"/>
      <c r="HT56" s="29" t="n"/>
      <c r="HU56" s="29" t="n"/>
      <c r="HV56" s="29" t="n"/>
      <c r="HW56" s="29" t="n"/>
      <c r="HX56" s="29" t="n"/>
      <c r="HY56" s="29" t="n"/>
      <c r="HZ56" s="29" t="n"/>
      <c r="IA56" s="29" t="n"/>
      <c r="IB56" s="29" t="n"/>
      <c r="IC56" s="29" t="n"/>
      <c r="ID56" s="29" t="n"/>
      <c r="IE56" s="29" t="n"/>
      <c r="IF56" s="29" t="n"/>
      <c r="IG56" s="29" t="n"/>
      <c r="IH56" s="50" t="n"/>
      <c r="II56" s="50" t="n"/>
      <c r="IJ56" s="50" t="n"/>
      <c r="IK56" s="50" t="n"/>
      <c r="IL56" s="50" t="n"/>
      <c r="IM56" s="50" t="n"/>
      <c r="IN56" s="50" t="n"/>
      <c r="IO56" s="50" t="n"/>
      <c r="IP56" s="50" t="n"/>
      <c r="IQ56" s="50" t="n"/>
      <c r="IR56" s="50" t="n"/>
      <c r="IS56" s="50" t="n"/>
      <c r="IT56" s="50" t="n"/>
      <c r="IU56" s="50" t="n"/>
      <c r="IV56" s="50" t="n"/>
      <c r="IW56" s="29" t="n"/>
      <c r="IX56" s="29" t="n"/>
      <c r="IY56" s="29" t="n"/>
      <c r="IZ56" s="29" t="n"/>
      <c r="JA56" s="29" t="n"/>
      <c r="JB56" s="29" t="n"/>
      <c r="JC56" s="29" t="n"/>
      <c r="JD56" s="29" t="n"/>
      <c r="JE56" s="29" t="n"/>
      <c r="JF56" s="29" t="n"/>
      <c r="JG56" s="71" t="n"/>
      <c r="JH56" s="29" t="n"/>
      <c r="JI56" s="29" t="n"/>
      <c r="JJ56" s="29" t="n"/>
      <c r="JK56" s="29" t="n"/>
      <c r="JL56" s="29" t="n"/>
      <c r="JN56" s="29" t="n"/>
      <c r="JO56" s="176" t="n"/>
      <c r="JP56" s="29" t="n"/>
      <c r="JQ56" s="29" t="n"/>
      <c r="JR56" s="29" t="n"/>
      <c r="JS56" s="71" t="n"/>
      <c r="JT56" s="29" t="n"/>
      <c r="JU56" s="29" t="n"/>
      <c r="JW56" s="29" t="n"/>
      <c r="JX56" s="29" t="n"/>
      <c r="JY56" s="29" t="n"/>
      <c r="JZ56" s="29" t="n"/>
      <c r="KA56" s="29" t="n"/>
      <c r="KB56" s="176" t="n"/>
      <c r="KC56" s="29" t="n"/>
      <c r="KD56" s="29" t="n"/>
      <c r="KE56" s="71" t="n"/>
      <c r="KF56" s="29" t="n"/>
      <c r="KG56" s="29" t="n"/>
      <c r="KH56" s="29" t="n"/>
      <c r="KI56" s="29" t="n"/>
      <c r="KJ56" s="71" t="n"/>
      <c r="KK56" s="29" t="n"/>
      <c r="KL56" s="29" t="n"/>
      <c r="KM56" s="29" t="n"/>
      <c r="KN56" s="29" t="n"/>
      <c r="KO56" s="29" t="n"/>
      <c r="KP56" s="71" t="n"/>
      <c r="KQ56" s="29" t="n"/>
      <c r="KR56" s="29" t="n"/>
      <c r="KS56" s="29" t="n"/>
      <c r="KT56" s="29" t="n"/>
      <c r="KU56" s="29" t="n"/>
      <c r="KV56" s="29" t="n"/>
      <c r="KW56" s="29" t="n"/>
      <c r="KX56" s="29" t="n"/>
      <c r="KY56" s="29" t="n"/>
      <c r="KZ56" s="29" t="n"/>
      <c r="LA56" s="29" t="n"/>
      <c r="LB56" s="29" t="n"/>
      <c r="LC56" s="29" t="n"/>
      <c r="LD56" s="29" t="n"/>
      <c r="LE56" s="29" t="n"/>
      <c r="LF56" s="29" t="n"/>
      <c r="LG56" s="29" t="n"/>
      <c r="LH56" s="29" t="n"/>
      <c r="LI56" s="29" t="n"/>
      <c r="LJ56" s="29" t="n"/>
      <c r="LK56" s="29" t="n"/>
      <c r="LL56" s="29" t="n"/>
      <c r="LM56" s="29" t="n"/>
      <c r="LN56" s="29" t="n"/>
      <c r="LO56" s="29" t="n"/>
      <c r="LP56" s="29" t="n"/>
      <c r="LQ56" s="29" t="n"/>
      <c r="LR56" s="29" t="n"/>
      <c r="LS56" s="29" t="n"/>
      <c r="LT56" s="29" t="n"/>
      <c r="LU56" s="29" t="n"/>
      <c r="LV56" s="29" t="n"/>
      <c r="LW56" s="29" t="n"/>
      <c r="LX56" s="29" t="n"/>
      <c r="LY56" s="29" t="n"/>
      <c r="LZ56" s="29" t="n"/>
      <c r="MA56" s="29" t="n"/>
      <c r="MB56" s="29" t="n"/>
      <c r="MC56" s="29" t="n"/>
      <c r="MD56" s="29" t="n"/>
      <c r="ME56" s="29" t="n"/>
      <c r="MF56" s="29" t="n"/>
      <c r="MG56" s="29" t="n"/>
      <c r="MH56" s="29" t="n"/>
      <c r="MI56" s="29" t="n"/>
    </row>
    <row r="57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DA57" s="41" t="n"/>
      <c r="DD57" s="5" t="n"/>
      <c r="DO57" s="573" t="n"/>
      <c r="DP57" s="573" t="n"/>
      <c r="DT57" s="573" t="n"/>
      <c r="DX57" s="573" t="n"/>
      <c r="DZ57" s="573" t="n"/>
      <c r="EA57" s="5" t="n"/>
      <c r="ED57" s="5" t="n"/>
      <c r="EE57" s="327" t="n"/>
      <c r="EI57" s="327" t="n"/>
      <c r="EK57" s="327" t="n"/>
      <c r="EM57" s="327" t="n"/>
      <c r="EZ57" s="573" t="n"/>
      <c r="FJ57" s="2" t="n"/>
      <c r="FK57" s="2" t="n"/>
      <c r="FL57" s="2" t="n"/>
      <c r="FM57" s="2" t="n"/>
      <c r="FN57" s="2" t="n"/>
      <c r="FO57" s="2" t="n"/>
      <c r="FP57" s="2" t="n"/>
      <c r="FQ57" s="2" t="n"/>
      <c r="FR57" s="2" t="n"/>
      <c r="FS57" s="2" t="n"/>
      <c r="FT57" s="2" t="n"/>
      <c r="FU57" s="2" t="n"/>
      <c r="FV57" s="2" t="n"/>
      <c r="FW57" s="2" t="n"/>
      <c r="FX57" s="2" t="n"/>
      <c r="FY57" s="2" t="n"/>
      <c r="FZ57" s="2" t="n"/>
      <c r="GA57" s="2" t="n"/>
      <c r="GB57" s="2" t="n"/>
      <c r="GC57" s="2" t="n"/>
      <c r="GD57" s="2" t="n"/>
      <c r="GE57" s="2" t="n"/>
      <c r="GF57" s="2" t="n"/>
      <c r="GG57" s="2" t="n"/>
      <c r="GH57" s="2" t="n"/>
      <c r="GI57" s="2" t="n"/>
      <c r="GJ57" s="2" t="n"/>
      <c r="GK57" s="29" t="n"/>
      <c r="GL57" s="29" t="n"/>
      <c r="GM57" s="29" t="n"/>
      <c r="GN57" s="29" t="n"/>
      <c r="GO57" s="29" t="n"/>
      <c r="GP57" s="29" t="n"/>
      <c r="GQ57" s="29" t="n"/>
      <c r="GR57" s="29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29" t="n"/>
      <c r="HQ57" s="29" t="n"/>
      <c r="HR57" s="29" t="n"/>
      <c r="HS57" s="29" t="n"/>
      <c r="HT57" s="29" t="n"/>
      <c r="HU57" s="29" t="n"/>
      <c r="HV57" s="29" t="n"/>
      <c r="HW57" s="29" t="n"/>
      <c r="HX57" s="29" t="n"/>
      <c r="HY57" s="29" t="n"/>
      <c r="HZ57" s="29" t="n"/>
      <c r="IA57" s="29" t="n"/>
      <c r="IB57" s="29" t="n"/>
      <c r="IC57" s="29" t="n"/>
      <c r="ID57" s="29" t="n"/>
      <c r="IE57" s="29" t="n"/>
      <c r="IF57" s="29" t="n"/>
      <c r="IG57" s="29" t="n"/>
      <c r="IH57" s="50" t="n"/>
      <c r="II57" s="50" t="n"/>
      <c r="IJ57" s="50" t="n"/>
      <c r="IK57" s="50" t="n"/>
      <c r="IL57" s="50" t="n"/>
      <c r="IM57" s="50" t="n"/>
      <c r="IN57" s="50" t="n"/>
      <c r="IO57" s="50" t="n"/>
      <c r="IP57" s="50" t="n"/>
      <c r="IQ57" s="50" t="n"/>
      <c r="IR57" s="50" t="n"/>
      <c r="IS57" s="50" t="n"/>
      <c r="IT57" s="50" t="n"/>
      <c r="IU57" s="50" t="n"/>
      <c r="IV57" s="50" t="n"/>
      <c r="IW57" s="29" t="n"/>
      <c r="IX57" s="29" t="n"/>
      <c r="IY57" s="29" t="n"/>
      <c r="IZ57" s="29" t="n"/>
      <c r="JA57" s="29" t="n"/>
      <c r="JB57" s="29" t="n"/>
      <c r="JC57" s="29" t="n"/>
      <c r="JD57" s="29" t="n"/>
      <c r="JE57" s="29" t="n"/>
      <c r="JF57" s="29" t="n"/>
      <c r="JG57" s="71" t="n"/>
      <c r="JH57" s="29" t="n"/>
      <c r="JI57" s="29" t="n"/>
      <c r="JJ57" s="29" t="n"/>
      <c r="JK57" s="29" t="n"/>
      <c r="JL57" s="29" t="n"/>
      <c r="JN57" s="29" t="n"/>
      <c r="JO57" s="176" t="n"/>
      <c r="JP57" s="29" t="n"/>
      <c r="JQ57" s="29" t="n"/>
      <c r="JR57" s="29" t="n"/>
      <c r="JS57" s="71" t="n"/>
      <c r="JT57" s="29" t="n"/>
      <c r="JU57" s="29" t="n"/>
      <c r="JW57" s="29" t="n"/>
      <c r="JX57" s="29" t="n"/>
      <c r="JY57" s="29" t="n"/>
      <c r="JZ57" s="29" t="n"/>
      <c r="KA57" s="29" t="n"/>
      <c r="KB57" s="176" t="n"/>
      <c r="KC57" s="29" t="n"/>
      <c r="KD57" s="29" t="n"/>
      <c r="KE57" s="71" t="n"/>
      <c r="KF57" s="29" t="n"/>
      <c r="KG57" s="29" t="n"/>
      <c r="KH57" s="29" t="n"/>
      <c r="KI57" s="29" t="n"/>
      <c r="KJ57" s="71" t="n"/>
      <c r="KK57" s="29" t="n"/>
      <c r="KL57" s="29" t="n"/>
      <c r="KM57" s="29" t="n"/>
      <c r="KN57" s="29" t="n"/>
      <c r="KO57" s="29" t="n"/>
      <c r="KP57" s="71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  <c r="LH57" s="29" t="n"/>
      <c r="LI57" s="29" t="n"/>
      <c r="LJ57" s="29" t="n"/>
      <c r="LK57" s="29" t="n"/>
      <c r="LL57" s="29" t="n"/>
      <c r="LM57" s="29" t="n"/>
      <c r="LN57" s="29" t="n"/>
      <c r="LO57" s="29" t="n"/>
      <c r="LP57" s="29" t="n"/>
      <c r="LQ57" s="29" t="n"/>
      <c r="LR57" s="29" t="n"/>
      <c r="LS57" s="29" t="n"/>
      <c r="LT57" s="29" t="n"/>
      <c r="LU57" s="29" t="n"/>
      <c r="LV57" s="29" t="n"/>
      <c r="LW57" s="29" t="n"/>
      <c r="LX57" s="29" t="n"/>
      <c r="LY57" s="29" t="n"/>
      <c r="LZ57" s="29" t="n"/>
      <c r="MA57" s="29" t="n"/>
      <c r="MB57" s="29" t="n"/>
      <c r="MC57" s="29" t="n"/>
      <c r="MD57" s="29" t="n"/>
      <c r="ME57" s="29" t="n"/>
      <c r="MF57" s="29" t="n"/>
      <c r="MG57" s="29" t="n"/>
      <c r="MH57" s="29" t="n"/>
      <c r="MI57" s="29" t="n"/>
    </row>
    <row r="58">
      <c r="A58" s="399" t="inlineStr">
        <is>
          <t>TAG NAMO/25</t>
        </is>
      </c>
      <c r="B58" s="248" t="n"/>
      <c r="C58" s="172" t="n">
        <v>105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F58" s="29" t="n"/>
      <c r="CG58" s="29" t="n"/>
      <c r="CH58" s="29" t="n"/>
      <c r="CI58" s="59" t="n"/>
      <c r="CJ58" s="29" t="n"/>
      <c r="CK58" s="29" t="n"/>
      <c r="CL58" s="2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29" t="n"/>
      <c r="DB58" s="29" t="n"/>
      <c r="DC58" s="29" t="n"/>
      <c r="DD58" s="5" t="n"/>
      <c r="DE58" s="29" t="n"/>
      <c r="DF58" s="29" t="n"/>
      <c r="DG58" s="29" t="n"/>
      <c r="DH58" s="29" t="n"/>
      <c r="DI58" s="29" t="n"/>
      <c r="DJ58" s="29" t="n"/>
      <c r="DK58" s="29" t="n"/>
      <c r="DL58" s="29" t="n"/>
      <c r="DM58" s="29" t="n"/>
      <c r="DN58" s="29" t="n"/>
      <c r="DO58" s="573" t="n"/>
      <c r="DP58" s="573" t="n"/>
      <c r="DQ58" s="29" t="n"/>
      <c r="DR58" s="29" t="n"/>
      <c r="DS58" s="29" t="n"/>
      <c r="DT58" s="573" t="n"/>
      <c r="DU58" s="29" t="n"/>
      <c r="DV58" s="29" t="n"/>
      <c r="DW58" s="29" t="n"/>
      <c r="DX58" s="29" t="n"/>
      <c r="DY58" s="29" t="n"/>
      <c r="DZ58" s="29" t="n"/>
      <c r="EA58" s="5" t="n"/>
      <c r="EB58" s="29" t="n"/>
      <c r="EC58" s="29" t="n"/>
      <c r="ED58" s="5" t="n"/>
      <c r="EE58" s="327" t="n"/>
      <c r="EF58" s="29" t="n"/>
      <c r="EG58" s="29" t="n"/>
      <c r="EH58" s="29" t="n"/>
      <c r="EI58" s="327" t="n"/>
      <c r="EJ58" s="29" t="n"/>
      <c r="EK58" s="327" t="n"/>
      <c r="EL58" s="29" t="n"/>
      <c r="EM58" s="327" t="n"/>
      <c r="EN58" s="29" t="n"/>
      <c r="EO58" s="29" t="n"/>
      <c r="EP58" s="29" t="n"/>
      <c r="EQ58" s="29" t="n"/>
      <c r="ER58" s="29" t="n"/>
      <c r="ES58" s="29" t="n"/>
      <c r="ET58" s="29" t="n"/>
      <c r="EU58" s="29" t="n"/>
      <c r="EV58" s="29" t="n"/>
      <c r="EW58" s="29" t="n"/>
      <c r="EX58" s="29" t="n"/>
      <c r="EY58" s="29" t="n"/>
      <c r="FA58" s="5" t="n"/>
      <c r="FB58" s="5" t="n"/>
      <c r="FC58" s="5" t="n"/>
      <c r="FD58" s="5" t="n"/>
      <c r="FE58" s="5" t="n"/>
      <c r="FF58" s="5" t="n"/>
      <c r="FG58" s="5" t="n"/>
      <c r="FH58" s="5" t="n"/>
      <c r="FI58" s="5" t="n"/>
    </row>
    <row r="59">
      <c r="CB59" s="573" t="n"/>
      <c r="CC59" s="50" t="n"/>
      <c r="CD59" s="50" t="n"/>
      <c r="CE59" s="50" t="n"/>
      <c r="DD59" s="5" t="n"/>
      <c r="DO59" s="5" t="n"/>
      <c r="DP59" s="5" t="n"/>
      <c r="DT59" s="5" t="n"/>
      <c r="EA59" s="5" t="n"/>
      <c r="ED59" s="5" t="n"/>
      <c r="EE59" s="327" t="n"/>
      <c r="EI59" s="327" t="n"/>
      <c r="EK59" s="327" t="n"/>
      <c r="EM59" s="327" t="n"/>
    </row>
    <row r="60" ht="18.75" customHeight="1">
      <c r="A60" s="774" t="inlineStr">
        <is>
          <t>FLACONETES</t>
        </is>
      </c>
      <c r="B60" s="731" t="n"/>
      <c r="C60" s="731" t="n"/>
      <c r="D60" s="775" t="n"/>
      <c r="F60" s="776" t="n">
        <v>45656</v>
      </c>
      <c r="G60" s="776" t="n">
        <v>45663</v>
      </c>
      <c r="H60" s="776" t="n">
        <v>45670</v>
      </c>
      <c r="I60" s="776" t="n">
        <v>45677</v>
      </c>
      <c r="J60" s="776" t="n">
        <v>45684</v>
      </c>
      <c r="K60" s="776" t="n">
        <v>45691</v>
      </c>
      <c r="L60" s="776" t="n">
        <v>45698</v>
      </c>
      <c r="M60" s="776" t="n">
        <v>45705</v>
      </c>
      <c r="N60" s="776" t="n">
        <v>45712</v>
      </c>
      <c r="O60" s="776" t="n">
        <v>45719</v>
      </c>
      <c r="P60" s="776" t="n">
        <v>45726</v>
      </c>
      <c r="Q60" s="776" t="n">
        <v>45733</v>
      </c>
      <c r="R60" s="776" t="n">
        <v>45740</v>
      </c>
      <c r="S60" s="776" t="n">
        <v>45747</v>
      </c>
      <c r="T60" s="776" t="n">
        <v>45754</v>
      </c>
      <c r="U60" s="776" t="n">
        <v>45761</v>
      </c>
      <c r="V60" s="776" t="n">
        <v>45768</v>
      </c>
      <c r="W60" s="776" t="n">
        <v>45775</v>
      </c>
      <c r="X60" s="776" t="n">
        <v>45782</v>
      </c>
      <c r="Y60" s="776" t="n">
        <v>45789</v>
      </c>
      <c r="Z60" s="776" t="n">
        <v>45796</v>
      </c>
      <c r="AA60" s="776" t="n">
        <v>45803</v>
      </c>
      <c r="AB60" s="776" t="n">
        <v>45810</v>
      </c>
      <c r="AC60" s="776" t="n">
        <v>45817</v>
      </c>
      <c r="AD60" s="776" t="n">
        <v>45824</v>
      </c>
      <c r="AE60" s="776" t="n">
        <v>45831</v>
      </c>
      <c r="AF60" s="776" t="n">
        <v>45838</v>
      </c>
      <c r="AG60" s="776" t="n">
        <v>45845</v>
      </c>
      <c r="AH60" s="776" t="n">
        <v>45852</v>
      </c>
      <c r="AI60" s="776" t="n">
        <v>45859</v>
      </c>
      <c r="AJ60" s="776" t="n">
        <v>45866</v>
      </c>
      <c r="AK60" s="776" t="n">
        <v>45873</v>
      </c>
      <c r="AL60" s="776" t="n">
        <v>45880</v>
      </c>
      <c r="AM60" s="776" t="n">
        <v>45887</v>
      </c>
      <c r="AN60" s="776" t="n">
        <v>45894</v>
      </c>
      <c r="AO60" s="776" t="n">
        <v>45901</v>
      </c>
      <c r="AP60" s="776" t="n">
        <v>45908</v>
      </c>
      <c r="AQ60" s="776" t="n">
        <v>45915</v>
      </c>
      <c r="AR60" s="776" t="n">
        <v>45922</v>
      </c>
      <c r="AS60" s="776" t="n">
        <v>45929</v>
      </c>
      <c r="AT60" s="776" t="n">
        <v>45936</v>
      </c>
      <c r="AU60" s="776" t="n">
        <v>45943</v>
      </c>
      <c r="AV60" s="776" t="n">
        <v>45950</v>
      </c>
      <c r="AW60" s="776" t="n">
        <v>45957</v>
      </c>
      <c r="AX60" s="776" t="n">
        <v>45964</v>
      </c>
      <c r="AY60" s="776" t="n">
        <v>45971</v>
      </c>
      <c r="AZ60" s="776" t="n">
        <v>45978</v>
      </c>
      <c r="BA60" s="776" t="n">
        <v>45985</v>
      </c>
      <c r="BB60" s="776" t="n">
        <v>45992</v>
      </c>
      <c r="BC60" s="776" t="n">
        <v>45999</v>
      </c>
      <c r="BD60" s="776" t="n">
        <v>46006</v>
      </c>
      <c r="BE60" s="776" t="n">
        <v>46013</v>
      </c>
      <c r="BF60" s="776" t="n">
        <v>46020</v>
      </c>
      <c r="BG60" s="776" t="n">
        <v>46027</v>
      </c>
      <c r="BH60" s="776" t="n">
        <v>46034</v>
      </c>
      <c r="BI60" s="776" t="n">
        <v>46041</v>
      </c>
      <c r="BJ60" s="776" t="n">
        <v>46048</v>
      </c>
      <c r="BK60" s="776" t="n">
        <v>46055</v>
      </c>
      <c r="BL60" s="776" t="n">
        <v>46062</v>
      </c>
      <c r="BM60" s="776" t="n">
        <v>46069</v>
      </c>
      <c r="BN60" s="776" t="n">
        <v>46076</v>
      </c>
      <c r="BO60" s="776" t="n">
        <v>46083</v>
      </c>
      <c r="BP60" s="776" t="n">
        <v>46090</v>
      </c>
      <c r="BQ60" s="776" t="n">
        <v>46097</v>
      </c>
      <c r="BR60" s="776" t="n">
        <v>46104</v>
      </c>
      <c r="BS60" s="776" t="n">
        <v>46111</v>
      </c>
      <c r="BT60" s="776" t="n">
        <v>46118</v>
      </c>
      <c r="BU60" s="776" t="n">
        <v>46125</v>
      </c>
      <c r="BV60" s="776" t="n">
        <v>46132</v>
      </c>
      <c r="BW60" s="776" t="n">
        <v>46139</v>
      </c>
      <c r="BX60" s="776" t="n">
        <v>46146</v>
      </c>
      <c r="BY60" s="776" t="n">
        <v>46154</v>
      </c>
      <c r="CA60" s="50" t="n"/>
      <c r="CB60" s="51" t="n"/>
      <c r="CC60" s="50" t="n"/>
      <c r="CD60" s="50" t="n"/>
      <c r="CE60" s="50" t="n"/>
      <c r="DD60" s="5" t="n"/>
      <c r="DO60" s="5" t="n"/>
      <c r="DP60" s="5" t="n"/>
      <c r="DT60" s="5" t="n"/>
      <c r="EA60" s="5" t="n"/>
      <c r="ED60" s="5" t="n"/>
      <c r="EE60" s="327" t="n"/>
      <c r="EI60" s="327" t="n"/>
      <c r="EK60" s="327" t="n"/>
      <c r="EM60" s="327" t="n"/>
    </row>
    <row r="61" hidden="1" ht="18.75" customHeight="1">
      <c r="A61" s="781" t="inlineStr">
        <is>
          <t>GLAMOUR MIDNIGHT</t>
        </is>
      </c>
      <c r="B61" s="731" t="n"/>
      <c r="C61" s="731" t="n"/>
      <c r="D61" s="775" t="n"/>
      <c r="F61" s="141" t="n"/>
      <c r="G61" s="141" t="n"/>
      <c r="H61" s="141" t="n"/>
      <c r="I61" s="141" t="n"/>
      <c r="J61" s="141" t="n"/>
      <c r="K61" s="141" t="n"/>
      <c r="L61" s="141" t="n"/>
      <c r="M61" s="141" t="n"/>
      <c r="N61" s="141" t="n"/>
      <c r="O61" s="141" t="n"/>
      <c r="P61" s="141" t="n"/>
      <c r="Q61" s="141" t="n"/>
      <c r="R61" s="141" t="n"/>
      <c r="S61" s="141" t="n"/>
      <c r="T61" s="141" t="n"/>
      <c r="U61" s="141" t="n"/>
      <c r="V61" s="141" t="n"/>
      <c r="W61" s="141" t="n"/>
      <c r="X61" s="141" t="n"/>
      <c r="Y61" s="141" t="n"/>
      <c r="Z61" s="141" t="n"/>
      <c r="AA61" s="141" t="n"/>
      <c r="AB61" s="141" t="n"/>
      <c r="AC61" s="141" t="n"/>
      <c r="AD61" s="141" t="n"/>
      <c r="AE61" s="141" t="n"/>
      <c r="AF61" s="141" t="n"/>
      <c r="AG61" s="141" t="n"/>
      <c r="AH61" s="141" t="n"/>
      <c r="AI61" s="141" t="n"/>
      <c r="AJ61" s="141" t="n"/>
      <c r="AK61" s="141" t="n"/>
      <c r="AL61" s="141" t="n"/>
      <c r="AM61" s="141" t="n"/>
      <c r="AN61" s="141" t="n"/>
      <c r="AO61" s="141" t="n"/>
      <c r="AP61" s="141" t="n"/>
      <c r="AQ61" s="141" t="n"/>
      <c r="AR61" s="141" t="n"/>
      <c r="AS61" s="141" t="n"/>
      <c r="AT61" s="141" t="n"/>
      <c r="AU61" s="141" t="n"/>
      <c r="AV61" s="141" t="n"/>
      <c r="AW61" s="141" t="n"/>
      <c r="AX61" s="141" t="n"/>
      <c r="AY61" s="141" t="n"/>
      <c r="AZ61" s="141" t="n"/>
      <c r="BA61" s="141" t="n"/>
      <c r="BB61" s="141" t="n"/>
      <c r="BC61" s="141" t="n"/>
      <c r="BD61" s="141" t="n"/>
      <c r="BE61" s="141" t="n"/>
      <c r="BF61" s="141" t="n"/>
      <c r="BG61" s="141" t="n"/>
      <c r="BH61" s="141" t="n"/>
      <c r="BI61" s="141" t="n"/>
      <c r="BJ61" s="141" t="n"/>
      <c r="BK61" s="141" t="n"/>
      <c r="BL61" s="141" t="n"/>
      <c r="BM61" s="141" t="n"/>
      <c r="BN61" s="141" t="n"/>
      <c r="BO61" s="141" t="n"/>
      <c r="BP61" s="141" t="n"/>
      <c r="BQ61" s="141" t="n"/>
      <c r="BR61" s="141" t="n"/>
      <c r="BS61" s="141" t="n"/>
      <c r="BT61" s="141" t="n"/>
      <c r="BU61" s="141" t="n"/>
      <c r="BV61" s="141" t="n"/>
      <c r="BW61" s="141" t="n"/>
      <c r="BX61" s="141" t="n"/>
      <c r="BY61" s="141" t="n"/>
      <c r="CA61" s="50" t="n"/>
      <c r="CC61" s="50" t="n"/>
      <c r="CD61" s="50" t="n"/>
      <c r="CE61" s="50" t="n"/>
      <c r="DD61" s="5" t="n"/>
      <c r="DO61" s="41" t="n"/>
      <c r="DP61" s="41" t="n"/>
      <c r="DT61" s="41" t="n"/>
      <c r="EA61" s="5" t="n"/>
      <c r="ED61" s="5" t="n"/>
      <c r="EE61" s="327" t="n"/>
      <c r="EI61" s="327" t="n"/>
      <c r="EK61" s="327" t="n"/>
      <c r="EM61" s="327" t="n"/>
    </row>
    <row r="62" hidden="1" ht="18.75" customHeight="1">
      <c r="A62" s="781" t="inlineStr">
        <is>
          <t>CELEBRE AGORA MAS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CA62" s="50" t="n"/>
      <c r="DA62" s="5" t="n"/>
      <c r="DD62" s="5" t="n"/>
      <c r="DO62" s="41" t="n"/>
      <c r="DP62" s="41" t="n"/>
      <c r="DT62" s="41" t="n"/>
      <c r="EA62" s="5" t="n"/>
      <c r="ED62" s="5" t="n"/>
      <c r="EE62" s="327" t="n"/>
      <c r="EI62" s="327" t="n"/>
      <c r="EK62" s="327" t="n"/>
      <c r="EM62" s="327" t="n"/>
    </row>
    <row r="63" hidden="1" ht="18.75" customHeight="1">
      <c r="A63" s="781" t="inlineStr">
        <is>
          <t>CELEBRE AGORA FEM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573" t="n"/>
      <c r="CB63" s="5" t="n"/>
      <c r="DA63" s="5" t="n"/>
      <c r="DD63" s="5" t="n"/>
      <c r="DO63" s="41" t="n"/>
      <c r="DP63" s="41" t="n"/>
      <c r="DT63" s="41" t="n"/>
      <c r="EA63" s="5" t="n"/>
      <c r="ED63" s="5" t="n"/>
      <c r="EE63" s="327" t="n"/>
      <c r="EI63" s="327" t="n"/>
      <c r="EK63" s="327" t="n"/>
      <c r="EM63" s="327" t="n"/>
    </row>
    <row r="64" hidden="1" ht="18.75" customHeight="1">
      <c r="A64" s="781" t="inlineStr">
        <is>
          <t>COFFEE D/COL MAN SEDUC</t>
        </is>
      </c>
      <c r="B64" s="731" t="n"/>
      <c r="C64" s="731" t="n"/>
      <c r="D64" s="77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573" t="n"/>
      <c r="CB64" s="5" t="n"/>
      <c r="DA64" s="5" t="n"/>
      <c r="DD64" s="5" t="n"/>
      <c r="EA64" s="5" t="n"/>
      <c r="ED64" s="5" t="n"/>
      <c r="EE64" s="328" t="n"/>
      <c r="EI64" s="328" t="n"/>
      <c r="EK64" s="328" t="n"/>
      <c r="EM64" s="328" t="n"/>
    </row>
    <row r="65" hidden="1" ht="18.75" customHeight="1">
      <c r="A65" s="781" t="inlineStr">
        <is>
          <t>BOTIK AC MANDTR</t>
        </is>
      </c>
      <c r="B65" s="731" t="n"/>
      <c r="C65" s="731" t="n"/>
      <c r="D65" s="77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573" t="n"/>
      <c r="CB65" s="5" t="n"/>
      <c r="DD65" s="5" t="n"/>
      <c r="EA65" s="5" t="n"/>
      <c r="ED65" s="5" t="n"/>
      <c r="EE65" s="328" t="n"/>
      <c r="EI65" s="328" t="n"/>
      <c r="EK65" s="328" t="n"/>
      <c r="EM65" s="328" t="n"/>
    </row>
    <row r="66" hidden="1" ht="18.75" customHeight="1">
      <c r="A66" s="781" t="inlineStr">
        <is>
          <t>CBEM SHOW DE BANHO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573" t="n"/>
      <c r="CA66" s="29" t="n"/>
      <c r="CB66" s="29" t="n"/>
      <c r="CF66" s="29" t="n"/>
      <c r="CG66" s="29" t="n"/>
      <c r="CH66" s="29" t="n"/>
      <c r="CI66" s="59" t="n"/>
      <c r="CJ66" s="29" t="n"/>
      <c r="CK66" s="29" t="n"/>
      <c r="CL66" s="29" t="n"/>
      <c r="CM66" s="29" t="n"/>
      <c r="CN66" s="29" t="n"/>
      <c r="CO66" s="29" t="n"/>
      <c r="CP66" s="29" t="n"/>
      <c r="CQ66" s="29" t="n"/>
      <c r="CR66" s="29" t="n"/>
      <c r="CS66" s="29" t="n"/>
      <c r="CT66" s="29" t="n"/>
      <c r="CU66" s="29" t="n"/>
      <c r="CV66" s="29" t="n"/>
      <c r="CW66" s="29" t="n"/>
      <c r="CX66" s="29" t="n"/>
      <c r="CY66" s="29" t="n"/>
      <c r="CZ66" s="29" t="n"/>
      <c r="DA66" s="59" t="n"/>
      <c r="DB66" s="29" t="n"/>
      <c r="DC66" s="29" t="n"/>
      <c r="DD66" s="5" t="n"/>
      <c r="DE66" s="29" t="n"/>
      <c r="DF66" s="29" t="n"/>
      <c r="DG66" s="29" t="n"/>
      <c r="DH66" s="29" t="n"/>
      <c r="DI66" s="29" t="n"/>
      <c r="DJ66" s="29" t="n"/>
      <c r="DK66" s="29" t="n"/>
      <c r="DL66" s="29" t="n"/>
      <c r="DM66" s="29" t="n"/>
      <c r="DN66" s="29" t="n"/>
      <c r="DQ66" s="29" t="n"/>
      <c r="DR66" s="29" t="n"/>
      <c r="DS66" s="29" t="n"/>
      <c r="DU66" s="29" t="n"/>
      <c r="DV66" s="29" t="n"/>
      <c r="DW66" s="29" t="n"/>
      <c r="DX66" s="29" t="n"/>
      <c r="DY66" s="29" t="n"/>
      <c r="DZ66" s="29" t="n"/>
      <c r="EB66" s="29" t="n"/>
      <c r="EC66" s="29" t="n"/>
      <c r="EE66" s="329" t="n"/>
      <c r="EF66" s="29" t="n"/>
      <c r="EG66" s="29" t="n"/>
      <c r="EH66" s="29" t="n"/>
      <c r="EI66" s="329" t="n"/>
      <c r="EJ66" s="29" t="n"/>
      <c r="EK66" s="329" t="n"/>
      <c r="EL66" s="29" t="n"/>
      <c r="EM66" s="329" t="n"/>
      <c r="EN66" s="29" t="n"/>
      <c r="EO66" s="29" t="n"/>
      <c r="EP66" s="29" t="n"/>
      <c r="EQ66" s="29" t="n"/>
      <c r="ER66" s="29" t="n"/>
      <c r="ES66" s="29" t="n"/>
      <c r="ET66" s="29" t="n"/>
      <c r="EU66" s="29" t="n"/>
      <c r="EV66" s="29" t="n"/>
      <c r="EW66" s="29" t="n"/>
      <c r="EX66" s="29" t="n"/>
      <c r="EY66" s="29" t="n"/>
      <c r="FA66" s="5" t="n"/>
      <c r="FB66" s="5" t="n"/>
      <c r="FC66" s="5" t="n"/>
      <c r="FD66" s="5" t="n"/>
      <c r="FE66" s="5" t="n"/>
      <c r="FF66" s="5" t="n"/>
      <c r="FG66" s="5" t="n"/>
      <c r="FH66" s="5" t="n"/>
      <c r="FI66" s="5" t="n"/>
    </row>
    <row r="67" hidden="1" ht="18.75" customHeight="1">
      <c r="A67" s="781" t="inlineStr">
        <is>
          <t>CJ FLAC BOTICA 214 EDP FIJ P/FG/ES 5x1ml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DD67" s="5" t="n"/>
      <c r="EA67" s="5" t="n"/>
      <c r="ED67" s="5" t="n"/>
      <c r="EE67" s="329" t="n"/>
      <c r="EI67" s="329" t="n"/>
      <c r="EK67" s="329" t="n"/>
      <c r="EM67" s="329" t="n"/>
    </row>
    <row r="68" hidden="1" ht="18.75" customHeight="1">
      <c r="A68" s="781" t="inlineStr">
        <is>
          <t>CJ FLAC BOTICA 214 EDP FIJ P/FG/ES 5x1ml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573" t="n"/>
      <c r="EE68" s="329" t="n"/>
      <c r="EI68" s="329" t="n"/>
      <c r="EK68" s="329" t="n"/>
      <c r="EM68" s="329" t="n"/>
    </row>
    <row r="69" hidden="1" ht="18.75" customHeight="1">
      <c r="A69" s="781" t="inlineStr">
        <is>
          <t>CJ SCH BOTIK VITAM C SERUM ALT/POT 5x2ml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573" t="n"/>
      <c r="DD69" s="5" t="n"/>
      <c r="EE69" s="329" t="n"/>
      <c r="EI69" s="329" t="n"/>
      <c r="EK69" s="329" t="n"/>
      <c r="EM69" s="329" t="n"/>
    </row>
    <row r="70" hidden="1" ht="18.75" customHeight="1">
      <c r="A70" s="781" t="inlineStr">
        <is>
          <t>CJ FLAC EGEO FREE FIRE DES COL  5x1ml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573" t="n"/>
      <c r="DO70" s="5" t="n"/>
      <c r="DP70" s="5" t="n"/>
      <c r="DT70" s="5" t="n"/>
      <c r="EA70" s="173" t="n"/>
      <c r="ED70" s="173" t="n"/>
      <c r="EE70" s="329" t="n"/>
      <c r="EI70" s="329" t="n"/>
      <c r="EK70" s="329" t="n"/>
      <c r="EM70" s="329" t="n"/>
    </row>
    <row r="71" hidden="1" ht="18.75" customHeight="1">
      <c r="A71" s="781" t="inlineStr">
        <is>
          <t>CJ FLAC EAU DE PARFUM HER CODE 5x1ml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573" t="n"/>
      <c r="DO71" s="5" t="n"/>
      <c r="DP71" s="5" t="n"/>
      <c r="DT71" s="5" t="n"/>
      <c r="EA71" s="173" t="n"/>
      <c r="ED71" s="173" t="n"/>
      <c r="EE71" s="329" t="n"/>
      <c r="EI71" s="329" t="n"/>
      <c r="EK71" s="329" t="n"/>
      <c r="EM71" s="329" t="n"/>
    </row>
    <row r="72" hidden="1" ht="18.75" customHeight="1">
      <c r="A72" s="781" t="inlineStr">
        <is>
          <t>CJ SCH MALBEC CLUB SH/C ANTI CASPA V2 2x7ml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573" t="n"/>
      <c r="DD72" s="173" t="n"/>
      <c r="DO72" s="5" t="n"/>
      <c r="DP72" s="5" t="n"/>
      <c r="DT72" s="5" t="n"/>
      <c r="EA72" s="173" t="n"/>
      <c r="ED72" s="173" t="n"/>
      <c r="EE72" s="327" t="n"/>
      <c r="EI72" s="327" t="n"/>
      <c r="EK72" s="327" t="n"/>
      <c r="EM72" s="327" t="n"/>
    </row>
    <row r="73" hidden="1" ht="18.75" customHeight="1">
      <c r="A73" s="781" t="inlineStr">
        <is>
          <t>CJ SCH MALBEC CLUB SH/C ANTIQ V2 2x7ml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573" t="n"/>
      <c r="DD73" s="173" t="n"/>
      <c r="EE73" s="327" t="n"/>
      <c r="EI73" s="327" t="n"/>
      <c r="EK73" s="327" t="n"/>
      <c r="EM73" s="327" t="n"/>
    </row>
    <row r="74" hidden="1" ht="18.75" customHeight="1">
      <c r="A74" s="781" t="inlineStr">
        <is>
          <t>CJ SCH BOTIK ACIDO POLIGLUTAMICO 2x2g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573" t="n"/>
      <c r="DD74" s="173" t="n"/>
      <c r="EE74" s="327" t="n"/>
      <c r="EI74" s="327" t="n"/>
      <c r="EK74" s="327" t="n"/>
      <c r="EM74" s="327" t="n"/>
    </row>
    <row r="75" hidden="1" ht="18.75" customHeight="1">
      <c r="A75" s="781" t="inlineStr">
        <is>
          <t>LILY LEAU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573" t="n"/>
    </row>
    <row r="76" hidden="1" ht="18.75" customHeight="1">
      <c r="A76" s="781" t="inlineStr">
        <is>
          <t>QUASAR VISION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</row>
    <row r="77" hidden="1" ht="18.75" customHeight="1">
      <c r="A77" s="781" t="inlineStr">
        <is>
          <t xml:space="preserve">CJ FLAC BOTICOL PORTINAR D/COL ABS 5x1ml 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</row>
    <row r="78" hidden="1" ht="18.75" customHeight="1">
      <c r="A78" s="781" t="inlineStr">
        <is>
          <t>CJ SCH BOTI BABY SAB LIQLOC CPO 2x7ML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</row>
    <row r="79" hidden="1" ht="18.75" customHeight="1">
      <c r="A79" s="781" t="inlineStr">
        <is>
          <t>BASE MAKE B SACHE</t>
        </is>
      </c>
      <c r="B79" s="731" t="n"/>
      <c r="C79" s="731" t="n"/>
      <c r="D79" s="775" t="n"/>
      <c r="E79" s="573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CO79" s="59" t="n"/>
      <c r="CP79" s="59" t="n"/>
      <c r="CQ79" s="59" t="n"/>
      <c r="CR79" s="59" t="n"/>
      <c r="CS79" s="59" t="n"/>
      <c r="CT79" s="59" t="n"/>
    </row>
    <row r="80" hidden="1" ht="18.75" customHeight="1">
      <c r="A80" s="781" t="inlineStr">
        <is>
          <t>PORTINARI</t>
        </is>
      </c>
      <c r="B80" s="731" t="n"/>
      <c r="C80" s="731" t="n"/>
      <c r="D80" s="775" t="n"/>
      <c r="E80" s="573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CO80" s="573" t="n"/>
      <c r="CP80" s="573" t="n"/>
      <c r="CQ80" s="573" t="n"/>
      <c r="CR80" s="573" t="n"/>
      <c r="CS80" s="573" t="n"/>
      <c r="CT80" s="573" t="n"/>
    </row>
    <row r="81" hidden="1" ht="18.75" customHeight="1">
      <c r="A81" s="781" t="inlineStr">
        <is>
          <t>FLORATTA ROMANCE VERÃO</t>
        </is>
      </c>
      <c r="B81" s="731" t="n"/>
      <c r="C81" s="731" t="n"/>
      <c r="D81" s="775" t="n"/>
      <c r="E81" s="573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CO81" s="573" t="n"/>
      <c r="CP81" s="573" t="n"/>
      <c r="CQ81" s="573" t="n"/>
      <c r="CR81" s="573" t="n"/>
      <c r="CS81" s="573" t="n"/>
      <c r="CT81" s="573" t="n"/>
    </row>
    <row r="82" hidden="1" ht="18.75" customHeight="1">
      <c r="A82" s="781" t="inlineStr">
        <is>
          <t>BATOM INTENSE CREMOSO</t>
        </is>
      </c>
      <c r="B82" s="731" t="n"/>
      <c r="C82" s="731" t="n"/>
      <c r="D82" s="775" t="n"/>
      <c r="E82" s="573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</row>
    <row r="83" hidden="1" ht="18.75" customHeight="1">
      <c r="A83" s="781" t="inlineStr">
        <is>
          <t>BOTI SUN FLUIDO</t>
        </is>
      </c>
      <c r="B83" s="731" t="n"/>
      <c r="C83" s="731" t="n"/>
      <c r="D83" s="775" t="n"/>
      <c r="E83" s="573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</row>
    <row r="84" hidden="1" ht="18.75" customHeight="1">
      <c r="A84" s="781" t="inlineStr">
        <is>
          <t>cuidese bem</t>
        </is>
      </c>
      <c r="B84" s="731" t="n"/>
      <c r="C84" s="731" t="n"/>
      <c r="D84" s="775" t="n"/>
      <c r="E84" s="573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</row>
    <row r="85" hidden="1" ht="18.75" customHeight="1">
      <c r="A85" s="781" t="inlineStr">
        <is>
          <t>make be</t>
        </is>
      </c>
      <c r="B85" s="731" t="n"/>
      <c r="C85" s="731" t="n"/>
      <c r="D85" s="775" t="n"/>
      <c r="E85" s="573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</row>
    <row r="86" hidden="1" ht="18.75" customHeight="1">
      <c r="A86" s="781" t="inlineStr">
        <is>
          <t>QUASAR blue</t>
        </is>
      </c>
      <c r="B86" s="731" t="n"/>
      <c r="C86" s="731" t="n"/>
      <c r="D86" s="775" t="n"/>
      <c r="E86" s="573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</row>
    <row r="87" hidden="1" ht="18.75" customHeight="1">
      <c r="A87" s="781" t="inlineStr">
        <is>
          <t>ARBO PURO</t>
        </is>
      </c>
      <c r="B87" s="731" t="n"/>
      <c r="C87" s="731" t="n"/>
      <c r="D87" s="775" t="n"/>
      <c r="E87" s="573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</row>
    <row r="88" hidden="1" ht="18.75" customHeight="1">
      <c r="A88" s="781" t="inlineStr">
        <is>
          <t>FEIRA BANANA</t>
        </is>
      </c>
      <c r="B88" s="731" t="n"/>
      <c r="C88" s="731" t="n"/>
      <c r="D88" s="775" t="n"/>
      <c r="E88" s="573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</row>
    <row r="89" hidden="1" ht="18.75" customHeight="1">
      <c r="A89" s="781" t="inlineStr">
        <is>
          <t>CJ SCH CBEM LOC HID FEIRA SORT3X7ML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</row>
    <row r="90" hidden="1" ht="18.75" customHeight="1">
      <c r="A90" s="781" t="inlineStr">
        <is>
          <t>FLACONETE QUASAR BLUE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</row>
    <row r="91" hidden="1" ht="18.75" customHeight="1">
      <c r="A91" s="781" t="inlineStr">
        <is>
          <t>SACHE DELEITE 3X7ML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</row>
    <row r="92" hidden="1" ht="18.75" customHeight="1">
      <c r="A92" s="781" t="inlineStr">
        <is>
          <t>SACHE ROSA E ALGODÃO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</row>
    <row r="93" hidden="1" ht="18.75" customHeight="1">
      <c r="A93" s="781" t="inlineStr">
        <is>
          <t>SACHE NUVEM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</row>
    <row r="94" hidden="1" ht="18.75" customHeight="1">
      <c r="A94" s="482" t="inlineStr">
        <is>
          <t>FLAC HER CODE TOUCH 5X1ML</t>
        </is>
      </c>
      <c r="B94" s="483" t="n"/>
      <c r="C94" s="484" t="n"/>
      <c r="D94" s="484" t="n"/>
      <c r="F94" s="141" t="n">
        <v>0</v>
      </c>
      <c r="G94" s="141" t="n">
        <v>0</v>
      </c>
      <c r="H94" s="141" t="n">
        <v>0</v>
      </c>
      <c r="I94" s="141" t="n">
        <v>0</v>
      </c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</row>
    <row r="95" hidden="1" ht="18.75" customHeight="1">
      <c r="A95" s="482" t="inlineStr">
        <is>
          <t xml:space="preserve">FLAC DIVERTIDAMENTE2 5X1 ML </t>
        </is>
      </c>
      <c r="B95" s="483" t="n"/>
      <c r="C95" s="484" t="n"/>
      <c r="D95" s="484" t="n"/>
      <c r="F95" s="141" t="n">
        <v>0</v>
      </c>
      <c r="G95" s="141" t="n">
        <v>0</v>
      </c>
      <c r="H95" s="141" t="n">
        <v>0</v>
      </c>
      <c r="I95" s="141" t="n">
        <v>0</v>
      </c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</row>
    <row r="96" hidden="1" ht="18.75" customHeight="1">
      <c r="A96" s="482" t="inlineStr">
        <is>
          <t>FLAC ZAAD VENTURE 5X1ML</t>
        </is>
      </c>
      <c r="B96" s="483" t="n"/>
      <c r="C96" s="484" t="n"/>
      <c r="D96" s="484" t="n"/>
      <c r="F96" s="141" t="n">
        <v>0</v>
      </c>
      <c r="G96" s="141" t="n">
        <v>0</v>
      </c>
      <c r="H96" s="141" t="n">
        <v>0</v>
      </c>
      <c r="I96" s="141" t="n">
        <v>0</v>
      </c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</row>
    <row r="97" hidden="1" ht="18.75" customHeight="1">
      <c r="A97" s="781" t="inlineStr">
        <is>
          <t>SCH BOTIK SERUM FAC RESV/SILICIO 2ML</t>
        </is>
      </c>
      <c r="B97" s="731" t="n"/>
      <c r="C97" s="731" t="n"/>
      <c r="D97" s="775" t="n"/>
      <c r="F97" s="141" t="n">
        <v>0</v>
      </c>
      <c r="G97" s="141" t="n">
        <v>0</v>
      </c>
      <c r="H97" s="141" t="n">
        <v>0</v>
      </c>
      <c r="I97" s="141" t="n">
        <v>0</v>
      </c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</row>
    <row r="98" hidden="1" ht="18.75" customHeight="1">
      <c r="A98" s="781" t="inlineStr">
        <is>
          <t>NATIVA SPA CEREJA ROUGE</t>
        </is>
      </c>
      <c r="B98" s="731" t="n"/>
      <c r="C98" s="731" t="n"/>
      <c r="D98" s="775" t="n"/>
      <c r="F98" s="141" t="n">
        <v>0</v>
      </c>
      <c r="G98" s="141" t="n">
        <v>0</v>
      </c>
      <c r="H98" s="141" t="n">
        <v>0</v>
      </c>
      <c r="I98" s="141" t="n">
        <v>0</v>
      </c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</row>
    <row r="99" hidden="1" ht="18.75" customHeight="1">
      <c r="A99" s="781" t="inlineStr">
        <is>
          <t>LILLY GARDENIA</t>
        </is>
      </c>
      <c r="B99" s="731" t="n"/>
      <c r="C99" s="731" t="n"/>
      <c r="D99" s="775" t="n"/>
      <c r="F99" s="141" t="n">
        <v>0</v>
      </c>
      <c r="G99" s="141" t="n">
        <v>0</v>
      </c>
      <c r="H99" s="141" t="n">
        <v>0</v>
      </c>
      <c r="I99" s="141" t="n">
        <v>0</v>
      </c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</row>
    <row r="100" hidden="1" ht="18.75" customHeight="1">
      <c r="A100" s="781" t="inlineStr">
        <is>
          <t>MALBEC ICON</t>
        </is>
      </c>
      <c r="B100" s="731" t="n"/>
      <c r="C100" s="731" t="n"/>
      <c r="D100" s="775" t="n"/>
      <c r="F100" s="141" t="n">
        <v>45</v>
      </c>
      <c r="G100" s="141" t="n">
        <v>45</v>
      </c>
      <c r="H100" s="141" t="n">
        <v>40</v>
      </c>
      <c r="I100" s="141" t="n">
        <v>40</v>
      </c>
      <c r="J100" s="141" t="n">
        <v>35</v>
      </c>
      <c r="K100" s="141" t="n">
        <v>35</v>
      </c>
      <c r="L100" s="141" t="n">
        <v>25</v>
      </c>
      <c r="M100" s="141" t="n">
        <v>20</v>
      </c>
      <c r="N100" s="141" t="n">
        <v>15</v>
      </c>
      <c r="O100" s="141" t="n">
        <v>15</v>
      </c>
      <c r="P100" s="141" t="n">
        <v>10</v>
      </c>
      <c r="Q100" s="141" t="n">
        <v>10</v>
      </c>
      <c r="R100" s="141" t="n">
        <v>10</v>
      </c>
      <c r="S100" s="141" t="n">
        <v>10</v>
      </c>
      <c r="T100" s="141" t="n">
        <v>10</v>
      </c>
      <c r="U100" s="141" t="n">
        <v>10</v>
      </c>
      <c r="V100" s="141" t="n">
        <v>5</v>
      </c>
      <c r="W100" s="141" t="n">
        <v>0</v>
      </c>
      <c r="X100" s="141" t="n">
        <v>0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>
        <v>0</v>
      </c>
      <c r="AX100" s="141" t="n">
        <v>0</v>
      </c>
      <c r="AY100" s="141" t="n">
        <v>0</v>
      </c>
      <c r="AZ100" s="141" t="n">
        <v>0</v>
      </c>
      <c r="BA100" s="141" t="n">
        <v>0</v>
      </c>
      <c r="BB100" s="141" t="n">
        <v>0</v>
      </c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</row>
    <row r="101" hidden="1" ht="18.75" customHeight="1">
      <c r="A101" s="781" t="inlineStr">
        <is>
          <t>FLORATTA RED PASSION</t>
        </is>
      </c>
      <c r="B101" s="731" t="n"/>
      <c r="C101" s="731" t="n"/>
      <c r="D101" s="775" t="n"/>
      <c r="F101" s="141" t="n">
        <v>0</v>
      </c>
      <c r="G101" s="141" t="n">
        <v>0</v>
      </c>
      <c r="H101" s="141" t="n">
        <v>45</v>
      </c>
      <c r="I101" s="141" t="n">
        <v>45</v>
      </c>
      <c r="J101" s="141" t="n">
        <v>35</v>
      </c>
      <c r="K101" s="141" t="n">
        <v>35</v>
      </c>
      <c r="L101" s="141" t="n">
        <v>20</v>
      </c>
      <c r="M101" s="141" t="n">
        <v>10</v>
      </c>
      <c r="N101" s="141" t="n">
        <v>10</v>
      </c>
      <c r="O101" s="141" t="n">
        <v>10</v>
      </c>
      <c r="P101" s="141" t="n">
        <v>0</v>
      </c>
      <c r="Q101" s="141" t="n">
        <v>0</v>
      </c>
      <c r="R101" s="141" t="n">
        <v>0</v>
      </c>
      <c r="S101" s="141" t="n">
        <v>0</v>
      </c>
      <c r="T101" s="141" t="n">
        <v>0</v>
      </c>
      <c r="U101" s="141" t="n">
        <v>0</v>
      </c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</row>
    <row r="102" hidden="1" ht="18.75" customHeight="1">
      <c r="A102" s="781" t="inlineStr">
        <is>
          <t>CBEM HIDR. DOCURA NA PESSEGURA</t>
        </is>
      </c>
      <c r="B102" s="731" t="n"/>
      <c r="C102" s="731" t="n"/>
      <c r="D102" s="775" t="n"/>
      <c r="J102" s="141" t="n">
        <v>0</v>
      </c>
      <c r="K102" s="141" t="n">
        <v>240</v>
      </c>
      <c r="L102" s="141" t="n">
        <v>224</v>
      </c>
      <c r="M102" s="141" t="n">
        <v>216</v>
      </c>
      <c r="N102" s="141" t="n">
        <v>200</v>
      </c>
      <c r="O102" s="141" t="n">
        <v>200</v>
      </c>
      <c r="P102" s="141" t="n">
        <v>160</v>
      </c>
      <c r="Q102" s="141" t="n">
        <v>160</v>
      </c>
      <c r="R102" s="141" t="n">
        <v>160</v>
      </c>
      <c r="S102" s="141" t="n">
        <v>160</v>
      </c>
      <c r="T102" s="141" t="n">
        <v>160</v>
      </c>
      <c r="U102" s="141" t="n">
        <v>160</v>
      </c>
      <c r="V102" s="141" t="n">
        <v>148</v>
      </c>
      <c r="W102" s="141" t="n">
        <v>148</v>
      </c>
      <c r="X102" s="141" t="n">
        <v>144</v>
      </c>
      <c r="Y102" s="141" t="n">
        <v>140</v>
      </c>
      <c r="Z102" s="141" t="n">
        <v>120</v>
      </c>
      <c r="AA102" s="141" t="n">
        <v>120</v>
      </c>
      <c r="AB102" s="141" t="n">
        <v>116</v>
      </c>
      <c r="AC102" s="141" t="n">
        <v>104</v>
      </c>
      <c r="AD102" s="141" t="n">
        <v>104</v>
      </c>
      <c r="AE102" s="141" t="n">
        <v>104</v>
      </c>
      <c r="AF102" s="141" t="n">
        <v>100</v>
      </c>
      <c r="AG102" s="141" t="n">
        <v>56</v>
      </c>
      <c r="AH102" s="141" t="n">
        <v>52</v>
      </c>
      <c r="AI102" s="141" t="n">
        <v>48</v>
      </c>
      <c r="AJ102" s="141" t="n">
        <v>40</v>
      </c>
      <c r="AK102" s="141" t="n">
        <v>36</v>
      </c>
      <c r="AL102" s="141" t="n">
        <v>28</v>
      </c>
      <c r="AM102" s="141" t="n">
        <v>28</v>
      </c>
      <c r="AN102" s="141" t="n">
        <v>24</v>
      </c>
      <c r="AO102" s="141" t="n">
        <v>24</v>
      </c>
      <c r="AP102" s="141" t="n">
        <v>20</v>
      </c>
      <c r="AQ102" s="141" t="n">
        <v>20</v>
      </c>
      <c r="AR102" s="141" t="n">
        <v>16</v>
      </c>
      <c r="AS102" s="141" t="n">
        <v>12</v>
      </c>
      <c r="AT102" s="141" t="n">
        <v>12</v>
      </c>
      <c r="AU102" s="141" t="n">
        <v>4</v>
      </c>
      <c r="AV102" s="141" t="n">
        <v>0</v>
      </c>
      <c r="AW102" s="141" t="n">
        <v>0</v>
      </c>
      <c r="AX102" s="141" t="n">
        <v>0</v>
      </c>
      <c r="AY102" s="141" t="n">
        <v>0</v>
      </c>
      <c r="AZ102" s="141" t="n">
        <v>0</v>
      </c>
      <c r="BA102" s="141" t="n">
        <v>0</v>
      </c>
      <c r="BB102" s="141" t="n">
        <v>0</v>
      </c>
      <c r="BC102" s="141" t="n">
        <v>0</v>
      </c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</row>
    <row r="103" hidden="1" ht="18.75" customHeight="1">
      <c r="A103" s="781" t="inlineStr">
        <is>
          <t>LILY BLANCHE</t>
        </is>
      </c>
      <c r="B103" s="731" t="n"/>
      <c r="C103" s="731" t="n"/>
      <c r="D103" s="775" t="n"/>
      <c r="L103" s="141" t="n">
        <v>0</v>
      </c>
      <c r="M103" s="141" t="n">
        <v>60</v>
      </c>
      <c r="N103" s="141" t="n">
        <v>55</v>
      </c>
      <c r="O103" s="141" t="n">
        <v>55</v>
      </c>
      <c r="P103" s="141" t="n">
        <v>50</v>
      </c>
      <c r="Q103" s="141" t="n">
        <v>40</v>
      </c>
      <c r="R103" s="141" t="n">
        <v>40</v>
      </c>
      <c r="S103" s="141" t="n">
        <v>35</v>
      </c>
      <c r="T103" s="141" t="n">
        <v>35</v>
      </c>
      <c r="U103" s="141" t="n">
        <v>35</v>
      </c>
      <c r="V103" s="141" t="n">
        <v>20</v>
      </c>
      <c r="W103" s="141" t="n">
        <v>20</v>
      </c>
      <c r="X103" s="141" t="n">
        <v>15</v>
      </c>
      <c r="Y103" s="141" t="n">
        <v>15</v>
      </c>
      <c r="Z103" s="141" t="n">
        <v>15</v>
      </c>
      <c r="AA103" s="141" t="n">
        <v>10</v>
      </c>
      <c r="AB103" s="141" t="n">
        <v>5</v>
      </c>
      <c r="AC103" s="141" t="n">
        <v>5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>
        <v>0</v>
      </c>
      <c r="AX103" s="141" t="n">
        <v>0</v>
      </c>
      <c r="AY103" s="141" t="n">
        <v>0</v>
      </c>
      <c r="AZ103" s="141" t="n">
        <v>0</v>
      </c>
      <c r="BA103" s="141" t="n">
        <v>0</v>
      </c>
      <c r="BB103" s="141" t="n">
        <v>0</v>
      </c>
      <c r="BC103" s="141" t="n">
        <v>0</v>
      </c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</row>
    <row r="104">
      <c r="A104" s="781" t="inlineStr">
        <is>
          <t>MEN NBA</t>
        </is>
      </c>
      <c r="B104" s="731" t="n"/>
      <c r="C104" s="731" t="n"/>
      <c r="D104" s="775" t="n"/>
      <c r="O104" s="141" t="n">
        <v>0</v>
      </c>
      <c r="P104" s="141" t="n">
        <v>95</v>
      </c>
      <c r="Q104" s="141" t="n">
        <v>90</v>
      </c>
      <c r="R104" s="141" t="n">
        <v>90</v>
      </c>
      <c r="S104" s="141" t="n">
        <v>80</v>
      </c>
      <c r="T104" s="141" t="n">
        <v>80</v>
      </c>
      <c r="U104" s="141" t="n">
        <v>80</v>
      </c>
      <c r="V104" s="141" t="n">
        <v>80</v>
      </c>
      <c r="W104" s="141" t="n">
        <v>80</v>
      </c>
      <c r="X104" s="141" t="n">
        <v>80</v>
      </c>
      <c r="Y104" s="141" t="n">
        <v>75</v>
      </c>
      <c r="Z104" s="141" t="n">
        <v>75</v>
      </c>
      <c r="AA104" s="141" t="n">
        <v>145</v>
      </c>
      <c r="AB104" s="141" t="n">
        <v>70</v>
      </c>
      <c r="AC104" s="141" t="n">
        <v>65</v>
      </c>
      <c r="AD104" s="141" t="n">
        <v>65</v>
      </c>
      <c r="AE104" s="141" t="n">
        <v>65</v>
      </c>
      <c r="AF104" s="141" t="n">
        <v>60</v>
      </c>
      <c r="AG104" s="141" t="n">
        <v>60</v>
      </c>
      <c r="AH104" s="141" t="n">
        <v>60</v>
      </c>
      <c r="AI104" s="141" t="n">
        <v>50</v>
      </c>
      <c r="AJ104" s="141" t="n">
        <v>50</v>
      </c>
      <c r="AK104" s="141" t="n">
        <v>50</v>
      </c>
      <c r="AL104" s="141" t="n">
        <v>45</v>
      </c>
      <c r="AM104" s="141" t="n">
        <v>45</v>
      </c>
      <c r="AN104" s="141" t="n">
        <v>40</v>
      </c>
      <c r="AO104" s="141" t="n">
        <v>40</v>
      </c>
      <c r="AP104" s="141" t="n">
        <v>40</v>
      </c>
      <c r="AQ104" s="141" t="n">
        <v>40</v>
      </c>
      <c r="AR104" s="141" t="n">
        <v>40</v>
      </c>
      <c r="AS104" s="141" t="n">
        <v>35</v>
      </c>
      <c r="AT104" s="141" t="n">
        <v>35</v>
      </c>
      <c r="AU104" s="141" t="n">
        <v>30</v>
      </c>
      <c r="AV104" s="141" t="n">
        <v>25</v>
      </c>
      <c r="AW104" s="141" t="n">
        <v>30</v>
      </c>
      <c r="AX104" s="141" t="n">
        <v>25</v>
      </c>
      <c r="AY104" s="141" t="n">
        <v>25</v>
      </c>
      <c r="AZ104" s="141" t="n">
        <v>25</v>
      </c>
      <c r="BA104" s="141" t="n">
        <v>25</v>
      </c>
      <c r="BB104" s="141" t="n">
        <v>15</v>
      </c>
      <c r="BC104" s="141" t="n">
        <v>10</v>
      </c>
      <c r="BD104" s="141" t="n">
        <v>5</v>
      </c>
      <c r="BE104" s="141" t="n">
        <v>5</v>
      </c>
      <c r="BF104" s="141" t="n">
        <v>5</v>
      </c>
      <c r="BG104" s="141" t="n">
        <v>0</v>
      </c>
      <c r="BH104" s="141" t="n">
        <v>0</v>
      </c>
      <c r="BI104" s="141" t="n">
        <v>0</v>
      </c>
      <c r="BJ104" s="141" t="n">
        <v>0</v>
      </c>
      <c r="BK104" s="141" t="n">
        <v>0</v>
      </c>
      <c r="BL104" s="141" t="n">
        <v>0</v>
      </c>
      <c r="BM104" s="141" t="n">
        <v>0</v>
      </c>
      <c r="BN104" s="141" t="n">
        <v>0</v>
      </c>
      <c r="BO104" s="141" t="n">
        <v>0</v>
      </c>
      <c r="BP104" s="141" t="n">
        <v>0</v>
      </c>
      <c r="BQ104" s="141" t="n">
        <v>0</v>
      </c>
      <c r="BR104" s="141" t="n">
        <v>0</v>
      </c>
      <c r="BS104" s="141" t="n">
        <v>0</v>
      </c>
      <c r="BT104" s="141" t="n">
        <v>0</v>
      </c>
      <c r="BU104" s="141" t="n">
        <v>0</v>
      </c>
      <c r="BV104" s="141" t="n">
        <v>0</v>
      </c>
      <c r="BW104" s="141" t="n"/>
      <c r="BX104" s="141" t="n">
        <v>0</v>
      </c>
      <c r="BY104" s="141" t="n">
        <v>0</v>
      </c>
    </row>
    <row r="105">
      <c r="A105" s="781" t="inlineStr">
        <is>
          <t>QUASAR DEEP BLUE</t>
        </is>
      </c>
      <c r="B105" s="731" t="n"/>
      <c r="C105" s="731" t="n"/>
      <c r="D105" s="775" t="n"/>
      <c r="S105" s="141" t="n">
        <v>0</v>
      </c>
      <c r="T105" s="141" t="n">
        <v>100</v>
      </c>
      <c r="U105" s="141" t="n">
        <v>100</v>
      </c>
      <c r="V105" s="141" t="n">
        <v>95</v>
      </c>
      <c r="W105" s="141" t="n">
        <v>95</v>
      </c>
      <c r="X105" s="141" t="n">
        <v>95</v>
      </c>
      <c r="Y105" s="141" t="n">
        <v>90</v>
      </c>
      <c r="Z105" s="141" t="n">
        <v>90</v>
      </c>
      <c r="AA105" s="141" t="n">
        <v>85</v>
      </c>
      <c r="AB105" s="141" t="n">
        <v>85</v>
      </c>
      <c r="AC105" s="141" t="n">
        <v>80</v>
      </c>
      <c r="AD105" s="141" t="n">
        <v>80</v>
      </c>
      <c r="AE105" s="141" t="n">
        <v>75</v>
      </c>
      <c r="AF105" s="141" t="n">
        <v>70</v>
      </c>
      <c r="AG105" s="141" t="n">
        <v>70</v>
      </c>
      <c r="AH105" s="141" t="n">
        <v>70</v>
      </c>
      <c r="AI105" s="141" t="n">
        <v>70</v>
      </c>
      <c r="AJ105" s="141" t="n">
        <v>70</v>
      </c>
      <c r="AK105" s="141" t="n">
        <v>60</v>
      </c>
      <c r="AL105" s="141" t="n">
        <v>60</v>
      </c>
      <c r="AM105" s="141" t="n">
        <v>60</v>
      </c>
      <c r="AN105" s="141" t="n">
        <v>55</v>
      </c>
      <c r="AO105" s="141" t="n">
        <v>55</v>
      </c>
      <c r="AP105" s="141" t="n">
        <v>55</v>
      </c>
      <c r="AQ105" s="141" t="n">
        <v>55</v>
      </c>
      <c r="AR105" s="141" t="n">
        <v>55</v>
      </c>
      <c r="AS105" s="141" t="n">
        <v>55</v>
      </c>
      <c r="AT105" s="141" t="n">
        <v>55</v>
      </c>
      <c r="AU105" s="141" t="n">
        <v>50</v>
      </c>
      <c r="AV105" s="141" t="n">
        <v>45</v>
      </c>
      <c r="AW105" s="141" t="n">
        <v>40</v>
      </c>
      <c r="AX105" s="141" t="n">
        <v>40</v>
      </c>
      <c r="AY105" s="141" t="n">
        <v>40</v>
      </c>
      <c r="AZ105" s="141" t="n">
        <v>40</v>
      </c>
      <c r="BA105" s="141" t="n">
        <v>40</v>
      </c>
      <c r="BB105" s="141" t="n">
        <v>30</v>
      </c>
      <c r="BC105" s="141" t="n">
        <v>25</v>
      </c>
      <c r="BD105" s="141" t="n">
        <v>20</v>
      </c>
      <c r="BE105" s="141" t="n">
        <v>15</v>
      </c>
      <c r="BF105" s="141" t="n">
        <v>15</v>
      </c>
      <c r="BG105" s="141" t="n">
        <v>15</v>
      </c>
      <c r="BH105" s="141" t="n">
        <v>10</v>
      </c>
      <c r="BI105" s="141" t="n">
        <v>5</v>
      </c>
      <c r="BJ105" s="141" t="n">
        <v>5</v>
      </c>
      <c r="BK105" s="141" t="n">
        <v>0</v>
      </c>
      <c r="BL105" s="141" t="n">
        <v>0</v>
      </c>
      <c r="BM105" s="141" t="n">
        <v>0</v>
      </c>
      <c r="BN105" s="141" t="n">
        <v>0</v>
      </c>
      <c r="BO105" s="141" t="n">
        <v>0</v>
      </c>
      <c r="BP105" s="141" t="n">
        <v>0</v>
      </c>
      <c r="BQ105" s="141" t="n">
        <v>0</v>
      </c>
      <c r="BR105" s="141" t="n">
        <v>0</v>
      </c>
      <c r="BS105" s="141" t="n">
        <v>0</v>
      </c>
      <c r="BT105" s="141" t="n">
        <v>0</v>
      </c>
      <c r="BU105" s="141" t="n">
        <v>0</v>
      </c>
      <c r="BV105" s="141" t="n">
        <v>0</v>
      </c>
      <c r="BW105" s="141" t="n"/>
      <c r="BX105" s="141" t="n">
        <v>0</v>
      </c>
      <c r="BY105" s="141" t="n">
        <v>0</v>
      </c>
    </row>
    <row r="106">
      <c r="A106" s="781" t="inlineStr">
        <is>
          <t>ARBO ATLANTICA</t>
        </is>
      </c>
      <c r="B106" s="731" t="n"/>
      <c r="C106" s="731" t="n"/>
      <c r="D106" s="775" t="n"/>
      <c r="S106" s="141" t="n">
        <v>0</v>
      </c>
      <c r="T106" s="141" t="n">
        <v>120</v>
      </c>
      <c r="U106" s="141" t="n">
        <v>120</v>
      </c>
      <c r="V106" s="141" t="n">
        <v>110</v>
      </c>
      <c r="W106" s="141" t="n">
        <v>11</v>
      </c>
      <c r="X106" s="141" t="n">
        <v>110</v>
      </c>
      <c r="Y106" s="141" t="n">
        <v>110</v>
      </c>
      <c r="Z106" s="141" t="n">
        <v>100</v>
      </c>
      <c r="AA106" s="141" t="n">
        <v>95</v>
      </c>
      <c r="AB106" s="141" t="n">
        <v>95</v>
      </c>
      <c r="AC106" s="141" t="n">
        <v>90</v>
      </c>
      <c r="AD106" s="141" t="n">
        <v>90</v>
      </c>
      <c r="AE106" s="141" t="n">
        <v>90</v>
      </c>
      <c r="AF106" s="141" t="n">
        <v>80</v>
      </c>
      <c r="AG106" s="141" t="n">
        <v>80</v>
      </c>
      <c r="AH106" s="141" t="n">
        <v>80</v>
      </c>
      <c r="AI106" s="141" t="n">
        <v>75</v>
      </c>
      <c r="AJ106" s="141" t="n">
        <v>75</v>
      </c>
      <c r="AK106" s="141" t="n">
        <v>75</v>
      </c>
      <c r="AL106" s="141" t="n">
        <v>70</v>
      </c>
      <c r="AM106" s="141" t="n">
        <v>70</v>
      </c>
      <c r="AN106" s="141" t="n">
        <v>65</v>
      </c>
      <c r="AO106" s="141" t="n">
        <v>65</v>
      </c>
      <c r="AP106" s="141" t="n">
        <v>65</v>
      </c>
      <c r="AQ106" s="141" t="n">
        <v>65</v>
      </c>
      <c r="AR106" s="141" t="n">
        <v>65</v>
      </c>
      <c r="AS106" s="141" t="n">
        <v>60</v>
      </c>
      <c r="AT106" s="141" t="n">
        <v>60</v>
      </c>
      <c r="AU106" s="141" t="n">
        <v>55</v>
      </c>
      <c r="AV106" s="141" t="n">
        <v>55</v>
      </c>
      <c r="AW106" s="141" t="n">
        <v>50</v>
      </c>
      <c r="AX106" s="141" t="n">
        <v>50</v>
      </c>
      <c r="AY106" s="141" t="n">
        <v>50</v>
      </c>
      <c r="AZ106" s="141" t="n">
        <v>50</v>
      </c>
      <c r="BA106" s="141" t="n">
        <v>50</v>
      </c>
      <c r="BB106" s="141" t="n">
        <v>40</v>
      </c>
      <c r="BC106" s="141" t="n">
        <v>40</v>
      </c>
      <c r="BD106" s="141" t="n">
        <v>35</v>
      </c>
      <c r="BE106" s="141" t="n">
        <v>30</v>
      </c>
      <c r="BF106" s="141" t="n">
        <v>30</v>
      </c>
      <c r="BG106" s="141" t="n">
        <v>35</v>
      </c>
      <c r="BH106" s="141" t="n">
        <v>35</v>
      </c>
      <c r="BI106" s="141" t="n">
        <v>35</v>
      </c>
      <c r="BJ106" s="141" t="n">
        <v>35</v>
      </c>
      <c r="BK106" s="141" t="n">
        <v>30</v>
      </c>
      <c r="BL106" s="141" t="n">
        <v>30</v>
      </c>
      <c r="BM106" s="141" t="n">
        <v>30</v>
      </c>
      <c r="BN106" s="141" t="n">
        <v>20</v>
      </c>
      <c r="BO106" s="141" t="n">
        <v>15</v>
      </c>
      <c r="BP106" s="141" t="n">
        <v>15</v>
      </c>
      <c r="BQ106" s="141" t="n">
        <v>10</v>
      </c>
      <c r="BR106" s="141" t="n">
        <v>10</v>
      </c>
      <c r="BS106" s="141" t="n">
        <v>20</v>
      </c>
      <c r="BT106" s="141" t="n">
        <v>15</v>
      </c>
      <c r="BU106" s="141" t="n">
        <v>15</v>
      </c>
      <c r="BV106" s="141" t="n">
        <v>15</v>
      </c>
      <c r="BW106" s="141" t="n"/>
      <c r="BX106" s="141" t="n">
        <v>15</v>
      </c>
      <c r="BY106" s="141" t="n">
        <v>10</v>
      </c>
    </row>
    <row r="107" hidden="1" ht="18.75" customHeight="1">
      <c r="A107" s="781" t="inlineStr">
        <is>
          <t>BOTICA 214 SEVILLA DOURADA FEM</t>
        </is>
      </c>
      <c r="B107" s="731" t="n"/>
      <c r="C107" s="731" t="n"/>
      <c r="D107" s="775" t="n"/>
      <c r="S107" s="141" t="n"/>
      <c r="T107" s="141" t="n"/>
      <c r="U107" s="141" t="n"/>
      <c r="V107" s="141" t="n">
        <v>0</v>
      </c>
      <c r="W107" s="141" t="n">
        <v>20</v>
      </c>
      <c r="X107" s="141" t="n">
        <v>20</v>
      </c>
      <c r="Y107" s="141" t="n">
        <v>20</v>
      </c>
      <c r="Z107" s="141" t="n">
        <v>20</v>
      </c>
      <c r="AA107" s="141" t="n">
        <v>70</v>
      </c>
      <c r="AB107" s="141" t="n">
        <v>15</v>
      </c>
      <c r="AC107" s="141" t="n">
        <v>10</v>
      </c>
      <c r="AD107" s="141" t="n">
        <v>10</v>
      </c>
      <c r="AE107" s="141" t="n">
        <v>10</v>
      </c>
      <c r="AF107" s="141" t="n">
        <v>5</v>
      </c>
      <c r="AG107" s="141" t="n">
        <v>0</v>
      </c>
      <c r="AH107" s="141" t="n">
        <v>0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>
        <v>0</v>
      </c>
      <c r="AX107" s="141" t="n">
        <v>0</v>
      </c>
      <c r="AY107" s="141" t="n">
        <v>0</v>
      </c>
      <c r="AZ107" s="141" t="n">
        <v>0</v>
      </c>
      <c r="BA107" s="141" t="n">
        <v>0</v>
      </c>
      <c r="BB107" s="141" t="n">
        <v>0</v>
      </c>
      <c r="BC107" s="141" t="n">
        <v>0</v>
      </c>
      <c r="BD107" s="141" t="n">
        <v>0</v>
      </c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</row>
    <row r="108" hidden="1" ht="18.75" customHeight="1">
      <c r="A108" s="781" t="inlineStr">
        <is>
          <t>BOTICA 214 SEVILLA DOURADA MASC</t>
        </is>
      </c>
      <c r="B108" s="731" t="n"/>
      <c r="C108" s="731" t="n"/>
      <c r="D108" s="775" t="n"/>
      <c r="V108" s="141" t="n"/>
      <c r="W108" s="141" t="n"/>
      <c r="X108" s="141" t="n"/>
      <c r="Y108" s="141" t="n"/>
      <c r="Z108" s="141" t="n">
        <v>0</v>
      </c>
      <c r="AA108" s="141" t="n">
        <v>10</v>
      </c>
      <c r="AB108" s="141" t="n">
        <v>5</v>
      </c>
      <c r="AC108" s="141" t="n">
        <v>5</v>
      </c>
      <c r="AD108" s="141" t="n">
        <v>5</v>
      </c>
      <c r="AE108" s="141" t="n">
        <v>5</v>
      </c>
      <c r="AF108" s="141" t="n">
        <v>0</v>
      </c>
      <c r="AG108" s="141" t="n">
        <v>0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>
        <v>0</v>
      </c>
      <c r="AX108" s="141" t="n">
        <v>0</v>
      </c>
      <c r="AY108" s="141" t="n">
        <v>0</v>
      </c>
      <c r="AZ108" s="141" t="n">
        <v>0</v>
      </c>
      <c r="BA108" s="141" t="n">
        <v>0</v>
      </c>
      <c r="BB108" s="141" t="n">
        <v>0</v>
      </c>
      <c r="BC108" s="141" t="n">
        <v>0</v>
      </c>
      <c r="BD108" s="141" t="n">
        <v>0</v>
      </c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</row>
    <row r="109" hidden="1" ht="18.75" customHeight="1">
      <c r="A109" s="781" t="inlineStr">
        <is>
          <t>BOTI SUN 3X5ML</t>
        </is>
      </c>
      <c r="B109" s="731" t="n"/>
      <c r="C109" s="731" t="n"/>
      <c r="D109" s="775" t="n"/>
      <c r="Z109" s="141" t="n">
        <v>0</v>
      </c>
      <c r="AA109" s="141" t="n">
        <v>0</v>
      </c>
      <c r="AB109" s="141" t="n">
        <v>36</v>
      </c>
      <c r="AC109" s="141" t="n">
        <v>42</v>
      </c>
      <c r="AD109" s="141" t="n">
        <v>42</v>
      </c>
      <c r="AE109" s="141" t="n">
        <v>42</v>
      </c>
      <c r="AF109" s="141" t="n">
        <v>33</v>
      </c>
      <c r="AG109" s="141" t="n">
        <v>33</v>
      </c>
      <c r="AH109" s="141" t="n">
        <v>33</v>
      </c>
      <c r="AI109" s="141" t="n">
        <v>24</v>
      </c>
      <c r="AJ109" s="141" t="n">
        <v>21</v>
      </c>
      <c r="AK109" s="141" t="n">
        <v>18</v>
      </c>
      <c r="AL109" s="141" t="n">
        <v>15</v>
      </c>
      <c r="AM109" s="141" t="n">
        <v>15</v>
      </c>
      <c r="AN109" s="141" t="n">
        <v>15</v>
      </c>
      <c r="AO109" s="141" t="n">
        <v>15</v>
      </c>
      <c r="AP109" s="141" t="n">
        <v>15</v>
      </c>
      <c r="AQ109" s="141" t="n">
        <v>12</v>
      </c>
      <c r="AR109" s="141" t="n">
        <v>12</v>
      </c>
      <c r="AS109" s="141" t="n">
        <v>9</v>
      </c>
      <c r="AT109" s="141" t="n">
        <v>9</v>
      </c>
      <c r="AU109" s="141" t="n">
        <v>6</v>
      </c>
      <c r="AV109" s="141" t="n">
        <v>6</v>
      </c>
      <c r="AW109" s="141" t="n">
        <v>6</v>
      </c>
      <c r="AX109" s="141" t="n">
        <v>3</v>
      </c>
      <c r="AY109" s="141" t="n">
        <v>3</v>
      </c>
      <c r="AZ109" s="141" t="n">
        <v>3</v>
      </c>
      <c r="BA109" s="141" t="n">
        <v>0</v>
      </c>
      <c r="BB109" s="141" t="n">
        <v>0</v>
      </c>
      <c r="BC109" s="141" t="n">
        <v>0</v>
      </c>
      <c r="BD109" s="141" t="n">
        <v>0</v>
      </c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</row>
    <row r="110" hidden="1" ht="18.75" customHeight="1">
      <c r="A110" s="781" t="inlineStr">
        <is>
          <t>EGEO COGU</t>
        </is>
      </c>
      <c r="B110" s="731" t="n"/>
      <c r="C110" s="731" t="n"/>
      <c r="D110" s="775" t="n"/>
      <c r="AG110" s="141" t="n">
        <v>0</v>
      </c>
      <c r="AH110" s="141" t="n">
        <v>50</v>
      </c>
      <c r="AI110" s="141" t="n">
        <v>45</v>
      </c>
      <c r="AJ110" s="141" t="n">
        <v>35</v>
      </c>
      <c r="AK110" s="141" t="n">
        <v>35</v>
      </c>
      <c r="AL110" s="141" t="n">
        <v>30</v>
      </c>
      <c r="AM110" s="141" t="n">
        <v>25</v>
      </c>
      <c r="AN110" s="141" t="n">
        <v>25</v>
      </c>
      <c r="AO110" s="141" t="n">
        <v>25</v>
      </c>
      <c r="AP110" s="141" t="n">
        <v>20</v>
      </c>
      <c r="AQ110" s="141" t="n">
        <v>20</v>
      </c>
      <c r="AR110" s="141" t="n">
        <v>20</v>
      </c>
      <c r="AS110" s="141" t="n">
        <v>20</v>
      </c>
      <c r="AT110" s="141" t="n">
        <v>5</v>
      </c>
      <c r="AU110" s="141" t="n">
        <v>10</v>
      </c>
      <c r="AV110" s="141" t="n">
        <v>5</v>
      </c>
      <c r="AW110" s="141" t="n">
        <v>5</v>
      </c>
      <c r="AX110" s="141" t="n">
        <v>0</v>
      </c>
      <c r="AY110" s="141" t="n">
        <v>0</v>
      </c>
      <c r="AZ110" s="141" t="n">
        <v>0</v>
      </c>
      <c r="BA110" s="141" t="n">
        <v>0</v>
      </c>
      <c r="BB110" s="141" t="n">
        <v>0</v>
      </c>
      <c r="BC110" s="141" t="n">
        <v>0</v>
      </c>
      <c r="BD110" s="141" t="n">
        <v>0</v>
      </c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</row>
    <row r="111" hidden="1" ht="18.75" customHeight="1">
      <c r="A111" s="781" t="inlineStr">
        <is>
          <t>ZAAD INTENSE</t>
        </is>
      </c>
      <c r="B111" s="731" t="n"/>
      <c r="C111" s="731" t="n"/>
      <c r="D111" s="775" t="n"/>
      <c r="AG111" s="141" t="n">
        <v>0</v>
      </c>
      <c r="AH111" s="141" t="n">
        <v>5</v>
      </c>
      <c r="AI111" s="141" t="n">
        <v>0</v>
      </c>
      <c r="AJ111" s="141" t="n">
        <v>0</v>
      </c>
      <c r="AK111" s="141" t="n">
        <v>0</v>
      </c>
      <c r="AL111" s="141" t="n">
        <v>0</v>
      </c>
      <c r="AM111" s="141" t="n">
        <v>0</v>
      </c>
      <c r="AN111" s="141" t="n">
        <v>0</v>
      </c>
      <c r="AO111" s="141" t="n">
        <v>0</v>
      </c>
      <c r="AP111" s="141" t="n">
        <v>0</v>
      </c>
      <c r="AQ111" s="141" t="n">
        <v>0</v>
      </c>
      <c r="AR111" s="141" t="n">
        <v>0</v>
      </c>
      <c r="AS111" s="141" t="n">
        <v>0</v>
      </c>
      <c r="AT111" s="141" t="n">
        <v>0</v>
      </c>
      <c r="AU111" s="141" t="n">
        <v>0</v>
      </c>
      <c r="AV111" s="141" t="n">
        <v>0</v>
      </c>
      <c r="AW111" s="141" t="n">
        <v>0</v>
      </c>
      <c r="AX111" s="141" t="n">
        <v>0</v>
      </c>
      <c r="AY111" s="141" t="n">
        <v>0</v>
      </c>
      <c r="AZ111" s="141" t="n">
        <v>0</v>
      </c>
      <c r="BA111" s="141" t="n">
        <v>0</v>
      </c>
      <c r="BB111" s="141" t="n">
        <v>0</v>
      </c>
      <c r="BC111" s="141" t="n">
        <v>0</v>
      </c>
      <c r="BD111" s="141" t="n">
        <v>0</v>
      </c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</row>
    <row r="112" hidden="1" ht="18.75" customHeight="1">
      <c r="A112" s="781" t="inlineStr">
        <is>
          <t>HER CODE CLIMAX</t>
        </is>
      </c>
      <c r="B112" s="731" t="n"/>
      <c r="C112" s="731" t="n"/>
      <c r="D112" s="775" t="n"/>
      <c r="AJ112" s="141" t="n">
        <v>0</v>
      </c>
      <c r="AK112" s="141" t="n">
        <v>50</v>
      </c>
      <c r="AL112" s="141" t="n">
        <v>35</v>
      </c>
      <c r="AM112" s="141" t="n">
        <v>30</v>
      </c>
      <c r="AN112" s="141" t="n">
        <v>30</v>
      </c>
      <c r="AO112" s="141" t="n">
        <v>25</v>
      </c>
      <c r="AP112" s="141" t="n">
        <v>20</v>
      </c>
      <c r="AQ112" s="141" t="n">
        <v>15</v>
      </c>
      <c r="AR112" s="141" t="n">
        <v>5</v>
      </c>
      <c r="AS112" s="141" t="n">
        <v>0</v>
      </c>
      <c r="AT112" s="141" t="n">
        <v>0</v>
      </c>
      <c r="AU112" s="141" t="n">
        <v>0</v>
      </c>
      <c r="AV112" s="141" t="n">
        <v>0</v>
      </c>
      <c r="AW112" s="141" t="n">
        <v>0</v>
      </c>
      <c r="AX112" s="141" t="n">
        <v>0</v>
      </c>
      <c r="AY112" s="141" t="n">
        <v>0</v>
      </c>
      <c r="AZ112" s="141" t="n">
        <v>0</v>
      </c>
      <c r="BA112" s="141" t="n">
        <v>0</v>
      </c>
      <c r="BB112" s="141" t="n">
        <v>0</v>
      </c>
      <c r="BC112" s="141" t="n">
        <v>0</v>
      </c>
      <c r="BD112" s="141" t="n">
        <v>0</v>
      </c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</row>
    <row r="113" hidden="1" ht="18.75" customHeight="1">
      <c r="A113" s="781" t="inlineStr">
        <is>
          <t>FLORATTA BOUQUET</t>
        </is>
      </c>
      <c r="B113" s="731" t="n"/>
      <c r="C113" s="731" t="n"/>
      <c r="D113" s="775" t="n"/>
      <c r="AP113" s="141" t="n">
        <v>0</v>
      </c>
      <c r="AQ113" s="141" t="n">
        <v>25</v>
      </c>
      <c r="AR113" s="141" t="n">
        <v>15</v>
      </c>
      <c r="AS113" s="141" t="n">
        <v>10</v>
      </c>
      <c r="AT113" s="141" t="n">
        <v>5</v>
      </c>
      <c r="AU113" s="141" t="n">
        <v>0</v>
      </c>
      <c r="AV113" s="141" t="n">
        <v>0</v>
      </c>
      <c r="AW113" s="141" t="n">
        <v>0</v>
      </c>
      <c r="AX113" s="141" t="n">
        <v>0</v>
      </c>
      <c r="AY113" s="141" t="n">
        <v>0</v>
      </c>
      <c r="AZ113" s="141" t="n">
        <v>0</v>
      </c>
      <c r="BA113" s="141" t="n">
        <v>0</v>
      </c>
      <c r="BB113" s="141" t="n">
        <v>0</v>
      </c>
      <c r="BC113" s="141" t="n">
        <v>0</v>
      </c>
      <c r="BD113" s="141" t="n">
        <v>0</v>
      </c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</row>
    <row r="114">
      <c r="A114" s="781" t="inlineStr">
        <is>
          <t>EGEO DOLCE ILUSION</t>
        </is>
      </c>
      <c r="B114" s="731" t="n"/>
      <c r="C114" s="731" t="n"/>
      <c r="D114" s="775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>
        <v>0</v>
      </c>
      <c r="BA114" s="141" t="n">
        <v>110</v>
      </c>
      <c r="BB114" s="141" t="n">
        <v>90</v>
      </c>
      <c r="BC114" s="141" t="n">
        <v>65</v>
      </c>
      <c r="BD114" s="141" t="n">
        <v>65</v>
      </c>
      <c r="BE114" s="141" t="n">
        <v>60</v>
      </c>
      <c r="BF114" s="141" t="n">
        <v>50</v>
      </c>
      <c r="BG114" s="141" t="n">
        <v>30</v>
      </c>
      <c r="BH114" s="141" t="n">
        <v>25</v>
      </c>
      <c r="BI114" s="141" t="n">
        <v>20</v>
      </c>
      <c r="BJ114" s="141" t="n">
        <v>20</v>
      </c>
      <c r="BK114" s="141" t="n">
        <v>15</v>
      </c>
      <c r="BL114" s="141" t="n">
        <v>10</v>
      </c>
      <c r="BM114" s="141" t="n">
        <v>10</v>
      </c>
      <c r="BN114" s="141" t="n">
        <v>10</v>
      </c>
      <c r="BO114" s="141" t="n">
        <v>5</v>
      </c>
      <c r="BP114" s="141" t="n">
        <v>5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>
        <v>0</v>
      </c>
      <c r="BV114" s="141" t="n">
        <v>0</v>
      </c>
      <c r="BW114" s="141" t="n"/>
      <c r="BX114" s="141" t="n">
        <v>0</v>
      </c>
      <c r="BY114" s="141" t="n">
        <v>0</v>
      </c>
    </row>
    <row r="115">
      <c r="A115" s="781" t="inlineStr">
        <is>
          <t>HADYA</t>
        </is>
      </c>
      <c r="B115" s="731" t="n"/>
      <c r="C115" s="731" t="n"/>
      <c r="D115" s="775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>
        <v>0</v>
      </c>
      <c r="BA115" s="141" t="n">
        <v>81</v>
      </c>
      <c r="BB115" s="141" t="n">
        <v>51</v>
      </c>
      <c r="BC115" s="141" t="n">
        <v>39</v>
      </c>
      <c r="BD115" s="141" t="n">
        <v>33</v>
      </c>
      <c r="BE115" s="141" t="n">
        <v>30</v>
      </c>
      <c r="BF115" s="141" t="n">
        <v>24</v>
      </c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0</v>
      </c>
      <c r="BN115" s="141" t="n">
        <v>0</v>
      </c>
      <c r="BO115" s="141" t="n">
        <v>0</v>
      </c>
      <c r="BP115" s="141" t="n">
        <v>0</v>
      </c>
      <c r="BQ115" s="141" t="n">
        <v>0</v>
      </c>
      <c r="BR115" s="141" t="n">
        <v>0</v>
      </c>
      <c r="BS115" s="141" t="n">
        <v>0</v>
      </c>
      <c r="BT115" s="141" t="n">
        <v>0</v>
      </c>
      <c r="BU115" s="141" t="n">
        <v>0</v>
      </c>
      <c r="BV115" s="141" t="n">
        <v>0</v>
      </c>
      <c r="BW115" s="141" t="n"/>
      <c r="BX115" s="141" t="n">
        <v>0</v>
      </c>
      <c r="BY115" s="141" t="n">
        <v>0</v>
      </c>
    </row>
    <row r="116">
      <c r="A116" s="781" t="inlineStr">
        <is>
          <t>CLASH</t>
        </is>
      </c>
      <c r="B116" s="731" t="n"/>
      <c r="C116" s="731" t="n"/>
      <c r="D116" s="775" t="n"/>
      <c r="BK116" s="141" t="n">
        <v>0</v>
      </c>
      <c r="BL116" s="141" t="n">
        <v>0</v>
      </c>
      <c r="BM116" s="141" t="n">
        <v>20</v>
      </c>
      <c r="BN116" s="141" t="n">
        <v>20</v>
      </c>
      <c r="BO116" s="141" t="n">
        <v>15</v>
      </c>
      <c r="BP116" s="141" t="n">
        <v>15</v>
      </c>
      <c r="BQ116" s="141" t="n">
        <v>10</v>
      </c>
      <c r="BR116" s="141" t="n">
        <v>10</v>
      </c>
      <c r="BS116" s="141" t="n">
        <v>5</v>
      </c>
      <c r="BT116" s="141" t="n">
        <v>20</v>
      </c>
      <c r="BU116" s="141" t="n">
        <v>0</v>
      </c>
      <c r="BV116" s="141" t="n">
        <v>0</v>
      </c>
      <c r="BW116" s="141" t="n"/>
      <c r="BX116" s="141" t="n">
        <v>0</v>
      </c>
      <c r="BY116" s="141" t="n">
        <v>0</v>
      </c>
    </row>
    <row r="117">
      <c r="A117" s="781" t="inlineStr">
        <is>
          <t xml:space="preserve">BOTIK </t>
        </is>
      </c>
      <c r="B117" s="731" t="n"/>
      <c r="C117" s="731" t="n"/>
      <c r="D117" s="775" t="n"/>
      <c r="BK117" s="141" t="n">
        <v>0</v>
      </c>
      <c r="BL117" s="141" t="n">
        <v>0</v>
      </c>
      <c r="BM117" s="141" t="n">
        <v>30</v>
      </c>
      <c r="BN117" s="141" t="n">
        <v>30</v>
      </c>
      <c r="BO117" s="141" t="n">
        <v>20</v>
      </c>
      <c r="BP117" s="141" t="n">
        <v>20</v>
      </c>
      <c r="BQ117" s="141" t="n">
        <v>20</v>
      </c>
      <c r="BR117" s="141" t="n">
        <v>20</v>
      </c>
      <c r="BS117" s="141" t="n">
        <v>65</v>
      </c>
      <c r="BT117" s="141" t="n">
        <v>60</v>
      </c>
      <c r="BU117" s="141" t="n">
        <v>55</v>
      </c>
      <c r="BV117" s="141" t="n">
        <v>50</v>
      </c>
      <c r="BW117" s="141" t="n"/>
      <c r="BX117" s="141" t="n">
        <v>40</v>
      </c>
      <c r="BY117" s="141" t="n">
        <v>40</v>
      </c>
    </row>
    <row r="118">
      <c r="A118" s="781" t="inlineStr">
        <is>
          <t>CEREJA EM FASES</t>
        </is>
      </c>
      <c r="B118" s="731" t="n"/>
      <c r="C118" s="731" t="n"/>
      <c r="D118" s="775" t="n"/>
      <c r="BM118" s="141" t="n">
        <v>0</v>
      </c>
      <c r="BN118" s="141" t="n">
        <v>0</v>
      </c>
      <c r="BO118" s="141" t="n">
        <v>0</v>
      </c>
      <c r="BP118" s="141" t="n">
        <v>0</v>
      </c>
      <c r="BQ118" s="141" t="n">
        <v>0</v>
      </c>
      <c r="BR118" s="141" t="n">
        <v>0</v>
      </c>
      <c r="BS118" s="141" t="n">
        <v>84</v>
      </c>
      <c r="BT118" s="141" t="n">
        <v>80</v>
      </c>
      <c r="BU118" s="141" t="n">
        <v>72</v>
      </c>
      <c r="BV118" s="141" t="n">
        <v>64</v>
      </c>
      <c r="BW118" s="141" t="n"/>
      <c r="BX118" s="141" t="n">
        <v>52</v>
      </c>
      <c r="BY118" s="141" t="n">
        <v>52</v>
      </c>
    </row>
    <row r="119">
      <c r="A119" s="781" t="n"/>
      <c r="B119" s="731" t="n"/>
      <c r="C119" s="731" t="n"/>
      <c r="D119" s="775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</row>
  </sheetData>
  <mergeCells count="65">
    <mergeCell ref="A116:D116"/>
    <mergeCell ref="A106:D106"/>
    <mergeCell ref="A91:D91"/>
    <mergeCell ref="A97:D97"/>
    <mergeCell ref="A100:D100"/>
    <mergeCell ref="A62:D62"/>
    <mergeCell ref="A109:D109"/>
    <mergeCell ref="A72:D72"/>
    <mergeCell ref="A112:D112"/>
    <mergeCell ref="A81:D81"/>
    <mergeCell ref="A63:D63"/>
    <mergeCell ref="A117:D117"/>
    <mergeCell ref="A115:D115"/>
    <mergeCell ref="A93:D93"/>
    <mergeCell ref="A68:D68"/>
    <mergeCell ref="A111:D111"/>
    <mergeCell ref="A102:D102"/>
    <mergeCell ref="A1:BZ1"/>
    <mergeCell ref="A67:D67"/>
    <mergeCell ref="A114:D114"/>
    <mergeCell ref="A83:D83"/>
    <mergeCell ref="A77:D77"/>
    <mergeCell ref="A92:D92"/>
    <mergeCell ref="A64:D64"/>
    <mergeCell ref="A82:D82"/>
    <mergeCell ref="A73:D73"/>
    <mergeCell ref="A107:D107"/>
    <mergeCell ref="A98:D98"/>
    <mergeCell ref="FA7:FI7"/>
    <mergeCell ref="A60:D60"/>
    <mergeCell ref="A5:A6"/>
    <mergeCell ref="A103:D103"/>
    <mergeCell ref="A110:D110"/>
    <mergeCell ref="A79:D79"/>
    <mergeCell ref="A70:D70"/>
    <mergeCell ref="A61:D61"/>
    <mergeCell ref="A119:D119"/>
    <mergeCell ref="A88:D88"/>
    <mergeCell ref="A69:D69"/>
    <mergeCell ref="A78:D78"/>
    <mergeCell ref="A87:D87"/>
    <mergeCell ref="A65:D65"/>
    <mergeCell ref="A99:D99"/>
    <mergeCell ref="A90:D90"/>
    <mergeCell ref="A108:D108"/>
    <mergeCell ref="A84:D84"/>
    <mergeCell ref="A66:D66"/>
    <mergeCell ref="B5:B6"/>
    <mergeCell ref="A118:D118"/>
    <mergeCell ref="A80:D80"/>
    <mergeCell ref="A75:D75"/>
    <mergeCell ref="B3:D3"/>
    <mergeCell ref="A89:D89"/>
    <mergeCell ref="D5:D6"/>
    <mergeCell ref="A105:D105"/>
    <mergeCell ref="A74:D74"/>
    <mergeCell ref="A101:D101"/>
    <mergeCell ref="A86:D86"/>
    <mergeCell ref="A104:D104"/>
    <mergeCell ref="A113:D113"/>
    <mergeCell ref="A71:D71"/>
    <mergeCell ref="A85:D85"/>
    <mergeCell ref="A76:D76"/>
    <mergeCell ref="B2:D2"/>
    <mergeCell ref="C5:C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25" right="0.25" top="0.75" bottom="0.75" header="0.3" footer="0.3"/>
  <pageSetup orientation="landscape" paperSize="9" scale="80"/>
</worksheet>
</file>

<file path=xl/worksheets/sheet15.xml><?xml version="1.0" encoding="utf-8"?>
<worksheet xmlns="http://schemas.openxmlformats.org/spreadsheetml/2006/main">
  <sheetPr codeName="Planilha4">
    <tabColor theme="9"/>
    <outlinePr summaryBelow="1" summaryRight="1"/>
    <pageSetUpPr/>
  </sheetPr>
  <dimension ref="A1:JY62"/>
  <sheetViews>
    <sheetView showGridLines="0" zoomScale="80" zoomScaleNormal="80" workbookViewId="0">
      <selection activeCell="CG1" sqref="CG1:CG1048576"/>
    </sheetView>
  </sheetViews>
  <sheetFormatPr baseColWidth="8" defaultColWidth="9.140625" defaultRowHeight="18.75"/>
  <cols>
    <col width="29.140625" customWidth="1" min="1" max="1"/>
    <col width="12.42578125" customWidth="1" min="2" max="2"/>
    <col width="14.42578125" customWidth="1" min="3" max="3"/>
    <col width="1.85546875" customWidth="1" min="5" max="5"/>
    <col hidden="1" width="9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" customWidth="1" min="77" max="77"/>
    <col hidden="1" width="13" customWidth="1" min="78" max="78"/>
    <col width="13" customWidth="1" min="79" max="79"/>
    <col width="13" customWidth="1" min="80" max="80"/>
    <col width="9.7109375" customWidth="1" min="81" max="81"/>
    <col width="1.140625" customWidth="1" min="82" max="82"/>
    <col width="14.28515625" customWidth="1" min="83" max="83"/>
    <col width="1.7109375" customWidth="1" min="84" max="84"/>
    <col width="15.85546875" customWidth="1" min="85" max="85"/>
    <col width="1.7109375" customWidth="1" min="86" max="86"/>
    <col width="9.28515625" customWidth="1" min="87" max="87"/>
    <col width="13" customWidth="1" min="88" max="88"/>
    <col hidden="1" width="13" customWidth="1" min="89" max="89"/>
    <col hidden="1" width="13" customWidth="1" min="90" max="90"/>
    <col hidden="1" width="8.7109375" customWidth="1" min="91" max="91"/>
    <col hidden="1" width="9.28515625" customWidth="1" min="92" max="92"/>
    <col hidden="1" width="13" customWidth="1" min="93" max="93"/>
    <col hidden="1" width="9.28515625" customWidth="1" min="94" max="94"/>
    <col hidden="1" width="11" customWidth="1" min="95" max="95"/>
    <col hidden="1" width="9.28515625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2.85546875" customWidth="1" min="107" max="107"/>
    <col hidden="1" width="9.28515625" customWidth="1" min="108" max="108"/>
    <col hidden="1" width="8.7109375" customWidth="1" min="109" max="109"/>
    <col hidden="1" width="12.85546875" customWidth="1" min="110" max="110"/>
    <col hidden="1" width="13" customWidth="1" min="111" max="111"/>
    <col hidden="1" width="9.28515625" customWidth="1" min="112" max="112"/>
    <col hidden="1" width="13" customWidth="1" min="113" max="113"/>
    <col hidden="1" width="13" customWidth="1" min="114" max="114"/>
    <col hidden="1" width="13" customWidth="1" min="115" max="115"/>
    <col hidden="1" width="14.42578125" customWidth="1" min="116" max="116"/>
    <col hidden="1" width="13" customWidth="1" min="117" max="117"/>
    <col hidden="1" width="9.28515625" customWidth="1" min="118" max="118"/>
    <col hidden="1" width="9.7109375" customWidth="1" min="119" max="119"/>
    <col hidden="1" width="9.28515625" customWidth="1" min="120" max="120"/>
    <col hidden="1" width="12.85546875" customWidth="1" min="121" max="121"/>
    <col hidden="1" width="8.140625" customWidth="1" min="122" max="122"/>
    <col hidden="1" width="9.28515625" customWidth="1" min="123" max="123"/>
    <col hidden="1" width="13" customWidth="1" min="124" max="124"/>
    <col hidden="1" width="13" customWidth="1" min="125" max="125"/>
    <col hidden="1" width="9.28515625" customWidth="1" min="126" max="126"/>
    <col hidden="1" width="13" customWidth="1" min="127" max="127"/>
    <col hidden="1" width="13" customWidth="1" min="128" max="128"/>
    <col hidden="1" width="14" customWidth="1" min="129" max="129"/>
    <col hidden="1" width="17.5703125" customWidth="1" min="130" max="130"/>
    <col hidden="1" width="11" customWidth="1" min="131" max="131"/>
    <col hidden="1" width="8.7109375" customWidth="1" min="132" max="132"/>
    <col hidden="1" width="9.28515625" customWidth="1" min="133" max="133"/>
    <col hidden="1" width="13" customWidth="1" min="134" max="134"/>
    <col hidden="1" width="13" customWidth="1" min="135" max="135"/>
    <col hidden="1" width="13.140625" customWidth="1" min="136" max="136"/>
    <col hidden="1" width="13" customWidth="1" min="137" max="137"/>
    <col hidden="1" width="9.28515625" customWidth="1" min="138" max="138"/>
    <col hidden="1" width="13.5703125" customWidth="1" min="139" max="139"/>
    <col hidden="1" width="9.7109375" customWidth="1" min="140" max="140"/>
    <col hidden="1" width="9.28515625" customWidth="1" min="141" max="141"/>
    <col hidden="1" width="13" customWidth="1" min="142" max="142"/>
    <col hidden="1" width="13" customWidth="1" min="143" max="143"/>
    <col hidden="1" width="13" customWidth="1" min="144" max="144"/>
    <col hidden="1" width="14.85546875" customWidth="1" min="145" max="145"/>
    <col hidden="1" width="9.28515625" customWidth="1" min="146" max="146"/>
    <col hidden="1" width="12" customWidth="1" min="147" max="147"/>
    <col hidden="1" width="9.28515625" customWidth="1" min="148" max="148"/>
    <col hidden="1" width="13" customWidth="1" min="149" max="149"/>
    <col hidden="1" width="12.7109375" customWidth="1" min="150" max="150"/>
    <col hidden="1" width="9.28515625" customWidth="1" min="151" max="151"/>
    <col hidden="1" width="13" customWidth="1" min="152" max="152"/>
    <col hidden="1" width="26.140625" customWidth="1" min="153" max="153"/>
    <col hidden="1" width="9.28515625" customWidth="1" min="154" max="154"/>
    <col hidden="1" width="13" customWidth="1" min="155" max="155"/>
    <col hidden="1" width="13" customWidth="1" min="156" max="156"/>
    <col hidden="1" width="23.7109375" customWidth="1" min="157" max="157"/>
    <col hidden="1" width="9.28515625" customWidth="1" min="158" max="158"/>
    <col hidden="1" width="13" customWidth="1" min="159" max="159"/>
    <col width="6.42578125" customWidth="1" min="160" max="160"/>
    <col width="21.85546875" customWidth="1" min="161" max="161"/>
    <col width="9.140625" customWidth="1" min="162" max="162"/>
    <col hidden="1" width="13" customWidth="1" min="163" max="163"/>
    <col hidden="1" width="13" customWidth="1" min="164" max="164"/>
    <col hidden="1" width="13" customWidth="1" min="165" max="165"/>
    <col hidden="1" width="13" customWidth="1" min="166" max="166"/>
    <col hidden="1" width="13" customWidth="1" min="167" max="167"/>
    <col hidden="1" width="9.140625" customWidth="1" min="168" max="168"/>
    <col hidden="1" width="13" customWidth="1" min="169" max="169"/>
    <col width="13" customWidth="1" min="170" max="170"/>
    <col width="13" customWidth="1" min="171" max="171"/>
  </cols>
  <sheetData>
    <row r="1" ht="23.25" customHeight="1">
      <c r="A1" s="488" t="inlineStr">
        <is>
          <t>Controle de Contagem Semanal - Antilhas</t>
        </is>
      </c>
      <c r="CD1" s="488" t="n"/>
      <c r="CE1" s="132" t="n"/>
      <c r="CF1" s="132" t="n"/>
      <c r="CG1" s="132" t="n"/>
      <c r="CH1" s="132" t="n"/>
      <c r="CI1" s="132" t="n"/>
      <c r="CJ1" s="132" t="n"/>
      <c r="CK1" s="132" t="n"/>
      <c r="CL1" s="132" t="n"/>
      <c r="CM1" s="149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49" t="n"/>
      <c r="DF1" s="132" t="n"/>
      <c r="DG1" s="132" t="n"/>
      <c r="DH1" s="132" t="n"/>
      <c r="DI1" s="132" t="n"/>
      <c r="DJ1" s="132" t="n"/>
      <c r="DK1" s="132" t="n"/>
      <c r="DL1" s="149" t="n"/>
      <c r="DM1" s="149" t="n"/>
      <c r="DN1" s="132" t="n"/>
      <c r="DO1" s="149" t="n"/>
      <c r="DP1" s="132" t="n"/>
      <c r="DQ1" s="132" t="n"/>
      <c r="DR1" s="132" t="n"/>
      <c r="DS1" s="132" t="n"/>
      <c r="DT1" s="132" t="n"/>
      <c r="DU1" s="132" t="n"/>
      <c r="DV1" s="132" t="n"/>
      <c r="DW1" s="132" t="n"/>
      <c r="DX1" s="132" t="n"/>
      <c r="DY1" s="132" t="n"/>
      <c r="DZ1" s="149" t="n"/>
      <c r="EA1" s="149" t="n"/>
      <c r="EB1" s="149" t="n"/>
      <c r="EC1" s="132" t="n"/>
      <c r="ED1" s="132" t="n"/>
      <c r="EE1" s="132" t="n"/>
      <c r="EF1" s="132" t="n"/>
      <c r="EG1" s="132" t="n"/>
      <c r="EH1" s="132" t="n"/>
      <c r="EI1" s="149" t="n"/>
      <c r="EJ1" s="149" t="n"/>
      <c r="EK1" s="132" t="n"/>
      <c r="EL1" s="132" t="n"/>
      <c r="EM1" s="132" t="n"/>
      <c r="EN1" s="132" t="n"/>
      <c r="EO1" s="488" t="n"/>
      <c r="EP1" s="132" t="n"/>
      <c r="EQ1" s="488" t="n"/>
      <c r="ER1" s="132" t="n"/>
      <c r="ES1" s="132" t="n"/>
      <c r="ET1" s="132" t="n"/>
      <c r="EU1" s="132" t="n"/>
      <c r="EV1" s="132" t="n"/>
      <c r="EW1" s="149" t="n"/>
      <c r="EX1" s="132" t="n"/>
      <c r="EY1" s="132" t="n"/>
      <c r="EZ1" s="132" t="n"/>
      <c r="FA1" s="149" t="n"/>
      <c r="FB1" s="132" t="n"/>
      <c r="FC1" s="132" t="n"/>
    </row>
    <row r="2">
      <c r="A2" s="43" t="inlineStr">
        <is>
          <t>LOJA:</t>
        </is>
      </c>
      <c r="B2" s="722" t="inlineStr">
        <is>
          <t>QUADRA 7</t>
        </is>
      </c>
      <c r="C2" s="723" t="n"/>
      <c r="D2" s="724" t="n"/>
      <c r="CE2" s="5" t="n"/>
      <c r="CF2" s="5" t="n"/>
      <c r="CG2" s="5" t="n"/>
      <c r="CH2" s="5" t="n"/>
      <c r="DL2" s="5" t="n"/>
      <c r="DM2" s="5" t="n"/>
      <c r="DO2" s="5" t="n"/>
      <c r="EI2" s="5" t="n"/>
      <c r="EJ2" s="5" t="n"/>
    </row>
    <row r="3">
      <c r="A3" s="43" t="inlineStr">
        <is>
          <t>Responsável:</t>
        </is>
      </c>
      <c r="B3" s="725" t="inlineStr">
        <is>
          <t>ODILSÉIA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6" t="n"/>
      <c r="CD3" s="726" t="n"/>
      <c r="CE3" s="5" t="n"/>
      <c r="CF3" s="726" t="n"/>
      <c r="CH3" s="5" t="n"/>
      <c r="DL3" s="726" t="n"/>
      <c r="DM3" s="726" t="n"/>
      <c r="DO3" s="726" t="n"/>
      <c r="EI3" s="726" t="n"/>
      <c r="EJ3" s="726" t="n"/>
    </row>
    <row r="4" ht="8.25" customHeight="1">
      <c r="CF4" s="5" t="n"/>
      <c r="CG4" s="5" t="n"/>
      <c r="CH4" s="5" t="n"/>
      <c r="CM4" s="249" t="n"/>
      <c r="DE4" s="249" t="n"/>
      <c r="DL4" s="5" t="n"/>
      <c r="DM4" s="5" t="n"/>
      <c r="DO4" s="5" t="n"/>
      <c r="DZ4" s="249" t="n"/>
      <c r="EA4" s="249" t="n"/>
      <c r="EB4" s="249" t="n"/>
      <c r="EI4" s="5" t="n"/>
      <c r="EJ4" s="5" t="n"/>
      <c r="EO4" s="324" t="n"/>
      <c r="EQ4" s="324" t="n"/>
      <c r="EW4" s="249" t="n"/>
      <c r="FA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A5" s="783" t="n"/>
      <c r="CB5" s="783" t="n"/>
      <c r="CC5" s="506" t="n"/>
      <c r="CE5" s="44" t="inlineStr">
        <is>
          <t>Pendências</t>
        </is>
      </c>
      <c r="CF5" s="5" t="n"/>
      <c r="CG5" s="12" t="inlineStr">
        <is>
          <t>Novo Pedido</t>
        </is>
      </c>
      <c r="CH5" s="733" t="n">
        <v>46161.4808932725</v>
      </c>
      <c r="CI5" s="734" t="n">
        <v>46156</v>
      </c>
      <c r="CJ5" s="734" t="n">
        <v>46142</v>
      </c>
      <c r="CK5" s="734" t="n">
        <v>46114</v>
      </c>
      <c r="CL5" s="734" t="n">
        <v>46107</v>
      </c>
      <c r="CM5" s="735" t="n">
        <v>46065</v>
      </c>
      <c r="CN5" s="734" t="n">
        <v>46099</v>
      </c>
      <c r="CO5" s="734" t="n">
        <v>46092</v>
      </c>
      <c r="CP5" s="734" t="n">
        <v>46071</v>
      </c>
      <c r="CQ5" s="736" t="inlineStr">
        <is>
          <t>TRANSF.</t>
        </is>
      </c>
      <c r="CR5" s="734" t="n">
        <v>46048</v>
      </c>
      <c r="CS5" s="734" t="n">
        <v>46043</v>
      </c>
      <c r="CT5" s="734" t="n">
        <v>46029</v>
      </c>
      <c r="CU5" s="734" t="n">
        <v>46024</v>
      </c>
      <c r="CV5" s="734" t="n">
        <v>46017</v>
      </c>
      <c r="CW5" s="734" t="n">
        <v>46007</v>
      </c>
      <c r="CX5" s="734" t="n">
        <v>46001</v>
      </c>
      <c r="CY5" s="734" t="n">
        <v>45994</v>
      </c>
      <c r="CZ5" s="734" t="n">
        <v>45986</v>
      </c>
      <c r="DA5" s="734" t="n">
        <v>45973</v>
      </c>
      <c r="DB5" s="734" t="n">
        <v>45960</v>
      </c>
      <c r="DC5" s="736" t="inlineStr">
        <is>
          <t>TRANSF.</t>
        </is>
      </c>
      <c r="DD5" s="734" t="n">
        <v>45951</v>
      </c>
      <c r="DE5" s="737" t="n">
        <v>45903</v>
      </c>
      <c r="DF5" s="736" t="inlineStr">
        <is>
          <t>TRANSF.</t>
        </is>
      </c>
      <c r="DG5" s="736" t="inlineStr">
        <is>
          <t>TRANSF.</t>
        </is>
      </c>
      <c r="DH5" s="734" t="n">
        <v>45937</v>
      </c>
      <c r="DI5" s="734" t="n">
        <v>45931</v>
      </c>
      <c r="DJ5" s="734" t="n">
        <v>45923</v>
      </c>
      <c r="DK5" s="734" t="n">
        <v>45923</v>
      </c>
      <c r="DL5" s="738" t="inlineStr">
        <is>
          <t>TRANSF.</t>
        </is>
      </c>
      <c r="DM5" s="738" t="inlineStr">
        <is>
          <t>TRANSF.</t>
        </is>
      </c>
      <c r="DN5" s="734" t="n">
        <v>45915</v>
      </c>
      <c r="DO5" s="738" t="n">
        <v>45863</v>
      </c>
      <c r="DP5" s="734" t="n">
        <v>45909</v>
      </c>
      <c r="DQ5" s="736" t="inlineStr">
        <is>
          <t>TRANSF.</t>
        </is>
      </c>
      <c r="DR5" s="734" t="n">
        <v>45895</v>
      </c>
      <c r="DS5" s="734" t="n">
        <v>45888</v>
      </c>
      <c r="DT5" s="734" t="n">
        <v>45881</v>
      </c>
      <c r="DU5" s="739" t="inlineStr">
        <is>
          <t>TRANSF.</t>
        </is>
      </c>
      <c r="DV5" s="734" t="n">
        <v>45874</v>
      </c>
      <c r="DW5" s="734" t="n">
        <v>45853</v>
      </c>
      <c r="DX5" s="734" t="n">
        <v>45848</v>
      </c>
      <c r="DY5" s="736" t="inlineStr">
        <is>
          <t>TRANSF.</t>
        </is>
      </c>
      <c r="DZ5" s="739" t="inlineStr">
        <is>
          <t>AUTOMÁTICO</t>
        </is>
      </c>
      <c r="EA5" s="739" t="inlineStr">
        <is>
          <t>TRANSF.</t>
        </is>
      </c>
      <c r="EB5" s="739" t="n">
        <v>45791</v>
      </c>
      <c r="EC5" s="734" t="n">
        <v>45839</v>
      </c>
      <c r="ED5" s="734" t="n">
        <v>45832</v>
      </c>
      <c r="EE5" s="734" t="n">
        <v>45825</v>
      </c>
      <c r="EF5" s="736" t="inlineStr">
        <is>
          <t>TRANSF.</t>
        </is>
      </c>
      <c r="EG5" s="736" t="inlineStr">
        <is>
          <t>TRANSF.</t>
        </is>
      </c>
      <c r="EH5" s="734" t="n">
        <v>45798</v>
      </c>
      <c r="EI5" s="742" t="inlineStr">
        <is>
          <t>TRANSF.</t>
        </is>
      </c>
      <c r="EJ5" s="742" t="n">
        <v>45735</v>
      </c>
      <c r="EK5" s="734" t="n">
        <v>45790</v>
      </c>
      <c r="EL5" s="734" t="n">
        <v>45783</v>
      </c>
      <c r="EM5" s="734" t="n">
        <v>45756</v>
      </c>
      <c r="EN5" s="734" t="n">
        <v>45749</v>
      </c>
      <c r="EO5" s="740" t="inlineStr">
        <is>
          <t>TRANSF.</t>
        </is>
      </c>
      <c r="EP5" s="734" t="n">
        <v>45743</v>
      </c>
      <c r="EQ5" s="740" t="n">
        <v>45700</v>
      </c>
      <c r="ER5" s="734" t="n">
        <v>45734</v>
      </c>
      <c r="ES5" s="734" t="n">
        <v>45728</v>
      </c>
      <c r="ET5" s="736" t="inlineStr">
        <is>
          <t>TRANSF.</t>
        </is>
      </c>
      <c r="EU5" s="734" t="n">
        <v>45706</v>
      </c>
      <c r="EV5" s="734" t="n">
        <v>45699</v>
      </c>
      <c r="EW5" s="744" t="inlineStr">
        <is>
          <t>TRANSF. NATAL/24</t>
        </is>
      </c>
      <c r="EX5" s="734" t="n">
        <v>45674</v>
      </c>
      <c r="EY5" s="734" t="n">
        <v>45664</v>
      </c>
      <c r="EZ5" s="734" t="n">
        <v>45660</v>
      </c>
      <c r="FA5" s="744" t="inlineStr">
        <is>
          <t>TRANSF. NATAL/24</t>
        </is>
      </c>
      <c r="FB5" s="734" t="n">
        <v>45652</v>
      </c>
      <c r="FC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46161.48023508102</v>
      </c>
      <c r="CB6" s="747" t="n">
        <v>46161.48089405335</v>
      </c>
      <c r="CC6" s="748" t="inlineStr">
        <is>
          <t>USOU</t>
        </is>
      </c>
      <c r="CD6" s="45" t="n"/>
      <c r="CE6" s="750" t="n">
        <v>46156</v>
      </c>
      <c r="CF6" s="751" t="n"/>
      <c r="CG6" s="752" t="n"/>
      <c r="CH6" s="734" t="n"/>
      <c r="CI6" s="734" t="n"/>
      <c r="CJ6" s="734" t="n">
        <v>46148</v>
      </c>
      <c r="CK6" s="734" t="n">
        <v>46122</v>
      </c>
      <c r="CL6" s="734" t="n">
        <v>46112</v>
      </c>
      <c r="CM6" s="735" t="n">
        <v>46112</v>
      </c>
      <c r="CN6" s="734" t="n">
        <v>46106</v>
      </c>
      <c r="CO6" s="734" t="n">
        <v>46099</v>
      </c>
      <c r="CP6" s="734" t="n">
        <v>46077</v>
      </c>
      <c r="CQ6" s="736" t="n">
        <v>46067</v>
      </c>
      <c r="CR6" s="734" t="n">
        <v>46056</v>
      </c>
      <c r="CS6" s="734" t="n">
        <v>46048</v>
      </c>
      <c r="CT6" s="734" t="n">
        <v>46035</v>
      </c>
      <c r="CU6" s="734" t="n">
        <v>46035</v>
      </c>
      <c r="CV6" s="734" t="n">
        <v>46027</v>
      </c>
      <c r="CW6" s="734" t="n">
        <v>46013</v>
      </c>
      <c r="CX6" s="734" t="n">
        <v>46009</v>
      </c>
      <c r="CY6" s="734" t="n">
        <v>46002</v>
      </c>
      <c r="CZ6" s="734" t="n">
        <v>45995</v>
      </c>
      <c r="DA6" s="734" t="n">
        <v>45980</v>
      </c>
      <c r="DB6" s="734" t="n">
        <v>45967</v>
      </c>
      <c r="DC6" s="736" t="n">
        <v>45962</v>
      </c>
      <c r="DD6" s="734" t="n">
        <v>45958</v>
      </c>
      <c r="DE6" s="753" t="n">
        <v>45958</v>
      </c>
      <c r="DF6" s="736" t="n">
        <v>45955</v>
      </c>
      <c r="DG6" s="736" t="n">
        <v>45945</v>
      </c>
      <c r="DH6" s="734" t="n">
        <v>45944</v>
      </c>
      <c r="DI6" s="734" t="n">
        <v>45938</v>
      </c>
      <c r="DJ6" s="734" t="n">
        <v>45936</v>
      </c>
      <c r="DK6" s="734" t="n">
        <v>45929</v>
      </c>
      <c r="DL6" s="754" t="n">
        <v>45925</v>
      </c>
      <c r="DM6" s="754" t="n">
        <v>45923</v>
      </c>
      <c r="DN6" s="734" t="n">
        <v>45919</v>
      </c>
      <c r="DO6" s="754" t="n">
        <v>45917</v>
      </c>
      <c r="DP6" s="734" t="n">
        <v>45912</v>
      </c>
      <c r="DQ6" s="736" t="n">
        <v>45902</v>
      </c>
      <c r="DR6" s="734" t="n">
        <v>45898</v>
      </c>
      <c r="DS6" s="734" t="n">
        <v>45891</v>
      </c>
      <c r="DT6" s="734" t="n">
        <v>45889</v>
      </c>
      <c r="DU6" s="739" t="n">
        <v>45880</v>
      </c>
      <c r="DV6" s="734" t="n">
        <v>45877</v>
      </c>
      <c r="DW6" s="734" t="n">
        <v>45856</v>
      </c>
      <c r="DX6" s="734" t="n">
        <v>45853</v>
      </c>
      <c r="DY6" s="736" t="n">
        <v>45852</v>
      </c>
      <c r="DZ6" s="739" t="n">
        <v>45852</v>
      </c>
      <c r="EA6" s="739" t="n">
        <v>45847</v>
      </c>
      <c r="EB6" s="739" t="n">
        <v>45845</v>
      </c>
      <c r="EC6" s="734" t="n">
        <v>45845</v>
      </c>
      <c r="ED6" s="734" t="n">
        <v>45838</v>
      </c>
      <c r="EE6" s="734" t="n">
        <v>45828</v>
      </c>
      <c r="EF6" s="736" t="n">
        <v>45820</v>
      </c>
      <c r="EG6" s="736" t="n">
        <v>45806</v>
      </c>
      <c r="EH6" s="734" t="n">
        <v>45800</v>
      </c>
      <c r="EI6" s="755" t="n">
        <v>45799</v>
      </c>
      <c r="EJ6" s="755" t="n">
        <v>45797</v>
      </c>
      <c r="EK6" s="734" t="n">
        <v>45796</v>
      </c>
      <c r="EL6" s="734" t="n">
        <v>45785</v>
      </c>
      <c r="EM6" s="734" t="n">
        <v>45772</v>
      </c>
      <c r="EN6" s="734" t="n">
        <v>45756</v>
      </c>
      <c r="EO6" s="740" t="n">
        <v>45750</v>
      </c>
      <c r="EP6" s="734" t="n">
        <v>45749</v>
      </c>
      <c r="EQ6" s="740" t="n">
        <v>45744</v>
      </c>
      <c r="ER6" s="734" t="n">
        <v>45743</v>
      </c>
      <c r="ES6" s="734" t="n">
        <v>45730</v>
      </c>
      <c r="ET6" s="736" t="n">
        <v>45724</v>
      </c>
      <c r="EU6" s="734" t="n">
        <v>45714</v>
      </c>
      <c r="EV6" s="734" t="n">
        <v>45702</v>
      </c>
      <c r="EW6" s="744" t="n">
        <v>45698</v>
      </c>
      <c r="EX6" s="734" t="n">
        <v>45678</v>
      </c>
      <c r="EY6" s="734" t="n">
        <v>45670</v>
      </c>
      <c r="EZ6" s="734" t="n">
        <v>45665</v>
      </c>
      <c r="FA6" s="744" t="n">
        <v>45663</v>
      </c>
      <c r="FB6" s="734" t="n">
        <v>45659</v>
      </c>
      <c r="FC6" s="734" t="n">
        <v>46018</v>
      </c>
      <c r="FE6" s="5" t="n"/>
      <c r="FF6" s="5" t="n"/>
      <c r="FG6" s="5" t="n"/>
      <c r="FH6" s="5" t="n"/>
      <c r="FI6" s="5" t="n"/>
      <c r="FJ6" s="5" t="n"/>
      <c r="FK6" s="5" t="n"/>
      <c r="FL6" s="5" t="n"/>
      <c r="FM6" s="5" t="n"/>
      <c r="FN6" s="5" t="n"/>
      <c r="FO6" s="5" t="n"/>
      <c r="FP6" s="5" t="n"/>
    </row>
    <row r="7" ht="21.75" customFormat="1" customHeight="1" s="3">
      <c r="A7" s="34" t="inlineStr">
        <is>
          <t>SACOLAS</t>
        </is>
      </c>
      <c r="B7" s="7" t="n"/>
      <c r="C7" s="148" t="inlineStr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5" t="n"/>
      <c r="CE7" s="13" t="n"/>
      <c r="CG7" s="33" t="n"/>
      <c r="CH7" s="13" t="n"/>
      <c r="CI7" s="13" t="n"/>
      <c r="CJ7" s="13" t="n"/>
      <c r="CK7" s="13" t="n"/>
      <c r="CL7" s="13" t="n"/>
      <c r="CM7" s="13" t="inlineStr">
        <is>
          <t>MÃES</t>
        </is>
      </c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inlineStr">
        <is>
          <t>HA</t>
        </is>
      </c>
      <c r="DP7" s="13" t="n"/>
      <c r="DQ7" s="13" t="n"/>
      <c r="DR7" s="13" t="n"/>
      <c r="DS7" s="13" t="n"/>
      <c r="DT7" s="13" t="n"/>
      <c r="DU7" s="13" t="inlineStr">
        <is>
          <t>PAIS/25</t>
        </is>
      </c>
      <c r="DV7" s="13" t="n"/>
      <c r="DW7" s="13" t="n"/>
      <c r="DX7" s="13" t="n"/>
      <c r="DY7" s="13" t="n"/>
      <c r="DZ7" s="13" t="n"/>
      <c r="EA7" s="13" t="inlineStr">
        <is>
          <t>PAIS/25</t>
        </is>
      </c>
      <c r="EB7" s="13" t="n"/>
      <c r="EC7" s="13" t="n"/>
      <c r="ED7" s="13" t="n"/>
      <c r="EE7" s="13" t="n"/>
      <c r="EF7" s="320" t="n"/>
      <c r="EG7" s="320" t="n"/>
      <c r="EH7" s="321" t="n"/>
      <c r="EI7" s="13" t="inlineStr">
        <is>
          <t>NAMO/25</t>
        </is>
      </c>
      <c r="EJ7" s="320" t="n"/>
      <c r="EK7" s="321" t="n"/>
      <c r="EL7" s="321" t="n"/>
      <c r="EM7" s="321" t="n"/>
      <c r="EN7" s="321" t="n"/>
      <c r="EO7" s="13" t="inlineStr">
        <is>
          <t>MÃES/25</t>
        </is>
      </c>
      <c r="EP7" s="321" t="n"/>
      <c r="EQ7" s="13" t="inlineStr">
        <is>
          <t>MÃES/25</t>
        </is>
      </c>
      <c r="ER7" s="321" t="n"/>
      <c r="ES7" s="13" t="n"/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782" t="n"/>
      <c r="FE7" s="782" t="n"/>
      <c r="FF7" s="782" t="n"/>
      <c r="FG7" s="782" t="n"/>
      <c r="FH7" s="782" t="n"/>
      <c r="FI7" s="782" t="n"/>
      <c r="FJ7" s="782" t="n"/>
      <c r="FK7" s="782" t="n"/>
      <c r="FL7" s="782" t="n"/>
      <c r="FM7" s="731" t="n"/>
      <c r="FN7" s="732" t="n"/>
      <c r="FO7" s="732" t="n"/>
      <c r="FP7" s="493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300</v>
      </c>
      <c r="E8" s="5" t="n"/>
      <c r="F8" s="697" t="n">
        <v>850</v>
      </c>
      <c r="G8" s="697" t="n">
        <v>780</v>
      </c>
      <c r="H8" s="697">
        <f>700+EW8</f>
        <v/>
      </c>
      <c r="I8" s="697" t="n">
        <v>970</v>
      </c>
      <c r="J8" s="697" t="n">
        <v>1010</v>
      </c>
      <c r="K8" s="697" t="n">
        <v>1000</v>
      </c>
      <c r="L8" s="697" t="n">
        <v>960</v>
      </c>
      <c r="M8" s="697" t="n">
        <v>880</v>
      </c>
      <c r="N8" s="697" t="n">
        <v>860</v>
      </c>
      <c r="O8" s="697" t="n">
        <v>840</v>
      </c>
      <c r="P8" s="697" t="n">
        <v>760</v>
      </c>
      <c r="Q8" s="697" t="n">
        <v>660</v>
      </c>
      <c r="R8" s="697" t="n">
        <v>580</v>
      </c>
      <c r="S8" s="697" t="n">
        <v>560</v>
      </c>
      <c r="T8" s="697" t="n">
        <v>420</v>
      </c>
      <c r="U8" s="697" t="n">
        <v>360</v>
      </c>
      <c r="V8" s="697" t="n">
        <v>300</v>
      </c>
      <c r="W8" s="697" t="n">
        <v>840</v>
      </c>
      <c r="X8" s="697" t="n">
        <v>840</v>
      </c>
      <c r="Y8" s="697" t="n">
        <v>1200</v>
      </c>
      <c r="Z8" s="697" t="n">
        <v>1160</v>
      </c>
      <c r="AA8" s="697" t="n">
        <v>1140</v>
      </c>
      <c r="AB8" s="697" t="n">
        <v>1140</v>
      </c>
      <c r="AC8" s="697" t="n">
        <v>1020</v>
      </c>
      <c r="AD8" s="697" t="n">
        <v>940</v>
      </c>
      <c r="AE8" s="697" t="n">
        <v>860</v>
      </c>
      <c r="AF8" s="697" t="n">
        <v>800</v>
      </c>
      <c r="AG8" s="697" t="n">
        <v>680</v>
      </c>
      <c r="AH8" s="697" t="n">
        <v>620</v>
      </c>
      <c r="AI8" s="697" t="n">
        <v>600</v>
      </c>
      <c r="AJ8" s="697" t="n">
        <v>560</v>
      </c>
      <c r="AK8" s="697" t="n">
        <v>560</v>
      </c>
      <c r="AL8" s="697" t="n">
        <v>420</v>
      </c>
      <c r="AM8" s="697" t="n">
        <v>380</v>
      </c>
      <c r="AN8" s="697" t="n">
        <v>340</v>
      </c>
      <c r="AO8" s="697" t="n">
        <v>300</v>
      </c>
      <c r="AP8" s="697" t="n">
        <v>300</v>
      </c>
      <c r="AQ8" s="697" t="n">
        <v>240</v>
      </c>
      <c r="AR8" s="697">
        <f>140+DL8</f>
        <v/>
      </c>
      <c r="AS8" s="697" t="n">
        <v>400</v>
      </c>
      <c r="AT8" s="697" t="n">
        <v>320</v>
      </c>
      <c r="AU8" s="697">
        <f>300+DF8</f>
        <v/>
      </c>
      <c r="AV8" s="697" t="n">
        <v>560</v>
      </c>
      <c r="AW8" s="697" t="n">
        <v>560</v>
      </c>
      <c r="AX8" s="697" t="n">
        <v>540</v>
      </c>
      <c r="AY8" s="697" t="n">
        <v>540</v>
      </c>
      <c r="AZ8" s="697" t="n">
        <v>540</v>
      </c>
      <c r="BA8" s="697" t="n">
        <v>540</v>
      </c>
      <c r="BB8" s="697" t="n">
        <v>240</v>
      </c>
      <c r="BC8" s="697">
        <f>220+CW8</f>
        <v/>
      </c>
      <c r="BD8" s="697">
        <f>620+CV8</f>
        <v/>
      </c>
      <c r="BE8" s="697" t="n">
        <v>800</v>
      </c>
      <c r="BF8" s="697" t="n">
        <v>730</v>
      </c>
      <c r="BG8" s="697" t="n">
        <v>640</v>
      </c>
      <c r="BH8" s="697" t="n">
        <v>600</v>
      </c>
      <c r="BI8" s="697" t="n">
        <v>580</v>
      </c>
      <c r="BJ8" s="697" t="n">
        <v>520</v>
      </c>
      <c r="BK8" s="697" t="n">
        <v>480</v>
      </c>
      <c r="BL8" s="697" t="n">
        <v>380</v>
      </c>
      <c r="BM8" s="697" t="n">
        <v>360</v>
      </c>
      <c r="BN8" s="697" t="n">
        <v>300</v>
      </c>
      <c r="BO8" s="697" t="n">
        <v>300</v>
      </c>
      <c r="BP8" s="697" t="n">
        <v>180</v>
      </c>
      <c r="BQ8" s="697">
        <f>100+CM8</f>
        <v/>
      </c>
      <c r="BR8" s="697" t="n">
        <v>400</v>
      </c>
      <c r="BS8" s="697" t="n">
        <v>300</v>
      </c>
      <c r="BT8" s="697" t="n">
        <v>260</v>
      </c>
      <c r="BU8" s="697" t="n">
        <v>520</v>
      </c>
      <c r="BV8" s="697" t="n">
        <v>480</v>
      </c>
      <c r="BW8" s="697" t="n">
        <v>480</v>
      </c>
      <c r="BX8" s="697" t="n">
        <v>480</v>
      </c>
      <c r="BY8" s="697" t="n">
        <v>480</v>
      </c>
      <c r="BZ8" s="697" t="n"/>
      <c r="CA8" s="699" t="n"/>
      <c r="CB8" s="699" t="n"/>
      <c r="CC8" s="192">
        <f>CA8+IF(NOT(ISBLANK(OFFSET(CC8,0,6))),N(OFFSET(CC8,0,6)),N(OFFSET(CC8,0,7)))-CB8</f>
        <v/>
      </c>
      <c r="CD8" s="5" t="n"/>
      <c r="CE8" s="22" t="n"/>
      <c r="CG8" s="49" t="n"/>
      <c r="CH8" s="757" t="n">
        <v>0</v>
      </c>
      <c r="CI8" s="23" t="n">
        <v>0</v>
      </c>
      <c r="CJ8" s="23" t="n">
        <v>0</v>
      </c>
      <c r="CK8" s="23" t="n">
        <v>300</v>
      </c>
      <c r="CL8" s="23" t="n"/>
      <c r="CM8" s="23" t="n"/>
      <c r="CN8" s="23" t="n"/>
      <c r="CO8" s="23" t="n">
        <v>300</v>
      </c>
      <c r="CP8" s="23" t="n"/>
      <c r="CQ8" s="23" t="n"/>
      <c r="CR8" s="23" t="n"/>
      <c r="CS8" s="23" t="n"/>
      <c r="CT8" s="23" t="n"/>
      <c r="CU8" s="23" t="n"/>
      <c r="CV8" s="23" t="n"/>
      <c r="CW8" s="23" t="n"/>
      <c r="CX8" s="23" t="n">
        <v>300</v>
      </c>
      <c r="CY8" s="23" t="n">
        <v>600</v>
      </c>
      <c r="CZ8" s="23" t="n"/>
      <c r="DA8" s="23" t="n"/>
      <c r="DB8" s="23" t="n"/>
      <c r="DC8" s="23" t="n"/>
      <c r="DD8" s="23" t="n"/>
      <c r="DE8" s="219" t="n"/>
      <c r="DF8" s="23" t="n"/>
      <c r="DG8" s="23" t="n"/>
      <c r="DH8" s="23" t="n">
        <v>300</v>
      </c>
      <c r="DI8" s="23" t="n"/>
      <c r="DJ8" s="23" t="n"/>
      <c r="DK8" s="23" t="n"/>
      <c r="DL8" s="219" t="n"/>
      <c r="DM8" s="219" t="n"/>
      <c r="DN8" s="23" t="n">
        <v>300</v>
      </c>
      <c r="DO8" s="219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19" t="n"/>
      <c r="EA8" s="219" t="n"/>
      <c r="EB8" s="219" t="n"/>
      <c r="EC8" s="23" t="n"/>
      <c r="ED8" s="23" t="n"/>
      <c r="EE8" s="23" t="n"/>
      <c r="EF8" s="23" t="n"/>
      <c r="EG8" s="23" t="n"/>
      <c r="EH8" s="23" t="n"/>
      <c r="EI8" s="219" t="n"/>
      <c r="EJ8" s="219" t="n"/>
      <c r="EK8" s="23" t="n"/>
      <c r="EL8" s="23" t="n">
        <v>600</v>
      </c>
      <c r="EM8" s="23" t="n">
        <v>600</v>
      </c>
      <c r="EN8" s="23" t="n"/>
      <c r="EO8" s="219" t="n"/>
      <c r="EP8" s="23" t="n"/>
      <c r="EQ8" s="219" t="n"/>
      <c r="ER8" s="23" t="n"/>
      <c r="ES8" s="23" t="n"/>
      <c r="ET8" s="23" t="n"/>
      <c r="EU8" s="23" t="n"/>
      <c r="EV8" s="23" t="n"/>
      <c r="EW8" s="219" t="n"/>
      <c r="EX8" s="23" t="n"/>
      <c r="EY8" s="23" t="n">
        <v>300</v>
      </c>
      <c r="EZ8" s="23" t="n"/>
      <c r="FA8" s="219" t="n"/>
      <c r="FB8" s="23" t="n"/>
      <c r="FC8" s="23" t="n"/>
      <c r="FE8" s="304" t="inlineStr">
        <is>
          <t xml:space="preserve">SACOLAS </t>
        </is>
      </c>
      <c r="FF8" s="235" t="inlineStr">
        <is>
          <t>PCT</t>
        </is>
      </c>
      <c r="FG8" s="746" t="n">
        <v>46118</v>
      </c>
      <c r="FH8" s="746" t="n">
        <v>46125</v>
      </c>
      <c r="FI8" s="746" t="n">
        <v>46132</v>
      </c>
      <c r="FJ8" s="746" t="n">
        <v>46139</v>
      </c>
      <c r="FK8" s="746" t="n">
        <v>46146</v>
      </c>
      <c r="FL8" s="746" t="n">
        <v>46154</v>
      </c>
      <c r="FM8" s="746" t="n">
        <v>46160</v>
      </c>
      <c r="FN8" s="747" t="n">
        <v>46161.4802346412</v>
      </c>
      <c r="FO8" s="747" t="n">
        <v>46161.48089361293</v>
      </c>
      <c r="FP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700</v>
      </c>
      <c r="E9" s="5" t="n"/>
      <c r="F9" s="697">
        <f>560+EZ9</f>
        <v/>
      </c>
      <c r="G9" s="697">
        <f>700+EX9</f>
        <v/>
      </c>
      <c r="H9" s="697">
        <f>1280+EW9</f>
        <v/>
      </c>
      <c r="I9" s="697">
        <f>1460+EV9</f>
        <v/>
      </c>
      <c r="J9" s="697" t="n">
        <v>1820</v>
      </c>
      <c r="K9" s="697" t="n">
        <v>1600</v>
      </c>
      <c r="L9" s="697" t="n">
        <v>1600</v>
      </c>
      <c r="M9" s="697" t="n">
        <v>1600</v>
      </c>
      <c r="N9" s="697" t="n">
        <v>1600</v>
      </c>
      <c r="O9" s="697" t="n">
        <v>1600</v>
      </c>
      <c r="P9" s="697" t="n">
        <v>1600</v>
      </c>
      <c r="Q9" s="697" t="n">
        <v>1600</v>
      </c>
      <c r="R9" s="314" t="n">
        <v>80</v>
      </c>
      <c r="S9" s="697">
        <f>0+EN9</f>
        <v/>
      </c>
      <c r="T9" s="697" t="n">
        <v>800</v>
      </c>
      <c r="U9" s="697" t="n">
        <v>680</v>
      </c>
      <c r="V9" s="697" t="n">
        <v>680</v>
      </c>
      <c r="W9" s="697" t="n">
        <v>680</v>
      </c>
      <c r="X9" s="697" t="n">
        <v>680</v>
      </c>
      <c r="Y9" s="697" t="n">
        <v>680</v>
      </c>
      <c r="Z9" s="697" t="n">
        <v>580</v>
      </c>
      <c r="AA9" s="697">
        <f>400+800</f>
        <v/>
      </c>
      <c r="AB9" s="697" t="n">
        <v>1120</v>
      </c>
      <c r="AC9" s="697" t="n">
        <v>880</v>
      </c>
      <c r="AD9" s="697" t="n">
        <v>600</v>
      </c>
      <c r="AE9" s="697" t="n">
        <v>560</v>
      </c>
      <c r="AF9" s="697">
        <f>460+EB9</f>
        <v/>
      </c>
      <c r="AG9" s="697">
        <f>400+EA9</f>
        <v/>
      </c>
      <c r="AH9" s="697">
        <f>400+DV9</f>
        <v/>
      </c>
      <c r="AI9" s="697" t="n">
        <v>850</v>
      </c>
      <c r="AJ9" s="697" t="n">
        <v>820</v>
      </c>
      <c r="AK9" s="697" t="n">
        <v>720</v>
      </c>
      <c r="AL9" s="697" t="n">
        <v>720</v>
      </c>
      <c r="AM9" s="697" t="n">
        <v>580</v>
      </c>
      <c r="AN9" s="697" t="n">
        <v>660</v>
      </c>
      <c r="AO9" s="697" t="n">
        <v>780</v>
      </c>
      <c r="AP9" s="697" t="n">
        <v>560</v>
      </c>
      <c r="AQ9" s="697" t="n">
        <v>620</v>
      </c>
      <c r="AR9" s="697" t="n">
        <v>620</v>
      </c>
      <c r="AS9" s="697" t="n">
        <v>480</v>
      </c>
      <c r="AT9" s="697">
        <f>360+DH9+DG9</f>
        <v/>
      </c>
      <c r="AU9" s="697" t="n">
        <v>820</v>
      </c>
      <c r="AV9" s="697" t="n">
        <v>660</v>
      </c>
      <c r="AW9" s="697">
        <f>660+DB9</f>
        <v/>
      </c>
      <c r="AX9" s="697" t="n">
        <v>800</v>
      </c>
      <c r="AY9" s="697" t="n">
        <v>800</v>
      </c>
      <c r="AZ9" s="697" t="n">
        <v>800</v>
      </c>
      <c r="BA9" s="697" t="n">
        <v>800</v>
      </c>
      <c r="BB9" s="697" t="n">
        <v>660</v>
      </c>
      <c r="BC9" s="697" t="n">
        <v>660</v>
      </c>
      <c r="BD9" s="697">
        <f>600+CV9</f>
        <v/>
      </c>
      <c r="BE9" s="697">
        <f>360+CU9</f>
        <v/>
      </c>
      <c r="BF9" s="697" t="n">
        <v>0</v>
      </c>
      <c r="BG9" s="697">
        <f>0+CT9</f>
        <v/>
      </c>
      <c r="BH9" s="697" t="n">
        <v>1400</v>
      </c>
      <c r="BI9" s="697" t="n">
        <v>940</v>
      </c>
      <c r="BJ9" s="697">
        <f>760+CQ9</f>
        <v/>
      </c>
      <c r="BK9" s="697" t="n">
        <v>960</v>
      </c>
      <c r="BL9" s="697" t="n">
        <v>760</v>
      </c>
      <c r="BM9" s="697" t="n">
        <v>520</v>
      </c>
      <c r="BN9" s="697">
        <f>400+CN9</f>
        <v/>
      </c>
      <c r="BO9" s="697" t="n">
        <v>660</v>
      </c>
      <c r="BP9" s="697" t="n">
        <v>400</v>
      </c>
      <c r="BQ9" s="697">
        <f>200+CM9</f>
        <v/>
      </c>
      <c r="BR9" s="697">
        <f>350+CL9</f>
        <v/>
      </c>
      <c r="BS9" s="697">
        <f>380+CJ9</f>
        <v/>
      </c>
      <c r="BT9" s="697" t="n">
        <v>440</v>
      </c>
      <c r="BU9" s="697" t="n">
        <v>440</v>
      </c>
      <c r="BV9" s="697" t="n">
        <v>480</v>
      </c>
      <c r="BW9" s="697" t="n">
        <v>480</v>
      </c>
      <c r="BX9" s="697" t="n">
        <v>480</v>
      </c>
      <c r="BY9" s="697" t="n">
        <v>480</v>
      </c>
      <c r="BZ9" s="697" t="n"/>
      <c r="CA9" s="699" t="n"/>
      <c r="CB9" s="699" t="n"/>
      <c r="CC9" s="192">
        <f>CA9+IF(NOT(ISBLANK(OFFSET(CC9,0,6))),N(OFFSET(CC9,0,6)),N(OFFSET(CC9,0,7)))-CB9</f>
        <v/>
      </c>
      <c r="CD9" s="5" t="n"/>
      <c r="CE9" s="22" t="n"/>
      <c r="CG9" s="49" t="n"/>
      <c r="CH9" s="757" t="n">
        <v>0</v>
      </c>
      <c r="CI9" s="23" t="n">
        <v>0</v>
      </c>
      <c r="CJ9" s="23" t="n">
        <v>0</v>
      </c>
      <c r="CK9" s="23" t="n">
        <v>200</v>
      </c>
      <c r="CL9" s="23" t="n">
        <v>200</v>
      </c>
      <c r="CM9" s="219" t="n">
        <v>1400</v>
      </c>
      <c r="CN9" s="23" t="n">
        <v>200</v>
      </c>
      <c r="CO9" s="23" t="n">
        <v>400</v>
      </c>
      <c r="CP9" s="23" t="n">
        <v>400</v>
      </c>
      <c r="CQ9" s="23" t="n"/>
      <c r="CR9" s="23" t="n"/>
      <c r="CS9" s="23" t="n">
        <v>400</v>
      </c>
      <c r="CT9" s="23" t="n">
        <v>400</v>
      </c>
      <c r="CU9" s="23" t="n">
        <v>600</v>
      </c>
      <c r="CV9" s="23" t="n">
        <v>400</v>
      </c>
      <c r="CW9" s="23" t="n">
        <v>200</v>
      </c>
      <c r="CX9" s="23" t="n">
        <v>200</v>
      </c>
      <c r="CY9" s="23" t="n"/>
      <c r="CZ9" s="23" t="n"/>
      <c r="DA9" s="23" t="n"/>
      <c r="DB9" s="23" t="n"/>
      <c r="DC9" s="23" t="n"/>
      <c r="DD9" s="23" t="n">
        <v>200</v>
      </c>
      <c r="DE9" s="219" t="n">
        <v>2000</v>
      </c>
      <c r="DF9" s="23" t="n"/>
      <c r="DG9" s="23" t="n"/>
      <c r="DH9" s="23" t="n"/>
      <c r="DI9" s="23" t="n">
        <v>400</v>
      </c>
      <c r="DJ9" s="23" t="n">
        <v>200</v>
      </c>
      <c r="DK9" s="23" t="n"/>
      <c r="DL9" s="219" t="n"/>
      <c r="DM9" s="219" t="n"/>
      <c r="DN9" s="23" t="n">
        <v>200</v>
      </c>
      <c r="DO9" s="219" t="n"/>
      <c r="DP9" s="23" t="n">
        <v>200</v>
      </c>
      <c r="DQ9" s="23" t="n"/>
      <c r="DR9" s="23" t="n">
        <v>200</v>
      </c>
      <c r="DS9" s="23" t="n"/>
      <c r="DT9" s="23" t="n">
        <v>200</v>
      </c>
      <c r="DU9" s="23" t="n"/>
      <c r="DV9" s="23" t="n">
        <v>200</v>
      </c>
      <c r="DW9" s="23" t="n">
        <v>400</v>
      </c>
      <c r="DX9" s="23" t="n">
        <v>200</v>
      </c>
      <c r="DY9" s="23" t="n"/>
      <c r="DZ9" s="219" t="n"/>
      <c r="EA9" s="219" t="n"/>
      <c r="EB9" s="219" t="n"/>
      <c r="EC9" s="23" t="n">
        <v>200</v>
      </c>
      <c r="ED9" s="23" t="n">
        <v>200</v>
      </c>
      <c r="EE9" s="23" t="n">
        <v>200</v>
      </c>
      <c r="EF9" s="23" t="n"/>
      <c r="EG9" s="282" t="inlineStr">
        <is>
          <t>800 DE CD</t>
        </is>
      </c>
      <c r="EH9" s="23" t="n"/>
      <c r="EI9" s="219" t="n"/>
      <c r="EJ9" s="219" t="n"/>
      <c r="EK9" s="23" t="n"/>
      <c r="EL9" s="23" t="n"/>
      <c r="EM9" s="23" t="n"/>
      <c r="EN9" s="23" t="n"/>
      <c r="EO9" s="219" t="n"/>
      <c r="EP9" s="23" t="n">
        <v>1000</v>
      </c>
      <c r="EQ9" s="219" t="n">
        <v>1400</v>
      </c>
      <c r="ER9" s="23" t="n"/>
      <c r="ES9" s="23" t="n"/>
      <c r="ET9" s="23" t="n"/>
      <c r="EU9" s="23" t="n"/>
      <c r="EV9" s="23" t="n"/>
      <c r="EW9" s="219" t="n"/>
      <c r="EX9" s="23" t="n">
        <v>400</v>
      </c>
      <c r="EY9" s="23" t="n">
        <v>400</v>
      </c>
      <c r="EZ9" s="23" t="n">
        <v>800</v>
      </c>
      <c r="FA9" s="219" t="n"/>
      <c r="FB9" s="23" t="n">
        <v>400</v>
      </c>
      <c r="FC9" s="23" t="n">
        <v>400</v>
      </c>
      <c r="FE9" s="300" t="inlineStr">
        <is>
          <t xml:space="preserve">SACOLA P </t>
        </is>
      </c>
      <c r="FF9" s="162" t="n">
        <v>200</v>
      </c>
      <c r="FG9" s="697">
        <f>CK9</f>
        <v/>
      </c>
      <c r="FH9" s="697" t="n">
        <v>1400</v>
      </c>
      <c r="FI9" s="697" t="n">
        <v>1160</v>
      </c>
      <c r="FJ9" s="697" t="n">
        <v>980</v>
      </c>
      <c r="FK9" s="697" t="n">
        <v>740</v>
      </c>
      <c r="FL9" s="697" t="n">
        <v>200</v>
      </c>
      <c r="FM9" s="697" t="n"/>
      <c r="FN9" s="699" t="n"/>
      <c r="FO9" s="699" t="n"/>
      <c r="FP9" s="431">
        <f>FN9+IF(NOT(ISBLANK(OFFSET(FP9,0,6))),N(OFFSET(FP9,0,6)),N(OFFSET(FP9,0,7)))-FO9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600</v>
      </c>
      <c r="E10" s="5" t="n"/>
      <c r="F10" s="697">
        <f>420+EZ10</f>
        <v/>
      </c>
      <c r="G10" s="697">
        <f>720+EX10</f>
        <v/>
      </c>
      <c r="H10" s="697">
        <f>1280+EW10</f>
        <v/>
      </c>
      <c r="I10" s="697" t="n">
        <v>1470</v>
      </c>
      <c r="J10" s="697" t="n">
        <v>1440</v>
      </c>
      <c r="K10" s="697" t="n">
        <v>1360</v>
      </c>
      <c r="L10" s="697" t="n">
        <v>1300</v>
      </c>
      <c r="M10" s="697" t="n">
        <v>1160</v>
      </c>
      <c r="N10" s="697" t="n">
        <v>1080</v>
      </c>
      <c r="O10" s="697" t="n">
        <v>1000</v>
      </c>
      <c r="P10" s="697" t="n">
        <v>840</v>
      </c>
      <c r="Q10" s="697" t="n">
        <v>640</v>
      </c>
      <c r="R10" s="697" t="n">
        <v>300</v>
      </c>
      <c r="S10" s="697" t="n">
        <v>700</v>
      </c>
      <c r="T10" s="697" t="n">
        <v>650</v>
      </c>
      <c r="U10" s="697" t="n">
        <v>620</v>
      </c>
      <c r="V10" s="697" t="n">
        <v>620</v>
      </c>
      <c r="W10" s="697" t="n">
        <v>600</v>
      </c>
      <c r="X10" s="697" t="n">
        <v>600</v>
      </c>
      <c r="Y10" s="697" t="n">
        <v>600</v>
      </c>
      <c r="Z10" s="697">
        <f>580+EI10</f>
        <v/>
      </c>
      <c r="AA10" s="697" t="n">
        <v>640</v>
      </c>
      <c r="AB10" s="697" t="n">
        <v>640</v>
      </c>
      <c r="AC10" s="697" t="n">
        <v>640</v>
      </c>
      <c r="AD10" s="697" t="n">
        <v>400</v>
      </c>
      <c r="AE10" s="697" t="n">
        <v>480</v>
      </c>
      <c r="AF10" s="697" t="n">
        <v>400</v>
      </c>
      <c r="AG10" s="697">
        <f>200+EA10</f>
        <v/>
      </c>
      <c r="AH10" s="697">
        <f>260+DV10</f>
        <v/>
      </c>
      <c r="AI10" s="697" t="n">
        <v>440</v>
      </c>
      <c r="AJ10" s="697" t="n">
        <v>440</v>
      </c>
      <c r="AK10" s="697" t="n">
        <v>420</v>
      </c>
      <c r="AL10" s="697" t="n">
        <v>360</v>
      </c>
      <c r="AM10" s="697" t="n">
        <v>140</v>
      </c>
      <c r="AN10" s="697" t="n">
        <v>440</v>
      </c>
      <c r="AO10" s="697" t="n">
        <v>1000</v>
      </c>
      <c r="AP10" s="697" t="n">
        <v>740</v>
      </c>
      <c r="AQ10" s="697" t="n">
        <v>640</v>
      </c>
      <c r="AR10" s="697" t="n">
        <v>1040</v>
      </c>
      <c r="AS10" s="697" t="n">
        <v>900</v>
      </c>
      <c r="AT10" s="697" t="n">
        <v>860</v>
      </c>
      <c r="AU10" s="697" t="n">
        <v>680</v>
      </c>
      <c r="AV10" s="697" t="n">
        <v>580</v>
      </c>
      <c r="AW10" s="697" t="n">
        <v>480</v>
      </c>
      <c r="AX10" s="697" t="n">
        <v>480</v>
      </c>
      <c r="AY10" s="697" t="n">
        <v>480</v>
      </c>
      <c r="AZ10" s="697" t="n">
        <v>480</v>
      </c>
      <c r="BA10" s="697" t="n">
        <v>480</v>
      </c>
      <c r="BB10" s="697" t="n">
        <v>480</v>
      </c>
      <c r="BC10" s="697" t="n">
        <v>580</v>
      </c>
      <c r="BD10" s="697">
        <f>580+CV10</f>
        <v/>
      </c>
      <c r="BE10" s="697" t="n">
        <v>620</v>
      </c>
      <c r="BF10" s="697" t="n">
        <v>0</v>
      </c>
      <c r="BG10" s="697">
        <f>0+CT10</f>
        <v/>
      </c>
      <c r="BH10" s="697" t="n">
        <v>800</v>
      </c>
      <c r="BI10" s="697" t="n">
        <v>580</v>
      </c>
      <c r="BJ10" s="697">
        <f>440+CQ10</f>
        <v/>
      </c>
      <c r="BK10" s="697" t="n">
        <v>600</v>
      </c>
      <c r="BL10" s="697" t="n">
        <v>740</v>
      </c>
      <c r="BM10" s="697" t="n">
        <v>640</v>
      </c>
      <c r="BN10" s="697" t="n">
        <v>600</v>
      </c>
      <c r="BO10" s="697" t="n">
        <v>500</v>
      </c>
      <c r="BP10" s="697" t="n">
        <v>340</v>
      </c>
      <c r="BQ10" s="697">
        <f>300+CM10</f>
        <v/>
      </c>
      <c r="BR10" s="697" t="n">
        <v>340</v>
      </c>
      <c r="BS10" s="697">
        <f>240+CJ10</f>
        <v/>
      </c>
      <c r="BT10" s="697" t="n">
        <v>200</v>
      </c>
      <c r="BU10" s="697" t="n">
        <v>280</v>
      </c>
      <c r="BV10" s="697" t="n">
        <v>400</v>
      </c>
      <c r="BW10" s="697" t="n">
        <v>400</v>
      </c>
      <c r="BX10" s="697" t="n">
        <v>400</v>
      </c>
      <c r="BY10" s="697" t="n">
        <v>400</v>
      </c>
      <c r="BZ10" s="697" t="n"/>
      <c r="CA10" s="699" t="n"/>
      <c r="CB10" s="699" t="n"/>
      <c r="CC10" s="192">
        <f>CA10+IF(NOT(ISBLANK(OFFSET(CC10,0,6))),N(OFFSET(CC10,0,6)),N(OFFSET(CC10,0,7)))-CB10</f>
        <v/>
      </c>
      <c r="CD10" s="5" t="n"/>
      <c r="CE10" s="22" t="n"/>
      <c r="CF10" s="4" t="n"/>
      <c r="CG10" s="49" t="n"/>
      <c r="CH10" s="23" t="n">
        <v>0</v>
      </c>
      <c r="CI10" s="23" t="n">
        <v>0</v>
      </c>
      <c r="CJ10" s="23" t="n">
        <v>0</v>
      </c>
      <c r="CK10" s="23" t="n"/>
      <c r="CL10" s="23" t="n">
        <v>200</v>
      </c>
      <c r="CM10" s="219" t="n">
        <v>1000</v>
      </c>
      <c r="CN10" s="23" t="n"/>
      <c r="CO10" s="23" t="n">
        <v>200</v>
      </c>
      <c r="CP10" s="23" t="n"/>
      <c r="CQ10" s="23" t="n"/>
      <c r="CR10" s="23" t="n">
        <v>200</v>
      </c>
      <c r="CS10" s="23" t="n">
        <v>200</v>
      </c>
      <c r="CT10" s="23" t="n"/>
      <c r="CU10" s="23" t="n">
        <v>600</v>
      </c>
      <c r="CV10" s="23" t="n">
        <v>200</v>
      </c>
      <c r="CW10" s="23" t="n"/>
      <c r="CX10" s="23" t="n">
        <v>200</v>
      </c>
      <c r="CY10" s="23" t="n"/>
      <c r="CZ10" s="23" t="n"/>
      <c r="DA10" s="23" t="n"/>
      <c r="DB10" s="23" t="n">
        <v>200</v>
      </c>
      <c r="DC10" s="23" t="n"/>
      <c r="DD10" s="23" t="n"/>
      <c r="DE10" s="219" t="n">
        <v>1600</v>
      </c>
      <c r="DF10" s="23" t="n"/>
      <c r="DG10" s="23" t="n"/>
      <c r="DH10" s="23" t="n"/>
      <c r="DI10" s="23" t="n"/>
      <c r="DJ10" s="23" t="n"/>
      <c r="DK10" s="23" t="n"/>
      <c r="DL10" s="437" t="inlineStr">
        <is>
          <t>100 P/ Q2</t>
        </is>
      </c>
      <c r="DM10" s="219" t="n"/>
      <c r="DN10" s="23" t="n">
        <v>600</v>
      </c>
      <c r="DO10" s="219" t="n">
        <v>200</v>
      </c>
      <c r="DP10" s="23" t="n"/>
      <c r="DQ10" s="23" t="n"/>
      <c r="DR10" s="23" t="n">
        <v>600</v>
      </c>
      <c r="DS10" s="23" t="n">
        <v>200</v>
      </c>
      <c r="DT10" s="23" t="n">
        <v>400</v>
      </c>
      <c r="DU10" s="23" t="n"/>
      <c r="DV10" s="23" t="n"/>
      <c r="DW10" s="23" t="n"/>
      <c r="DX10" s="23" t="n">
        <v>200</v>
      </c>
      <c r="DY10" s="23" t="n"/>
      <c r="DZ10" s="219" t="n"/>
      <c r="EA10" s="219" t="n"/>
      <c r="EB10" s="219" t="n">
        <v>800</v>
      </c>
      <c r="EC10" s="23" t="n">
        <v>200</v>
      </c>
      <c r="ED10" s="23" t="n"/>
      <c r="EE10" s="23" t="n">
        <v>200</v>
      </c>
      <c r="EF10" s="23" t="n"/>
      <c r="EG10" s="23" t="n"/>
      <c r="EH10" s="23" t="n"/>
      <c r="EI10" s="219" t="n"/>
      <c r="EJ10" s="219" t="n">
        <v>600</v>
      </c>
      <c r="EK10" s="23" t="n">
        <v>200</v>
      </c>
      <c r="EL10" s="23" t="n"/>
      <c r="EM10" s="23" t="n"/>
      <c r="EN10" s="23" t="n"/>
      <c r="EO10" s="219" t="n"/>
      <c r="EP10" s="23" t="n"/>
      <c r="EQ10" s="219" t="n">
        <v>1000</v>
      </c>
      <c r="ER10" s="23" t="n">
        <v>400</v>
      </c>
      <c r="ES10" s="23" t="n"/>
      <c r="ET10" s="23" t="n"/>
      <c r="EU10" s="23" t="n"/>
      <c r="EV10" s="23" t="n"/>
      <c r="EW10" s="219" t="n"/>
      <c r="EX10" s="23" t="n"/>
      <c r="EY10" s="23" t="n">
        <v>400</v>
      </c>
      <c r="EZ10" s="23" t="n">
        <v>600</v>
      </c>
      <c r="FA10" s="219" t="n"/>
      <c r="FB10" s="23" t="n">
        <v>400</v>
      </c>
      <c r="FC10" s="23" t="n">
        <v>200</v>
      </c>
      <c r="FE10" s="65" t="inlineStr">
        <is>
          <t xml:space="preserve">SACOLA M </t>
        </is>
      </c>
      <c r="FF10" s="699" t="n">
        <v>200</v>
      </c>
      <c r="FG10" s="697">
        <f>CK10</f>
        <v/>
      </c>
      <c r="FH10" s="697" t="n">
        <v>1000</v>
      </c>
      <c r="FI10" s="697" t="n">
        <v>720</v>
      </c>
      <c r="FJ10" s="697" t="n">
        <v>680</v>
      </c>
      <c r="FK10" s="697" t="n">
        <v>480</v>
      </c>
      <c r="FL10" s="697" t="n">
        <v>480</v>
      </c>
      <c r="FM10" s="697" t="n"/>
      <c r="FN10" s="699" t="n"/>
      <c r="FO10" s="699" t="n"/>
      <c r="FP10" s="431">
        <f>FN10+IF(NOT(ISBLANK(OFFSET(FP10,0,6))),N(OFFSET(FP10,0,6)),N(OFFSET(FP10,0,7)))-FO10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100</v>
      </c>
      <c r="G11" s="697" t="n">
        <v>100</v>
      </c>
      <c r="H11" s="697" t="n">
        <v>150</v>
      </c>
      <c r="I11" s="697" t="n">
        <v>150</v>
      </c>
      <c r="J11" s="697" t="n">
        <v>130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40</v>
      </c>
      <c r="AD11" s="697" t="n">
        <v>20</v>
      </c>
      <c r="AE11" s="697" t="n">
        <v>20</v>
      </c>
      <c r="AF11" s="697" t="n">
        <v>0</v>
      </c>
      <c r="AG11" s="697" t="n">
        <v>0</v>
      </c>
      <c r="AH11" s="697">
        <f>0+100</f>
        <v/>
      </c>
      <c r="AI11" s="697" t="n">
        <v>100</v>
      </c>
      <c r="AJ11" s="697" t="n">
        <v>100</v>
      </c>
      <c r="AK11" s="697" t="n">
        <v>80</v>
      </c>
      <c r="AL11" s="697" t="n">
        <v>60</v>
      </c>
      <c r="AM11" s="697" t="n">
        <v>60</v>
      </c>
      <c r="AN11" s="697" t="n">
        <v>60</v>
      </c>
      <c r="AO11" s="697" t="n">
        <v>40</v>
      </c>
      <c r="AP11" s="697" t="n">
        <v>40</v>
      </c>
      <c r="AQ11" s="697" t="n">
        <v>40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>
        <f>0+20</f>
        <v/>
      </c>
      <c r="AW11" s="697" t="n">
        <v>0</v>
      </c>
      <c r="AX11" s="697" t="n">
        <v>0</v>
      </c>
      <c r="AY11" s="697" t="n">
        <v>0</v>
      </c>
      <c r="AZ11" s="697" t="n">
        <v>0</v>
      </c>
      <c r="BA11" s="697" t="n">
        <v>0</v>
      </c>
      <c r="BB11" s="697" t="n">
        <v>0</v>
      </c>
      <c r="BC11" s="697">
        <f>0+CW11</f>
        <v/>
      </c>
      <c r="BD11" s="697" t="n">
        <v>100</v>
      </c>
      <c r="BE11" s="697" t="n">
        <v>45</v>
      </c>
      <c r="BF11" s="697" t="n">
        <v>0</v>
      </c>
      <c r="BG11" s="697" t="n">
        <v>0</v>
      </c>
      <c r="BH11" s="697" t="n">
        <v>100</v>
      </c>
      <c r="BI11" s="697" t="n">
        <v>100</v>
      </c>
      <c r="BJ11" s="697" t="n">
        <v>100</v>
      </c>
      <c r="BK11" s="697" t="n">
        <v>80</v>
      </c>
      <c r="BL11" s="697" t="n">
        <v>80</v>
      </c>
      <c r="BM11" s="697" t="n">
        <v>80</v>
      </c>
      <c r="BN11" s="697" t="n">
        <v>80</v>
      </c>
      <c r="BO11" s="697" t="n">
        <v>80</v>
      </c>
      <c r="BP11" s="697" t="n">
        <v>40</v>
      </c>
      <c r="BQ11" s="697" t="n">
        <v>40</v>
      </c>
      <c r="BR11" s="697" t="n">
        <v>40</v>
      </c>
      <c r="BS11" s="697" t="n">
        <v>40</v>
      </c>
      <c r="BT11" s="697" t="n">
        <v>40</v>
      </c>
      <c r="BU11" s="697" t="n">
        <v>20</v>
      </c>
      <c r="BV11" s="697" t="n">
        <v>20</v>
      </c>
      <c r="BW11" s="697" t="n">
        <v>20</v>
      </c>
      <c r="BX11" s="697" t="n">
        <v>20</v>
      </c>
      <c r="BY11" s="697" t="n">
        <v>20</v>
      </c>
      <c r="BZ11" s="697" t="n"/>
      <c r="CA11" s="699" t="n"/>
      <c r="CB11" s="699" t="n"/>
      <c r="CC11" s="192">
        <f>CA11+IF(NOT(ISBLANK(OFFSET(CC11,0,6))),N(OFFSET(CC11,0,6)),N(OFFSET(CC11,0,7)))-CB11</f>
        <v/>
      </c>
      <c r="CD11" s="5" t="n"/>
      <c r="CE11" s="22" t="n"/>
      <c r="CF11" s="4" t="n"/>
      <c r="CG11" s="49" t="n"/>
      <c r="CH11" s="23" t="n">
        <v>0</v>
      </c>
      <c r="CI11" s="23" t="n">
        <v>0</v>
      </c>
      <c r="CJ11" s="23" t="n">
        <v>0</v>
      </c>
      <c r="CK11" s="23" t="n"/>
      <c r="CL11" s="23" t="n"/>
      <c r="CM11" s="219" t="n">
        <v>100</v>
      </c>
      <c r="CN11" s="23" t="n"/>
      <c r="CO11" s="23" t="n"/>
      <c r="CP11" s="23" t="n"/>
      <c r="CQ11" s="23" t="n"/>
      <c r="CR11" s="23" t="n"/>
      <c r="CS11" s="23" t="n"/>
      <c r="CT11" s="23" t="n"/>
      <c r="CU11" s="23" t="n">
        <v>100</v>
      </c>
      <c r="CV11" s="23" t="n"/>
      <c r="CW11" s="23" t="n"/>
      <c r="CX11" s="23" t="n"/>
      <c r="CY11" s="23" t="n">
        <v>100</v>
      </c>
      <c r="CZ11" s="23" t="n"/>
      <c r="DA11" s="23" t="n"/>
      <c r="DB11" s="23" t="n"/>
      <c r="DC11" s="23" t="n"/>
      <c r="DD11" s="23" t="n"/>
      <c r="DE11" s="219" t="n">
        <v>200</v>
      </c>
      <c r="DF11" s="192" t="inlineStr">
        <is>
          <t>20 DE Q2</t>
        </is>
      </c>
      <c r="DG11" s="23" t="n"/>
      <c r="DH11" s="23" t="n"/>
      <c r="DI11" s="23" t="n"/>
      <c r="DJ11" s="23" t="n"/>
      <c r="DK11" s="23" t="n"/>
      <c r="DL11" s="219" t="n"/>
      <c r="DM11" s="219" t="n"/>
      <c r="DN11" s="23" t="n"/>
      <c r="DO11" s="219" t="n"/>
      <c r="DP11" s="23" t="n"/>
      <c r="DQ11" s="23" t="n"/>
      <c r="DR11" s="23" t="n"/>
      <c r="DS11" s="23" t="n"/>
      <c r="DT11" s="23" t="n"/>
      <c r="DU11" s="23" t="n"/>
      <c r="DV11" s="23" t="n"/>
      <c r="DW11" s="23" t="n"/>
      <c r="DX11" s="23" t="n"/>
      <c r="DY11" s="282" t="inlineStr">
        <is>
          <t>100 DE TTR</t>
        </is>
      </c>
      <c r="DZ11" s="219" t="n"/>
      <c r="EA11" s="219" t="n"/>
      <c r="EB11" s="219" t="n"/>
      <c r="EC11" s="23" t="n"/>
      <c r="ED11" s="23" t="n"/>
      <c r="EE11" s="23" t="n"/>
      <c r="EF11" s="23" t="n"/>
      <c r="EG11" s="23" t="n"/>
      <c r="EH11" s="23" t="n"/>
      <c r="EI11" s="219" t="n"/>
      <c r="EJ11" s="219" t="n"/>
      <c r="EK11" s="23" t="n"/>
      <c r="EL11" s="23" t="n"/>
      <c r="EM11" s="23" t="n"/>
      <c r="EN11" s="23" t="n"/>
      <c r="EO11" s="219" t="n"/>
      <c r="EP11" s="23" t="n"/>
      <c r="EQ11" s="219" t="n">
        <v>100</v>
      </c>
      <c r="ER11" s="23" t="n"/>
      <c r="ES11" s="23" t="n"/>
      <c r="ET11" s="23" t="n"/>
      <c r="EU11" s="23" t="n"/>
      <c r="EV11" s="23" t="n"/>
      <c r="EW11" s="219" t="n"/>
      <c r="EX11" s="23" t="n"/>
      <c r="EY11" s="23" t="n"/>
      <c r="EZ11" s="23" t="n"/>
      <c r="FA11" s="219" t="n"/>
      <c r="FB11" s="23" t="n"/>
      <c r="FC11" s="23" t="n"/>
      <c r="FE11" s="66" t="inlineStr">
        <is>
          <t xml:space="preserve">SACOLA G </t>
        </is>
      </c>
      <c r="FF11" s="699" t="n">
        <v>100</v>
      </c>
      <c r="FG11" s="697">
        <f>CK11</f>
        <v/>
      </c>
      <c r="FH11" s="697" t="n">
        <v>100</v>
      </c>
      <c r="FI11" s="697" t="n">
        <v>100</v>
      </c>
      <c r="FJ11" s="697" t="n">
        <v>100</v>
      </c>
      <c r="FK11" s="697" t="n">
        <v>60</v>
      </c>
      <c r="FL11" s="697" t="n">
        <v>60</v>
      </c>
      <c r="FM11" s="697" t="n"/>
      <c r="FN11" s="699" t="n"/>
      <c r="FO11" s="699" t="n"/>
      <c r="FP11" s="431">
        <f>FN11+IF(NOT(ISBLANK(OFFSET(FP11,0,6))),N(OFFSET(FP11,0,6)),N(OFFSET(FP11,0,7)))-FO11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D12" s="5" t="n"/>
      <c r="CE12" s="16" t="n"/>
      <c r="CF12" s="64" t="n"/>
      <c r="CG12" s="64" t="n"/>
      <c r="CH12" s="4" t="n"/>
      <c r="CM12" s="47" t="n"/>
      <c r="DE12" s="47" t="n"/>
      <c r="DL12" s="64" t="n"/>
      <c r="DM12" s="64" t="n"/>
      <c r="DO12" s="64" t="n"/>
      <c r="DZ12" s="47" t="n"/>
      <c r="EA12" s="47" t="n"/>
      <c r="EB12" s="47" t="n"/>
      <c r="EI12" s="64" t="n"/>
      <c r="EJ12" s="64" t="n"/>
      <c r="EO12" s="308" t="n"/>
      <c r="EQ12" s="308" t="n"/>
      <c r="EW12" s="47" t="n"/>
      <c r="FA12" s="47" t="n"/>
      <c r="FE12" s="35" t="n"/>
      <c r="FF12" s="2" t="n"/>
      <c r="FG12" s="4" t="n"/>
      <c r="FH12" s="4" t="n"/>
      <c r="FI12" s="4" t="n"/>
      <c r="FJ12" s="4" t="n"/>
      <c r="FK12" s="4" t="n"/>
      <c r="FL12" s="4" t="n"/>
      <c r="FM12" s="4" t="n"/>
      <c r="FN12" s="2" t="n"/>
      <c r="FO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46161.48023508102</v>
      </c>
      <c r="CB13" s="747" t="n">
        <v>46161.48089405357</v>
      </c>
      <c r="CC13" s="748" t="inlineStr">
        <is>
          <t>USOU</t>
        </is>
      </c>
      <c r="CD13" s="726" t="n"/>
      <c r="CE13" s="44" t="inlineStr">
        <is>
          <t>Pendências</t>
        </is>
      </c>
      <c r="CF13" s="5" t="n"/>
      <c r="CG13" s="12" t="inlineStr">
        <is>
          <t>Novo Pedido</t>
        </is>
      </c>
      <c r="CH13" s="761" t="n">
        <v>46161.48089327288</v>
      </c>
      <c r="CI13" s="734" t="n">
        <v>46156</v>
      </c>
      <c r="CJ13" s="734" t="n">
        <v>46142</v>
      </c>
      <c r="CK13" s="734" t="n">
        <v>46114</v>
      </c>
      <c r="CL13" s="734" t="n">
        <v>46107</v>
      </c>
      <c r="CM13" s="735" t="n">
        <v>46065</v>
      </c>
      <c r="CN13" s="734" t="n">
        <v>46099</v>
      </c>
      <c r="CO13" s="734" t="n">
        <v>46092</v>
      </c>
      <c r="CP13" s="734" t="n">
        <v>46071</v>
      </c>
      <c r="CQ13" s="736" t="n">
        <v>46067</v>
      </c>
      <c r="CR13" s="734" t="n">
        <v>46048</v>
      </c>
      <c r="CS13" s="734" t="n">
        <v>46043</v>
      </c>
      <c r="CT13" s="734" t="n">
        <v>46029</v>
      </c>
      <c r="CU13" s="734" t="n">
        <v>46024</v>
      </c>
      <c r="CV13" s="734" t="n">
        <v>46017</v>
      </c>
      <c r="CW13" s="734" t="n">
        <v>46007</v>
      </c>
      <c r="CX13" s="734" t="n">
        <v>46001</v>
      </c>
      <c r="CY13" s="734" t="n">
        <v>45994</v>
      </c>
      <c r="CZ13" s="734" t="n">
        <v>45986</v>
      </c>
      <c r="DA13" s="734" t="n">
        <v>45973</v>
      </c>
      <c r="DB13" s="734" t="n">
        <v>45960</v>
      </c>
      <c r="DC13" s="736" t="n">
        <v>45962</v>
      </c>
      <c r="DD13" s="734" t="n">
        <v>45951</v>
      </c>
      <c r="DE13" s="737" t="n">
        <v>45903</v>
      </c>
      <c r="DF13" s="736" t="n">
        <v>45955</v>
      </c>
      <c r="DG13" s="736" t="n">
        <v>45945</v>
      </c>
      <c r="DH13" s="734" t="n">
        <v>45937</v>
      </c>
      <c r="DI13" s="734" t="n">
        <v>45931</v>
      </c>
      <c r="DJ13" s="734" t="n">
        <v>45923</v>
      </c>
      <c r="DK13" s="734" t="n">
        <v>45923</v>
      </c>
      <c r="DL13" s="754" t="n">
        <v>45925</v>
      </c>
      <c r="DM13" s="754" t="n">
        <v>45923</v>
      </c>
      <c r="DN13" s="734" t="n">
        <v>45915</v>
      </c>
      <c r="DO13" s="738" t="n">
        <v>45863</v>
      </c>
      <c r="DP13" s="734" t="n">
        <v>45909</v>
      </c>
      <c r="DQ13" s="736" t="n">
        <v>45902</v>
      </c>
      <c r="DR13" s="734" t="n">
        <v>45895</v>
      </c>
      <c r="DS13" s="734" t="n">
        <v>45888</v>
      </c>
      <c r="DT13" s="734" t="n">
        <v>45881</v>
      </c>
      <c r="DU13" s="739" t="n">
        <v>45880</v>
      </c>
      <c r="DV13" s="734" t="n">
        <v>45874</v>
      </c>
      <c r="DW13" s="734" t="n">
        <v>45853</v>
      </c>
      <c r="DX13" s="734" t="n">
        <v>45848</v>
      </c>
      <c r="DY13" s="736" t="n">
        <v>45852</v>
      </c>
      <c r="DZ13" s="739" t="n">
        <v>45852</v>
      </c>
      <c r="EA13" s="739" t="n">
        <v>45847</v>
      </c>
      <c r="EB13" s="739" t="n">
        <v>45791</v>
      </c>
      <c r="EC13" s="734" t="n">
        <v>45839</v>
      </c>
      <c r="ED13" s="734" t="n">
        <v>45832</v>
      </c>
      <c r="EE13" s="734" t="n">
        <v>45825</v>
      </c>
      <c r="EF13" s="736" t="n">
        <v>45820</v>
      </c>
      <c r="EG13" s="736" t="n">
        <v>45806</v>
      </c>
      <c r="EH13" s="734" t="n">
        <v>45798</v>
      </c>
      <c r="EI13" s="755" t="n">
        <v>45798</v>
      </c>
      <c r="EJ13" s="742" t="n">
        <v>45735</v>
      </c>
      <c r="EK13" s="734" t="n">
        <v>45790</v>
      </c>
      <c r="EL13" s="734" t="n">
        <v>45783</v>
      </c>
      <c r="EM13" s="734" t="n">
        <v>45756</v>
      </c>
      <c r="EN13" s="734" t="n">
        <v>45749</v>
      </c>
      <c r="EO13" s="740" t="n">
        <v>45750</v>
      </c>
      <c r="EP13" s="734" t="n">
        <v>45743</v>
      </c>
      <c r="EQ13" s="740" t="n">
        <v>45700</v>
      </c>
      <c r="ER13" s="734" t="n">
        <v>45734</v>
      </c>
      <c r="ES13" s="734" t="n">
        <v>45728</v>
      </c>
      <c r="ET13" s="736" t="n">
        <v>45724</v>
      </c>
      <c r="EU13" s="734" t="n">
        <v>45706</v>
      </c>
      <c r="EV13" s="734" t="n">
        <v>45699</v>
      </c>
      <c r="EW13" s="744" t="n">
        <v>45698</v>
      </c>
      <c r="EX13" s="734" t="n">
        <v>45674</v>
      </c>
      <c r="EY13" s="734" t="n">
        <v>45664</v>
      </c>
      <c r="EZ13" s="734" t="n">
        <v>45660</v>
      </c>
      <c r="FA13" s="744" t="n">
        <v>45663</v>
      </c>
      <c r="FB13" s="734" t="n">
        <v>45652</v>
      </c>
      <c r="FC13" s="734" t="n">
        <v>45643</v>
      </c>
      <c r="FE13" s="304" t="inlineStr">
        <is>
          <t>DIVERSOS</t>
        </is>
      </c>
      <c r="FF13" s="235" t="inlineStr">
        <is>
          <t>PCT</t>
        </is>
      </c>
      <c r="FG13" s="746" t="n">
        <v>46118</v>
      </c>
      <c r="FH13" s="746" t="n">
        <v>46125</v>
      </c>
      <c r="FI13" s="746" t="n">
        <v>46132</v>
      </c>
      <c r="FJ13" s="746" t="n">
        <v>46139</v>
      </c>
      <c r="FK13" s="746" t="n">
        <v>46146</v>
      </c>
      <c r="FL13" s="746" t="n">
        <v>46154</v>
      </c>
      <c r="FM13" s="746" t="n">
        <v>46160</v>
      </c>
      <c r="FN13" s="747" t="n">
        <v>46161.4802346412</v>
      </c>
      <c r="FO13" s="747" t="n">
        <v>46161.48089361314</v>
      </c>
      <c r="FP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6</v>
      </c>
      <c r="G14" s="697">
        <f>6+EX14</f>
        <v/>
      </c>
      <c r="H14" s="237" t="n">
        <v>7</v>
      </c>
      <c r="I14" s="237" t="n">
        <v>6</v>
      </c>
      <c r="J14" s="237" t="n">
        <v>6</v>
      </c>
      <c r="K14" s="237" t="n">
        <v>6</v>
      </c>
      <c r="L14" s="237" t="n">
        <v>5</v>
      </c>
      <c r="M14" s="237" t="n">
        <v>5</v>
      </c>
      <c r="N14" s="237" t="n">
        <v>4</v>
      </c>
      <c r="O14" s="237" t="n">
        <v>4</v>
      </c>
      <c r="P14" s="237" t="n">
        <v>3</v>
      </c>
      <c r="Q14" s="237" t="n">
        <v>4</v>
      </c>
      <c r="R14" s="237" t="n">
        <v>3</v>
      </c>
      <c r="S14" s="237">
        <f>5+EN14</f>
        <v/>
      </c>
      <c r="T14" s="237" t="n">
        <v>6</v>
      </c>
      <c r="U14" s="237" t="n">
        <v>5</v>
      </c>
      <c r="V14" s="237" t="n">
        <v>5</v>
      </c>
      <c r="W14" s="237" t="n">
        <v>5</v>
      </c>
      <c r="X14" s="237" t="n">
        <v>5</v>
      </c>
      <c r="Y14" s="237" t="n">
        <v>3</v>
      </c>
      <c r="Z14" s="237">
        <f>2+EI14</f>
        <v/>
      </c>
      <c r="AA14" s="237" t="n">
        <v>4</v>
      </c>
      <c r="AB14" s="237" t="n">
        <v>4</v>
      </c>
      <c r="AC14" s="237" t="n">
        <v>4</v>
      </c>
      <c r="AD14" s="237" t="n">
        <v>4</v>
      </c>
      <c r="AE14" s="237" t="n">
        <v>4</v>
      </c>
      <c r="AF14" s="237" t="n">
        <v>3</v>
      </c>
      <c r="AG14" s="237" t="n">
        <v>2</v>
      </c>
      <c r="AH14" s="237">
        <f>2+DV14</f>
        <v/>
      </c>
      <c r="AI14" s="237" t="n">
        <v>3</v>
      </c>
      <c r="AJ14" s="237" t="n">
        <v>2</v>
      </c>
      <c r="AK14" s="237" t="n">
        <v>2</v>
      </c>
      <c r="AL14" s="237" t="n">
        <v>2</v>
      </c>
      <c r="AM14" s="237" t="n">
        <v>2</v>
      </c>
      <c r="AN14" s="237" t="n">
        <v>3</v>
      </c>
      <c r="AO14" s="237" t="n">
        <v>2</v>
      </c>
      <c r="AP14" s="237" t="n">
        <v>1</v>
      </c>
      <c r="AQ14" s="237" t="n">
        <v>4</v>
      </c>
      <c r="AR14" s="237" t="n">
        <v>3</v>
      </c>
      <c r="AS14" s="237">
        <f>2+DI14</f>
        <v/>
      </c>
      <c r="AT14" s="237" t="n">
        <v>3</v>
      </c>
      <c r="AU14" s="237" t="n">
        <v>1</v>
      </c>
      <c r="AV14" s="237" t="n">
        <v>1</v>
      </c>
      <c r="AW14" s="237" t="n">
        <v>1</v>
      </c>
      <c r="AX14" s="237" t="n">
        <v>1</v>
      </c>
      <c r="AY14" s="237" t="n">
        <v>1</v>
      </c>
      <c r="AZ14" s="237">
        <f>1+CY14</f>
        <v/>
      </c>
      <c r="BA14" s="237" t="n">
        <v>4</v>
      </c>
      <c r="BB14" s="237" t="n">
        <v>4</v>
      </c>
      <c r="BC14" s="237" t="n">
        <v>4</v>
      </c>
      <c r="BD14" s="237" t="n">
        <v>4</v>
      </c>
      <c r="BE14" s="237" t="n">
        <v>3</v>
      </c>
      <c r="BF14" s="237" t="n">
        <v>0</v>
      </c>
      <c r="BG14" s="237">
        <f>0+CT14</f>
        <v/>
      </c>
      <c r="BH14" s="237" t="n">
        <v>15</v>
      </c>
      <c r="BI14" s="237" t="n">
        <v>13</v>
      </c>
      <c r="BJ14" s="237" t="n">
        <v>13</v>
      </c>
      <c r="BK14" s="237" t="n">
        <v>12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6</v>
      </c>
      <c r="BR14" s="237">
        <f>5+CL14</f>
        <v/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>
        <f>5+CH14</f>
        <v/>
      </c>
      <c r="BY14" s="237" t="n">
        <v>7</v>
      </c>
      <c r="BZ14" s="237" t="n"/>
      <c r="CA14" s="154" t="n"/>
      <c r="CB14" s="154" t="n"/>
      <c r="CC14" s="198">
        <f>CA14+IF(NOT(ISBLANK(OFFSET(CC14,0,6))),N(OFFSET(CC14,0,6)),N(OFFSET(CC14,0,7)))-CB14</f>
        <v/>
      </c>
      <c r="CD14" s="726" t="n"/>
      <c r="CE14" s="22" t="n"/>
      <c r="CF14" s="4" t="n"/>
      <c r="CG14" s="49" t="n"/>
      <c r="CH14" s="23" t="n">
        <v>0</v>
      </c>
      <c r="CI14" s="23" t="n">
        <v>0</v>
      </c>
      <c r="CJ14" s="23" t="n">
        <v>3</v>
      </c>
      <c r="CK14" s="23" t="n"/>
      <c r="CL14" s="23" t="n"/>
      <c r="CM14" s="219" t="n">
        <v>8</v>
      </c>
      <c r="CN14" s="23" t="n">
        <v>2</v>
      </c>
      <c r="CO14" s="23" t="n"/>
      <c r="CP14" s="23" t="n"/>
      <c r="CQ14" s="23" t="n"/>
      <c r="CR14" s="23" t="n"/>
      <c r="CS14" s="23" t="n"/>
      <c r="CT14" s="23" t="n">
        <v>5</v>
      </c>
      <c r="CU14" s="23" t="n">
        <v>7</v>
      </c>
      <c r="CV14" s="23" t="n">
        <v>3</v>
      </c>
      <c r="CW14" s="23" t="n"/>
      <c r="CX14" s="23" t="n"/>
      <c r="CY14" s="23" t="n"/>
      <c r="CZ14" s="23" t="n"/>
      <c r="DA14" s="23" t="n">
        <v>3</v>
      </c>
      <c r="DB14" s="23" t="n"/>
      <c r="DC14" s="23" t="n"/>
      <c r="DD14" s="23" t="n"/>
      <c r="DE14" s="219" t="n">
        <v>20</v>
      </c>
      <c r="DF14" s="23" t="n"/>
      <c r="DG14" s="23" t="n"/>
      <c r="DH14" s="23" t="n"/>
      <c r="DI14" s="23" t="n"/>
      <c r="DJ14" s="23" t="n"/>
      <c r="DK14" s="23" t="n">
        <v>1</v>
      </c>
      <c r="DL14" s="437" t="inlineStr">
        <is>
          <t>100 P/ Q2</t>
        </is>
      </c>
      <c r="DM14" s="219" t="n"/>
      <c r="DN14" s="23" t="n"/>
      <c r="DO14" s="219" t="n">
        <v>200</v>
      </c>
      <c r="DP14" s="23" t="n">
        <v>3</v>
      </c>
      <c r="DQ14" s="23" t="n"/>
      <c r="DR14" s="23" t="n"/>
      <c r="DS14" s="23" t="n"/>
      <c r="DT14" s="23" t="n">
        <v>1</v>
      </c>
      <c r="DU14" s="23" t="n"/>
      <c r="DV14" s="23" t="n">
        <v>1</v>
      </c>
      <c r="DW14" s="23" t="n"/>
      <c r="DX14" s="23" t="n">
        <v>1</v>
      </c>
      <c r="DY14" s="23" t="n"/>
      <c r="DZ14" s="219" t="n"/>
      <c r="EA14" s="219" t="n"/>
      <c r="EB14" s="219" t="n">
        <v>5</v>
      </c>
      <c r="EC14" s="23" t="n"/>
      <c r="ED14" s="23" t="n"/>
      <c r="EE14" s="23" t="n"/>
      <c r="EF14" s="23" t="n"/>
      <c r="EG14" s="23" t="n"/>
      <c r="EH14" s="23" t="n"/>
      <c r="EI14" s="219" t="n"/>
      <c r="EJ14" s="219" t="n">
        <v>2</v>
      </c>
      <c r="EK14" s="23" t="n">
        <v>3</v>
      </c>
      <c r="EL14" s="23" t="n"/>
      <c r="EM14" s="23" t="n"/>
      <c r="EN14" s="23" t="n"/>
      <c r="EO14" s="219" t="n"/>
      <c r="EP14" s="23" t="n">
        <v>1</v>
      </c>
      <c r="EQ14" s="219" t="n">
        <v>7</v>
      </c>
      <c r="ER14" s="23" t="n">
        <v>2</v>
      </c>
      <c r="ES14" s="23" t="n">
        <v>2</v>
      </c>
      <c r="ET14" s="23" t="n"/>
      <c r="EU14" s="23" t="n"/>
      <c r="EV14" s="23" t="n"/>
      <c r="EW14" s="219" t="n"/>
      <c r="EX14" s="23" t="n"/>
      <c r="EY14" s="23" t="n"/>
      <c r="EZ14" s="23" t="n">
        <v>1</v>
      </c>
      <c r="FA14" s="219" t="n"/>
      <c r="FB14" s="23" t="n"/>
      <c r="FC14" s="23" t="n">
        <v>4</v>
      </c>
      <c r="FE14" s="300" t="inlineStr">
        <is>
          <t>PAPEL DE SEDA</t>
        </is>
      </c>
      <c r="FF14" s="162" t="n">
        <v>200</v>
      </c>
      <c r="FG14" s="697">
        <f>CK14</f>
        <v/>
      </c>
      <c r="FH14" s="697" t="n">
        <v>7</v>
      </c>
      <c r="FI14" s="697" t="n">
        <v>3</v>
      </c>
      <c r="FJ14" s="697" t="n">
        <v>3</v>
      </c>
      <c r="FK14" s="697" t="n">
        <v>3</v>
      </c>
      <c r="FL14" s="697" t="n">
        <v>0</v>
      </c>
      <c r="FM14" s="697" t="n"/>
      <c r="FN14" s="699" t="n"/>
      <c r="FO14" s="699" t="n"/>
      <c r="FP14" s="431">
        <f>FN14+IF(NOT(ISBLANK(OFFSET(FP14,0,6))),N(OFFSET(FP14,0,6)),N(OFFSET(FP14,0,7)))-FO14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0+EX15</f>
        <v/>
      </c>
      <c r="H15" s="237">
        <f>2+EW15</f>
        <v/>
      </c>
      <c r="I15" s="237" t="n">
        <v>3</v>
      </c>
      <c r="J15" s="237" t="n">
        <v>3</v>
      </c>
      <c r="K15" s="237" t="n">
        <v>3</v>
      </c>
      <c r="L15" s="237" t="n">
        <v>3</v>
      </c>
      <c r="M15" s="237" t="n">
        <v>3</v>
      </c>
      <c r="N15" s="237" t="n">
        <v>3</v>
      </c>
      <c r="O15" s="237" t="n">
        <v>3</v>
      </c>
      <c r="P15" s="237" t="n">
        <v>3</v>
      </c>
      <c r="Q15" s="237" t="n">
        <v>3</v>
      </c>
      <c r="R15" s="237" t="n">
        <v>3</v>
      </c>
      <c r="S15" s="237" t="n">
        <v>3</v>
      </c>
      <c r="T15" s="237" t="n">
        <v>3</v>
      </c>
      <c r="U15" s="237" t="n">
        <v>3</v>
      </c>
      <c r="V15" s="237" t="n">
        <v>3</v>
      </c>
      <c r="W15" s="237" t="n">
        <v>3</v>
      </c>
      <c r="X15" s="237" t="n">
        <v>2</v>
      </c>
      <c r="Y15" s="237" t="n">
        <v>2</v>
      </c>
      <c r="Z15" s="237" t="n">
        <v>2</v>
      </c>
      <c r="AA15" s="237" t="n">
        <v>3</v>
      </c>
      <c r="AB15" s="237" t="n">
        <v>3</v>
      </c>
      <c r="AC15" s="237" t="n">
        <v>3</v>
      </c>
      <c r="AD15" s="237" t="n">
        <v>2</v>
      </c>
      <c r="AE15" s="237" t="n">
        <v>2</v>
      </c>
      <c r="AF15" s="237" t="n">
        <v>2</v>
      </c>
      <c r="AG15" s="237" t="n">
        <v>2</v>
      </c>
      <c r="AH15" s="237" t="n">
        <v>2</v>
      </c>
      <c r="AI15" s="237" t="n">
        <v>2</v>
      </c>
      <c r="AJ15" s="237" t="n">
        <v>2</v>
      </c>
      <c r="AK15" s="237" t="n">
        <v>1</v>
      </c>
      <c r="AL15" s="237" t="n">
        <v>1</v>
      </c>
      <c r="AM15" s="237" t="n">
        <v>1</v>
      </c>
      <c r="AN15" s="237" t="n">
        <v>3</v>
      </c>
      <c r="AO15" s="237" t="n">
        <v>3</v>
      </c>
      <c r="AP15" s="237" t="n">
        <v>3</v>
      </c>
      <c r="AQ15" s="237" t="n">
        <v>3</v>
      </c>
      <c r="AR15" s="237" t="n">
        <v>3</v>
      </c>
      <c r="AS15" s="237" t="n">
        <v>3</v>
      </c>
      <c r="AT15" s="237" t="n">
        <v>3</v>
      </c>
      <c r="AU15" s="237" t="n">
        <v>2</v>
      </c>
      <c r="AV15" s="237" t="n">
        <v>2</v>
      </c>
      <c r="AW15" s="237" t="n">
        <v>2</v>
      </c>
      <c r="AX15" s="237" t="n">
        <v>2</v>
      </c>
      <c r="AY15" s="237" t="n">
        <v>2</v>
      </c>
      <c r="AZ15" s="237" t="n">
        <v>2</v>
      </c>
      <c r="BA15" s="237" t="n">
        <v>2</v>
      </c>
      <c r="BB15" s="237" t="n">
        <v>2</v>
      </c>
      <c r="BC15" s="237" t="n">
        <v>1</v>
      </c>
      <c r="BD15" s="237">
        <f>1+CV15</f>
        <v/>
      </c>
      <c r="BE15" s="237" t="n">
        <v>6</v>
      </c>
      <c r="BF15" s="237" t="n">
        <v>5</v>
      </c>
      <c r="BG15" s="237" t="n">
        <v>5</v>
      </c>
      <c r="BH15" s="237" t="n">
        <v>5</v>
      </c>
      <c r="BI15" s="237" t="n">
        <v>5</v>
      </c>
      <c r="BJ15" s="237" t="n">
        <v>5</v>
      </c>
      <c r="BK15" s="237" t="n">
        <v>5</v>
      </c>
      <c r="BL15" s="237" t="n">
        <v>5</v>
      </c>
      <c r="BM15" s="237" t="n">
        <v>4</v>
      </c>
      <c r="BN15" s="237" t="n">
        <v>3</v>
      </c>
      <c r="BO15" s="237" t="n">
        <v>3</v>
      </c>
      <c r="BP15" s="237" t="n">
        <v>3</v>
      </c>
      <c r="BQ15" s="237" t="n">
        <v>2</v>
      </c>
      <c r="BR15" s="237" t="n">
        <v>2</v>
      </c>
      <c r="BS15" s="237" t="n">
        <v>1</v>
      </c>
      <c r="BT15" s="237" t="n">
        <v>1</v>
      </c>
      <c r="BU15" s="237" t="n">
        <v>1</v>
      </c>
      <c r="BV15" s="237" t="n">
        <v>1</v>
      </c>
      <c r="BW15" s="237" t="n">
        <v>1</v>
      </c>
      <c r="BX15" s="237" t="n">
        <v>1</v>
      </c>
      <c r="BY15" s="237" t="n">
        <v>0</v>
      </c>
      <c r="BZ15" s="237" t="n"/>
      <c r="CA15" s="154" t="n"/>
      <c r="CB15" s="154" t="n"/>
      <c r="CC15" s="198">
        <f>CA15+IF(NOT(ISBLANK(OFFSET(CC15,0,6))),N(OFFSET(CC15,0,6)),N(OFFSET(CC15,0,7)))-CB15</f>
        <v/>
      </c>
      <c r="CD15" s="726" t="n"/>
      <c r="CE15" s="22" t="n">
        <v>5</v>
      </c>
      <c r="CF15" s="4" t="n"/>
      <c r="CG15" s="49" t="n"/>
      <c r="CH15" s="23" t="n">
        <v>0</v>
      </c>
      <c r="CI15" s="23" t="n">
        <v>0</v>
      </c>
      <c r="CJ15" s="23" t="n">
        <v>0</v>
      </c>
      <c r="CK15" s="23" t="n"/>
      <c r="CL15" s="23" t="n"/>
      <c r="CM15" s="219" t="n">
        <v>4</v>
      </c>
      <c r="CN15" s="23" t="n"/>
      <c r="CO15" s="23" t="n"/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>
        <v>5</v>
      </c>
      <c r="CY15" s="23" t="n"/>
      <c r="CZ15" s="23" t="n"/>
      <c r="DA15" s="23" t="n"/>
      <c r="DB15" s="23" t="n"/>
      <c r="DC15" s="23" t="n"/>
      <c r="DD15" s="23" t="n"/>
      <c r="DE15" s="219" t="n">
        <v>9</v>
      </c>
      <c r="DF15" s="23" t="n"/>
      <c r="DG15" s="23" t="n"/>
      <c r="DH15" s="23" t="n"/>
      <c r="DI15" s="23" t="n"/>
      <c r="DJ15" s="23" t="n"/>
      <c r="DK15" s="23" t="n"/>
      <c r="DL15" s="437" t="inlineStr">
        <is>
          <t>100 P/ Q2</t>
        </is>
      </c>
      <c r="DM15" s="219" t="n"/>
      <c r="DN15" s="23" t="n"/>
      <c r="DO15" s="219" t="n">
        <v>200</v>
      </c>
      <c r="DP15" s="23" t="n"/>
      <c r="DQ15" s="23" t="n"/>
      <c r="DR15" s="23" t="n"/>
      <c r="DS15" s="23" t="n"/>
      <c r="DT15" s="23" t="n">
        <v>1</v>
      </c>
      <c r="DU15" s="23" t="n"/>
      <c r="DV15" s="23" t="n">
        <v>1</v>
      </c>
      <c r="DW15" s="23" t="n"/>
      <c r="DX15" s="23" t="n"/>
      <c r="DY15" s="23" t="n"/>
      <c r="DZ15" s="219" t="n"/>
      <c r="EA15" s="219" t="n"/>
      <c r="EB15" s="219" t="n">
        <v>2</v>
      </c>
      <c r="EC15" s="23" t="n"/>
      <c r="ED15" s="23" t="n"/>
      <c r="EE15" s="23" t="n"/>
      <c r="EF15" s="23" t="n"/>
      <c r="EG15" s="23" t="n"/>
      <c r="EH15" s="23" t="n">
        <v>1</v>
      </c>
      <c r="EI15" s="219" t="n"/>
      <c r="EJ15" s="219" t="n">
        <v>2</v>
      </c>
      <c r="EK15" s="23" t="n"/>
      <c r="EL15" s="23" t="n"/>
      <c r="EM15" s="23" t="n"/>
      <c r="EN15" s="23" t="n"/>
      <c r="EO15" s="219" t="n"/>
      <c r="EP15" s="23" t="n"/>
      <c r="EQ15" s="219" t="n"/>
      <c r="ER15" s="23" t="n"/>
      <c r="ES15" s="23" t="n"/>
      <c r="ET15" s="23" t="n"/>
      <c r="EU15" s="23" t="n"/>
      <c r="EV15" s="23" t="n"/>
      <c r="EW15" s="219" t="n"/>
      <c r="EX15" s="23" t="n"/>
      <c r="EY15" s="23" t="n">
        <v>1</v>
      </c>
      <c r="EZ15" s="23" t="n">
        <v>2</v>
      </c>
      <c r="FA15" s="219" t="n"/>
      <c r="FB15" s="23" t="n"/>
      <c r="FC15" s="23" t="n">
        <v>2</v>
      </c>
      <c r="FE15" s="65" t="inlineStr">
        <is>
          <t>ADESIVOS</t>
        </is>
      </c>
      <c r="FF15" s="699" t="n">
        <v>200</v>
      </c>
      <c r="FG15" s="697">
        <f>CK15</f>
        <v/>
      </c>
      <c r="FH15" s="697" t="n">
        <v>4</v>
      </c>
      <c r="FI15" s="697" t="n">
        <v>3</v>
      </c>
      <c r="FJ15" s="697" t="n">
        <v>3</v>
      </c>
      <c r="FK15" s="697" t="n">
        <v>2</v>
      </c>
      <c r="FL15" s="697" t="n">
        <v>0</v>
      </c>
      <c r="FM15" s="697" t="n"/>
      <c r="FN15" s="699" t="n"/>
      <c r="FO15" s="699" t="n"/>
      <c r="FP15" s="431">
        <f>FN15+IF(NOT(ISBLANK(OFFSET(FP15,0,6))),N(OFFSET(FP15,0,6)),N(OFFSET(FP15,0,7)))-FO15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1+EZ16</f>
        <v/>
      </c>
      <c r="G16" s="697" t="n">
        <v>4</v>
      </c>
      <c r="H16" s="697" t="n">
        <v>4</v>
      </c>
      <c r="I16" s="697" t="n">
        <v>4</v>
      </c>
      <c r="J16" s="697" t="n">
        <v>4</v>
      </c>
      <c r="K16" s="697" t="n">
        <v>4</v>
      </c>
      <c r="L16" s="697" t="n">
        <v>3</v>
      </c>
      <c r="M16" s="697" t="n">
        <v>3</v>
      </c>
      <c r="N16" s="697">
        <f>2+ES16</f>
        <v/>
      </c>
      <c r="O16" s="697" t="n">
        <v>3</v>
      </c>
      <c r="P16" s="697" t="n">
        <v>3</v>
      </c>
      <c r="Q16" s="697" t="n">
        <v>2</v>
      </c>
      <c r="R16" s="697" t="n">
        <v>1</v>
      </c>
      <c r="S16" s="697">
        <f>4+EN16</f>
        <v/>
      </c>
      <c r="T16" s="697" t="n">
        <v>4</v>
      </c>
      <c r="U16" s="697" t="n">
        <v>4</v>
      </c>
      <c r="V16" s="697" t="n">
        <v>4</v>
      </c>
      <c r="W16" s="697" t="n">
        <v>3</v>
      </c>
      <c r="X16" s="697" t="n">
        <v>2</v>
      </c>
      <c r="Y16" s="237" t="n">
        <v>7</v>
      </c>
      <c r="Z16" s="237" t="n">
        <v>6</v>
      </c>
      <c r="AA16" s="237" t="n">
        <v>6</v>
      </c>
      <c r="AB16" s="237" t="n">
        <v>5</v>
      </c>
      <c r="AC16" s="237" t="n">
        <v>4</v>
      </c>
      <c r="AD16" s="237" t="n">
        <v>2</v>
      </c>
      <c r="AE16" s="237" t="n">
        <v>6</v>
      </c>
      <c r="AF16" s="237" t="n">
        <v>6</v>
      </c>
      <c r="AG16" s="237" t="n">
        <v>4</v>
      </c>
      <c r="AH16" s="237" t="n">
        <v>4</v>
      </c>
      <c r="AI16" s="237" t="n">
        <v>3</v>
      </c>
      <c r="AJ16" s="237" t="n">
        <v>3</v>
      </c>
      <c r="AK16" s="237" t="n">
        <v>2</v>
      </c>
      <c r="AL16" s="237" t="n">
        <v>3</v>
      </c>
      <c r="AM16" s="237" t="n">
        <v>3</v>
      </c>
      <c r="AN16" s="237" t="n">
        <v>3</v>
      </c>
      <c r="AO16" s="237" t="n">
        <v>3</v>
      </c>
      <c r="AP16" s="237" t="n">
        <v>3</v>
      </c>
      <c r="AQ16" s="237" t="n">
        <v>3</v>
      </c>
      <c r="AR16" s="237" t="n">
        <v>3</v>
      </c>
      <c r="AS16" s="237">
        <f>3+DI16</f>
        <v/>
      </c>
      <c r="AT16" s="237" t="n">
        <v>3</v>
      </c>
      <c r="AU16" s="237">
        <f>3+DF16</f>
        <v/>
      </c>
      <c r="AV16" s="237" t="n">
        <v>3</v>
      </c>
      <c r="AW16" s="237" t="n">
        <v>2</v>
      </c>
      <c r="AX16" s="237" t="n">
        <v>2</v>
      </c>
      <c r="AY16" s="237" t="n">
        <v>2</v>
      </c>
      <c r="AZ16" s="237">
        <f>1+CY16</f>
        <v/>
      </c>
      <c r="BA16" s="237" t="n">
        <v>1</v>
      </c>
      <c r="BB16" s="237">
        <f>1+CX16</f>
        <v/>
      </c>
      <c r="BC16" s="237" t="n">
        <v>6</v>
      </c>
      <c r="BD16" s="237" t="n">
        <v>6</v>
      </c>
      <c r="BE16" s="237" t="n">
        <v>2</v>
      </c>
      <c r="BF16" s="237" t="n">
        <v>0</v>
      </c>
      <c r="BG16" s="237">
        <f>0+CT16</f>
        <v/>
      </c>
      <c r="BH16" s="237" t="n">
        <v>6</v>
      </c>
      <c r="BI16" s="237" t="n">
        <v>5</v>
      </c>
      <c r="BJ16" s="237">
        <f>5+CQ16</f>
        <v/>
      </c>
      <c r="BK16" s="237" t="n">
        <v>5</v>
      </c>
      <c r="BL16" s="237" t="n">
        <v>4</v>
      </c>
      <c r="BM16" s="237" t="n">
        <v>4</v>
      </c>
      <c r="BN16" s="237">
        <f>3+CN16</f>
        <v/>
      </c>
      <c r="BO16" s="237" t="n">
        <v>4</v>
      </c>
      <c r="BP16" s="237" t="n">
        <v>3</v>
      </c>
      <c r="BQ16" s="237">
        <f>3+CM16</f>
        <v/>
      </c>
      <c r="BR16" s="237" t="n">
        <v>3</v>
      </c>
      <c r="BS16" s="237">
        <f>2+CJ16</f>
        <v/>
      </c>
      <c r="BT16" s="237" t="n">
        <v>3</v>
      </c>
      <c r="BU16" s="237" t="n">
        <v>3</v>
      </c>
      <c r="BV16" s="237" t="n">
        <v>3</v>
      </c>
      <c r="BW16" s="237" t="n">
        <v>2</v>
      </c>
      <c r="BX16" s="237">
        <f>2+CH16</f>
        <v/>
      </c>
      <c r="BY16" s="237" t="n">
        <v>1</v>
      </c>
      <c r="BZ16" s="237" t="n"/>
      <c r="CA16" s="154" t="n"/>
      <c r="CB16" s="154" t="n"/>
      <c r="CC16" s="198">
        <f>CA16+IF(NOT(ISBLANK(OFFSET(CC16,0,6))),N(OFFSET(CC16,0,6)),N(OFFSET(CC16,0,7)))-CB16</f>
        <v/>
      </c>
      <c r="CD16" s="2" t="n"/>
      <c r="CE16" s="22" t="n">
        <v>4</v>
      </c>
      <c r="CF16" s="4" t="n"/>
      <c r="CG16" s="49" t="n"/>
      <c r="CH16" s="23" t="n">
        <v>0</v>
      </c>
      <c r="CI16" s="23" t="n">
        <v>0</v>
      </c>
      <c r="CJ16" s="23" t="n">
        <v>2</v>
      </c>
      <c r="CK16" s="23" t="n">
        <v>1</v>
      </c>
      <c r="CL16" s="23" t="n">
        <v>1</v>
      </c>
      <c r="CM16" s="23" t="n"/>
      <c r="CN16" s="23" t="n"/>
      <c r="CO16" s="23" t="n">
        <v>1</v>
      </c>
      <c r="CP16" s="23" t="n">
        <v>1</v>
      </c>
      <c r="CQ16" s="23" t="n"/>
      <c r="CR16" s="23" t="n"/>
      <c r="CS16" s="23" t="n">
        <v>1</v>
      </c>
      <c r="CT16" s="23" t="n"/>
      <c r="CU16" s="23" t="n">
        <v>2</v>
      </c>
      <c r="CV16" s="23" t="n">
        <v>4</v>
      </c>
      <c r="CW16" s="23" t="n"/>
      <c r="CX16" s="23" t="n"/>
      <c r="CY16" s="23" t="n"/>
      <c r="CZ16" s="23" t="n">
        <v>5</v>
      </c>
      <c r="DA16" s="23" t="n">
        <v>4</v>
      </c>
      <c r="DB16" s="23" t="n">
        <v>2</v>
      </c>
      <c r="DC16" s="23" t="n"/>
      <c r="DD16" s="23" t="n"/>
      <c r="DE16" s="219" t="n"/>
      <c r="DF16" s="23" t="n"/>
      <c r="DG16" s="23" t="n"/>
      <c r="DH16" s="23" t="n">
        <v>1</v>
      </c>
      <c r="DI16" s="23" t="n"/>
      <c r="DJ16" s="23" t="n"/>
      <c r="DK16" s="23" t="n">
        <v>1</v>
      </c>
      <c r="DL16" s="219" t="n"/>
      <c r="DM16" s="219" t="n"/>
      <c r="DN16" s="23" t="n">
        <v>1</v>
      </c>
      <c r="DO16" s="219" t="n"/>
      <c r="DP16" s="23" t="n">
        <v>1</v>
      </c>
      <c r="DQ16" s="23" t="n"/>
      <c r="DR16" s="23" t="n">
        <v>1</v>
      </c>
      <c r="DS16" s="23" t="n"/>
      <c r="DT16" s="23" t="n">
        <v>1</v>
      </c>
      <c r="DU16" s="23" t="n"/>
      <c r="DV16" s="23" t="n">
        <v>2</v>
      </c>
      <c r="DW16" s="23" t="n"/>
      <c r="DX16" s="23" t="n"/>
      <c r="DY16" s="23" t="n"/>
      <c r="DZ16" s="219" t="n"/>
      <c r="EA16" s="219" t="n"/>
      <c r="EB16" s="219" t="n"/>
      <c r="EC16" s="23" t="n"/>
      <c r="ED16" s="23" t="n"/>
      <c r="EE16" s="23" t="n">
        <v>4</v>
      </c>
      <c r="EF16" s="23" t="n"/>
      <c r="EG16" s="23" t="n"/>
      <c r="EH16" s="23" t="n"/>
      <c r="EI16" s="219" t="n"/>
      <c r="EJ16" s="219" t="n"/>
      <c r="EK16" s="23" t="n"/>
      <c r="EL16" s="23" t="n">
        <v>5</v>
      </c>
      <c r="EM16" s="23" t="n"/>
      <c r="EN16" s="23" t="n"/>
      <c r="EO16" s="219" t="n"/>
      <c r="EP16" s="23" t="n">
        <v>2</v>
      </c>
      <c r="EQ16" s="219" t="n">
        <v>3</v>
      </c>
      <c r="ER16" s="23" t="n">
        <v>3</v>
      </c>
      <c r="ES16" s="23" t="n"/>
      <c r="ET16" s="23" t="n"/>
      <c r="EU16" s="23" t="n">
        <v>1</v>
      </c>
      <c r="EV16" s="23" t="n">
        <v>1</v>
      </c>
      <c r="EW16" s="219" t="n"/>
      <c r="EX16" s="23" t="n"/>
      <c r="EY16" s="23" t="n"/>
      <c r="EZ16" s="23" t="n"/>
      <c r="FA16" s="219" t="n"/>
      <c r="FB16" s="23" t="n">
        <v>4</v>
      </c>
      <c r="FC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2+EZ17</f>
        <v/>
      </c>
      <c r="G17" s="697">
        <f>2+EX17</f>
        <v/>
      </c>
      <c r="H17" s="237">
        <f>6+EW17</f>
        <v/>
      </c>
      <c r="I17" s="237" t="n">
        <v>8</v>
      </c>
      <c r="J17" s="237" t="n">
        <v>7</v>
      </c>
      <c r="K17" s="237" t="n">
        <v>7</v>
      </c>
      <c r="L17" s="237" t="n">
        <v>7</v>
      </c>
      <c r="M17" s="237" t="n">
        <v>6</v>
      </c>
      <c r="N17" s="237">
        <f>6+ES17</f>
        <v/>
      </c>
      <c r="O17" s="237" t="n">
        <v>7</v>
      </c>
      <c r="P17" s="237">
        <f>5-2</f>
        <v/>
      </c>
      <c r="Q17" s="237" t="n">
        <v>7</v>
      </c>
      <c r="R17" s="237" t="n">
        <v>7</v>
      </c>
      <c r="S17" s="237" t="n">
        <v>7</v>
      </c>
      <c r="T17" s="237" t="n">
        <v>6</v>
      </c>
      <c r="U17" s="237" t="n">
        <v>5</v>
      </c>
      <c r="V17" s="237" t="n">
        <v>5</v>
      </c>
      <c r="W17" s="237" t="n">
        <v>4</v>
      </c>
      <c r="X17" s="237" t="n">
        <v>4</v>
      </c>
      <c r="Y17" s="237" t="n">
        <v>2</v>
      </c>
      <c r="Z17" s="237">
        <f>2+EI17</f>
        <v/>
      </c>
      <c r="AA17" s="237" t="n">
        <v>4</v>
      </c>
      <c r="AB17" s="237" t="n">
        <v>3</v>
      </c>
      <c r="AC17" s="237" t="n">
        <v>3</v>
      </c>
      <c r="AD17" s="237" t="n">
        <v>3</v>
      </c>
      <c r="AE17" s="237" t="n">
        <v>2</v>
      </c>
      <c r="AF17" s="237">
        <f>2+EB17</f>
        <v/>
      </c>
      <c r="AG17" s="237" t="n">
        <v>2</v>
      </c>
      <c r="AH17" s="237">
        <f>2+DV17</f>
        <v/>
      </c>
      <c r="AI17" s="237" t="n">
        <v>2</v>
      </c>
      <c r="AJ17" s="237" t="n">
        <v>2</v>
      </c>
      <c r="AK17" s="237" t="n">
        <v>2</v>
      </c>
      <c r="AL17" s="237" t="n">
        <v>2</v>
      </c>
      <c r="AM17" s="237" t="n">
        <v>1</v>
      </c>
      <c r="AN17" s="237" t="n">
        <v>3</v>
      </c>
      <c r="AO17" s="237" t="n">
        <v>5</v>
      </c>
      <c r="AP17" s="237" t="n">
        <v>4</v>
      </c>
      <c r="AQ17" s="237" t="n">
        <v>3</v>
      </c>
      <c r="AR17" s="237" t="n">
        <v>3</v>
      </c>
      <c r="AS17" s="237" t="n">
        <v>3</v>
      </c>
      <c r="AT17" s="237" t="n">
        <v>2</v>
      </c>
      <c r="AU17" s="237">
        <f>2+DF17</f>
        <v/>
      </c>
      <c r="AV17" s="237" t="n">
        <v>2</v>
      </c>
      <c r="AW17" s="237">
        <f>2+DB17</f>
        <v/>
      </c>
      <c r="AX17" s="237" t="n">
        <v>3</v>
      </c>
      <c r="AY17" s="237" t="n">
        <v>2</v>
      </c>
      <c r="AZ17" s="237">
        <f>2+CY17</f>
        <v/>
      </c>
      <c r="BA17" s="237" t="n">
        <v>3</v>
      </c>
      <c r="BB17" s="237">
        <f>2+CX17</f>
        <v/>
      </c>
      <c r="BC17" s="237">
        <f>3+CW17</f>
        <v/>
      </c>
      <c r="BD17" s="237">
        <f>3+CV17</f>
        <v/>
      </c>
      <c r="BE17" s="237" t="n">
        <v>4</v>
      </c>
      <c r="BF17" s="237" t="n">
        <v>3</v>
      </c>
      <c r="BG17" s="237">
        <f>2+CT17</f>
        <v/>
      </c>
      <c r="BH17" s="237" t="n">
        <v>5</v>
      </c>
      <c r="BI17" s="237" t="n">
        <v>5</v>
      </c>
      <c r="BJ17" s="237" t="n">
        <v>4</v>
      </c>
      <c r="BK17" s="237" t="n">
        <v>4</v>
      </c>
      <c r="BL17" s="237" t="n">
        <v>4</v>
      </c>
      <c r="BM17" s="237" t="n">
        <v>4</v>
      </c>
      <c r="BN17" s="237" t="n">
        <v>3</v>
      </c>
      <c r="BO17" s="237" t="n">
        <v>3</v>
      </c>
      <c r="BP17" s="237" t="n">
        <v>3</v>
      </c>
      <c r="BQ17" s="237" t="n">
        <v>2</v>
      </c>
      <c r="BR17" s="237">
        <f>1+CL17</f>
        <v/>
      </c>
      <c r="BS17" s="237" t="n">
        <v>2</v>
      </c>
      <c r="BT17" s="237" t="n">
        <v>2</v>
      </c>
      <c r="BU17" s="237" t="n">
        <v>1</v>
      </c>
      <c r="BV17" s="237" t="n">
        <v>1</v>
      </c>
      <c r="BW17" s="237" t="n">
        <v>0</v>
      </c>
      <c r="BX17" s="237">
        <f>0+CH17</f>
        <v/>
      </c>
      <c r="BY17" s="237" t="n">
        <v>2</v>
      </c>
      <c r="BZ17" s="237" t="n"/>
      <c r="CA17" s="154" t="n"/>
      <c r="CB17" s="154" t="n"/>
      <c r="CC17" s="198">
        <f>CA17+IF(NOT(ISBLANK(OFFSET(CC17,0,6))),N(OFFSET(CC17,0,6)),N(OFFSET(CC17,0,7)))-CB17</f>
        <v/>
      </c>
      <c r="CD17" s="2" t="n"/>
      <c r="CE17" s="22" t="n">
        <v>1</v>
      </c>
      <c r="CF17" s="4" t="n"/>
      <c r="CG17" s="49" t="n"/>
      <c r="CH17" s="23" t="n">
        <v>0</v>
      </c>
      <c r="CI17" s="23" t="n">
        <v>0</v>
      </c>
      <c r="CJ17" s="23" t="n">
        <v>3</v>
      </c>
      <c r="CK17" s="23" t="n"/>
      <c r="CL17" s="23" t="n"/>
      <c r="CM17" s="23" t="n"/>
      <c r="CN17" s="23" t="n">
        <v>1</v>
      </c>
      <c r="CO17" s="23" t="n"/>
      <c r="CP17" s="23" t="n"/>
      <c r="CQ17" s="23" t="n"/>
      <c r="CR17" s="23" t="n">
        <v>1</v>
      </c>
      <c r="CS17" s="23" t="n"/>
      <c r="CT17" s="23" t="n"/>
      <c r="CU17" s="23" t="n">
        <v>2</v>
      </c>
      <c r="CV17" s="23" t="n">
        <v>1</v>
      </c>
      <c r="CW17" s="23" t="n"/>
      <c r="CX17" s="23" t="n">
        <v>2</v>
      </c>
      <c r="CY17" s="23" t="n">
        <v>1</v>
      </c>
      <c r="CZ17" s="23" t="n">
        <v>2</v>
      </c>
      <c r="DA17" s="23" t="n">
        <v>2</v>
      </c>
      <c r="DB17" s="23" t="n"/>
      <c r="DC17" s="23" t="n"/>
      <c r="DD17" s="23" t="n">
        <v>1</v>
      </c>
      <c r="DE17" s="219" t="n"/>
      <c r="DF17" s="23" t="n"/>
      <c r="DG17" s="23" t="n"/>
      <c r="DH17" s="23" t="n">
        <v>1</v>
      </c>
      <c r="DI17" s="23" t="n"/>
      <c r="DJ17" s="23" t="n"/>
      <c r="DK17" s="23" t="n"/>
      <c r="DL17" s="219" t="n"/>
      <c r="DM17" s="219" t="n"/>
      <c r="DN17" s="23" t="n"/>
      <c r="DO17" s="219" t="n"/>
      <c r="DP17" s="23" t="n"/>
      <c r="DQ17" s="23" t="n"/>
      <c r="DR17" s="23" t="n">
        <v>2</v>
      </c>
      <c r="DS17" s="23" t="n">
        <v>1</v>
      </c>
      <c r="DT17" s="23" t="n">
        <v>1</v>
      </c>
      <c r="DU17" s="23" t="n"/>
      <c r="DV17" s="23" t="n">
        <v>1</v>
      </c>
      <c r="DW17" s="23" t="n"/>
      <c r="DX17" s="23" t="n">
        <v>1</v>
      </c>
      <c r="DY17" s="23" t="n"/>
      <c r="DZ17" s="219" t="n"/>
      <c r="EA17" s="219" t="n"/>
      <c r="EB17" s="219" t="n"/>
      <c r="EC17" s="23" t="n"/>
      <c r="ED17" s="23" t="n">
        <v>1</v>
      </c>
      <c r="EE17" s="23" t="n"/>
      <c r="EF17" s="23" t="n"/>
      <c r="EG17" s="23" t="n"/>
      <c r="EH17" s="23" t="n"/>
      <c r="EI17" s="219" t="n"/>
      <c r="EJ17" s="219" t="n"/>
      <c r="EK17" s="23" t="n">
        <v>2</v>
      </c>
      <c r="EL17" s="23" t="n"/>
      <c r="EM17" s="23" t="n"/>
      <c r="EN17" s="23" t="n"/>
      <c r="EO17" s="219" t="n"/>
      <c r="EP17" s="23" t="n"/>
      <c r="EQ17" s="219" t="n"/>
      <c r="ER17" s="23" t="n"/>
      <c r="ES17" s="23" t="n">
        <v>4</v>
      </c>
      <c r="ET17" s="282" t="inlineStr">
        <is>
          <t>02 P/ BSH</t>
        </is>
      </c>
      <c r="EU17" s="23" t="n">
        <v>1</v>
      </c>
      <c r="EV17" s="23" t="n"/>
      <c r="EW17" s="219" t="n"/>
      <c r="EX17" s="23" t="n"/>
      <c r="EY17" s="23" t="n">
        <v>2</v>
      </c>
      <c r="EZ17" s="23" t="n">
        <v>3</v>
      </c>
      <c r="FA17" s="219" t="n"/>
      <c r="FB17" s="23" t="n">
        <v>1</v>
      </c>
      <c r="FC17" s="23" t="n">
        <v>2</v>
      </c>
    </row>
    <row r="18" customFormat="1" s="3">
      <c r="A18" s="35" t="n"/>
      <c r="C18" s="763" t="n"/>
      <c r="D18" s="450" t="n"/>
      <c r="CE18" s="48" t="n"/>
      <c r="CG18" s="61" t="n"/>
      <c r="CM18" s="250" t="n"/>
      <c r="DL18" s="372" t="n"/>
      <c r="DM18" s="372" t="n"/>
      <c r="DO18" s="372" t="n"/>
      <c r="DZ18" s="250" t="n"/>
      <c r="EA18" s="250" t="n"/>
      <c r="EB18" s="250" t="n"/>
      <c r="EI18" s="372" t="n"/>
      <c r="EJ18" s="372" t="n"/>
      <c r="EO18" s="19" t="n"/>
      <c r="EQ18" s="19" t="n"/>
      <c r="EW18" s="250" t="n"/>
      <c r="FA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46161.48023508102</v>
      </c>
      <c r="CB19" s="747" t="n">
        <v>46161.4808940537</v>
      </c>
      <c r="CC19" s="748" t="inlineStr">
        <is>
          <t>USOU</t>
        </is>
      </c>
      <c r="CD19" s="2" t="n"/>
      <c r="CE19" s="44" t="inlineStr">
        <is>
          <t>Pendências</t>
        </is>
      </c>
      <c r="CF19" s="5" t="n"/>
      <c r="CG19" s="12" t="inlineStr">
        <is>
          <t>Novo Pedido</t>
        </is>
      </c>
      <c r="CH19" s="761" t="n">
        <v>46161.48089327314</v>
      </c>
      <c r="CI19" s="734" t="n">
        <v>46156</v>
      </c>
      <c r="CJ19" s="734" t="n">
        <v>46142</v>
      </c>
      <c r="CK19" s="734" t="n">
        <v>46114</v>
      </c>
      <c r="CL19" s="734" t="n">
        <v>46107</v>
      </c>
      <c r="CM19" s="735" t="n">
        <v>46065</v>
      </c>
      <c r="CN19" s="734" t="n">
        <v>46099</v>
      </c>
      <c r="CO19" s="734" t="n">
        <v>46092</v>
      </c>
      <c r="CP19" s="734" t="n">
        <v>46071</v>
      </c>
      <c r="CQ19" s="736" t="n">
        <v>46067</v>
      </c>
      <c r="CR19" s="734" t="n">
        <v>46048</v>
      </c>
      <c r="CS19" s="734" t="n">
        <v>46043</v>
      </c>
      <c r="CT19" s="734" t="n">
        <v>46029</v>
      </c>
      <c r="CU19" s="734" t="n">
        <v>46024</v>
      </c>
      <c r="CV19" s="734" t="n">
        <v>46017</v>
      </c>
      <c r="CW19" s="734" t="n">
        <v>46007</v>
      </c>
      <c r="CX19" s="734" t="n">
        <v>46001</v>
      </c>
      <c r="CY19" s="734" t="n">
        <v>45994</v>
      </c>
      <c r="CZ19" s="734" t="n">
        <v>45986</v>
      </c>
      <c r="DA19" s="734" t="n">
        <v>45973</v>
      </c>
      <c r="DB19" s="734" t="n">
        <v>45960</v>
      </c>
      <c r="DC19" s="736" t="n">
        <v>45962</v>
      </c>
      <c r="DD19" s="734" t="n">
        <v>45951</v>
      </c>
      <c r="DE19" s="737" t="n">
        <v>45903</v>
      </c>
      <c r="DF19" s="736" t="n">
        <v>45955</v>
      </c>
      <c r="DG19" s="736" t="n">
        <v>45945</v>
      </c>
      <c r="DH19" s="734" t="n">
        <v>45937</v>
      </c>
      <c r="DI19" s="734" t="n">
        <v>45931</v>
      </c>
      <c r="DJ19" s="734" t="n">
        <v>45923</v>
      </c>
      <c r="DK19" s="734" t="n">
        <v>45923</v>
      </c>
      <c r="DL19" s="754" t="n">
        <v>45925</v>
      </c>
      <c r="DM19" s="754" t="n">
        <v>45923</v>
      </c>
      <c r="DN19" s="734" t="n">
        <v>45915</v>
      </c>
      <c r="DO19" s="738" t="n">
        <v>45863</v>
      </c>
      <c r="DP19" s="734" t="n">
        <v>45909</v>
      </c>
      <c r="DQ19" s="736" t="n">
        <v>45902</v>
      </c>
      <c r="DR19" s="734" t="n">
        <v>45895</v>
      </c>
      <c r="DS19" s="734" t="n">
        <v>45888</v>
      </c>
      <c r="DT19" s="734" t="n">
        <v>45881</v>
      </c>
      <c r="DU19" s="739" t="n">
        <v>45880</v>
      </c>
      <c r="DV19" s="734" t="n">
        <v>45874</v>
      </c>
      <c r="DW19" s="734" t="n">
        <v>45853</v>
      </c>
      <c r="DX19" s="734" t="n">
        <v>45848</v>
      </c>
      <c r="DY19" s="736" t="n">
        <v>45852</v>
      </c>
      <c r="DZ19" s="739" t="n">
        <v>45852</v>
      </c>
      <c r="EA19" s="739" t="n">
        <v>45847</v>
      </c>
      <c r="EB19" s="739" t="n">
        <v>45791</v>
      </c>
      <c r="EC19" s="734" t="n">
        <v>45839</v>
      </c>
      <c r="ED19" s="734" t="n">
        <v>45832</v>
      </c>
      <c r="EE19" s="734" t="n">
        <v>45825</v>
      </c>
      <c r="EF19" s="736" t="n">
        <v>45820</v>
      </c>
      <c r="EG19" s="736" t="n">
        <v>45806</v>
      </c>
      <c r="EH19" s="734" t="n">
        <v>45798</v>
      </c>
      <c r="EI19" s="755" t="n">
        <v>45798</v>
      </c>
      <c r="EJ19" s="742" t="n">
        <v>45735</v>
      </c>
      <c r="EK19" s="734" t="n">
        <v>45790</v>
      </c>
      <c r="EL19" s="734" t="n">
        <v>45783</v>
      </c>
      <c r="EM19" s="734" t="n">
        <v>45756</v>
      </c>
      <c r="EN19" s="734" t="n">
        <v>45749</v>
      </c>
      <c r="EO19" s="740" t="n">
        <v>45750</v>
      </c>
      <c r="EP19" s="734" t="n">
        <v>45743</v>
      </c>
      <c r="EQ19" s="740" t="n">
        <v>45700</v>
      </c>
      <c r="ER19" s="734" t="n">
        <v>45734</v>
      </c>
      <c r="ES19" s="734" t="n">
        <v>45728</v>
      </c>
      <c r="ET19" s="736" t="n">
        <v>45724</v>
      </c>
      <c r="EU19" s="734" t="n">
        <v>45706</v>
      </c>
      <c r="EV19" s="734" t="n">
        <v>45699</v>
      </c>
      <c r="EW19" s="744" t="n">
        <v>45698</v>
      </c>
      <c r="EX19" s="734" t="n">
        <v>45674</v>
      </c>
      <c r="EY19" s="734" t="n">
        <v>45664</v>
      </c>
      <c r="EZ19" s="734" t="n">
        <v>45660</v>
      </c>
      <c r="FA19" s="744" t="n">
        <v>45663</v>
      </c>
      <c r="FB19" s="734" t="n">
        <v>45652</v>
      </c>
      <c r="FC19" s="734" t="n">
        <v>45643</v>
      </c>
      <c r="FE19" s="304" t="inlineStr">
        <is>
          <t>CAIXAS</t>
        </is>
      </c>
      <c r="FF19" s="235" t="inlineStr">
        <is>
          <t>PCT</t>
        </is>
      </c>
      <c r="FG19" s="746" t="n">
        <v>46118</v>
      </c>
      <c r="FH19" s="746" t="n">
        <v>46125</v>
      </c>
      <c r="FI19" s="746" t="n">
        <v>46132</v>
      </c>
      <c r="FJ19" s="746" t="n">
        <v>46139</v>
      </c>
      <c r="FK19" s="746" t="n">
        <v>46146</v>
      </c>
      <c r="FL19" s="746" t="n">
        <v>46154</v>
      </c>
      <c r="FM19" s="746" t="n">
        <v>46160</v>
      </c>
      <c r="FN19" s="747" t="n">
        <v>46161.48023465278</v>
      </c>
      <c r="FO19" s="747" t="n">
        <v>46161.48089361326</v>
      </c>
      <c r="FP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170</v>
      </c>
      <c r="G20" s="697" t="n">
        <v>170</v>
      </c>
      <c r="H20" s="697" t="n">
        <v>172</v>
      </c>
      <c r="I20" s="697" t="n">
        <v>172</v>
      </c>
      <c r="J20" s="697" t="n">
        <v>172</v>
      </c>
      <c r="K20" s="697" t="n">
        <v>172</v>
      </c>
      <c r="L20" s="697" t="n">
        <v>170</v>
      </c>
      <c r="M20" s="697" t="n">
        <v>170</v>
      </c>
      <c r="N20" s="697" t="n">
        <v>163</v>
      </c>
      <c r="O20" s="697" t="n">
        <v>159</v>
      </c>
      <c r="P20" s="697" t="n">
        <v>158</v>
      </c>
      <c r="Q20" s="697" t="n">
        <v>157</v>
      </c>
      <c r="R20" s="314" t="n">
        <v>161</v>
      </c>
      <c r="S20" s="697" t="n">
        <v>146</v>
      </c>
      <c r="T20" s="697" t="n">
        <v>126</v>
      </c>
      <c r="U20" s="697" t="n">
        <v>107</v>
      </c>
      <c r="V20" s="697" t="n">
        <v>98</v>
      </c>
      <c r="W20" s="697" t="n">
        <v>97</v>
      </c>
      <c r="X20" s="697" t="n">
        <v>95</v>
      </c>
      <c r="Y20" s="697" t="n">
        <v>93</v>
      </c>
      <c r="Z20" s="697" t="n">
        <v>93</v>
      </c>
      <c r="AA20" s="697" t="n">
        <v>93</v>
      </c>
      <c r="AB20" s="697" t="n">
        <v>92</v>
      </c>
      <c r="AC20" s="697" t="n">
        <v>91</v>
      </c>
      <c r="AD20" s="697" t="n">
        <v>87</v>
      </c>
      <c r="AE20" s="697" t="n">
        <v>228</v>
      </c>
      <c r="AF20" s="697" t="n">
        <v>247</v>
      </c>
      <c r="AG20" s="697" t="n">
        <v>233</v>
      </c>
      <c r="AH20" s="697" t="n">
        <v>212</v>
      </c>
      <c r="AI20" s="697" t="n">
        <v>168</v>
      </c>
      <c r="AJ20" s="697" t="n">
        <v>153</v>
      </c>
      <c r="AK20" s="697" t="n">
        <v>148</v>
      </c>
      <c r="AL20" s="697" t="n">
        <v>98</v>
      </c>
      <c r="AM20" s="697" t="n">
        <v>85</v>
      </c>
      <c r="AN20" s="697" t="n">
        <v>220</v>
      </c>
      <c r="AO20" s="697" t="n">
        <v>203</v>
      </c>
      <c r="AP20" s="697" t="n">
        <v>177</v>
      </c>
      <c r="AQ20" s="697" t="n">
        <v>154</v>
      </c>
      <c r="AR20" s="697" t="n">
        <v>150</v>
      </c>
      <c r="AS20" s="697" t="n">
        <v>133</v>
      </c>
      <c r="AT20" s="697" t="n">
        <v>113</v>
      </c>
      <c r="AU20" s="697" t="n">
        <v>73</v>
      </c>
      <c r="AV20" s="697" t="n">
        <v>59</v>
      </c>
      <c r="AW20" s="697">
        <f>9+DB20</f>
        <v/>
      </c>
      <c r="AX20" s="697" t="n">
        <v>138</v>
      </c>
      <c r="AY20" s="697" t="n">
        <v>123</v>
      </c>
      <c r="AZ20" s="697" t="n">
        <v>24</v>
      </c>
      <c r="BA20" s="697" t="n">
        <v>22</v>
      </c>
      <c r="BB20" s="697" t="n">
        <v>21</v>
      </c>
      <c r="BC20" s="697" t="n">
        <v>20</v>
      </c>
      <c r="BD20" s="697">
        <f>19+CV20</f>
        <v/>
      </c>
      <c r="BE20" s="697" t="n">
        <v>321</v>
      </c>
      <c r="BF20" s="697" t="n">
        <v>312</v>
      </c>
      <c r="BG20" s="697" t="n">
        <v>302</v>
      </c>
      <c r="BH20" s="697" t="n">
        <v>298</v>
      </c>
      <c r="BI20" s="697" t="n">
        <v>299</v>
      </c>
      <c r="BJ20" s="697" t="n">
        <v>299</v>
      </c>
      <c r="BK20" s="697" t="n">
        <v>298</v>
      </c>
      <c r="BL20" s="697" t="n">
        <v>278</v>
      </c>
      <c r="BM20" s="697" t="n">
        <v>270</v>
      </c>
      <c r="BN20" s="697" t="n">
        <v>263</v>
      </c>
      <c r="BO20" s="697" t="n">
        <v>260</v>
      </c>
      <c r="BP20" s="697" t="n">
        <v>235</v>
      </c>
      <c r="BQ20" s="697" t="n">
        <v>211</v>
      </c>
      <c r="BR20" s="697" t="n">
        <v>180</v>
      </c>
      <c r="BS20" s="697" t="n">
        <v>168</v>
      </c>
      <c r="BT20" s="697" t="n"/>
      <c r="BU20" s="697" t="n"/>
      <c r="BV20" s="697" t="n"/>
      <c r="BW20" s="697" t="n">
        <v>150</v>
      </c>
      <c r="BX20" s="697" t="n">
        <v>150</v>
      </c>
      <c r="BY20" s="697" t="n">
        <v>149</v>
      </c>
      <c r="BZ20" s="697" t="n">
        <v>149</v>
      </c>
      <c r="CA20" s="699" t="n">
        <v>149</v>
      </c>
      <c r="CB20" s="699" t="n">
        <v>149</v>
      </c>
      <c r="CC20" s="192">
        <f>CA20+IF(NOT(ISBLANK(OFFSET(CC20,0,6))),N(OFFSET(CC20,0,6)),N(OFFSET(CC20,0,7)))-CB20</f>
        <v/>
      </c>
      <c r="CD20" s="2" t="n"/>
      <c r="CE20" s="22" t="n"/>
      <c r="CF20" s="4" t="n"/>
      <c r="CG20" s="49" t="n"/>
      <c r="CH20" s="23" t="n">
        <v>0</v>
      </c>
      <c r="CI20" s="23" t="n">
        <v>0</v>
      </c>
      <c r="CJ20" s="23" t="n">
        <v>0</v>
      </c>
      <c r="CK20" s="23" t="n"/>
      <c r="CL20" s="23" t="n"/>
      <c r="CM20" s="219" t="n">
        <v>150</v>
      </c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>
        <v>150</v>
      </c>
      <c r="CY20" s="23" t="n"/>
      <c r="CZ20" s="23" t="n"/>
      <c r="DA20" s="23" t="n"/>
      <c r="DB20" s="23" t="n"/>
      <c r="DC20" s="23" t="n"/>
      <c r="DD20" s="23" t="n">
        <v>150</v>
      </c>
      <c r="DE20" s="219" t="n">
        <v>150</v>
      </c>
      <c r="DF20" s="23" t="n"/>
      <c r="DG20" s="23" t="n"/>
      <c r="DH20" s="23" t="n"/>
      <c r="DI20" s="23" t="n"/>
      <c r="DJ20" s="23" t="n"/>
      <c r="DK20" s="23" t="n"/>
      <c r="DL20" s="219" t="n"/>
      <c r="DM20" s="219" t="n"/>
      <c r="DN20" s="23" t="n"/>
      <c r="DO20" s="219" t="n"/>
      <c r="DP20" s="23" t="n"/>
      <c r="DQ20" s="23" t="n"/>
      <c r="DR20" s="23" t="n"/>
      <c r="DS20" s="23" t="n"/>
      <c r="DT20" s="23" t="n">
        <v>150</v>
      </c>
      <c r="DU20" s="23" t="n"/>
      <c r="DV20" s="23" t="n"/>
      <c r="DW20" s="23" t="n"/>
      <c r="DX20" s="23" t="n"/>
      <c r="DY20" s="23" t="n"/>
      <c r="DZ20" s="219" t="n"/>
      <c r="EA20" s="219" t="n"/>
      <c r="EB20" s="219" t="n"/>
      <c r="EC20" s="23" t="n"/>
      <c r="ED20" s="23" t="n"/>
      <c r="EE20" s="23" t="n">
        <v>150</v>
      </c>
      <c r="EF20" s="23" t="n"/>
      <c r="EG20" s="23" t="n"/>
      <c r="EH20" s="23" t="n"/>
      <c r="EI20" s="219" t="n"/>
      <c r="EJ20" s="219" t="n"/>
      <c r="EK20" s="23" t="n"/>
      <c r="EL20" s="23" t="n"/>
      <c r="EM20" s="23" t="n"/>
      <c r="EN20" s="23" t="n"/>
      <c r="EO20" s="292" t="inlineStr">
        <is>
          <t>100 DE SHN</t>
        </is>
      </c>
      <c r="EP20" s="23" t="n"/>
      <c r="EQ20" s="219" t="n"/>
      <c r="ER20" s="23" t="n"/>
      <c r="ES20" s="23" t="n"/>
      <c r="ET20" s="23" t="n"/>
      <c r="EU20" s="23" t="n"/>
      <c r="EV20" s="23" t="n"/>
      <c r="EW20" s="219" t="n"/>
      <c r="EX20" s="23" t="n"/>
      <c r="EY20" s="23" t="n"/>
      <c r="EZ20" s="23" t="n"/>
      <c r="FA20" s="219" t="n"/>
      <c r="FB20" s="23" t="n"/>
      <c r="FC20" s="23" t="n"/>
      <c r="FE20" s="300" t="inlineStr">
        <is>
          <t>CAIXA P</t>
        </is>
      </c>
      <c r="FF20" s="162" t="n">
        <v>150</v>
      </c>
      <c r="FG20" s="697">
        <f>CK20</f>
        <v/>
      </c>
      <c r="FH20" s="697" t="n"/>
      <c r="FI20" s="697" t="n"/>
      <c r="FJ20" s="697" t="n">
        <v>96</v>
      </c>
      <c r="FK20" s="697" t="n">
        <v>90</v>
      </c>
      <c r="FL20" s="697" t="n">
        <v>83</v>
      </c>
      <c r="FM20" s="697" t="n">
        <v>69</v>
      </c>
      <c r="FN20" s="699" t="n"/>
      <c r="FO20" s="699" t="n"/>
      <c r="FP20" s="431">
        <f>FN20+IF(NOT(ISBLANK(OFFSET(FP20,0,6))),N(OFFSET(FP20,0,6)),N(OFFSET(FP20,0,7)))-FO20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102</v>
      </c>
      <c r="G21" s="697" t="n">
        <v>102</v>
      </c>
      <c r="H21" s="697" t="n">
        <v>102</v>
      </c>
      <c r="I21" s="697" t="n">
        <v>96</v>
      </c>
      <c r="J21" s="697" t="n">
        <v>96</v>
      </c>
      <c r="K21" s="697" t="n">
        <v>95</v>
      </c>
      <c r="L21" s="697" t="n">
        <v>93</v>
      </c>
      <c r="M21" s="697" t="n">
        <v>182</v>
      </c>
      <c r="N21" s="697">
        <f>164+ES21</f>
        <v/>
      </c>
      <c r="O21" s="697" t="n">
        <v>241</v>
      </c>
      <c r="P21" s="697" t="n">
        <v>180</v>
      </c>
      <c r="Q21" s="697" t="n">
        <v>228</v>
      </c>
      <c r="R21" s="697" t="n">
        <v>188</v>
      </c>
      <c r="S21" s="697" t="n">
        <v>135</v>
      </c>
      <c r="T21" s="697">
        <f>89+EL21</f>
        <v/>
      </c>
      <c r="U21" s="697" t="n">
        <v>152</v>
      </c>
      <c r="V21" s="697" t="n">
        <v>152</v>
      </c>
      <c r="W21" s="697" t="n">
        <v>151</v>
      </c>
      <c r="X21" s="697" t="n">
        <v>144</v>
      </c>
      <c r="Y21" s="697" t="n">
        <v>100</v>
      </c>
      <c r="Z21" s="697" t="n">
        <v>51</v>
      </c>
      <c r="AA21" s="697">
        <f>26+EF21</f>
        <v/>
      </c>
      <c r="AB21" s="697" t="n">
        <v>118</v>
      </c>
      <c r="AC21" s="697">
        <f>103+50</f>
        <v/>
      </c>
      <c r="AD21" s="697" t="n">
        <v>52</v>
      </c>
      <c r="AE21" s="697" t="n">
        <v>129</v>
      </c>
      <c r="AF21" s="697" t="n">
        <v>192</v>
      </c>
      <c r="AG21" s="697" t="n">
        <v>149</v>
      </c>
      <c r="AH21" s="697" t="n">
        <v>99</v>
      </c>
      <c r="AI21" s="697" t="n">
        <v>161</v>
      </c>
      <c r="AJ21" s="697" t="n">
        <v>130</v>
      </c>
      <c r="AK21" s="697" t="n">
        <v>107</v>
      </c>
      <c r="AL21" s="697" t="n">
        <v>36</v>
      </c>
      <c r="AM21" s="697" t="n">
        <v>24</v>
      </c>
      <c r="AN21" s="697" t="n">
        <v>98</v>
      </c>
      <c r="AO21" s="697">
        <f>49+DP21</f>
        <v/>
      </c>
      <c r="AP21" s="697" t="n">
        <v>88</v>
      </c>
      <c r="AQ21" s="697" t="n">
        <v>128</v>
      </c>
      <c r="AR21" s="697" t="n">
        <v>196</v>
      </c>
      <c r="AS21" s="697" t="n">
        <v>134</v>
      </c>
      <c r="AT21" s="697" t="n">
        <v>92</v>
      </c>
      <c r="AU21" s="697">
        <f>31+DF21+30</f>
        <v/>
      </c>
      <c r="AV21" s="697" t="n">
        <v>89</v>
      </c>
      <c r="AW21" s="697">
        <f>38+50</f>
        <v/>
      </c>
      <c r="AX21" s="697" t="n">
        <v>122</v>
      </c>
      <c r="AY21" s="697" t="n">
        <v>185</v>
      </c>
      <c r="AZ21" s="697" t="n">
        <v>173</v>
      </c>
      <c r="BA21" s="697" t="n">
        <v>171</v>
      </c>
      <c r="BB21" s="697" t="n">
        <v>167</v>
      </c>
      <c r="BC21" s="697" t="n">
        <v>167</v>
      </c>
      <c r="BD21" s="697" t="n">
        <v>166</v>
      </c>
      <c r="BE21" s="697" t="n">
        <v>164</v>
      </c>
      <c r="BF21" s="697" t="n">
        <v>124</v>
      </c>
      <c r="BG21" s="697" t="n">
        <v>99</v>
      </c>
      <c r="BH21" s="697">
        <f>111+CR21</f>
        <v/>
      </c>
      <c r="BI21" s="697" t="n">
        <v>203</v>
      </c>
      <c r="BJ21" s="697" t="n">
        <v>184</v>
      </c>
      <c r="BK21" s="697" t="n">
        <v>172</v>
      </c>
      <c r="BL21" s="697" t="n">
        <v>158</v>
      </c>
      <c r="BM21" s="697" t="n">
        <v>154</v>
      </c>
      <c r="BN21" s="697" t="n">
        <v>150</v>
      </c>
      <c r="BO21" s="697" t="n">
        <v>139</v>
      </c>
      <c r="BP21" s="697" t="n">
        <v>106</v>
      </c>
      <c r="BQ21" s="697">
        <f>102+CM21</f>
        <v/>
      </c>
      <c r="BR21" s="314" t="n">
        <v>214</v>
      </c>
      <c r="BS21" s="697" t="n">
        <v>208</v>
      </c>
      <c r="BT21" s="697" t="n"/>
      <c r="BU21" s="697" t="n"/>
      <c r="BV21" s="697" t="n"/>
      <c r="BW21" s="697" t="n">
        <v>198</v>
      </c>
      <c r="BX21" s="697" t="n">
        <v>198</v>
      </c>
      <c r="BY21" s="697" t="n">
        <v>193</v>
      </c>
      <c r="BZ21" s="697" t="n">
        <v>190</v>
      </c>
      <c r="CA21" s="699" t="n">
        <v>190</v>
      </c>
      <c r="CB21" s="699" t="n">
        <v>190</v>
      </c>
      <c r="CC21" s="192">
        <f>CA21+IF(NOT(ISBLANK(OFFSET(CC21,0,6))),N(OFFSET(CC21,0,6)),N(OFFSET(CC21,0,7)))-CB21</f>
        <v/>
      </c>
      <c r="CD21" s="2" t="n"/>
      <c r="CE21" s="22" t="n"/>
      <c r="CF21" s="4" t="n"/>
      <c r="CG21" s="49" t="n"/>
      <c r="CH21" s="23" t="n">
        <v>0</v>
      </c>
      <c r="CI21" s="23" t="n">
        <v>0</v>
      </c>
      <c r="CJ21" s="23" t="n">
        <v>0</v>
      </c>
      <c r="CK21" s="23" t="n"/>
      <c r="CL21" s="23" t="n"/>
      <c r="CM21" s="219" t="n">
        <v>200</v>
      </c>
      <c r="CN21" s="23" t="n"/>
      <c r="CO21" s="23" t="n">
        <v>100</v>
      </c>
      <c r="CP21" s="23" t="n"/>
      <c r="CQ21" s="23" t="n"/>
      <c r="CR21" s="23" t="n"/>
      <c r="CS21" s="23" t="n"/>
      <c r="CT21" s="23" t="n">
        <v>100</v>
      </c>
      <c r="CU21" s="23" t="n"/>
      <c r="CV21" s="23" t="n"/>
      <c r="CW21" s="23" t="n"/>
      <c r="CX21" s="23" t="n"/>
      <c r="CY21" s="23" t="n"/>
      <c r="CZ21" s="23" t="n"/>
      <c r="DA21" s="23" t="n"/>
      <c r="DB21" s="23" t="n">
        <v>100</v>
      </c>
      <c r="DC21" s="192" t="inlineStr">
        <is>
          <t>50 DE Q2</t>
        </is>
      </c>
      <c r="DD21" s="23" t="n"/>
      <c r="DE21" s="219" t="n">
        <v>400</v>
      </c>
      <c r="DF21" s="23" t="n"/>
      <c r="DG21" s="192" t="inlineStr">
        <is>
          <t>30 DE Q2</t>
        </is>
      </c>
      <c r="DH21" s="23" t="n">
        <v>100</v>
      </c>
      <c r="DI21" s="23" t="n"/>
      <c r="DJ21" s="23" t="n"/>
      <c r="DK21" s="23" t="n"/>
      <c r="DL21" s="219" t="n"/>
      <c r="DM21" s="437" t="inlineStr">
        <is>
          <t>15 DE SHN</t>
        </is>
      </c>
      <c r="DN21" s="23" t="n">
        <v>100</v>
      </c>
      <c r="DO21" s="219" t="n"/>
      <c r="DP21" s="23" t="n">
        <v>100</v>
      </c>
      <c r="DQ21" s="23" t="n"/>
      <c r="DR21" s="23" t="n">
        <v>100</v>
      </c>
      <c r="DS21" s="23" t="n"/>
      <c r="DT21" s="23" t="n">
        <v>100</v>
      </c>
      <c r="DU21" s="419" t="inlineStr">
        <is>
          <t>14 P/ SHN</t>
        </is>
      </c>
      <c r="DV21" s="23" t="n"/>
      <c r="DW21" s="23" t="n">
        <v>100</v>
      </c>
      <c r="DX21" s="23" t="n"/>
      <c r="DY21" s="23" t="n"/>
      <c r="DZ21" s="219" t="n"/>
      <c r="EA21" s="292" t="inlineStr">
        <is>
          <t>30 P/ Q2</t>
        </is>
      </c>
      <c r="EB21" s="219" t="n">
        <v>100</v>
      </c>
      <c r="EC21" s="23" t="n"/>
      <c r="ED21" s="23" t="n">
        <v>100</v>
      </c>
      <c r="EE21" s="23" t="n">
        <v>100</v>
      </c>
      <c r="EF21" s="282" t="inlineStr">
        <is>
          <t>50 DE GV</t>
        </is>
      </c>
      <c r="EG21" s="23" t="n"/>
      <c r="EH21" s="23" t="n">
        <v>100</v>
      </c>
      <c r="EI21" s="376" t="inlineStr">
        <is>
          <t>30 P/ Q2</t>
        </is>
      </c>
      <c r="EJ21" s="219" t="n">
        <v>100</v>
      </c>
      <c r="EK21" s="23" t="n"/>
      <c r="EL21" s="23" t="n"/>
      <c r="EM21" s="23" t="n"/>
      <c r="EN21" s="23" t="n">
        <v>100</v>
      </c>
      <c r="EO21" s="219" t="n"/>
      <c r="EP21" s="23" t="n"/>
      <c r="EQ21" s="219" t="n">
        <v>200</v>
      </c>
      <c r="ER21" s="23" t="n"/>
      <c r="ES21" s="23" t="n">
        <v>100</v>
      </c>
      <c r="ET21" s="23" t="n"/>
      <c r="EU21" s="23" t="n">
        <v>100</v>
      </c>
      <c r="EV21" s="23" t="n">
        <v>100</v>
      </c>
      <c r="EW21" s="260" t="inlineStr">
        <is>
          <t>14 P/ BSH</t>
        </is>
      </c>
      <c r="EX21" s="23" t="n"/>
      <c r="EY21" s="23" t="n"/>
      <c r="EZ21" s="23" t="n"/>
      <c r="FA21" s="260" t="inlineStr">
        <is>
          <t>20 P/ SHN</t>
        </is>
      </c>
      <c r="FB21" s="23" t="n"/>
      <c r="FC21" s="23" t="n"/>
      <c r="FE21" s="65" t="inlineStr">
        <is>
          <t>CAIXA M</t>
        </is>
      </c>
      <c r="FF21" s="699" t="n">
        <v>100</v>
      </c>
      <c r="FG21" s="697">
        <f>CK21</f>
        <v/>
      </c>
      <c r="FH21" s="697" t="n"/>
      <c r="FI21" s="697" t="n"/>
      <c r="FJ21" s="697" t="n">
        <v>126</v>
      </c>
      <c r="FK21" s="697" t="n">
        <v>117</v>
      </c>
      <c r="FL21" s="697" t="n">
        <v>53</v>
      </c>
      <c r="FM21" s="697" t="n">
        <v>49</v>
      </c>
      <c r="FN21" s="699" t="n"/>
      <c r="FO21" s="699" t="n"/>
      <c r="FP21" s="431">
        <f>FN21+IF(NOT(ISBLANK(OFFSET(FP21,0,6))),N(OFFSET(FP21,0,6)),N(OFFSET(FP21,0,7)))-FO21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16</v>
      </c>
      <c r="G22" s="697" t="n">
        <v>16</v>
      </c>
      <c r="H22" s="697" t="n">
        <v>16</v>
      </c>
      <c r="I22" s="697" t="n">
        <v>16</v>
      </c>
      <c r="J22" s="697" t="n">
        <v>16</v>
      </c>
      <c r="K22" s="697" t="n">
        <v>16</v>
      </c>
      <c r="L22" s="697" t="n">
        <v>17</v>
      </c>
      <c r="M22" s="697" t="n">
        <v>17</v>
      </c>
      <c r="N22" s="697" t="n">
        <v>17</v>
      </c>
      <c r="O22" s="697" t="n">
        <v>17</v>
      </c>
      <c r="P22" s="697" t="n">
        <v>16</v>
      </c>
      <c r="Q22" s="697" t="n">
        <v>16</v>
      </c>
      <c r="R22" s="697" t="n">
        <v>16</v>
      </c>
      <c r="S22" s="697" t="n">
        <v>16</v>
      </c>
      <c r="T22" s="697" t="n">
        <v>16</v>
      </c>
      <c r="U22" s="697" t="n">
        <v>16</v>
      </c>
      <c r="V22" s="697" t="n">
        <v>16</v>
      </c>
      <c r="W22" s="697" t="n">
        <v>16</v>
      </c>
      <c r="X22" s="697" t="n">
        <v>16</v>
      </c>
      <c r="Y22" s="697" t="n">
        <v>16</v>
      </c>
      <c r="Z22" s="697" t="n">
        <v>14</v>
      </c>
      <c r="AA22" s="697" t="n">
        <v>14</v>
      </c>
      <c r="AB22" s="697" t="n">
        <v>14</v>
      </c>
      <c r="AC22" s="697" t="n">
        <v>12</v>
      </c>
      <c r="AD22" s="697" t="n">
        <v>12</v>
      </c>
      <c r="AE22" s="697" t="n">
        <v>12</v>
      </c>
      <c r="AF22" s="697" t="n">
        <v>12</v>
      </c>
      <c r="AG22" s="697" t="n">
        <v>12</v>
      </c>
      <c r="AH22" s="697" t="n">
        <v>12</v>
      </c>
      <c r="AI22" s="697" t="n">
        <v>12</v>
      </c>
      <c r="AJ22" s="697" t="n">
        <v>12</v>
      </c>
      <c r="AK22" s="697" t="n">
        <v>12</v>
      </c>
      <c r="AL22" s="697" t="n">
        <v>12</v>
      </c>
      <c r="AM22" s="697" t="n">
        <v>12</v>
      </c>
      <c r="AN22" s="697">
        <f>12+DQ22</f>
        <v/>
      </c>
      <c r="AO22" s="697">
        <f>87-20</f>
        <v/>
      </c>
      <c r="AP22" s="697" t="n">
        <v>64</v>
      </c>
      <c r="AQ22" s="697" t="n">
        <v>63</v>
      </c>
      <c r="AR22" s="697" t="n">
        <v>63</v>
      </c>
      <c r="AS22" s="697" t="n">
        <v>63</v>
      </c>
      <c r="AT22" s="697" t="n">
        <v>63</v>
      </c>
      <c r="AU22" s="697" t="n">
        <v>63</v>
      </c>
      <c r="AV22" s="697" t="n">
        <v>63</v>
      </c>
      <c r="AW22" s="697" t="n">
        <v>60</v>
      </c>
      <c r="AX22" s="697" t="n">
        <v>60</v>
      </c>
      <c r="AY22" s="697" t="n">
        <v>59</v>
      </c>
      <c r="AZ22" s="697" t="n">
        <v>59</v>
      </c>
      <c r="BA22" s="697" t="n">
        <v>59</v>
      </c>
      <c r="BB22" s="697" t="n">
        <v>54</v>
      </c>
      <c r="BC22" s="697" t="n">
        <v>54</v>
      </c>
      <c r="BD22" s="697" t="n">
        <v>54</v>
      </c>
      <c r="BE22" s="697" t="n">
        <v>52</v>
      </c>
      <c r="BF22" s="697" t="n">
        <v>48</v>
      </c>
      <c r="BG22" s="697" t="n">
        <v>48</v>
      </c>
      <c r="BH22" s="697" t="n">
        <v>48</v>
      </c>
      <c r="BI22" s="697" t="n">
        <v>48</v>
      </c>
      <c r="BJ22" s="697" t="n">
        <v>49</v>
      </c>
      <c r="BK22" s="697" t="n">
        <v>49</v>
      </c>
      <c r="BL22" s="697" t="n">
        <v>49</v>
      </c>
      <c r="BM22" s="697" t="n">
        <v>49</v>
      </c>
      <c r="BN22" s="697" t="n">
        <v>49</v>
      </c>
      <c r="BO22" s="697" t="n">
        <v>49</v>
      </c>
      <c r="BP22" s="697" t="n">
        <v>49</v>
      </c>
      <c r="BQ22" s="697" t="n">
        <v>49</v>
      </c>
      <c r="BR22" s="697" t="n">
        <v>49</v>
      </c>
      <c r="BS22" s="697" t="n">
        <v>49</v>
      </c>
      <c r="BT22" s="697" t="n">
        <v>49</v>
      </c>
      <c r="BU22" s="697" t="n">
        <v>49</v>
      </c>
      <c r="BV22" s="697" t="n">
        <v>49</v>
      </c>
      <c r="BW22" s="697" t="n">
        <v>49</v>
      </c>
      <c r="BX22" s="697" t="n">
        <v>49</v>
      </c>
      <c r="BY22" s="697" t="n">
        <v>46</v>
      </c>
      <c r="BZ22" s="697" t="n">
        <v>46</v>
      </c>
      <c r="CA22" s="699" t="n">
        <v>46</v>
      </c>
      <c r="CB22" s="699" t="n">
        <v>46</v>
      </c>
      <c r="CC22" s="192">
        <f>CA22+IF(NOT(ISBLANK(OFFSET(CC22,0,6))),N(OFFSET(CC22,0,6)),N(OFFSET(CC22,0,7)))-CB22</f>
        <v/>
      </c>
      <c r="CD22" s="726" t="n"/>
      <c r="CE22" s="22" t="n"/>
      <c r="CF22" s="4" t="n"/>
      <c r="CG22" s="49" t="n"/>
      <c r="CH22" s="23" t="n">
        <v>0</v>
      </c>
      <c r="CI22" s="23" t="n">
        <v>0</v>
      </c>
      <c r="CJ22" s="23" t="n">
        <v>0</v>
      </c>
      <c r="CK22" s="23" t="n"/>
      <c r="CL22" s="23" t="n"/>
      <c r="CM22" s="219" t="n">
        <v>200</v>
      </c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443" t="n">
        <v>400</v>
      </c>
      <c r="DF22" s="23" t="n"/>
      <c r="DG22" s="23" t="n"/>
      <c r="DH22" s="23" t="n"/>
      <c r="DI22" s="23" t="n"/>
      <c r="DJ22" s="23" t="n"/>
      <c r="DK22" s="23" t="n"/>
      <c r="DL22" s="219" t="n"/>
      <c r="DM22" s="219" t="n"/>
      <c r="DN22" s="23" t="n"/>
      <c r="DO22" s="219" t="n"/>
      <c r="DP22" s="23" t="n"/>
      <c r="DQ22" s="192" t="inlineStr">
        <is>
          <t>20 P/ GV</t>
        </is>
      </c>
      <c r="DR22" s="23" t="n"/>
      <c r="DS22" s="23" t="n">
        <v>75</v>
      </c>
      <c r="DT22" s="23" t="n"/>
      <c r="DU22" s="23" t="n"/>
      <c r="DV22" s="23" t="n"/>
      <c r="DW22" s="23" t="n"/>
      <c r="DX22" s="23" t="n"/>
      <c r="DY22" s="23" t="n"/>
      <c r="DZ22" s="219" t="n"/>
      <c r="EA22" s="219" t="n"/>
      <c r="EB22" s="219" t="n">
        <v>150</v>
      </c>
      <c r="EC22" s="23" t="n"/>
      <c r="ED22" s="23" t="n"/>
      <c r="EE22" s="23" t="n"/>
      <c r="EF22" s="23" t="n"/>
      <c r="EG22" s="23" t="n"/>
      <c r="EH22" s="23" t="n"/>
      <c r="EI22" s="376" t="inlineStr">
        <is>
          <t>50 P/ Q2</t>
        </is>
      </c>
      <c r="EJ22" s="219" t="n">
        <v>100</v>
      </c>
      <c r="EK22" s="23" t="n"/>
      <c r="EL22" s="23" t="n"/>
      <c r="EM22" s="23" t="n"/>
      <c r="EN22" s="23" t="n"/>
      <c r="EO22" s="219" t="n"/>
      <c r="EP22" s="23" t="n"/>
      <c r="EQ22" s="219" t="n"/>
      <c r="ER22" s="23" t="n"/>
      <c r="ES22" s="23" t="n"/>
      <c r="ET22" s="23" t="n"/>
      <c r="EU22" s="23" t="n"/>
      <c r="EV22" s="23" t="n"/>
      <c r="EW22" s="219" t="n"/>
      <c r="EX22" s="23" t="n"/>
      <c r="EY22" s="23" t="n"/>
      <c r="EZ22" s="23" t="n"/>
      <c r="FA22" s="219" t="n"/>
      <c r="FB22" s="23" t="n"/>
      <c r="FC22" s="23" t="n"/>
      <c r="FE22" s="66" t="inlineStr">
        <is>
          <t>CARTUCHO P</t>
        </is>
      </c>
      <c r="FF22" s="699" t="n">
        <v>200</v>
      </c>
      <c r="FG22" s="697">
        <f>CK22</f>
        <v/>
      </c>
      <c r="FH22" s="697" t="n"/>
      <c r="FI22" s="697" t="n"/>
      <c r="FJ22" s="697" t="n">
        <v>94</v>
      </c>
      <c r="FK22" s="697" t="n">
        <v>85</v>
      </c>
      <c r="FL22" s="697" t="n">
        <v>16</v>
      </c>
      <c r="FM22" s="697" t="n">
        <v>14</v>
      </c>
      <c r="FN22" s="699" t="n"/>
      <c r="FO22" s="699" t="n"/>
      <c r="FP22" s="431">
        <f>FN22+IF(NOT(ISBLANK(OFFSET(FP22,0,6))),N(OFFSET(FP22,0,6)),N(OFFSET(FP22,0,7)))-FO22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/>
      <c r="BJ23" s="697" t="n">
        <v>0</v>
      </c>
      <c r="BK23" s="697" t="n">
        <v>0</v>
      </c>
      <c r="BL23" s="697">
        <f>127-50</f>
        <v/>
      </c>
      <c r="BM23" s="697" t="n">
        <v>72</v>
      </c>
      <c r="BN23" s="697">
        <f>62+CN23</f>
        <v/>
      </c>
      <c r="BO23" s="697" t="n">
        <v>208</v>
      </c>
      <c r="BP23" s="697" t="n">
        <v>190</v>
      </c>
      <c r="BQ23" s="697" t="n">
        <v>170</v>
      </c>
      <c r="BR23" s="697" t="n">
        <v>149</v>
      </c>
      <c r="BS23" s="697" t="n">
        <v>142</v>
      </c>
      <c r="BT23" s="697" t="n"/>
      <c r="BU23" s="697" t="n"/>
      <c r="BV23" s="697" t="n"/>
      <c r="BW23" s="697" t="n">
        <v>100</v>
      </c>
      <c r="BX23" s="697" t="n">
        <v>98</v>
      </c>
      <c r="BY23" s="697" t="n">
        <v>73</v>
      </c>
      <c r="BZ23" s="697" t="n">
        <v>57</v>
      </c>
      <c r="CA23" s="699" t="n">
        <v>57</v>
      </c>
      <c r="CB23" s="699" t="n">
        <v>57</v>
      </c>
      <c r="CC23" s="192">
        <f>CA23+IF(NOT(ISBLANK(OFFSET(CC23,0,6))),N(OFFSET(CC23,0,6)),N(OFFSET(CC23,0,7)))-CB23</f>
        <v/>
      </c>
      <c r="CE23" s="22" t="n"/>
      <c r="CG23" s="49" t="n"/>
      <c r="CH23" s="757" t="n">
        <v>0</v>
      </c>
      <c r="CI23" s="23" t="n">
        <v>0</v>
      </c>
      <c r="CJ23" s="23" t="n">
        <v>0</v>
      </c>
      <c r="CK23" s="23" t="n"/>
      <c r="CL23" s="23" t="n"/>
      <c r="CM23" s="219" t="n">
        <v>150</v>
      </c>
      <c r="CN23" s="23" t="n"/>
      <c r="CO23" s="23" t="n"/>
      <c r="CP23" s="23" t="n">
        <v>150</v>
      </c>
      <c r="CQ23" s="192" t="inlineStr">
        <is>
          <t>50 P/ MD</t>
        </is>
      </c>
      <c r="CR23" s="23" t="n">
        <v>150</v>
      </c>
      <c r="CS23" s="23" t="n"/>
      <c r="CT23" s="23" t="n"/>
      <c r="CU23" s="23" t="n"/>
      <c r="CV23" s="23" t="n"/>
      <c r="CW23" s="23" t="n"/>
      <c r="CX23" s="23" t="n"/>
      <c r="DE23" s="326" t="n"/>
      <c r="DL23" s="5" t="n"/>
      <c r="DM23" s="5" t="n"/>
      <c r="DO23" s="5" t="n"/>
      <c r="DZ23" s="219" t="n">
        <v>25</v>
      </c>
      <c r="EA23" s="5" t="n"/>
      <c r="EB23" s="5" t="n"/>
      <c r="EI23" s="5" t="n"/>
      <c r="EJ23" s="5" t="n"/>
      <c r="EQ23" s="326" t="n">
        <v>200</v>
      </c>
      <c r="FE23" s="66" t="inlineStr">
        <is>
          <t>CARTUCHO M</t>
        </is>
      </c>
      <c r="FF23" s="699" t="n">
        <v>150</v>
      </c>
      <c r="FG23" s="697">
        <f>CK23</f>
        <v/>
      </c>
      <c r="FH23" s="697" t="n"/>
      <c r="FI23" s="697" t="n"/>
      <c r="FJ23" s="697" t="n">
        <v>142</v>
      </c>
      <c r="FK23" s="697" t="n">
        <v>123</v>
      </c>
      <c r="FL23" s="697" t="n">
        <v>15</v>
      </c>
      <c r="FM23" s="697" t="n">
        <v>12</v>
      </c>
      <c r="FN23" s="699" t="n"/>
      <c r="FO23" s="699" t="n"/>
      <c r="FP23" s="431">
        <f>FN23+IF(NOT(ISBLANK(OFFSET(FP23,0,6))),N(OFFSET(FP23,0,6)),N(OFFSET(FP23,0,7)))-FO23</f>
        <v/>
      </c>
    </row>
    <row r="24">
      <c r="CC24" s="4" t="n"/>
      <c r="CE24" t="inlineStr">
        <is>
          <t> </t>
        </is>
      </c>
      <c r="CM24" s="5" t="n"/>
      <c r="DE24" s="327" t="n"/>
      <c r="DL24" s="5" t="n"/>
      <c r="DM24" s="5" t="n"/>
      <c r="DO24" s="5" t="n"/>
      <c r="DZ24" s="219" t="n"/>
      <c r="EA24" s="5" t="n"/>
      <c r="EB24" s="5" t="n"/>
      <c r="EI24" s="5" t="n"/>
      <c r="EJ24" s="5" t="n"/>
      <c r="EQ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46161.48023508102</v>
      </c>
      <c r="CB25" s="747" t="n">
        <v>46161.48089405392</v>
      </c>
      <c r="CC25" s="758" t="inlineStr">
        <is>
          <t>USOU</t>
        </is>
      </c>
      <c r="CM25" s="5" t="n"/>
      <c r="DE25" s="5" t="n"/>
      <c r="DL25" s="5" t="n"/>
      <c r="DM25" s="5" t="n"/>
      <c r="DO25" s="5" t="n"/>
      <c r="DZ25" s="219" t="n">
        <v>25</v>
      </c>
      <c r="EA25" s="5" t="n"/>
      <c r="EB25" s="5" t="n"/>
      <c r="EI25" s="5" t="n"/>
      <c r="EJ25" s="5" t="n"/>
      <c r="EQ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4</v>
      </c>
      <c r="G26" s="697" t="n">
        <v>4</v>
      </c>
      <c r="H26" s="697" t="n">
        <v>4</v>
      </c>
      <c r="I26" s="697" t="n">
        <v>4</v>
      </c>
      <c r="J26" s="697" t="n">
        <v>4</v>
      </c>
      <c r="K26" s="697" t="n">
        <v>4</v>
      </c>
      <c r="L26" s="697" t="n">
        <v>4</v>
      </c>
      <c r="M26" s="697" t="n">
        <v>2</v>
      </c>
      <c r="N26" s="697" t="n">
        <v>2</v>
      </c>
      <c r="O26" s="697" t="n">
        <v>2</v>
      </c>
      <c r="P26" s="697" t="n">
        <v>2</v>
      </c>
      <c r="Q26" s="697" t="n">
        <v>2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192">
        <f>CA26+IF(NOT(ISBLANK(OFFSET(CC26,0,6))),N(OFFSET(CC26,0,6)),N(OFFSET(CC26,0,7)))-CB26</f>
        <v/>
      </c>
      <c r="CM26" s="5" t="n"/>
      <c r="DE26" s="5" t="n"/>
      <c r="DL26" s="5" t="n"/>
      <c r="DM26" s="5" t="n"/>
      <c r="DO26" s="5" t="n"/>
      <c r="DZ26" s="219" t="n">
        <v>25</v>
      </c>
      <c r="EA26" s="5" t="n"/>
      <c r="EB26" s="5" t="n"/>
      <c r="EI26" s="5" t="n"/>
      <c r="EJ26" s="5" t="n"/>
      <c r="EO26" s="327" t="n"/>
      <c r="EQ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213</v>
      </c>
      <c r="G27" s="697" t="n">
        <v>213</v>
      </c>
      <c r="H27" s="697" t="n">
        <v>213</v>
      </c>
      <c r="I27" s="697" t="n">
        <v>212</v>
      </c>
      <c r="J27" s="697" t="n">
        <v>212</v>
      </c>
      <c r="K27" s="697" t="n">
        <v>212</v>
      </c>
      <c r="L27" s="697" t="n">
        <v>212</v>
      </c>
      <c r="M27" s="697" t="n">
        <v>209</v>
      </c>
      <c r="N27" s="697" t="n">
        <v>209</v>
      </c>
      <c r="O27" s="697" t="n">
        <v>209</v>
      </c>
      <c r="P27" s="697" t="n">
        <v>209</v>
      </c>
      <c r="Q27" s="697" t="n">
        <v>204</v>
      </c>
      <c r="R27" s="697" t="n">
        <v>204</v>
      </c>
      <c r="S27" s="697" t="n">
        <v>204</v>
      </c>
      <c r="T27" s="697" t="n">
        <v>204</v>
      </c>
      <c r="U27" s="697" t="n">
        <v>204</v>
      </c>
      <c r="V27" s="697" t="n">
        <v>204</v>
      </c>
      <c r="W27" s="697" t="n">
        <v>204</v>
      </c>
      <c r="X27" s="697" t="n">
        <v>204</v>
      </c>
      <c r="Y27" s="697" t="n">
        <v>204</v>
      </c>
      <c r="Z27" s="697" t="n">
        <v>202</v>
      </c>
      <c r="AA27" s="697" t="n">
        <v>202</v>
      </c>
      <c r="AB27" s="697" t="n">
        <v>202</v>
      </c>
      <c r="AC27" s="697" t="n">
        <v>202</v>
      </c>
      <c r="AD27" s="697" t="n">
        <v>202</v>
      </c>
      <c r="AE27" s="697" t="n">
        <v>202</v>
      </c>
      <c r="AF27" s="697" t="n">
        <v>203</v>
      </c>
      <c r="AG27" s="697" t="n">
        <v>203</v>
      </c>
      <c r="AH27" s="697" t="n">
        <v>203</v>
      </c>
      <c r="AI27" s="697" t="n">
        <v>203</v>
      </c>
      <c r="AJ27" s="697" t="n">
        <v>203</v>
      </c>
      <c r="AK27" s="697" t="n">
        <v>203</v>
      </c>
      <c r="AL27" s="697" t="n">
        <v>203</v>
      </c>
      <c r="AM27" s="697" t="n">
        <v>203</v>
      </c>
      <c r="AN27" s="697" t="n">
        <v>203</v>
      </c>
      <c r="AO27" s="697" t="n">
        <v>203</v>
      </c>
      <c r="AP27" s="697" t="n">
        <v>203</v>
      </c>
      <c r="AQ27" s="697" t="n">
        <v>203</v>
      </c>
      <c r="AR27" s="697" t="n">
        <v>203</v>
      </c>
      <c r="AS27" s="697" t="n">
        <v>203</v>
      </c>
      <c r="AT27" s="697" t="n">
        <v>203</v>
      </c>
      <c r="AU27" s="697" t="n">
        <v>180</v>
      </c>
      <c r="AV27" s="697" t="n">
        <v>180</v>
      </c>
      <c r="AW27" s="697" t="n">
        <v>178</v>
      </c>
      <c r="AX27" s="697" t="n">
        <v>178</v>
      </c>
      <c r="AY27" s="697" t="n">
        <v>178</v>
      </c>
      <c r="AZ27" s="697" t="n">
        <v>178</v>
      </c>
      <c r="BA27" s="697" t="n">
        <v>179</v>
      </c>
      <c r="BB27" s="697" t="n">
        <v>179</v>
      </c>
      <c r="BC27" s="697" t="n">
        <v>179</v>
      </c>
      <c r="BD27" s="697" t="n">
        <v>179</v>
      </c>
      <c r="BE27" s="697" t="n">
        <v>173</v>
      </c>
      <c r="BF27" s="697" t="n">
        <v>173</v>
      </c>
      <c r="BG27" s="697" t="n">
        <v>173</v>
      </c>
      <c r="BH27" s="697" t="n">
        <v>160</v>
      </c>
      <c r="BI27" s="697" t="n">
        <v>154</v>
      </c>
      <c r="BJ27" s="697" t="n">
        <v>171</v>
      </c>
      <c r="BK27" s="697" t="n">
        <v>171</v>
      </c>
      <c r="BL27" s="697" t="n">
        <v>171</v>
      </c>
      <c r="BM27" s="697" t="n">
        <v>171</v>
      </c>
      <c r="BN27" s="697" t="n">
        <v>171</v>
      </c>
      <c r="BO27" s="697" t="n">
        <v>171</v>
      </c>
      <c r="BP27" s="697" t="n">
        <v>171</v>
      </c>
      <c r="BQ27" s="697" t="n">
        <v>171</v>
      </c>
      <c r="BR27" s="697" t="n">
        <v>171</v>
      </c>
      <c r="BS27" s="697" t="n">
        <v>171</v>
      </c>
      <c r="BT27" s="697" t="n">
        <v>171</v>
      </c>
      <c r="BU27" s="697" t="n">
        <v>171</v>
      </c>
      <c r="BV27" s="697" t="n">
        <v>171</v>
      </c>
      <c r="BW27" s="697" t="n">
        <v>171</v>
      </c>
      <c r="BX27" s="697" t="n">
        <v>171</v>
      </c>
      <c r="BY27" s="697" t="n">
        <v>170</v>
      </c>
      <c r="BZ27" s="697" t="n">
        <v>170</v>
      </c>
      <c r="CA27" s="699" t="n">
        <v>170</v>
      </c>
      <c r="CB27" s="699" t="n">
        <v>170</v>
      </c>
      <c r="CC27" s="192">
        <f>CA27+IF(NOT(ISBLANK(OFFSET(CC27,0,6))),N(OFFSET(CC27,0,6)),N(OFFSET(CC27,0,7)))-CB27</f>
        <v/>
      </c>
      <c r="CM27" s="5" t="n"/>
      <c r="DE27" s="5" t="n"/>
      <c r="DL27" s="5" t="n"/>
      <c r="DM27" s="5" t="n"/>
      <c r="DO27" s="5" t="n"/>
      <c r="DZ27" s="5" t="n"/>
      <c r="EA27" s="5" t="n"/>
      <c r="EB27" s="5" t="n"/>
      <c r="EI27" s="5" t="n"/>
      <c r="EJ27" s="5" t="n"/>
      <c r="EO27" s="327" t="n"/>
      <c r="EQ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99</v>
      </c>
      <c r="G28" s="699" t="n">
        <v>88</v>
      </c>
      <c r="H28" s="697" t="n">
        <v>88</v>
      </c>
      <c r="I28" s="697" t="n">
        <v>88</v>
      </c>
      <c r="J28" s="697" t="n">
        <v>87</v>
      </c>
      <c r="K28" s="697" t="n">
        <v>84</v>
      </c>
      <c r="L28" s="697" t="n">
        <v>76</v>
      </c>
      <c r="M28" s="697" t="n">
        <v>77</v>
      </c>
      <c r="N28" s="697" t="n">
        <v>77</v>
      </c>
      <c r="O28" s="697" t="n">
        <v>68</v>
      </c>
      <c r="P28" s="697" t="n">
        <v>42</v>
      </c>
      <c r="Q28" s="697" t="n">
        <v>25</v>
      </c>
      <c r="R28" s="697" t="n">
        <v>4</v>
      </c>
      <c r="S28" s="697" t="n">
        <v>3</v>
      </c>
      <c r="T28" s="697" t="n">
        <v>2</v>
      </c>
      <c r="U28" s="697" t="n">
        <v>1</v>
      </c>
      <c r="V28" s="697" t="n">
        <v>2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192">
        <f>CA28+IF(NOT(ISBLANK(OFFSET(CC28,0,6))),N(OFFSET(CC28,0,6)),N(OFFSET(CC28,0,7)))-CB28</f>
        <v/>
      </c>
      <c r="CM28" s="5" t="n"/>
      <c r="DE28" s="5" t="n"/>
      <c r="DL28" s="5" t="n"/>
      <c r="DM28" s="5" t="n"/>
      <c r="DO28" s="5" t="n"/>
      <c r="DZ28" s="5" t="n"/>
      <c r="EA28" s="5" t="n"/>
      <c r="EB28" s="5" t="n"/>
      <c r="EI28" s="5" t="n"/>
      <c r="EJ28" s="5" t="n"/>
      <c r="EO28" s="327" t="n"/>
      <c r="EQ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206</v>
      </c>
      <c r="G29" s="699" t="n">
        <v>164</v>
      </c>
      <c r="H29" s="697" t="n">
        <v>141</v>
      </c>
      <c r="I29" s="697" t="n">
        <v>121</v>
      </c>
      <c r="J29" s="697" t="n">
        <v>97</v>
      </c>
      <c r="K29" s="697">
        <f>69-14</f>
        <v/>
      </c>
      <c r="L29" s="697" t="n">
        <v>32</v>
      </c>
      <c r="M29" s="697" t="n">
        <v>22</v>
      </c>
      <c r="N29" s="697" t="n">
        <v>12</v>
      </c>
      <c r="O29" s="697" t="n">
        <v>4</v>
      </c>
      <c r="P29" s="697" t="n">
        <v>0</v>
      </c>
      <c r="Q29" s="697" t="n">
        <v>0</v>
      </c>
      <c r="R29" s="697" t="n">
        <v>1</v>
      </c>
      <c r="S29" s="697" t="n">
        <v>1</v>
      </c>
      <c r="T29" s="697" t="n">
        <v>1</v>
      </c>
      <c r="U29" s="697" t="n">
        <v>1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1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192">
        <f>CA29+IF(NOT(ISBLANK(OFFSET(CC29,0,6))),N(OFFSET(CC29,0,6)),N(OFFSET(CC29,0,7)))-CB29</f>
        <v/>
      </c>
      <c r="CM29" s="5" t="n"/>
      <c r="DE29" s="5" t="n"/>
      <c r="DL29" s="5" t="n"/>
      <c r="DM29" s="5" t="n"/>
      <c r="DO29" s="5" t="n"/>
      <c r="DZ29" s="5" t="n"/>
      <c r="EA29" s="5" t="n"/>
      <c r="EB29" s="5" t="n"/>
      <c r="EI29" s="5" t="n"/>
      <c r="EJ29" s="5" t="n"/>
      <c r="EO29" s="327" t="n"/>
      <c r="EQ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>
        <v>0</v>
      </c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192">
        <f>CA30+IF(NOT(ISBLANK(OFFSET(CC30,0,6))),N(OFFSET(CC30,0,6)),N(OFFSET(CC30,0,7)))-CB30</f>
        <v/>
      </c>
      <c r="CM30" s="5" t="n"/>
      <c r="DE30" s="5" t="n"/>
      <c r="DZ30" s="5" t="n"/>
      <c r="EA30" s="5" t="n"/>
      <c r="EB30" s="5" t="n"/>
      <c r="EO30" s="327" t="n"/>
      <c r="EQ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2</v>
      </c>
      <c r="H31" s="697" t="n">
        <v>2</v>
      </c>
      <c r="I31" s="697" t="n">
        <v>2</v>
      </c>
      <c r="J31" s="697" t="n">
        <v>2</v>
      </c>
      <c r="K31" s="697" t="n">
        <v>2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192">
        <f>CA31+IF(NOT(ISBLANK(OFFSET(CC31,0,6))),N(OFFSET(CC31,0,6)),N(OFFSET(CC31,0,7)))-CB31</f>
        <v/>
      </c>
      <c r="CM31" s="5" t="n"/>
      <c r="DE31" s="5" t="n"/>
      <c r="DZ31" s="5" t="n"/>
      <c r="EA31" s="5" t="n"/>
      <c r="EB31" s="5" t="n"/>
      <c r="EO31" s="327" t="n"/>
      <c r="EQ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13</v>
      </c>
      <c r="G32" s="699" t="n">
        <v>12</v>
      </c>
      <c r="H32" s="697" t="n">
        <v>9</v>
      </c>
      <c r="I32" s="697" t="n">
        <v>4</v>
      </c>
      <c r="J32" s="697" t="n">
        <v>4</v>
      </c>
      <c r="K32" s="697" t="n">
        <v>4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192">
        <f>CA32+IF(NOT(ISBLANK(OFFSET(CC32,0,6))),N(OFFSET(CC32,0,6)),N(OFFSET(CC32,0,7)))-CB32</f>
        <v/>
      </c>
      <c r="CM32" s="5" t="n"/>
      <c r="DE32" s="5" t="n"/>
      <c r="DZ32" s="5" t="n"/>
      <c r="EA32" s="5" t="n"/>
      <c r="EB32" s="5" t="n"/>
      <c r="EO32" s="327" t="n"/>
      <c r="EQ32" s="327" t="n"/>
    </row>
    <row r="33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105</v>
      </c>
      <c r="G33" s="699" t="n">
        <v>105</v>
      </c>
      <c r="H33" s="697" t="n">
        <v>105</v>
      </c>
      <c r="I33" s="697" t="n">
        <v>105</v>
      </c>
      <c r="J33" s="697" t="n">
        <v>105</v>
      </c>
      <c r="K33" s="697" t="n">
        <v>105</v>
      </c>
      <c r="L33" s="697" t="n">
        <v>105</v>
      </c>
      <c r="M33" s="697" t="n">
        <v>105</v>
      </c>
      <c r="N33" s="697" t="n">
        <v>105</v>
      </c>
      <c r="O33" s="697" t="n">
        <v>105</v>
      </c>
      <c r="P33" s="697" t="n">
        <v>105</v>
      </c>
      <c r="Q33" s="697" t="n">
        <v>105</v>
      </c>
      <c r="R33" s="697" t="n">
        <v>105</v>
      </c>
      <c r="S33" s="697" t="n">
        <v>105</v>
      </c>
      <c r="T33" s="697" t="n">
        <v>105</v>
      </c>
      <c r="U33" s="697" t="n">
        <v>105</v>
      </c>
      <c r="V33" s="697" t="n">
        <v>66</v>
      </c>
      <c r="W33" s="697" t="n">
        <v>66</v>
      </c>
      <c r="X33" s="697" t="n">
        <v>66</v>
      </c>
      <c r="Y33" s="697" t="n">
        <v>66</v>
      </c>
      <c r="Z33" s="697" t="n">
        <v>66</v>
      </c>
      <c r="AA33" s="697" t="n">
        <v>66</v>
      </c>
      <c r="AB33" s="697" t="n">
        <v>66</v>
      </c>
      <c r="AC33" s="697" t="n">
        <v>66</v>
      </c>
      <c r="AD33" s="697" t="n">
        <v>66</v>
      </c>
      <c r="AE33" s="697" t="n">
        <v>66</v>
      </c>
      <c r="AF33" s="697" t="n">
        <v>66</v>
      </c>
      <c r="AG33" s="697" t="n">
        <v>66</v>
      </c>
      <c r="AH33" s="697" t="n">
        <v>66</v>
      </c>
      <c r="AI33" s="697" t="n">
        <v>66</v>
      </c>
      <c r="AJ33" s="697" t="n">
        <v>66</v>
      </c>
      <c r="AK33" s="697" t="n">
        <v>66</v>
      </c>
      <c r="AL33" s="697" t="n">
        <v>66</v>
      </c>
      <c r="AM33" s="697" t="n">
        <v>66</v>
      </c>
      <c r="AN33" s="697" t="n">
        <v>66</v>
      </c>
      <c r="AO33" s="697" t="n">
        <v>66</v>
      </c>
      <c r="AP33" s="697" t="n">
        <v>66</v>
      </c>
      <c r="AQ33" s="697" t="n">
        <v>66</v>
      </c>
      <c r="AR33" s="697" t="n">
        <v>66</v>
      </c>
      <c r="AS33" s="697" t="n">
        <v>66</v>
      </c>
      <c r="AT33" s="697" t="n">
        <v>66</v>
      </c>
      <c r="AU33" s="697" t="n">
        <v>66</v>
      </c>
      <c r="AV33" s="697" t="n">
        <v>66</v>
      </c>
      <c r="AW33" s="697" t="n">
        <v>66</v>
      </c>
      <c r="AX33" s="697" t="n">
        <v>66</v>
      </c>
      <c r="AY33" s="697" t="n">
        <v>66</v>
      </c>
      <c r="AZ33" s="314" t="n">
        <v>78</v>
      </c>
      <c r="BA33" s="314" t="n">
        <v>78</v>
      </c>
      <c r="BB33" s="697" t="n">
        <v>63</v>
      </c>
      <c r="BC33" s="697" t="n">
        <v>63</v>
      </c>
      <c r="BD33" s="697" t="n">
        <v>10</v>
      </c>
      <c r="BE33" s="697" t="n">
        <v>10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697" t="n">
        <v>8</v>
      </c>
      <c r="CA33" s="699" t="n">
        <v>8</v>
      </c>
      <c r="CB33" s="699" t="n">
        <v>8</v>
      </c>
      <c r="CC33" s="192">
        <f>CA33+IF(NOT(ISBLANK(OFFSET(CC33,0,6))),N(OFFSET(CC33,0,6)),N(OFFSET(CC33,0,7)))-CB33</f>
        <v/>
      </c>
      <c r="CM33" s="5" t="n"/>
      <c r="DE33" s="5" t="n"/>
      <c r="DZ33" s="5" t="n"/>
      <c r="EA33" s="5" t="n"/>
      <c r="EB33" s="5" t="n"/>
      <c r="EO33" s="327" t="n"/>
      <c r="EQ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51</v>
      </c>
      <c r="G34" s="699" t="n">
        <v>51</v>
      </c>
      <c r="H34" s="697" t="n">
        <v>51</v>
      </c>
      <c r="I34" s="697" t="n">
        <v>51</v>
      </c>
      <c r="J34" s="697" t="n">
        <v>51</v>
      </c>
      <c r="K34" s="697" t="n">
        <v>51</v>
      </c>
      <c r="L34" s="697" t="n">
        <v>51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51</v>
      </c>
      <c r="S34" s="697" t="n">
        <v>51</v>
      </c>
      <c r="T34" s="697" t="n">
        <v>51</v>
      </c>
      <c r="U34" s="697" t="n">
        <v>51</v>
      </c>
      <c r="V34" s="697" t="n">
        <v>120</v>
      </c>
      <c r="W34" s="697" t="n">
        <v>120</v>
      </c>
      <c r="X34" s="697" t="n">
        <v>120</v>
      </c>
      <c r="Y34" s="697" t="n">
        <v>120</v>
      </c>
      <c r="Z34" s="697" t="n">
        <v>120</v>
      </c>
      <c r="AA34" s="697" t="n">
        <v>120</v>
      </c>
      <c r="AB34" s="697" t="n">
        <v>120</v>
      </c>
      <c r="AC34" s="697" t="n">
        <v>120</v>
      </c>
      <c r="AD34" s="697" t="n">
        <v>120</v>
      </c>
      <c r="AE34" s="697" t="n">
        <v>120</v>
      </c>
      <c r="AF34" s="697" t="n">
        <v>120</v>
      </c>
      <c r="AG34" s="697" t="n">
        <v>120</v>
      </c>
      <c r="AH34" s="697" t="n">
        <v>120</v>
      </c>
      <c r="AI34" s="697" t="n">
        <v>120</v>
      </c>
      <c r="AJ34" s="697" t="n">
        <v>120</v>
      </c>
      <c r="AK34" s="697" t="n">
        <v>120</v>
      </c>
      <c r="AL34" s="697" t="n">
        <v>120</v>
      </c>
      <c r="AM34" s="697" t="n">
        <v>120</v>
      </c>
      <c r="AN34" s="697" t="n">
        <v>120</v>
      </c>
      <c r="AO34" s="697" t="n">
        <v>120</v>
      </c>
      <c r="AP34" s="697" t="n">
        <v>120</v>
      </c>
      <c r="AQ34" s="697" t="n">
        <v>120</v>
      </c>
      <c r="AR34" s="697" t="n">
        <v>120</v>
      </c>
      <c r="AS34" s="697" t="n">
        <v>120</v>
      </c>
      <c r="AT34" s="697" t="n">
        <v>120</v>
      </c>
      <c r="AU34" s="697" t="n">
        <v>120</v>
      </c>
      <c r="AV34" s="697" t="n">
        <v>120</v>
      </c>
      <c r="AW34" s="697" t="n">
        <v>120</v>
      </c>
      <c r="AX34" s="697" t="n">
        <v>120</v>
      </c>
      <c r="AY34" s="697" t="n">
        <v>120</v>
      </c>
      <c r="AZ34" s="314" t="n">
        <v>5</v>
      </c>
      <c r="BA34" s="314" t="n">
        <v>5</v>
      </c>
      <c r="BB34" s="697" t="n">
        <v>5</v>
      </c>
      <c r="BC34" s="697" t="n">
        <v>5</v>
      </c>
      <c r="BD34" s="697" t="n">
        <v>5</v>
      </c>
      <c r="BE34" s="697" t="n">
        <v>5</v>
      </c>
      <c r="BF34" s="697" t="n">
        <v>5</v>
      </c>
      <c r="BG34" s="697" t="n">
        <v>5</v>
      </c>
      <c r="BH34" s="697" t="n">
        <v>5</v>
      </c>
      <c r="BI34" s="697" t="n">
        <v>6</v>
      </c>
      <c r="BJ34" s="697" t="n">
        <v>6</v>
      </c>
      <c r="BK34" s="697" t="n">
        <v>6</v>
      </c>
      <c r="BL34" s="697" t="n">
        <v>6</v>
      </c>
      <c r="BM34" s="697" t="n">
        <v>6</v>
      </c>
      <c r="BN34" s="697" t="n">
        <v>6</v>
      </c>
      <c r="BO34" s="697" t="n">
        <v>6</v>
      </c>
      <c r="BP34" s="697" t="n">
        <v>6</v>
      </c>
      <c r="BQ34" s="697" t="n">
        <v>6</v>
      </c>
      <c r="BR34" s="697" t="n">
        <v>6</v>
      </c>
      <c r="BS34" s="697" t="n">
        <v>6</v>
      </c>
      <c r="BT34" s="697" t="n">
        <v>6</v>
      </c>
      <c r="BU34" s="697" t="n">
        <v>6</v>
      </c>
      <c r="BV34" s="697" t="n">
        <v>6</v>
      </c>
      <c r="BW34" s="697" t="n">
        <v>6</v>
      </c>
      <c r="BX34" s="697" t="n">
        <v>6</v>
      </c>
      <c r="BY34" s="697" t="n">
        <v>6</v>
      </c>
      <c r="BZ34" s="697" t="n">
        <v>6</v>
      </c>
      <c r="CA34" s="699" t="n">
        <v>6</v>
      </c>
      <c r="CB34" s="699" t="n">
        <v>6</v>
      </c>
      <c r="CC34" s="192">
        <f>CA34+IF(NOT(ISBLANK(OFFSET(CC34,0,6))),N(OFFSET(CC34,0,6)),N(OFFSET(CC34,0,7)))-CB34</f>
        <v/>
      </c>
      <c r="CM34" s="5" t="n"/>
      <c r="DE34" s="5" t="n"/>
      <c r="DZ34" s="5" t="n"/>
      <c r="EA34" s="5" t="n"/>
      <c r="EB34" s="5" t="n"/>
      <c r="EO34" s="327" t="n"/>
      <c r="EQ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81</v>
      </c>
      <c r="AA35" s="699" t="n">
        <v>78</v>
      </c>
      <c r="AB35" s="699" t="n">
        <v>74</v>
      </c>
      <c r="AC35" s="699" t="n">
        <v>72</v>
      </c>
      <c r="AD35" s="699" t="n">
        <v>60</v>
      </c>
      <c r="AE35" s="699" t="n">
        <v>59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192">
        <f>CA35+IF(NOT(ISBLANK(OFFSET(CC35,0,6))),N(OFFSET(CC35,0,6)),N(OFFSET(CC35,0,7)))-CB35</f>
        <v/>
      </c>
      <c r="CM35" s="5" t="n"/>
      <c r="DE35" s="5" t="n"/>
      <c r="DZ35" s="5" t="n"/>
      <c r="EA35" s="5" t="n"/>
      <c r="EB35" s="5" t="n"/>
      <c r="EO35" s="327" t="n"/>
      <c r="EQ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10</v>
      </c>
      <c r="AA36" s="699" t="n">
        <v>7</v>
      </c>
      <c r="AB36" s="699" t="n">
        <v>7</v>
      </c>
      <c r="AC36" s="699" t="n">
        <v>7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192">
        <f>CA36+IF(NOT(ISBLANK(OFFSET(CC36,0,6))),N(OFFSET(CC36,0,6)),N(OFFSET(CC36,0,7)))-CB36</f>
        <v/>
      </c>
      <c r="CM36" s="5" t="n"/>
      <c r="DE36" s="5" t="n"/>
      <c r="DZ36" s="5" t="n"/>
      <c r="EA36" s="5" t="n"/>
      <c r="EB36" s="5" t="n"/>
      <c r="EO36" s="327" t="n"/>
      <c r="EQ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192">
        <f>CA37+IF(NOT(ISBLANK(OFFSET(CC37,0,6))),N(OFFSET(CC37,0,6)),N(OFFSET(CC37,0,7)))-CB37</f>
        <v/>
      </c>
      <c r="CM37" s="5" t="n"/>
      <c r="DE37" s="5" t="n"/>
      <c r="DZ37" s="5" t="n"/>
      <c r="EA37" s="5" t="n"/>
      <c r="EB37" s="5" t="n"/>
      <c r="EO37" s="327" t="n"/>
      <c r="EQ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85</v>
      </c>
      <c r="AA38" s="699" t="n">
        <v>77</v>
      </c>
      <c r="AB38" s="699" t="n">
        <v>76</v>
      </c>
      <c r="AC38" s="699" t="n">
        <v>58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192">
        <f>CA38+IF(NOT(ISBLANK(OFFSET(CC38,0,6))),N(OFFSET(CC38,0,6)),N(OFFSET(CC38,0,7)))-CB38</f>
        <v/>
      </c>
      <c r="CM38" s="5" t="n"/>
      <c r="DE38" s="5" t="n"/>
      <c r="DZ38" s="5" t="n"/>
      <c r="EA38" s="5" t="n"/>
      <c r="EB38" s="5" t="n"/>
      <c r="EO38" s="327" t="n"/>
      <c r="EQ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192">
        <f>CA39+IF(NOT(ISBLANK(OFFSET(CC39,0,6))),N(OFFSET(CC39,0,6)),N(OFFSET(CC39,0,7)))-CB39</f>
        <v/>
      </c>
      <c r="CM39" s="51" t="n"/>
      <c r="DE39" s="5" t="n"/>
      <c r="DZ39" s="5" t="n"/>
      <c r="EA39" s="5" t="n"/>
      <c r="EB39" s="5" t="n"/>
      <c r="EO39" s="327" t="n"/>
      <c r="EQ39" s="327" t="n"/>
    </row>
    <row r="40" hidden="1" ht="18.75" customHeight="1">
      <c r="A40" s="423" t="inlineStr">
        <is>
          <t>ENVELOPE C/ VISOR M</t>
        </is>
      </c>
      <c r="B40" s="424" t="n">
        <v>150</v>
      </c>
      <c r="C40" s="770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699" t="n">
        <v>10</v>
      </c>
      <c r="AP40" s="699" t="n">
        <v>6</v>
      </c>
      <c r="AQ40" s="699" t="n">
        <v>5</v>
      </c>
      <c r="AR40" s="699" t="n">
        <v>5</v>
      </c>
      <c r="AS40" s="699" t="n">
        <v>0</v>
      </c>
      <c r="AT40" s="699" t="n">
        <v>0</v>
      </c>
      <c r="AU40" s="699" t="n">
        <v>0</v>
      </c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192">
        <f>CA40+IF(NOT(ISBLANK(OFFSET(CC40,0,6))),N(OFFSET(CC40,0,6)),N(OFFSET(CC40,0,7)))-CB40</f>
        <v/>
      </c>
      <c r="CM40" s="51" t="n"/>
      <c r="DE40" s="5" t="n"/>
      <c r="DZ40" s="5" t="n"/>
      <c r="EA40" s="5" t="n"/>
      <c r="EB40" s="5" t="n"/>
      <c r="EO40" s="327" t="n"/>
      <c r="EQ40" s="327" t="n"/>
    </row>
    <row r="41" hidden="1" ht="18.75" customHeight="1">
      <c r="A41" s="423" t="inlineStr">
        <is>
          <t>PIN MELHOR PAI DO MDO</t>
        </is>
      </c>
      <c r="B41" s="424" t="n">
        <v>25</v>
      </c>
      <c r="C41" s="770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</v>
      </c>
      <c r="AP41" s="699" t="n">
        <v>1</v>
      </c>
      <c r="AQ41" s="699" t="n">
        <v>1</v>
      </c>
      <c r="AR41" s="699" t="n">
        <v>1</v>
      </c>
      <c r="AS41" s="699" t="n">
        <v>1</v>
      </c>
      <c r="AT41" s="699" t="n">
        <v>0</v>
      </c>
      <c r="AU41" s="699" t="n">
        <v>0</v>
      </c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192">
        <f>CA41+IF(NOT(ISBLANK(OFFSET(CC41,0,6))),N(OFFSET(CC41,0,6)),N(OFFSET(CC41,0,7)))-CB41</f>
        <v/>
      </c>
      <c r="CM41" s="573" t="n"/>
      <c r="DE41" s="5" t="n"/>
      <c r="DZ41" s="5" t="n"/>
      <c r="EA41" s="5" t="n"/>
      <c r="EB41" s="5" t="n"/>
      <c r="EO41" s="327" t="n"/>
      <c r="EQ41" s="327" t="n"/>
      <c r="FE41" s="573" t="n"/>
      <c r="FF41" s="573" t="n"/>
      <c r="FG41" s="573" t="n"/>
      <c r="FH41" s="573" t="n"/>
      <c r="FI41" s="573" t="n"/>
      <c r="FJ41" s="573" t="n"/>
      <c r="FK41" s="573" t="n"/>
      <c r="FL41" s="573" t="n"/>
      <c r="FM41" s="573" t="n"/>
      <c r="FN41" s="573" t="n"/>
      <c r="FO41" s="573" t="n"/>
      <c r="FP41" s="573" t="n"/>
    </row>
    <row r="42" hidden="1" ht="18.75" customHeight="1">
      <c r="A42" s="423" t="inlineStr">
        <is>
          <t>PIN BALÃO</t>
        </is>
      </c>
      <c r="B42" s="424" t="n">
        <v>25</v>
      </c>
      <c r="C42" s="770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11</v>
      </c>
      <c r="AP42" s="699" t="n">
        <v>1</v>
      </c>
      <c r="AQ42" s="699" t="n">
        <v>-1</v>
      </c>
      <c r="AR42" s="699" t="n">
        <v>-1</v>
      </c>
      <c r="AS42" s="699" t="n">
        <v>0</v>
      </c>
      <c r="AT42" s="699" t="n">
        <v>0</v>
      </c>
      <c r="AU42" s="699" t="n">
        <v>0</v>
      </c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192">
        <f>CA42+IF(NOT(ISBLANK(OFFSET(CC42,0,6))),N(OFFSET(CC42,0,6)),N(OFFSET(CC42,0,7)))-CB42</f>
        <v/>
      </c>
      <c r="CM42" s="573" t="n"/>
      <c r="DE42" s="5" t="n"/>
      <c r="DZ42" s="5" t="n"/>
      <c r="EA42" s="5" t="n"/>
      <c r="EB42" s="5" t="n"/>
      <c r="EO42" s="327" t="n"/>
      <c r="EQ42" s="327" t="n"/>
      <c r="FE42" s="573" t="n"/>
      <c r="FF42" s="573" t="n"/>
      <c r="FG42" s="573" t="n"/>
      <c r="FH42" s="573" t="n"/>
      <c r="FI42" s="573" t="n"/>
      <c r="FJ42" s="573" t="n"/>
      <c r="FK42" s="573" t="n"/>
      <c r="FL42" s="573" t="n"/>
      <c r="FM42" s="573" t="n"/>
      <c r="FN42" s="573" t="n"/>
      <c r="FO42" s="573" t="n"/>
      <c r="FP42" s="573" t="n"/>
    </row>
    <row r="43" hidden="1" ht="18.75" customHeight="1">
      <c r="A43" s="423" t="inlineStr">
        <is>
          <t>PIN AMOR</t>
        </is>
      </c>
      <c r="B43" s="424" t="n">
        <v>25</v>
      </c>
      <c r="C43" s="770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4</v>
      </c>
      <c r="AP43" s="699" t="n">
        <v>1</v>
      </c>
      <c r="AQ43" s="699" t="n">
        <v>1</v>
      </c>
      <c r="AR43" s="699" t="n">
        <v>1</v>
      </c>
      <c r="AS43" s="699" t="n">
        <v>1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192">
        <f>CA43+IF(NOT(ISBLANK(OFFSET(CC43,0,6))),N(OFFSET(CC43,0,6)),N(OFFSET(CC43,0,7)))-CB43</f>
        <v/>
      </c>
      <c r="CM43" s="573" t="n"/>
      <c r="DE43" s="5" t="n"/>
      <c r="DZ43" s="5" t="n"/>
      <c r="EA43" s="5" t="n"/>
      <c r="EB43" s="5" t="n"/>
      <c r="EO43" s="327" t="n"/>
      <c r="EQ43" s="327" t="n"/>
      <c r="FE43" s="573" t="n"/>
      <c r="FF43" s="573" t="n"/>
      <c r="FG43" s="573" t="n"/>
      <c r="FH43" s="573" t="n"/>
      <c r="FI43" s="573" t="n"/>
      <c r="FJ43" s="573" t="n"/>
      <c r="FK43" s="573" t="n"/>
      <c r="FL43" s="573" t="n"/>
      <c r="FM43" s="573" t="n"/>
      <c r="FN43" s="573" t="n"/>
      <c r="FO43" s="573" t="n"/>
      <c r="FP43" s="573" t="n"/>
    </row>
    <row r="44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E44" s="573" t="n"/>
      <c r="F44" s="573" t="n"/>
      <c r="G44" s="573" t="n"/>
      <c r="H44" s="573" t="n"/>
      <c r="I44" s="573" t="n"/>
      <c r="J44" s="573" t="n"/>
      <c r="K44" s="573" t="n"/>
      <c r="L44" s="573" t="n"/>
      <c r="M44" s="573" t="n"/>
      <c r="N44" s="573" t="n"/>
      <c r="O44" s="573" t="n"/>
      <c r="P44" s="573" t="n"/>
      <c r="Q44" s="573" t="n"/>
      <c r="R44" s="573" t="n"/>
      <c r="S44" s="573" t="n"/>
      <c r="T44" s="573" t="n"/>
      <c r="U44" s="573" t="n"/>
      <c r="V44" s="573" t="n"/>
      <c r="W44" s="573" t="n"/>
      <c r="X44" s="573" t="n"/>
      <c r="Y44" s="573" t="n"/>
      <c r="Z44" s="573" t="n"/>
      <c r="AA44" s="573" t="n"/>
      <c r="AB44" s="573" t="n"/>
      <c r="AC44" s="573" t="n"/>
      <c r="AD44" s="573" t="n"/>
      <c r="AE44" s="573" t="n"/>
      <c r="AF44" s="573" t="n"/>
      <c r="AG44" s="573" t="n"/>
      <c r="AH44" s="573" t="n"/>
      <c r="AI44" s="573" t="n"/>
      <c r="AJ44" s="573" t="n"/>
      <c r="AK44" s="573" t="n"/>
      <c r="AL44" s="573" t="n"/>
      <c r="AM44" s="573" t="n"/>
      <c r="AN44" s="573" t="n"/>
      <c r="AO44" s="573" t="n"/>
      <c r="AP44" s="573" t="n"/>
      <c r="AQ44" s="573" t="n"/>
      <c r="AR44" s="573" t="n"/>
      <c r="AS44" s="573" t="n"/>
      <c r="AT44" s="573" t="n"/>
      <c r="AU44" s="573" t="n"/>
      <c r="AV44" s="573" t="n"/>
      <c r="AW44" s="573" t="n"/>
      <c r="AX44" s="573" t="n"/>
      <c r="AY44" s="573" t="n"/>
      <c r="AZ44" s="573" t="n"/>
      <c r="BA44" s="573" t="n"/>
      <c r="BB44" s="573" t="n"/>
      <c r="BC44" s="573" t="n"/>
      <c r="BD44" s="699" t="n">
        <v>132</v>
      </c>
      <c r="BE44" s="699" t="n">
        <v>111</v>
      </c>
      <c r="BF44" s="699" t="n">
        <v>41</v>
      </c>
      <c r="BG44" s="699" t="n">
        <v>38</v>
      </c>
      <c r="BH44" s="699" t="n">
        <v>31</v>
      </c>
      <c r="BI44" s="699" t="n">
        <v>21</v>
      </c>
      <c r="BJ44" s="699" t="n">
        <v>9</v>
      </c>
      <c r="BK44" s="699" t="n">
        <v>4</v>
      </c>
      <c r="BL44" s="699" t="n">
        <v>3</v>
      </c>
      <c r="BM44" s="699" t="n">
        <v>3</v>
      </c>
      <c r="BN44" s="699" t="n">
        <v>3</v>
      </c>
      <c r="BO44" s="699" t="n">
        <v>4</v>
      </c>
      <c r="BP44" s="699" t="n">
        <v>4</v>
      </c>
      <c r="BQ44" s="699" t="n">
        <v>4</v>
      </c>
      <c r="BR44" s="699" t="n">
        <v>4</v>
      </c>
      <c r="BS44" s="699" t="n">
        <v>4</v>
      </c>
      <c r="BT44" s="699" t="n">
        <v>4</v>
      </c>
      <c r="BU44" s="699" t="n">
        <v>4</v>
      </c>
      <c r="BV44" s="699" t="n">
        <v>4</v>
      </c>
      <c r="BW44" s="699" t="n">
        <v>4</v>
      </c>
      <c r="BX44" s="699" t="n">
        <v>4</v>
      </c>
      <c r="BY44" s="699" t="n">
        <v>4</v>
      </c>
      <c r="BZ44" s="699" t="n">
        <v>4</v>
      </c>
      <c r="CA44" s="699" t="n">
        <v>4</v>
      </c>
      <c r="CB44" s="699" t="n">
        <v>4</v>
      </c>
      <c r="CC44" s="192">
        <f>CA44+IF(NOT(ISBLANK(OFFSET(CC44,0,6))),N(OFFSET(CC44,0,6)),N(OFFSET(CC44,0,7)))-CB44</f>
        <v/>
      </c>
      <c r="CD44" s="573" t="n"/>
      <c r="CM44" s="573" t="n"/>
      <c r="DE44" s="5" t="n"/>
      <c r="DZ44" s="5" t="n"/>
      <c r="EA44" s="5" t="n"/>
      <c r="EB44" s="5" t="n"/>
      <c r="EI44" s="173" t="n"/>
      <c r="EJ44" s="173" t="n"/>
      <c r="EO44" s="327" t="n"/>
      <c r="EQ44" s="327" t="n"/>
      <c r="FE44" s="573" t="n"/>
      <c r="FF44" s="573" t="n"/>
      <c r="FG44" s="573" t="n"/>
      <c r="FH44" s="573" t="n"/>
      <c r="FI44" s="573" t="n"/>
      <c r="FJ44" s="573" t="n"/>
      <c r="FK44" s="573" t="n"/>
      <c r="FL44" s="573" t="n"/>
      <c r="FM44" s="573" t="n"/>
      <c r="FN44" s="573" t="n"/>
      <c r="FO44" s="573" t="n"/>
      <c r="FP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699" t="n">
        <v>294</v>
      </c>
      <c r="BE45" s="699" t="n">
        <v>129</v>
      </c>
      <c r="BF45" s="699" t="n">
        <v>31</v>
      </c>
      <c r="BG45" s="699" t="n">
        <v>26</v>
      </c>
      <c r="BH45" s="699" t="n">
        <v>21</v>
      </c>
      <c r="BI45" s="699" t="n">
        <v>9</v>
      </c>
      <c r="BJ45" s="699" t="n">
        <v>3</v>
      </c>
      <c r="BK45" s="699" t="n">
        <v>0</v>
      </c>
      <c r="BL45" s="699" t="n">
        <v>0</v>
      </c>
      <c r="BM45" s="699" t="n">
        <v>0</v>
      </c>
      <c r="BN45" s="699" t="n">
        <v>0</v>
      </c>
      <c r="BO45" s="699" t="n">
        <v>0</v>
      </c>
      <c r="BP45" s="699" t="n">
        <v>0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192">
        <f>CA45+IF(NOT(ISBLANK(OFFSET(CC45,0,6))),N(OFFSET(CC45,0,6)),N(OFFSET(CC45,0,7)))-CB45</f>
        <v/>
      </c>
      <c r="CD45" s="573" t="n"/>
      <c r="DE45" s="5" t="n"/>
      <c r="DZ45" s="5" t="n"/>
      <c r="EA45" s="5" t="n"/>
      <c r="EB45" s="5" t="n"/>
      <c r="EI45" s="173" t="n"/>
      <c r="EJ45" s="173" t="n"/>
      <c r="EO45" s="327" t="n"/>
      <c r="EQ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E46" s="573" t="n"/>
      <c r="F46" s="573" t="n"/>
      <c r="G46" s="573" t="n"/>
      <c r="H46" s="573" t="n"/>
      <c r="I46" s="573" t="n"/>
      <c r="J46" s="573" t="n"/>
      <c r="K46" s="573" t="n"/>
      <c r="L46" s="573" t="n"/>
      <c r="M46" s="573" t="n"/>
      <c r="N46" s="573" t="n"/>
      <c r="O46" s="573" t="n"/>
      <c r="P46" s="573" t="n"/>
      <c r="Q46" s="573" t="n"/>
      <c r="R46" s="573" t="n"/>
      <c r="S46" s="573" t="n"/>
      <c r="T46" s="573" t="n"/>
      <c r="U46" s="573" t="n"/>
      <c r="V46" s="573" t="n"/>
      <c r="W46" s="573" t="n"/>
      <c r="X46" s="573" t="n"/>
      <c r="Y46" s="573" t="n"/>
      <c r="Z46" s="573" t="n"/>
      <c r="AA46" s="573" t="n"/>
      <c r="AB46" s="573" t="n"/>
      <c r="AC46" s="573" t="n"/>
      <c r="AD46" s="573" t="n"/>
      <c r="AE46" s="573" t="n"/>
      <c r="AF46" s="573" t="n"/>
      <c r="AG46" s="573" t="n"/>
      <c r="AH46" s="573" t="n"/>
      <c r="AI46" s="573" t="n"/>
      <c r="AJ46" s="573" t="n"/>
      <c r="AK46" s="573" t="n"/>
      <c r="AL46" s="573" t="n"/>
      <c r="AM46" s="573" t="n"/>
      <c r="AN46" s="573" t="n"/>
      <c r="AO46" s="573" t="n"/>
      <c r="AP46" s="573" t="n"/>
      <c r="AQ46" s="573" t="n"/>
      <c r="AR46" s="573" t="n"/>
      <c r="AS46" s="573" t="n"/>
      <c r="AT46" s="573" t="n"/>
      <c r="AU46" s="573" t="n"/>
      <c r="AV46" s="573" t="n"/>
      <c r="AW46" s="573" t="n"/>
      <c r="AX46" s="573" t="n"/>
      <c r="AY46" s="573" t="n"/>
      <c r="AZ46" s="573" t="n"/>
      <c r="BA46" s="573" t="n"/>
      <c r="BB46" s="573" t="n"/>
      <c r="BC46" s="573" t="n"/>
      <c r="BD46" s="699" t="n">
        <v>222</v>
      </c>
      <c r="BE46" s="699" t="n">
        <v>3</v>
      </c>
      <c r="BF46" s="699" t="n">
        <v>-5</v>
      </c>
      <c r="BG46" s="699" t="n">
        <v>-5</v>
      </c>
      <c r="BH46" s="699" t="n">
        <v>-5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192">
        <f>CA46+IF(NOT(ISBLANK(OFFSET(CC46,0,6))),N(OFFSET(CC46,0,6)),N(OFFSET(CC46,0,7)))-CB46</f>
        <v/>
      </c>
      <c r="CD46" s="573" t="n"/>
      <c r="DE46" s="5" t="n"/>
      <c r="DZ46" s="5" t="n"/>
      <c r="EA46" s="5" t="n"/>
      <c r="EB46" s="5" t="n"/>
      <c r="EI46" s="173" t="n"/>
      <c r="EJ46" s="173" t="n"/>
      <c r="EO46" s="327" t="n"/>
      <c r="EQ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E47" s="573" t="n"/>
      <c r="F47" s="573" t="n"/>
      <c r="G47" s="573" t="n"/>
      <c r="H47" s="573" t="n"/>
      <c r="I47" s="573" t="n"/>
      <c r="J47" s="573" t="n"/>
      <c r="K47" s="573" t="n"/>
      <c r="L47" s="573" t="n"/>
      <c r="M47" s="573" t="n"/>
      <c r="N47" s="573" t="n"/>
      <c r="O47" s="573" t="n"/>
      <c r="P47" s="573" t="n"/>
      <c r="Q47" s="573" t="n"/>
      <c r="R47" s="573" t="n"/>
      <c r="S47" s="573" t="n"/>
      <c r="T47" s="573" t="n"/>
      <c r="U47" s="573" t="n"/>
      <c r="V47" s="573" t="n"/>
      <c r="W47" s="573" t="n"/>
      <c r="X47" s="573" t="n"/>
      <c r="Y47" s="573" t="n"/>
      <c r="Z47" s="573" t="n"/>
      <c r="AA47" s="573" t="n"/>
      <c r="AB47" s="573" t="n"/>
      <c r="AC47" s="573" t="n"/>
      <c r="AD47" s="573" t="n"/>
      <c r="AE47" s="573" t="n"/>
      <c r="AF47" s="573" t="n"/>
      <c r="AG47" s="573" t="n"/>
      <c r="AH47" s="573" t="n"/>
      <c r="AI47" s="573" t="n"/>
      <c r="AJ47" s="573" t="n"/>
      <c r="AK47" s="573" t="n"/>
      <c r="AL47" s="573" t="n"/>
      <c r="AM47" s="573" t="n"/>
      <c r="AN47" s="573" t="n"/>
      <c r="AO47" s="573" t="n"/>
      <c r="AP47" s="573" t="n"/>
      <c r="AQ47" s="573" t="n"/>
      <c r="AR47" s="573" t="n"/>
      <c r="AS47" s="573" t="n"/>
      <c r="AT47" s="573" t="n"/>
      <c r="AU47" s="573" t="n"/>
      <c r="AV47" s="573" t="n"/>
      <c r="AW47" s="573" t="n"/>
      <c r="AX47" s="573" t="n"/>
      <c r="AY47" s="573" t="n"/>
      <c r="AZ47" s="573" t="n"/>
      <c r="BA47" s="573" t="n"/>
      <c r="BB47" s="573" t="n"/>
      <c r="BC47" s="573" t="n"/>
      <c r="BD47" s="699" t="n">
        <v>146</v>
      </c>
      <c r="BE47" s="699" t="n">
        <v>31</v>
      </c>
      <c r="BF47" s="699" t="n">
        <v>6</v>
      </c>
      <c r="BG47" s="699" t="n">
        <v>1</v>
      </c>
      <c r="BH47" s="699" t="n">
        <v>-2</v>
      </c>
      <c r="BI47" s="699" t="n">
        <v>1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699" t="n"/>
      <c r="CA47" s="699" t="n"/>
      <c r="CB47" s="699" t="n"/>
      <c r="CC47" s="192">
        <f>CA47+IF(NOT(ISBLANK(OFFSET(CC47,0,6))),N(OFFSET(CC47,0,6)),N(OFFSET(CC47,0,7)))-CB47</f>
        <v/>
      </c>
      <c r="CD47" s="573" t="n"/>
      <c r="CM47" s="5" t="n"/>
      <c r="DE47" s="5" t="n"/>
      <c r="DZ47" s="5" t="n"/>
      <c r="EA47" s="5" t="n"/>
      <c r="EB47" s="5" t="n"/>
      <c r="EI47" s="173" t="n"/>
      <c r="EJ47" s="173" t="n"/>
      <c r="EO47" s="327" t="n"/>
      <c r="EQ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699" t="n"/>
      <c r="BE48" s="699" t="n">
        <v>10</v>
      </c>
      <c r="BF48" s="699" t="n">
        <v>10</v>
      </c>
      <c r="BG48" s="699" t="n">
        <v>10</v>
      </c>
      <c r="BH48" s="699" t="n">
        <v>10</v>
      </c>
      <c r="BI48" s="699" t="n">
        <v>10</v>
      </c>
      <c r="BJ48" s="699" t="n">
        <v>10</v>
      </c>
      <c r="BK48" s="699" t="n">
        <v>10</v>
      </c>
      <c r="BL48" s="699" t="n">
        <v>10</v>
      </c>
      <c r="BM48" s="699" t="n">
        <v>10</v>
      </c>
      <c r="BN48" s="699" t="n">
        <v>10</v>
      </c>
      <c r="BO48" s="699" t="n">
        <v>13</v>
      </c>
      <c r="BP48" s="699" t="n">
        <v>13</v>
      </c>
      <c r="BQ48" s="699" t="n">
        <v>13</v>
      </c>
      <c r="BR48" s="699" t="n">
        <v>14</v>
      </c>
      <c r="BS48" s="699" t="n">
        <v>14</v>
      </c>
      <c r="BT48" s="699" t="n">
        <v>14</v>
      </c>
      <c r="BU48" s="699" t="n">
        <v>14</v>
      </c>
      <c r="BV48" s="699" t="n">
        <v>14</v>
      </c>
      <c r="BW48" s="699" t="n">
        <v>14</v>
      </c>
      <c r="BX48" s="699" t="n">
        <v>14</v>
      </c>
      <c r="BY48" s="699" t="n">
        <v>14</v>
      </c>
      <c r="BZ48" s="699" t="n">
        <v>14</v>
      </c>
      <c r="CA48" s="699" t="n">
        <v>14</v>
      </c>
      <c r="CB48" s="699" t="n">
        <v>14</v>
      </c>
      <c r="CC48" s="192">
        <f>CA48+IF(NOT(ISBLANK(OFFSET(CC48,0,6))),N(OFFSET(CC48,0,6)),N(OFFSET(CC48,0,7)))-CB48</f>
        <v/>
      </c>
      <c r="CD48" s="573" t="n"/>
      <c r="DE48" s="5" t="n"/>
      <c r="DZ48" s="5" t="n"/>
      <c r="EA48" s="5" t="n"/>
      <c r="EB48" s="5" t="n"/>
      <c r="EI48" s="173" t="n"/>
      <c r="EJ48" s="173" t="n"/>
      <c r="EO48" s="327" t="n"/>
      <c r="EQ48" s="327" t="n"/>
    </row>
    <row r="49">
      <c r="E49" s="573" t="n"/>
      <c r="F49" s="573" t="n"/>
      <c r="G49" s="573" t="n"/>
      <c r="H49" s="573" t="n"/>
      <c r="I49" s="573" t="n"/>
      <c r="J49" s="573" t="n"/>
      <c r="K49" s="573" t="n"/>
      <c r="L49" s="573" t="n"/>
      <c r="M49" s="573" t="n"/>
      <c r="N49" s="573" t="n"/>
      <c r="O49" s="573" t="n"/>
      <c r="P49" s="573" t="n"/>
      <c r="Q49" s="573" t="n"/>
      <c r="R49" s="573" t="n"/>
      <c r="S49" s="573" t="n"/>
      <c r="T49" s="573" t="n"/>
      <c r="U49" s="573" t="n"/>
      <c r="V49" s="573" t="n"/>
      <c r="W49" s="573" t="n"/>
      <c r="X49" s="573" t="n"/>
      <c r="Y49" s="573" t="n"/>
      <c r="Z49" s="573" t="n"/>
      <c r="AA49" s="573" t="n"/>
      <c r="AB49" s="573" t="n"/>
      <c r="AC49" s="573" t="n"/>
      <c r="AD49" s="573" t="n"/>
      <c r="AE49" s="573" t="n"/>
      <c r="AF49" s="573" t="n"/>
      <c r="AG49" s="573" t="n"/>
      <c r="AH49" s="573" t="n"/>
      <c r="AI49" s="573" t="n"/>
      <c r="AJ49" s="573" t="n"/>
      <c r="AK49" s="573" t="n"/>
      <c r="AL49" s="573" t="n"/>
      <c r="AM49" s="573" t="n"/>
      <c r="AN49" s="573" t="n"/>
      <c r="AO49" s="573" t="n"/>
      <c r="AP49" s="573" t="n"/>
      <c r="AQ49" s="573" t="n"/>
      <c r="AR49" s="573" t="n"/>
      <c r="AS49" s="573" t="n"/>
      <c r="AT49" s="573" t="n"/>
      <c r="AU49" s="573" t="n"/>
      <c r="AV49" s="573" t="n"/>
      <c r="AW49" s="573" t="n"/>
      <c r="AX49" s="573" t="n"/>
      <c r="AY49" s="573" t="n"/>
      <c r="AZ49" s="573" t="n"/>
      <c r="BA49" s="573" t="n"/>
      <c r="BB49" s="573" t="n"/>
      <c r="BC49" s="573" t="n"/>
      <c r="BD49" s="573" t="n"/>
      <c r="BE49" s="573" t="n"/>
      <c r="BF49" s="573" t="n"/>
      <c r="BG49" s="573" t="n"/>
      <c r="BH49" s="573" t="n"/>
      <c r="BI49" s="573" t="n"/>
      <c r="BJ49" s="573" t="n"/>
      <c r="BK49" s="573" t="n"/>
      <c r="BL49" s="573" t="n"/>
      <c r="BM49" s="573" t="n"/>
      <c r="BN49" s="573" t="n"/>
      <c r="BO49" s="573" t="n"/>
      <c r="BP49" s="573" t="n"/>
      <c r="BQ49" s="573" t="n"/>
      <c r="BR49" s="573" t="n"/>
      <c r="BS49" s="573" t="n"/>
      <c r="BT49" s="573" t="n"/>
      <c r="BU49" s="573" t="n"/>
      <c r="BV49" s="573" t="n"/>
      <c r="BW49" s="573" t="n"/>
      <c r="BX49" s="573" t="n"/>
      <c r="BY49" s="573" t="n"/>
      <c r="BZ49" s="573" t="n"/>
      <c r="CA49" s="573" t="n"/>
      <c r="CB49" s="573" t="n"/>
      <c r="CD49" s="573" t="n"/>
      <c r="DE49" s="5" t="n"/>
      <c r="DZ49" s="5" t="n"/>
      <c r="EA49" s="5" t="n"/>
      <c r="EB49" s="5" t="n"/>
      <c r="EI49" s="173" t="n"/>
      <c r="EJ49" s="173" t="n"/>
      <c r="EO49" s="327" t="n"/>
      <c r="EQ49" s="327" t="n"/>
    </row>
    <row r="50" ht="21" customHeight="1">
      <c r="A50" s="380" t="inlineStr">
        <is>
          <t>SOBRAS DATAS COMEMORATIVAS</t>
        </is>
      </c>
      <c r="B50" s="380" t="n"/>
      <c r="C50" s="380" t="n"/>
      <c r="E50" s="573" t="n"/>
      <c r="F50" s="573" t="n"/>
      <c r="G50" s="573" t="n"/>
      <c r="H50" s="573" t="n"/>
      <c r="I50" s="573" t="n"/>
      <c r="J50" s="573" t="n"/>
      <c r="K50" s="573" t="n"/>
      <c r="L50" s="573" t="n"/>
      <c r="M50" s="573" t="n"/>
      <c r="N50" s="573" t="n"/>
      <c r="O50" s="573" t="n"/>
      <c r="P50" s="573" t="n"/>
      <c r="Q50" s="573" t="n"/>
      <c r="R50" s="573" t="n"/>
      <c r="S50" s="573" t="n"/>
      <c r="T50" s="573" t="n"/>
      <c r="U50" s="573" t="n"/>
      <c r="V50" s="573" t="n"/>
      <c r="W50" s="573" t="n"/>
      <c r="X50" s="573" t="n"/>
      <c r="Y50" s="573" t="n"/>
      <c r="Z50" s="573" t="n"/>
      <c r="AA50" s="573" t="n"/>
      <c r="AB50" s="573" t="n"/>
      <c r="AC50" s="573" t="n"/>
      <c r="AD50" s="573" t="n"/>
      <c r="AE50" s="573" t="n"/>
      <c r="AF50" s="573" t="n"/>
      <c r="AG50" s="573" t="n"/>
      <c r="AH50" s="573" t="n"/>
      <c r="AI50" s="573" t="n"/>
      <c r="AJ50" s="573" t="n"/>
      <c r="AK50" s="573" t="n"/>
      <c r="AL50" s="573" t="n"/>
      <c r="AM50" s="573" t="n"/>
      <c r="AN50" s="573" t="n"/>
      <c r="AO50" s="573" t="n"/>
      <c r="AP50" s="573" t="n"/>
      <c r="AQ50" s="573" t="n"/>
      <c r="AR50" s="573" t="n"/>
      <c r="AS50" s="573" t="n"/>
      <c r="AT50" s="573" t="n"/>
      <c r="AU50" s="573" t="n"/>
      <c r="AV50" s="573" t="n"/>
      <c r="AW50" s="573" t="n"/>
      <c r="AX50" s="573" t="n"/>
      <c r="AY50" s="573" t="n"/>
      <c r="AZ50" s="573" t="n"/>
      <c r="BA50" s="573" t="n"/>
      <c r="BB50" s="573" t="n"/>
      <c r="BC50" s="573" t="n"/>
      <c r="BD50" s="573" t="n"/>
      <c r="BE50" s="573" t="n"/>
      <c r="BF50" s="573" t="n"/>
      <c r="BG50" s="573" t="n"/>
      <c r="BH50" s="573" t="n"/>
      <c r="BI50" s="573" t="n"/>
      <c r="BJ50" s="573" t="n"/>
      <c r="BK50" s="573" t="n"/>
      <c r="BL50" s="573" t="n"/>
      <c r="BM50" s="573" t="n"/>
      <c r="BN50" s="573" t="n"/>
      <c r="BO50" s="573" t="n"/>
      <c r="BP50" s="573" t="n"/>
      <c r="BQ50" s="573" t="n"/>
      <c r="BR50" s="573" t="n"/>
      <c r="BS50" s="573" t="n"/>
      <c r="BT50" s="573" t="n"/>
      <c r="BU50" s="573" t="n"/>
      <c r="BV50" s="573" t="n"/>
      <c r="BW50" s="573" t="n"/>
      <c r="BX50" s="573" t="n"/>
      <c r="BY50" s="573" t="n"/>
      <c r="BZ50" s="573" t="n"/>
      <c r="CA50" s="573" t="n"/>
      <c r="CB50" s="573" t="n"/>
      <c r="CD50" s="573" t="n"/>
      <c r="DE50" s="51" t="n"/>
      <c r="DZ50" s="51" t="n"/>
      <c r="EA50" s="5" t="n"/>
      <c r="EB50" s="5" t="n"/>
      <c r="EH50" s="59" t="n"/>
      <c r="EI50" s="174" t="n"/>
      <c r="EJ50" s="174" t="n"/>
      <c r="EK50" s="59" t="n"/>
      <c r="EL50" s="59" t="n"/>
      <c r="EM50" s="59" t="n"/>
      <c r="EN50" s="59" t="n"/>
      <c r="EO50" s="327" t="n"/>
      <c r="EP50" s="59" t="n"/>
      <c r="EQ50" s="327" t="n"/>
      <c r="ER50" s="59" t="n"/>
      <c r="ES50" s="59" t="n"/>
      <c r="EU50" s="59" t="n"/>
      <c r="EV50" s="59" t="n"/>
      <c r="EX50" s="59" t="n"/>
      <c r="EY50" s="59" t="n"/>
      <c r="EZ50" s="59" t="n"/>
      <c r="FB50" s="59" t="n"/>
      <c r="FC50" s="59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BZ51" s="573" t="n"/>
      <c r="CA51" s="573" t="n"/>
      <c r="CB51" s="573" t="n"/>
      <c r="CD51" s="573" t="n"/>
      <c r="CE51" s="51" t="n"/>
      <c r="DE51" s="51" t="n"/>
      <c r="DZ51" s="51" t="n"/>
      <c r="EA51" s="51" t="n"/>
      <c r="EB51" s="51" t="n"/>
      <c r="ED51" s="59" t="n"/>
      <c r="EE51" s="59" t="n"/>
      <c r="EH51" s="573" t="n"/>
      <c r="EI51" s="174" t="n"/>
      <c r="EJ51" s="174" t="n"/>
      <c r="EK51" s="573" t="n"/>
      <c r="EL51" s="573" t="n"/>
      <c r="EM51" s="573" t="n"/>
      <c r="EN51" s="573" t="n"/>
      <c r="EO51" s="327" t="n"/>
      <c r="EP51" s="573" t="n"/>
      <c r="EQ51" s="327" t="n"/>
      <c r="ER51" s="573" t="n"/>
      <c r="ES51" s="573" t="n"/>
      <c r="EU51" s="573" t="n"/>
      <c r="EV51" s="573" t="n"/>
      <c r="EX51" s="573" t="n"/>
      <c r="EY51" s="573" t="n"/>
      <c r="EZ51" s="573" t="n"/>
      <c r="FA51" s="573" t="n"/>
      <c r="FB51" s="573" t="n"/>
      <c r="FC51" s="573" t="n"/>
    </row>
    <row r="52" customFormat="1" s="29">
      <c r="A52" s="182" t="inlineStr">
        <is>
          <t>TAG NAMORADOS/23</t>
        </is>
      </c>
      <c r="B52" s="171" t="n">
        <v>300</v>
      </c>
      <c r="C52" s="172" t="n">
        <v>300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CF52" s="573" t="n"/>
      <c r="CG52" s="573" t="n"/>
      <c r="CH52" s="573" t="n"/>
      <c r="CM52" s="59" t="n"/>
      <c r="DE52" s="573" t="n"/>
      <c r="DL52" s="173" t="n"/>
      <c r="DM52" s="173" t="n"/>
      <c r="DO52" s="173" t="n"/>
      <c r="DR52" s="59" t="n"/>
      <c r="DS52" s="59" t="n"/>
      <c r="DT52" s="59" t="n"/>
      <c r="DU52" s="59" t="n"/>
      <c r="DV52" s="59" t="n"/>
      <c r="DW52" s="59" t="n"/>
      <c r="DX52" s="59" t="n"/>
      <c r="DY52" s="59" t="n"/>
      <c r="DZ52" s="573" t="n"/>
      <c r="EA52" s="51" t="n"/>
      <c r="EB52" s="51" t="n"/>
      <c r="EC52" s="59" t="n"/>
      <c r="ED52" s="573" t="n"/>
      <c r="EE52" s="573" t="n"/>
      <c r="EF52" s="59" t="n"/>
      <c r="EG52" s="59" t="n"/>
      <c r="EH52" s="573" t="n"/>
      <c r="EK52" s="573" t="n"/>
      <c r="EL52" s="573" t="n"/>
      <c r="EM52" s="573" t="n"/>
      <c r="EN52" s="573" t="n"/>
      <c r="EO52" s="327" t="n"/>
      <c r="EP52" s="573" t="n"/>
      <c r="EQ52" s="327" t="n"/>
      <c r="ER52" s="573" t="n"/>
      <c r="ES52" s="573" t="n"/>
      <c r="ET52" s="59" t="n"/>
      <c r="EU52" s="573" t="n"/>
      <c r="EV52" s="573" t="n"/>
      <c r="EX52" s="573" t="n"/>
      <c r="EY52" s="573" t="n"/>
      <c r="EZ52" s="573" t="n"/>
      <c r="FA52" s="573" t="n"/>
      <c r="FB52" s="573" t="n"/>
      <c r="FC52" s="573" t="n"/>
      <c r="FD52" s="573" t="n"/>
      <c r="FE52" s="5" t="n"/>
      <c r="FF52" s="5" t="n"/>
      <c r="FG52" s="5" t="n"/>
      <c r="FH52" s="5" t="n"/>
      <c r="FI52" s="5" t="n"/>
      <c r="FJ52" s="5" t="n"/>
      <c r="FK52" s="5" t="n"/>
      <c r="FL52" s="5" t="n"/>
      <c r="FM52" s="5" t="n"/>
      <c r="FN52" s="5" t="n"/>
      <c r="FO52" s="5" t="n"/>
      <c r="FP52" s="5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IT52" s="174" t="n"/>
      <c r="IU52" s="174" t="n"/>
      <c r="IX52" s="174" t="n"/>
      <c r="JB52" s="174" t="n"/>
      <c r="JF52" s="174" t="n"/>
      <c r="JJ52" s="71" t="n"/>
      <c r="JL52" s="174" t="n"/>
      <c r="JN52" s="68" t="n"/>
      <c r="JS52" s="68" t="n"/>
      <c r="JW52" s="68" t="n"/>
      <c r="JY52" s="71" t="n"/>
    </row>
    <row r="53" customFormat="1" s="29"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M53" s="59" t="n"/>
      <c r="DE53" s="573" t="n"/>
      <c r="DL53" s="174" t="n"/>
      <c r="DM53" s="174" t="n"/>
      <c r="DO53" s="174" t="n"/>
      <c r="DP53" s="59" t="n"/>
      <c r="DR53" s="573" t="n"/>
      <c r="DS53" s="573" t="n"/>
      <c r="DT53" s="573" t="n"/>
      <c r="DU53" s="573" t="n"/>
      <c r="DV53" s="573" t="n"/>
      <c r="DW53" s="573" t="n"/>
      <c r="DX53" s="573" t="n"/>
      <c r="DY53" s="573" t="n"/>
      <c r="DZ53" s="573" t="n"/>
      <c r="EA53" s="573" t="n"/>
      <c r="EB53" s="573" t="n"/>
      <c r="EC53" s="573" t="n"/>
      <c r="ED53" s="573" t="n"/>
      <c r="EE53" s="573" t="n"/>
      <c r="EF53" s="573" t="n"/>
      <c r="EG53" s="573" t="n"/>
      <c r="EH53" s="573" t="n"/>
      <c r="EK53" s="573" t="n"/>
      <c r="EL53" s="573" t="n"/>
      <c r="EM53" s="573" t="n"/>
      <c r="EN53" s="573" t="n"/>
      <c r="EO53" s="327" t="n"/>
      <c r="EP53" s="573" t="n"/>
      <c r="EQ53" s="327" t="n"/>
      <c r="ER53" s="573" t="n"/>
      <c r="ES53" s="573" t="n"/>
      <c r="ET53" s="573" t="n"/>
      <c r="EU53" s="573" t="n"/>
      <c r="EV53" s="573" t="n"/>
      <c r="EW53" s="573" t="n"/>
      <c r="EX53" s="573" t="n"/>
      <c r="EY53" s="573" t="n"/>
      <c r="EZ53" s="573" t="n"/>
      <c r="FA53" s="573" t="n"/>
      <c r="FB53" s="573" t="n"/>
      <c r="FC53" s="573" t="n"/>
      <c r="FE53" s="5" t="n"/>
      <c r="FF53" s="5" t="n"/>
      <c r="FG53" s="5" t="n"/>
      <c r="FH53" s="5" t="n"/>
      <c r="FI53" s="5" t="n"/>
      <c r="FJ53" s="5" t="n"/>
      <c r="FK53" s="5" t="n"/>
      <c r="FL53" s="5" t="n"/>
      <c r="FM53" s="5" t="n"/>
      <c r="FN53" s="5" t="n"/>
      <c r="FO53" s="5" t="n"/>
      <c r="FP53" s="5" t="n"/>
    </row>
    <row r="54">
      <c r="A54" s="774" t="inlineStr">
        <is>
          <t>FLACONETES</t>
        </is>
      </c>
      <c r="B54" s="731" t="n"/>
      <c r="C54" s="731" t="n"/>
      <c r="D54" s="775" t="n"/>
      <c r="F54" s="776" t="n">
        <v>45656</v>
      </c>
      <c r="G54" s="776" t="n">
        <v>45663</v>
      </c>
      <c r="H54" s="776" t="n">
        <v>45670</v>
      </c>
      <c r="I54" s="776" t="n">
        <v>45677</v>
      </c>
      <c r="J54" s="776" t="n">
        <v>45684</v>
      </c>
      <c r="K54" s="776" t="n">
        <v>45691</v>
      </c>
      <c r="L54" s="776" t="n">
        <v>45698</v>
      </c>
      <c r="M54" s="776" t="n">
        <v>45705</v>
      </c>
      <c r="N54" s="776" t="n">
        <v>45712</v>
      </c>
      <c r="O54" s="776" t="n">
        <v>45719</v>
      </c>
      <c r="P54" s="776" t="n">
        <v>45726</v>
      </c>
      <c r="Q54" s="776" t="n">
        <v>45733</v>
      </c>
      <c r="R54" s="777" t="n">
        <v>45740</v>
      </c>
      <c r="S54" s="776" t="n">
        <v>45747</v>
      </c>
      <c r="T54" s="776" t="n">
        <v>45754</v>
      </c>
      <c r="U54" s="776" t="n">
        <v>45761</v>
      </c>
      <c r="V54" s="776" t="n">
        <v>45768</v>
      </c>
      <c r="W54" s="776" t="n">
        <v>45775</v>
      </c>
      <c r="X54" s="776" t="n">
        <v>45782</v>
      </c>
      <c r="Y54" s="776" t="n">
        <v>45789</v>
      </c>
      <c r="Z54" s="776" t="n">
        <v>45796</v>
      </c>
      <c r="AA54" s="776" t="n">
        <v>45803</v>
      </c>
      <c r="AB54" s="776" t="n">
        <v>45810</v>
      </c>
      <c r="AC54" s="776" t="n">
        <v>45817</v>
      </c>
      <c r="AD54" s="776" t="n">
        <v>45824</v>
      </c>
      <c r="AE54" s="776" t="n">
        <v>45831</v>
      </c>
      <c r="AF54" s="776" t="n">
        <v>45838</v>
      </c>
      <c r="AG54" s="776" t="n">
        <v>45845</v>
      </c>
      <c r="AH54" s="776" t="n">
        <v>45852</v>
      </c>
      <c r="AI54" s="776" t="n">
        <v>45859</v>
      </c>
      <c r="AJ54" s="776" t="n">
        <v>45866</v>
      </c>
      <c r="AK54" s="776" t="n">
        <v>45873</v>
      </c>
      <c r="AL54" s="776" t="n">
        <v>45880</v>
      </c>
      <c r="AM54" s="776" t="n">
        <v>45887</v>
      </c>
      <c r="AN54" s="776" t="n">
        <v>45894</v>
      </c>
      <c r="AO54" s="776" t="n">
        <v>45901</v>
      </c>
      <c r="AP54" s="776" t="n">
        <v>45908</v>
      </c>
      <c r="AQ54" s="776" t="n">
        <v>45915</v>
      </c>
      <c r="AR54" s="776" t="n">
        <v>45922</v>
      </c>
      <c r="AS54" s="776" t="n">
        <v>45929</v>
      </c>
      <c r="AT54" s="776" t="n">
        <v>45936</v>
      </c>
      <c r="AU54" s="776" t="n">
        <v>45943</v>
      </c>
      <c r="AV54" s="776" t="n">
        <v>45950</v>
      </c>
      <c r="AW54" s="776" t="n">
        <v>45957</v>
      </c>
      <c r="AX54" s="776" t="n">
        <v>45964</v>
      </c>
      <c r="AY54" s="776" t="n">
        <v>45971</v>
      </c>
      <c r="AZ54" s="776" t="n">
        <v>45978</v>
      </c>
      <c r="BA54" s="776" t="n">
        <v>45985</v>
      </c>
      <c r="BB54" s="776" t="n">
        <v>45992</v>
      </c>
      <c r="BC54" s="776" t="n">
        <v>45999</v>
      </c>
      <c r="BD54" s="776" t="n">
        <v>46006</v>
      </c>
      <c r="BE54" s="776" t="n">
        <v>46013</v>
      </c>
      <c r="BF54" s="776" t="n">
        <v>46020</v>
      </c>
      <c r="BG54" s="776" t="n">
        <v>46027</v>
      </c>
      <c r="BH54" s="776" t="n">
        <v>46034</v>
      </c>
      <c r="BI54" s="776" t="n">
        <v>46041</v>
      </c>
      <c r="BJ54" s="776" t="n">
        <v>46048</v>
      </c>
      <c r="BK54" s="776" t="n">
        <v>46055</v>
      </c>
      <c r="BL54" s="776" t="n">
        <v>46062</v>
      </c>
      <c r="BM54" s="776" t="n">
        <v>46069</v>
      </c>
      <c r="BN54" s="776" t="n">
        <v>46076</v>
      </c>
      <c r="BO54" s="776" t="n">
        <v>46083</v>
      </c>
      <c r="BP54" s="776" t="n">
        <v>46090</v>
      </c>
      <c r="BQ54" s="776" t="n">
        <v>46097</v>
      </c>
      <c r="BR54" s="776" t="n">
        <v>46104</v>
      </c>
      <c r="BS54" s="776" t="n">
        <v>46111</v>
      </c>
      <c r="BT54" s="776" t="n">
        <v>46118</v>
      </c>
      <c r="BU54" s="776" t="n">
        <v>46125</v>
      </c>
      <c r="BV54" s="776" t="n">
        <v>46132</v>
      </c>
      <c r="BW54" s="776" t="n">
        <v>46139</v>
      </c>
      <c r="BX54" s="776" t="n">
        <v>46146</v>
      </c>
      <c r="BY54" s="776" t="n">
        <v>46154</v>
      </c>
      <c r="BZ54" s="776" t="n">
        <v>46160</v>
      </c>
      <c r="CA54" s="779" t="n">
        <v>46161.48023508102</v>
      </c>
      <c r="CB54" s="779" t="n">
        <v>46161.48089405427</v>
      </c>
      <c r="CE54" s="573" t="n"/>
      <c r="CH54" s="573" t="n"/>
      <c r="CI54" s="59" t="n"/>
      <c r="CJ54" s="59" t="n"/>
      <c r="CK54" s="59" t="n"/>
      <c r="CL54" s="59" t="n"/>
      <c r="CN54" s="59" t="n"/>
      <c r="CO54" s="59" t="n"/>
      <c r="CP54" s="59" t="n"/>
      <c r="CW54" s="59" t="n"/>
      <c r="CX54" s="59" t="n"/>
      <c r="CY54" s="59" t="n"/>
      <c r="CZ54" s="59" t="n"/>
      <c r="DA54" s="59" t="n"/>
      <c r="DB54" s="59" t="n"/>
      <c r="DC54" s="59" t="n"/>
      <c r="DD54" s="59" t="n"/>
      <c r="DE54" s="573" t="n"/>
      <c r="DF54" s="59" t="n"/>
      <c r="DG54" s="59" t="n"/>
      <c r="DH54" s="59" t="n"/>
      <c r="DI54" s="59" t="n"/>
      <c r="DJ54" s="59" t="n"/>
      <c r="DK54" s="59" t="n"/>
      <c r="DL54" s="174" t="n"/>
      <c r="DM54" s="174" t="n"/>
      <c r="DN54" s="59" t="n"/>
      <c r="DO54" s="174" t="n"/>
      <c r="DP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A54" s="573" t="n"/>
      <c r="EB54" s="573" t="n"/>
      <c r="EC54" s="573" t="n"/>
      <c r="EF54" s="573" t="n"/>
      <c r="EG54" s="573" t="n"/>
      <c r="EO54" s="327" t="n"/>
      <c r="EQ54" s="327" t="n"/>
      <c r="ET54" s="573" t="n"/>
      <c r="EW54" s="573" t="n"/>
      <c r="FA54" s="573" t="n"/>
    </row>
    <row r="55">
      <c r="A55" s="781" t="inlineStr">
        <is>
          <t>ARBO ATLANTICA</t>
        </is>
      </c>
      <c r="B55" s="731" t="n"/>
      <c r="C55" s="731" t="n"/>
      <c r="D55" s="775" t="n"/>
      <c r="S55" s="697" t="n">
        <v>0</v>
      </c>
      <c r="T55" s="697" t="n">
        <v>95</v>
      </c>
      <c r="U55" s="697" t="n">
        <v>95</v>
      </c>
      <c r="V55" s="697" t="n">
        <v>95</v>
      </c>
      <c r="W55" s="697" t="n">
        <v>95</v>
      </c>
      <c r="X55" s="697" t="n">
        <v>95</v>
      </c>
      <c r="Y55" s="697" t="n">
        <v>95</v>
      </c>
      <c r="Z55" s="697" t="n">
        <v>50</v>
      </c>
      <c r="AA55" s="697" t="n">
        <v>56</v>
      </c>
      <c r="AB55" s="697" t="n">
        <v>45</v>
      </c>
      <c r="AC55" s="697" t="n">
        <v>0</v>
      </c>
      <c r="AD55" s="697" t="n">
        <v>0</v>
      </c>
      <c r="AE55" s="697" t="n">
        <v>0</v>
      </c>
      <c r="AF55" s="697" t="n">
        <v>0</v>
      </c>
      <c r="AG55" s="697" t="n">
        <v>0</v>
      </c>
      <c r="AH55" s="697" t="n">
        <v>0</v>
      </c>
      <c r="AI55" s="697" t="n"/>
      <c r="AJ55" s="697" t="n"/>
      <c r="AK55" s="697" t="n"/>
      <c r="AL55" s="697" t="n"/>
      <c r="AM55" s="697" t="n"/>
      <c r="AN55" s="697" t="n"/>
      <c r="AO55" s="697" t="n"/>
      <c r="AP55" s="697" t="n"/>
      <c r="AQ55" s="697" t="n"/>
      <c r="AR55" s="697" t="n"/>
      <c r="AS55" s="697" t="n"/>
      <c r="AT55" s="697" t="n"/>
      <c r="AU55" s="697" t="n"/>
      <c r="AV55" s="697" t="n"/>
      <c r="AW55" s="697" t="n"/>
      <c r="AX55" s="697" t="n"/>
      <c r="AY55" s="697" t="n"/>
      <c r="AZ55" s="697" t="n"/>
      <c r="BA55" s="697" t="n"/>
      <c r="BB55" s="697" t="n"/>
      <c r="BC55" s="697" t="n"/>
      <c r="BD55" s="697" t="n"/>
      <c r="BE55" s="697" t="n"/>
      <c r="BF55" s="697" t="n"/>
      <c r="BG55" s="697" t="n">
        <v>0</v>
      </c>
      <c r="BH55" s="697" t="n">
        <v>0</v>
      </c>
      <c r="BI55" s="697" t="n">
        <v>0</v>
      </c>
      <c r="BJ55" s="697" t="n">
        <v>0</v>
      </c>
      <c r="BK55" s="697" t="n">
        <v>0</v>
      </c>
      <c r="BL55" s="697" t="n">
        <v>0</v>
      </c>
      <c r="BM55" s="697" t="n">
        <v>0</v>
      </c>
      <c r="BN55" s="697" t="n">
        <v>0</v>
      </c>
      <c r="BO55" s="697" t="n">
        <v>0</v>
      </c>
      <c r="BP55" s="697" t="n">
        <v>0</v>
      </c>
      <c r="BQ55" s="697" t="n">
        <v>0</v>
      </c>
      <c r="BR55" s="697" t="n">
        <v>0</v>
      </c>
      <c r="BS55" s="697" t="n">
        <v>0</v>
      </c>
      <c r="BT55" s="697" t="n">
        <v>0</v>
      </c>
      <c r="BU55" s="697" t="n">
        <v>0</v>
      </c>
      <c r="BV55" s="697" t="n">
        <v>0</v>
      </c>
      <c r="BW55" s="697" t="n">
        <v>0</v>
      </c>
      <c r="BX55" s="697" t="n">
        <v>0</v>
      </c>
      <c r="BY55" s="697" t="n">
        <v>0</v>
      </c>
      <c r="BZ55" s="697" t="n"/>
      <c r="CA55" s="699" t="n"/>
      <c r="CB55" s="699" t="n"/>
      <c r="CH55" s="573" t="n"/>
      <c r="CI55" s="573" t="n"/>
      <c r="CJ55" s="573" t="n"/>
      <c r="CK55" s="573" t="n"/>
      <c r="CL55" s="573" t="n"/>
      <c r="CN55" s="573" t="n"/>
      <c r="CO55" s="573" t="n"/>
      <c r="CP55" s="573" t="n"/>
    </row>
    <row r="56">
      <c r="A56" s="781" t="inlineStr">
        <is>
          <t>EGEO DOLCE ILUSION</t>
        </is>
      </c>
      <c r="B56" s="731" t="n"/>
      <c r="C56" s="731" t="n"/>
      <c r="D56" s="775" t="n"/>
      <c r="AP56" s="697" t="n"/>
      <c r="AQ56" s="697" t="n"/>
      <c r="AR56" s="697" t="n"/>
      <c r="AS56" s="697" t="n"/>
      <c r="AT56" s="697" t="n"/>
      <c r="AU56" s="697" t="n"/>
      <c r="AV56" s="697" t="n"/>
      <c r="AW56" s="697" t="n"/>
      <c r="AX56" s="697" t="n"/>
      <c r="AY56" s="697" t="n"/>
      <c r="AZ56" s="697" t="n">
        <v>0</v>
      </c>
      <c r="BA56" s="697" t="n">
        <v>225</v>
      </c>
      <c r="BB56" s="697" t="n">
        <v>206</v>
      </c>
      <c r="BC56" s="697" t="n">
        <v>186</v>
      </c>
      <c r="BD56" s="697" t="n">
        <v>178</v>
      </c>
      <c r="BE56" s="697" t="n">
        <v>150</v>
      </c>
      <c r="BF56" s="697" t="n">
        <v>80</v>
      </c>
      <c r="BG56" s="697" t="n">
        <v>70</v>
      </c>
      <c r="BH56" s="697" t="n">
        <v>70</v>
      </c>
      <c r="BI56" s="697" t="n">
        <v>184</v>
      </c>
      <c r="BJ56" s="697" t="n">
        <v>184</v>
      </c>
      <c r="BK56" s="697" t="n">
        <v>184</v>
      </c>
      <c r="BL56" s="697" t="n">
        <v>179</v>
      </c>
      <c r="BM56" s="697" t="n">
        <v>170</v>
      </c>
      <c r="BN56" s="697" t="n">
        <v>170</v>
      </c>
      <c r="BO56" s="697" t="n">
        <v>160</v>
      </c>
      <c r="BP56" s="697" t="n">
        <v>50</v>
      </c>
      <c r="BQ56" s="697" t="n">
        <v>20</v>
      </c>
      <c r="BR56" s="697" t="n">
        <v>121</v>
      </c>
      <c r="BS56" s="697" t="n">
        <v>121</v>
      </c>
      <c r="BT56" s="697" t="n">
        <v>0</v>
      </c>
      <c r="BU56" s="697" t="n">
        <v>0</v>
      </c>
      <c r="BV56" s="697" t="n">
        <v>0</v>
      </c>
      <c r="BW56" s="697" t="n">
        <v>0</v>
      </c>
      <c r="BX56" s="697" t="n">
        <v>0</v>
      </c>
      <c r="BY56" s="697" t="n">
        <v>0</v>
      </c>
      <c r="BZ56" s="697" t="n"/>
      <c r="CA56" s="699" t="n"/>
      <c r="CB56" s="699" t="n"/>
      <c r="CH56" s="573" t="n"/>
      <c r="CI56" s="573" t="n"/>
      <c r="CJ56" s="573" t="n"/>
      <c r="CK56" s="573" t="n"/>
      <c r="CL56" s="573" t="n"/>
      <c r="CN56" s="573" t="n"/>
      <c r="CO56" s="573" t="n"/>
      <c r="CP56" s="573" t="n"/>
    </row>
    <row r="57">
      <c r="A57" s="781" t="inlineStr">
        <is>
          <t>HADYA</t>
        </is>
      </c>
      <c r="B57" s="731" t="n"/>
      <c r="C57" s="731" t="n"/>
      <c r="D57" s="775" t="n"/>
      <c r="AZ57" s="697" t="n">
        <v>0</v>
      </c>
      <c r="BA57" s="697" t="n">
        <v>93</v>
      </c>
      <c r="BB57" s="697" t="n">
        <v>59</v>
      </c>
      <c r="BC57" s="697" t="n">
        <v>39</v>
      </c>
      <c r="BD57" s="697" t="n">
        <v>25</v>
      </c>
      <c r="BE57" s="697" t="n">
        <v>20</v>
      </c>
      <c r="BF57" s="697" t="n">
        <v>0</v>
      </c>
      <c r="BG57" s="697" t="n">
        <v>0</v>
      </c>
      <c r="BH57" s="697" t="n">
        <v>0</v>
      </c>
      <c r="BI57" s="697" t="n">
        <v>15</v>
      </c>
      <c r="BJ57" s="697" t="n">
        <v>15</v>
      </c>
      <c r="BK57" s="697" t="n">
        <v>15</v>
      </c>
      <c r="BL57" s="697" t="n">
        <v>15</v>
      </c>
      <c r="BM57" s="697" t="n">
        <v>10</v>
      </c>
      <c r="BN57" s="697" t="n">
        <v>10</v>
      </c>
      <c r="BO57" s="697" t="n">
        <v>0</v>
      </c>
      <c r="BP57" s="697" t="n">
        <v>0</v>
      </c>
      <c r="BQ57" s="697" t="n">
        <v>0</v>
      </c>
      <c r="BR57" s="697" t="n">
        <v>7</v>
      </c>
      <c r="BS57" s="697" t="n">
        <v>7</v>
      </c>
      <c r="BT57" s="697" t="n">
        <v>0</v>
      </c>
      <c r="BU57" s="697" t="n">
        <v>0</v>
      </c>
      <c r="BV57" s="697" t="n">
        <v>0</v>
      </c>
      <c r="BW57" s="697" t="n">
        <v>0</v>
      </c>
      <c r="BX57" s="697" t="n">
        <v>0</v>
      </c>
      <c r="BY57" s="697" t="n">
        <v>0</v>
      </c>
      <c r="BZ57" s="697" t="n"/>
      <c r="CA57" s="699" t="n"/>
      <c r="CB57" s="699" t="n"/>
    </row>
    <row r="58">
      <c r="A58" s="781" t="inlineStr">
        <is>
          <t>CLASH</t>
        </is>
      </c>
      <c r="B58" s="731" t="n"/>
      <c r="C58" s="731" t="n"/>
      <c r="D58" s="775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>
        <v>0</v>
      </c>
      <c r="BL58" s="697" t="n">
        <v>25</v>
      </c>
      <c r="BM58" s="697" t="n">
        <v>25</v>
      </c>
      <c r="BN58" s="697" t="n">
        <v>25</v>
      </c>
      <c r="BO58" s="697" t="n">
        <v>15</v>
      </c>
      <c r="BP58" s="697" t="n">
        <v>10</v>
      </c>
      <c r="BQ58" s="697" t="n">
        <v>10</v>
      </c>
      <c r="BR58" s="697" t="n">
        <v>10</v>
      </c>
      <c r="BS58" s="697" t="n">
        <v>10</v>
      </c>
      <c r="BT58" s="697" t="n">
        <v>0</v>
      </c>
      <c r="BU58" s="697" t="n">
        <v>0</v>
      </c>
      <c r="BV58" s="697" t="n">
        <v>0</v>
      </c>
      <c r="BW58" s="697" t="n">
        <v>0</v>
      </c>
      <c r="BX58" s="697" t="n">
        <v>0</v>
      </c>
      <c r="BY58" s="697" t="n">
        <v>0</v>
      </c>
      <c r="BZ58" s="697" t="n"/>
      <c r="CA58" s="699" t="n"/>
      <c r="CB58" s="699" t="n"/>
    </row>
    <row r="59">
      <c r="A59" s="781" t="inlineStr">
        <is>
          <t>cereja de fases</t>
        </is>
      </c>
      <c r="B59" s="731" t="n"/>
      <c r="C59" s="731" t="n"/>
      <c r="D59" s="775" t="n"/>
      <c r="BM59" s="697" t="n">
        <v>0</v>
      </c>
      <c r="BN59" s="697" t="n">
        <v>0</v>
      </c>
      <c r="BO59" s="697" t="n">
        <v>0</v>
      </c>
      <c r="BP59" s="697" t="n">
        <v>0</v>
      </c>
      <c r="BQ59" s="697" t="n">
        <v>0</v>
      </c>
      <c r="BR59" s="697" t="n">
        <v>68</v>
      </c>
      <c r="BS59" s="697" t="n">
        <v>68</v>
      </c>
      <c r="BT59" s="697" t="n">
        <v>0</v>
      </c>
      <c r="BU59" s="697" t="n">
        <v>32</v>
      </c>
      <c r="BV59" s="697" t="n">
        <v>32</v>
      </c>
      <c r="BW59" s="697" t="n">
        <v>32</v>
      </c>
      <c r="BX59" s="697" t="n">
        <v>32</v>
      </c>
      <c r="BY59" s="697" t="n">
        <v>32</v>
      </c>
      <c r="BZ59" s="697" t="n"/>
      <c r="CA59" s="699" t="n"/>
      <c r="CB59" s="699" t="n"/>
    </row>
    <row r="60">
      <c r="A60" s="781" t="inlineStr">
        <is>
          <t>botik</t>
        </is>
      </c>
      <c r="B60" s="731" t="n"/>
      <c r="C60" s="731" t="n"/>
      <c r="D60" s="775" t="n"/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115</v>
      </c>
      <c r="BS60" s="697" t="n">
        <v>115</v>
      </c>
      <c r="BT60" s="697" t="n">
        <v>110</v>
      </c>
      <c r="BU60" s="697" t="n">
        <v>110</v>
      </c>
      <c r="BV60" s="697" t="n">
        <v>110</v>
      </c>
      <c r="BW60" s="697" t="n">
        <v>110</v>
      </c>
      <c r="BX60" s="697" t="n">
        <v>100</v>
      </c>
      <c r="BY60" s="697" t="n">
        <v>100</v>
      </c>
      <c r="BZ60" s="697" t="n"/>
      <c r="CA60" s="699" t="n"/>
      <c r="CB60" s="699" t="n"/>
    </row>
    <row r="61">
      <c r="A61" s="781" t="inlineStr">
        <is>
          <t>RESVERATROL+SILICIO</t>
        </is>
      </c>
      <c r="B61" s="731" t="n"/>
      <c r="C61" s="731" t="n"/>
      <c r="D61" s="775" t="n"/>
      <c r="BM61" s="697" t="n"/>
      <c r="BN61" s="697" t="n"/>
      <c r="BO61" s="697" t="n"/>
      <c r="BP61" s="697" t="n"/>
      <c r="BQ61" s="697" t="n">
        <v>0</v>
      </c>
      <c r="BR61" s="697" t="n">
        <v>0</v>
      </c>
      <c r="BS61" s="697" t="n">
        <v>0</v>
      </c>
      <c r="BT61" s="697" t="n">
        <v>0</v>
      </c>
      <c r="BU61" s="697" t="n">
        <v>10</v>
      </c>
      <c r="BV61" s="697" t="n">
        <v>10</v>
      </c>
      <c r="BW61" s="697" t="n">
        <v>10</v>
      </c>
      <c r="BX61" s="697" t="n">
        <v>0</v>
      </c>
      <c r="BY61" s="697" t="n">
        <v>0</v>
      </c>
      <c r="BZ61" s="697" t="n"/>
      <c r="CA61" s="699" t="n"/>
      <c r="CB61" s="699" t="n"/>
    </row>
    <row r="62">
      <c r="A62" s="781" t="n"/>
      <c r="B62" s="731" t="n"/>
      <c r="C62" s="731" t="n"/>
      <c r="D62" s="775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  <c r="BZ62" s="697" t="n"/>
      <c r="CA62" s="699" t="n"/>
      <c r="CB62" s="699" t="n"/>
    </row>
  </sheetData>
  <mergeCells count="18">
    <mergeCell ref="A5:A6"/>
    <mergeCell ref="A56:D56"/>
    <mergeCell ref="B3:D3"/>
    <mergeCell ref="A61:D61"/>
    <mergeCell ref="A58:D58"/>
    <mergeCell ref="F5:BZ5"/>
    <mergeCell ref="A62:D62"/>
    <mergeCell ref="A54:D54"/>
    <mergeCell ref="A55:D55"/>
    <mergeCell ref="FC7:FK7"/>
    <mergeCell ref="A59:D59"/>
    <mergeCell ref="A57:D57"/>
    <mergeCell ref="A1:CA1"/>
    <mergeCell ref="D5:D6"/>
    <mergeCell ref="A60:D60"/>
    <mergeCell ref="B5:B6"/>
    <mergeCell ref="B2:D2"/>
    <mergeCell ref="C5:C6"/>
  </mergeCells>
  <conditionalFormatting sqref="CC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Planilha29">
    <tabColor theme="9"/>
    <outlinePr summaryBelow="1" summaryRight="1"/>
    <pageSetUpPr/>
  </sheetPr>
  <dimension ref="A1:JS62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9.140625" customWidth="1" style="42" min="1" max="1"/>
    <col width="12.42578125" customWidth="1" style="5" min="2" max="2"/>
    <col width="14.42578125" bestFit="1" customWidth="1" style="5" min="3" max="4"/>
    <col width="1.85546875" customWidth="1" style="5" min="5" max="5"/>
    <col hidden="1" width="9" customWidth="1" style="5" min="6" max="75"/>
    <col width="9" customWidth="1" style="5" min="76" max="77"/>
    <col width="9.7109375" customWidth="1" style="5" min="78" max="78"/>
    <col width="1.140625" customWidth="1" style="5" min="79" max="79"/>
    <col width="14.28515625" bestFit="1" customWidth="1" style="2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7"/>
    <col width="8.7109375" customWidth="1" style="59" min="88" max="88"/>
    <col width="9.28515625" customWidth="1" style="29" min="89" max="90"/>
    <col hidden="1" width="9.28515625" customWidth="1" style="29" min="91" max="91"/>
    <col hidden="1" width="11" customWidth="1" style="29" min="92" max="92"/>
    <col hidden="1" width="9.28515625" customWidth="1" style="29" min="93" max="103"/>
    <col hidden="1" width="12.85546875" customWidth="1" style="29" min="104" max="104"/>
    <col hidden="1" width="9.28515625" customWidth="1" style="29" min="105" max="105"/>
    <col hidden="1" width="8.7109375" customWidth="1" style="59" min="106" max="106"/>
    <col hidden="1" width="12.85546875" customWidth="1" style="29" min="107" max="108"/>
    <col hidden="1" width="9.28515625" customWidth="1" style="29" min="109" max="112"/>
    <col hidden="1" width="14.42578125" customWidth="1" style="29" min="113" max="114"/>
    <col hidden="1" width="9.28515625" customWidth="1" style="29" min="115" max="115"/>
    <col hidden="1" width="9.7109375" customWidth="1" style="29" min="116" max="116"/>
    <col hidden="1" width="9.28515625" customWidth="1" style="29" min="117" max="117"/>
    <col hidden="1" width="12.85546875" customWidth="1" style="29" min="118" max="118"/>
    <col hidden="1" width="8.140625" customWidth="1" style="29" min="119" max="119"/>
    <col hidden="1" width="9.28515625" customWidth="1" style="29" min="120" max="121"/>
    <col hidden="1" width="13" customWidth="1" style="29" min="122" max="122"/>
    <col hidden="1" width="9.28515625" customWidth="1" style="29" min="123" max="125"/>
    <col hidden="1" width="14" customWidth="1" style="29" min="126" max="126"/>
    <col hidden="1" width="17.5703125" customWidth="1" style="59" min="127" max="127"/>
    <col hidden="1" width="11" customWidth="1" style="59" min="128" max="128"/>
    <col hidden="1" width="8.7109375" customWidth="1" style="59" min="129" max="129"/>
    <col hidden="1" width="9.28515625" customWidth="1" style="29" min="130" max="132"/>
    <col hidden="1" width="13.140625" customWidth="1" style="29" min="133" max="134"/>
    <col hidden="1" width="9.28515625" customWidth="1" style="29" min="135" max="135"/>
    <col hidden="1" width="13.5703125" customWidth="1" style="29" min="136" max="136"/>
    <col hidden="1" width="9.7109375" customWidth="1" style="29" min="137" max="137"/>
    <col hidden="1" width="9.28515625" customWidth="1" style="29" min="138" max="141"/>
    <col hidden="1" width="14.85546875" customWidth="1" style="323" min="142" max="142"/>
    <col hidden="1" width="9.28515625" customWidth="1" style="29" min="143" max="143"/>
    <col hidden="1" width="12" customWidth="1" style="323" min="144" max="144"/>
    <col hidden="1" width="9.28515625" customWidth="1" style="29" min="145" max="146"/>
    <col hidden="1" width="12.7109375" customWidth="1" style="29" min="147" max="147"/>
    <col hidden="1" width="9.28515625" customWidth="1" style="29" min="148" max="149"/>
    <col hidden="1" width="26.140625" customWidth="1" style="59" min="150" max="150"/>
    <col hidden="1" width="9.28515625" customWidth="1" style="29" min="151" max="153"/>
    <col hidden="1" width="23.7109375" customWidth="1" style="59" min="154" max="154"/>
    <col hidden="1" width="9.28515625" customWidth="1" style="29" min="155" max="156"/>
    <col width="6.42578125" customWidth="1" style="5" min="157" max="157"/>
    <col width="21.85546875" bestFit="1" customWidth="1" style="5" min="158" max="158"/>
    <col width="9.140625" customWidth="1" style="5" min="159" max="159"/>
    <col hidden="1" width="13" customWidth="1" style="5" min="160" max="163"/>
    <col width="9.140625" customWidth="1" style="5" min="164" max="16384"/>
  </cols>
  <sheetData>
    <row r="1" ht="23.25" customHeight="1">
      <c r="A1" s="488" t="inlineStr">
        <is>
          <t>Controle de Contagem Semanal - Antilhas</t>
        </is>
      </c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49" t="n"/>
      <c r="DC1" s="132" t="n"/>
      <c r="DD1" s="132" t="n"/>
      <c r="DE1" s="132" t="n"/>
      <c r="DF1" s="132" t="n"/>
      <c r="DG1" s="132" t="n"/>
      <c r="DH1" s="132" t="n"/>
      <c r="DI1" s="149" t="n"/>
      <c r="DJ1" s="149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32" t="n"/>
      <c r="DW1" s="149" t="n"/>
      <c r="DX1" s="149" t="n"/>
      <c r="DY1" s="149" t="n"/>
      <c r="DZ1" s="132" t="n"/>
      <c r="EA1" s="132" t="n"/>
      <c r="EB1" s="132" t="n"/>
      <c r="EC1" s="132" t="n"/>
      <c r="ED1" s="132" t="n"/>
      <c r="EE1" s="132" t="n"/>
      <c r="EF1" s="149" t="n"/>
      <c r="EG1" s="149" t="n"/>
      <c r="EH1" s="132" t="n"/>
      <c r="EI1" s="132" t="n"/>
      <c r="EJ1" s="132" t="n"/>
      <c r="EK1" s="132" t="n"/>
      <c r="EL1" s="488" t="n"/>
      <c r="EM1" s="132" t="n"/>
      <c r="EN1" s="488" t="n"/>
      <c r="EO1" s="132" t="n"/>
      <c r="EP1" s="132" t="n"/>
      <c r="EQ1" s="132" t="n"/>
      <c r="ER1" s="132" t="n"/>
      <c r="ES1" s="132" t="n"/>
      <c r="ET1" s="149" t="n"/>
      <c r="EU1" s="132" t="n"/>
      <c r="EV1" s="132" t="n"/>
      <c r="EW1" s="132" t="n"/>
      <c r="EX1" s="149" t="n"/>
      <c r="EY1" s="132" t="n"/>
      <c r="EZ1" s="132" t="n"/>
    </row>
    <row r="2">
      <c r="A2" s="43" t="inlineStr">
        <is>
          <t>LOJA:</t>
        </is>
      </c>
      <c r="B2" s="722" t="inlineStr">
        <is>
          <t>QUADRA 7</t>
        </is>
      </c>
      <c r="C2" s="723" t="n"/>
      <c r="D2" s="724" t="n"/>
      <c r="CB2" s="5" t="n"/>
      <c r="CC2" s="5" t="n"/>
      <c r="CD2" s="5" t="n"/>
      <c r="CE2" s="5" t="n"/>
      <c r="DI2" s="5" t="n"/>
      <c r="DJ2" s="5" t="n"/>
      <c r="DL2" s="5" t="n"/>
      <c r="EF2" s="5" t="n"/>
      <c r="EG2" s="5" t="n"/>
    </row>
    <row r="3">
      <c r="A3" s="43" t="inlineStr">
        <is>
          <t>Responsável:</t>
        </is>
      </c>
      <c r="B3" s="725" t="inlineStr">
        <is>
          <t>ODILSÉIA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CE3" s="5" t="n"/>
      <c r="DI3" s="726" t="n"/>
      <c r="DJ3" s="726" t="n"/>
      <c r="DL3" s="726" t="n"/>
      <c r="EF3" s="726" t="n"/>
      <c r="EG3" s="726" t="n"/>
    </row>
    <row r="4" ht="8.25" customHeight="1">
      <c r="CC4" s="5" t="n"/>
      <c r="CD4" s="5" t="n"/>
      <c r="CE4" s="5" t="n"/>
      <c r="CJ4" s="249" t="n"/>
      <c r="DB4" s="249" t="n"/>
      <c r="DI4" s="5" t="n"/>
      <c r="DJ4" s="5" t="n"/>
      <c r="DL4" s="5" t="n"/>
      <c r="DW4" s="249" t="n"/>
      <c r="DX4" s="249" t="n"/>
      <c r="DY4" s="249" t="n"/>
      <c r="EF4" s="5" t="n"/>
      <c r="EG4" s="5" t="n"/>
      <c r="EL4" s="324" t="n"/>
      <c r="EN4" s="324" t="n"/>
      <c r="ET4" s="249" t="n"/>
      <c r="EX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B5" s="44" t="inlineStr">
        <is>
          <t>Pendências</t>
        </is>
      </c>
      <c r="CC5" s="5" t="n"/>
      <c r="CD5" s="12" t="inlineStr">
        <is>
          <t>Novo Pedido</t>
        </is>
      </c>
      <c r="CE5" s="5" t="n"/>
      <c r="CF5" s="734" t="n"/>
      <c r="CG5" s="734" t="n">
        <v>46142</v>
      </c>
      <c r="CH5" s="734" t="n">
        <v>46114</v>
      </c>
      <c r="CI5" s="734" t="n">
        <v>46107</v>
      </c>
      <c r="CJ5" s="735" t="n">
        <v>46065</v>
      </c>
      <c r="CK5" s="734" t="n">
        <v>46099</v>
      </c>
      <c r="CL5" s="734" t="n">
        <v>46092</v>
      </c>
      <c r="CM5" s="734" t="n">
        <v>46071</v>
      </c>
      <c r="CN5" s="736" t="inlineStr">
        <is>
          <t>TRANSF.</t>
        </is>
      </c>
      <c r="CO5" s="734" t="n">
        <v>46048</v>
      </c>
      <c r="CP5" s="734" t="n">
        <v>46043</v>
      </c>
      <c r="CQ5" s="734" t="n">
        <v>46029</v>
      </c>
      <c r="CR5" s="734" t="n">
        <v>46024</v>
      </c>
      <c r="CS5" s="734" t="n">
        <v>46017</v>
      </c>
      <c r="CT5" s="734" t="n">
        <v>46007</v>
      </c>
      <c r="CU5" s="734" t="n">
        <v>46001</v>
      </c>
      <c r="CV5" s="734" t="n">
        <v>45994</v>
      </c>
      <c r="CW5" s="734" t="n">
        <v>45986</v>
      </c>
      <c r="CX5" s="734" t="n">
        <v>45973</v>
      </c>
      <c r="CY5" s="734" t="n">
        <v>45960</v>
      </c>
      <c r="CZ5" s="736" t="inlineStr">
        <is>
          <t>TRANSF.</t>
        </is>
      </c>
      <c r="DA5" s="734" t="n">
        <v>45951</v>
      </c>
      <c r="DB5" s="737" t="n">
        <v>45903</v>
      </c>
      <c r="DC5" s="736" t="inlineStr">
        <is>
          <t>TRANSF.</t>
        </is>
      </c>
      <c r="DD5" s="736" t="inlineStr">
        <is>
          <t>TRANSF.</t>
        </is>
      </c>
      <c r="DE5" s="734" t="n">
        <v>45937</v>
      </c>
      <c r="DF5" s="734" t="n">
        <v>45931</v>
      </c>
      <c r="DG5" s="734" t="n">
        <v>45923</v>
      </c>
      <c r="DH5" s="734" t="n">
        <v>45923</v>
      </c>
      <c r="DI5" s="738" t="inlineStr">
        <is>
          <t>TRANSF.</t>
        </is>
      </c>
      <c r="DJ5" s="738" t="inlineStr">
        <is>
          <t>TRANSF.</t>
        </is>
      </c>
      <c r="DK5" s="734" t="n">
        <v>45915</v>
      </c>
      <c r="DL5" s="738" t="n">
        <v>45863</v>
      </c>
      <c r="DM5" s="734" t="n">
        <v>45909</v>
      </c>
      <c r="DN5" s="736" t="inlineStr">
        <is>
          <t>TRANSF.</t>
        </is>
      </c>
      <c r="DO5" s="734" t="n">
        <v>45895</v>
      </c>
      <c r="DP5" s="734" t="n">
        <v>45888</v>
      </c>
      <c r="DQ5" s="734" t="n">
        <v>45881</v>
      </c>
      <c r="DR5" s="739" t="inlineStr">
        <is>
          <t>TRANSF.</t>
        </is>
      </c>
      <c r="DS5" s="734" t="n">
        <v>45874</v>
      </c>
      <c r="DT5" s="734" t="n">
        <v>45853</v>
      </c>
      <c r="DU5" s="734" t="n">
        <v>45848</v>
      </c>
      <c r="DV5" s="736" t="inlineStr">
        <is>
          <t>TRANSF.</t>
        </is>
      </c>
      <c r="DW5" s="739" t="inlineStr">
        <is>
          <t>AUTOMÁTICO</t>
        </is>
      </c>
      <c r="DX5" s="739" t="inlineStr">
        <is>
          <t>TRANSF.</t>
        </is>
      </c>
      <c r="DY5" s="739" t="n">
        <v>45791</v>
      </c>
      <c r="DZ5" s="734" t="n">
        <v>45839</v>
      </c>
      <c r="EA5" s="734" t="n">
        <v>45832</v>
      </c>
      <c r="EB5" s="734" t="n">
        <v>45825</v>
      </c>
      <c r="EC5" s="736" t="inlineStr">
        <is>
          <t>TRANSF.</t>
        </is>
      </c>
      <c r="ED5" s="736" t="inlineStr">
        <is>
          <t>TRANSF.</t>
        </is>
      </c>
      <c r="EE5" s="734" t="n">
        <v>45798</v>
      </c>
      <c r="EF5" s="742" t="inlineStr">
        <is>
          <t>TRANSF.</t>
        </is>
      </c>
      <c r="EG5" s="742" t="n">
        <v>45735</v>
      </c>
      <c r="EH5" s="734" t="n">
        <v>45790</v>
      </c>
      <c r="EI5" s="734" t="n">
        <v>45783</v>
      </c>
      <c r="EJ5" s="734" t="n">
        <v>45756</v>
      </c>
      <c r="EK5" s="734" t="n">
        <v>45749</v>
      </c>
      <c r="EL5" s="740" t="inlineStr">
        <is>
          <t>TRANSF.</t>
        </is>
      </c>
      <c r="EM5" s="734" t="n">
        <v>45743</v>
      </c>
      <c r="EN5" s="740" t="n">
        <v>45700</v>
      </c>
      <c r="EO5" s="734" t="n">
        <v>45734</v>
      </c>
      <c r="EP5" s="734" t="n">
        <v>45728</v>
      </c>
      <c r="EQ5" s="736" t="inlineStr">
        <is>
          <t>TRANSF.</t>
        </is>
      </c>
      <c r="ER5" s="734" t="n">
        <v>45706</v>
      </c>
      <c r="ES5" s="734" t="n">
        <v>45699</v>
      </c>
      <c r="ET5" s="744" t="inlineStr">
        <is>
          <t>TRANSF. NATAL/24</t>
        </is>
      </c>
      <c r="EU5" s="734" t="n">
        <v>45674</v>
      </c>
      <c r="EV5" s="734" t="n">
        <v>45664</v>
      </c>
      <c r="EW5" s="734" t="n">
        <v>45660</v>
      </c>
      <c r="EX5" s="744" t="inlineStr">
        <is>
          <t>TRANSF. NATAL/24</t>
        </is>
      </c>
      <c r="EY5" s="734" t="n">
        <v>45652</v>
      </c>
      <c r="EZ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45" t="n"/>
      <c r="CB6" s="750" t="n"/>
      <c r="CC6" s="751" t="n"/>
      <c r="CD6" s="752" t="n">
        <v>46156</v>
      </c>
      <c r="CE6" s="751" t="n"/>
      <c r="CF6" s="734" t="n"/>
      <c r="CG6" s="734" t="n">
        <v>46148</v>
      </c>
      <c r="CH6" s="734" t="n">
        <v>46122</v>
      </c>
      <c r="CI6" s="734" t="n">
        <v>46112</v>
      </c>
      <c r="CJ6" s="735" t="n">
        <v>46112</v>
      </c>
      <c r="CK6" s="734" t="n">
        <v>46106</v>
      </c>
      <c r="CL6" s="734" t="n">
        <v>46099</v>
      </c>
      <c r="CM6" s="734" t="n">
        <v>46077</v>
      </c>
      <c r="CN6" s="736" t="n">
        <v>46067</v>
      </c>
      <c r="CO6" s="734" t="n">
        <v>46056</v>
      </c>
      <c r="CP6" s="734" t="n">
        <v>46048</v>
      </c>
      <c r="CQ6" s="734" t="n">
        <v>46035</v>
      </c>
      <c r="CR6" s="734" t="n">
        <v>46035</v>
      </c>
      <c r="CS6" s="734" t="n">
        <v>46027</v>
      </c>
      <c r="CT6" s="734" t="n">
        <v>46013</v>
      </c>
      <c r="CU6" s="734" t="n">
        <v>46009</v>
      </c>
      <c r="CV6" s="734" t="n">
        <v>46002</v>
      </c>
      <c r="CW6" s="734" t="n">
        <v>45995</v>
      </c>
      <c r="CX6" s="734" t="n">
        <v>45980</v>
      </c>
      <c r="CY6" s="734" t="n">
        <v>45967</v>
      </c>
      <c r="CZ6" s="736" t="n">
        <v>45962</v>
      </c>
      <c r="DA6" s="734" t="n">
        <v>45958</v>
      </c>
      <c r="DB6" s="753" t="n">
        <v>45958</v>
      </c>
      <c r="DC6" s="736" t="n">
        <v>45955</v>
      </c>
      <c r="DD6" s="736" t="n">
        <v>45945</v>
      </c>
      <c r="DE6" s="734" t="n">
        <v>45944</v>
      </c>
      <c r="DF6" s="734" t="n">
        <v>45938</v>
      </c>
      <c r="DG6" s="734" t="n">
        <v>45936</v>
      </c>
      <c r="DH6" s="734" t="n">
        <v>45929</v>
      </c>
      <c r="DI6" s="754" t="n">
        <v>45925</v>
      </c>
      <c r="DJ6" s="754" t="n">
        <v>45923</v>
      </c>
      <c r="DK6" s="734" t="n">
        <v>45919</v>
      </c>
      <c r="DL6" s="754" t="n">
        <v>45917</v>
      </c>
      <c r="DM6" s="734" t="n">
        <v>45912</v>
      </c>
      <c r="DN6" s="736" t="n">
        <v>45902</v>
      </c>
      <c r="DO6" s="734" t="n">
        <v>45898</v>
      </c>
      <c r="DP6" s="734" t="n">
        <v>45891</v>
      </c>
      <c r="DQ6" s="734" t="n">
        <v>45889</v>
      </c>
      <c r="DR6" s="739" t="n">
        <v>45880</v>
      </c>
      <c r="DS6" s="734" t="n">
        <v>45877</v>
      </c>
      <c r="DT6" s="734" t="n">
        <v>45856</v>
      </c>
      <c r="DU6" s="734" t="n">
        <v>45853</v>
      </c>
      <c r="DV6" s="736" t="n">
        <v>45852</v>
      </c>
      <c r="DW6" s="739" t="n">
        <v>45852</v>
      </c>
      <c r="DX6" s="739" t="n">
        <v>45847</v>
      </c>
      <c r="DY6" s="739" t="n">
        <v>45845</v>
      </c>
      <c r="DZ6" s="734" t="n">
        <v>45845</v>
      </c>
      <c r="EA6" s="734" t="n">
        <v>45838</v>
      </c>
      <c r="EB6" s="734" t="n">
        <v>45828</v>
      </c>
      <c r="EC6" s="736" t="n">
        <v>45820</v>
      </c>
      <c r="ED6" s="736" t="n">
        <v>45806</v>
      </c>
      <c r="EE6" s="734" t="n">
        <v>45800</v>
      </c>
      <c r="EF6" s="755" t="n">
        <v>45799</v>
      </c>
      <c r="EG6" s="755" t="n">
        <v>45797</v>
      </c>
      <c r="EH6" s="734" t="n">
        <v>45796</v>
      </c>
      <c r="EI6" s="734" t="n">
        <v>45785</v>
      </c>
      <c r="EJ6" s="734" t="n">
        <v>45772</v>
      </c>
      <c r="EK6" s="734" t="n">
        <v>45756</v>
      </c>
      <c r="EL6" s="740" t="n">
        <v>45750</v>
      </c>
      <c r="EM6" s="734" t="n">
        <v>45749</v>
      </c>
      <c r="EN6" s="740" t="n">
        <v>45744</v>
      </c>
      <c r="EO6" s="734" t="n">
        <v>45743</v>
      </c>
      <c r="EP6" s="734" t="n">
        <v>45730</v>
      </c>
      <c r="EQ6" s="736" t="n">
        <v>45724</v>
      </c>
      <c r="ER6" s="734" t="n">
        <v>45714</v>
      </c>
      <c r="ES6" s="734" t="n">
        <v>45702</v>
      </c>
      <c r="ET6" s="744" t="n">
        <v>45698</v>
      </c>
      <c r="EU6" s="734" t="n">
        <v>45678</v>
      </c>
      <c r="EV6" s="734" t="n">
        <v>45670</v>
      </c>
      <c r="EW6" s="734" t="n">
        <v>45665</v>
      </c>
      <c r="EX6" s="744" t="n">
        <v>45663</v>
      </c>
      <c r="EY6" s="734" t="n">
        <v>45659</v>
      </c>
      <c r="EZ6" s="734" t="n">
        <v>46018</v>
      </c>
      <c r="FB6" s="5" t="n"/>
      <c r="FC6" s="5" t="n"/>
      <c r="FD6" s="5" t="n"/>
      <c r="FE6" s="5" t="n"/>
      <c r="FF6" s="5" t="n"/>
      <c r="FG6" s="5" t="n"/>
      <c r="FH6" s="5" t="n"/>
      <c r="FI6" s="5" t="n"/>
      <c r="FJ6" s="5" t="n"/>
    </row>
    <row r="7" ht="21.75" customFormat="1" customHeight="1" s="3">
      <c r="A7" s="34" t="inlineStr">
        <is>
          <t>SACOLAS</t>
        </is>
      </c>
      <c r="B7" s="7" t="n"/>
      <c r="C7" s="148" t="inlineStr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5" t="n"/>
      <c r="CB7" s="13" t="n"/>
      <c r="CD7" s="33" t="n"/>
      <c r="CF7" s="13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n"/>
      <c r="DR7" s="13" t="inlineStr">
        <is>
          <t>PAIS/25</t>
        </is>
      </c>
      <c r="DS7" s="13" t="n"/>
      <c r="DT7" s="13" t="n"/>
      <c r="DU7" s="13" t="n"/>
      <c r="DV7" s="13" t="n"/>
      <c r="DW7" s="13" t="n"/>
      <c r="DX7" s="13" t="inlineStr">
        <is>
          <t>PAIS/25</t>
        </is>
      </c>
      <c r="DY7" s="13" t="n"/>
      <c r="DZ7" s="13" t="n"/>
      <c r="EA7" s="13" t="n"/>
      <c r="EB7" s="13" t="n"/>
      <c r="EC7" s="320" t="n"/>
      <c r="ED7" s="320" t="n"/>
      <c r="EE7" s="321" t="n"/>
      <c r="EF7" s="13" t="inlineStr">
        <is>
          <t>NAMO/25</t>
        </is>
      </c>
      <c r="EG7" s="320" t="n"/>
      <c r="EH7" s="321" t="n"/>
      <c r="EI7" s="321" t="n"/>
      <c r="EJ7" s="321" t="n"/>
      <c r="EK7" s="321" t="n"/>
      <c r="EL7" s="13" t="inlineStr">
        <is>
          <t>MÃES/25</t>
        </is>
      </c>
      <c r="EM7" s="321" t="n"/>
      <c r="EN7" s="13" t="inlineStr">
        <is>
          <t>MÃES/25</t>
        </is>
      </c>
      <c r="EO7" s="321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B7" s="235" t="inlineStr">
        <is>
          <t>MÃES 2026</t>
        </is>
      </c>
      <c r="FC7" s="731" t="n"/>
      <c r="FD7" s="731" t="n"/>
      <c r="FE7" s="731" t="n"/>
      <c r="FF7" s="731" t="n"/>
      <c r="FG7" s="731" t="n"/>
      <c r="FH7" s="731" t="n"/>
      <c r="FI7" s="731" t="n"/>
      <c r="FJ7" s="775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300</v>
      </c>
      <c r="E8" s="5" t="n"/>
      <c r="F8" s="697" t="n">
        <v>850</v>
      </c>
      <c r="G8" s="697" t="n">
        <v>780</v>
      </c>
      <c r="H8" s="697">
        <f>700+EV8</f>
        <v/>
      </c>
      <c r="I8" s="697" t="n">
        <v>970</v>
      </c>
      <c r="J8" s="697" t="n">
        <v>1010</v>
      </c>
      <c r="K8" s="697" t="n">
        <v>1000</v>
      </c>
      <c r="L8" s="697" t="n">
        <v>960</v>
      </c>
      <c r="M8" s="697" t="n">
        <v>880</v>
      </c>
      <c r="N8" s="697" t="n">
        <v>860</v>
      </c>
      <c r="O8" s="697" t="n">
        <v>840</v>
      </c>
      <c r="P8" s="697" t="n">
        <v>760</v>
      </c>
      <c r="Q8" s="697" t="n">
        <v>660</v>
      </c>
      <c r="R8" s="697" t="n">
        <v>580</v>
      </c>
      <c r="S8" s="697" t="n">
        <v>560</v>
      </c>
      <c r="T8" s="697" t="n">
        <v>420</v>
      </c>
      <c r="U8" s="697" t="n">
        <v>360</v>
      </c>
      <c r="V8" s="697" t="n">
        <v>300</v>
      </c>
      <c r="W8" s="697" t="n">
        <v>840</v>
      </c>
      <c r="X8" s="697" t="n">
        <v>840</v>
      </c>
      <c r="Y8" s="697" t="n">
        <v>1200</v>
      </c>
      <c r="Z8" s="697" t="n">
        <v>1160</v>
      </c>
      <c r="AA8" s="697" t="n">
        <v>1140</v>
      </c>
      <c r="AB8" s="697" t="n">
        <v>1140</v>
      </c>
      <c r="AC8" s="697" t="n">
        <v>1020</v>
      </c>
      <c r="AD8" s="697" t="n">
        <v>940</v>
      </c>
      <c r="AE8" s="697" t="n">
        <v>860</v>
      </c>
      <c r="AF8" s="697" t="n">
        <v>800</v>
      </c>
      <c r="AG8" s="697" t="n">
        <v>680</v>
      </c>
      <c r="AH8" s="697" t="n">
        <v>620</v>
      </c>
      <c r="AI8" s="697" t="n">
        <v>600</v>
      </c>
      <c r="AJ8" s="697" t="n">
        <v>560</v>
      </c>
      <c r="AK8" s="697" t="n">
        <v>560</v>
      </c>
      <c r="AL8" s="697" t="n">
        <v>420</v>
      </c>
      <c r="AM8" s="697" t="n">
        <v>380</v>
      </c>
      <c r="AN8" s="697" t="n">
        <v>340</v>
      </c>
      <c r="AO8" s="697" t="n">
        <v>300</v>
      </c>
      <c r="AP8" s="697" t="n">
        <v>300</v>
      </c>
      <c r="AQ8" s="697" t="n">
        <v>240</v>
      </c>
      <c r="AR8" s="697">
        <f>140+DK8</f>
        <v/>
      </c>
      <c r="AS8" s="697" t="n">
        <v>400</v>
      </c>
      <c r="AT8" s="697" t="n">
        <v>320</v>
      </c>
      <c r="AU8" s="697">
        <f>300+DE8</f>
        <v/>
      </c>
      <c r="AV8" s="697" t="n">
        <v>560</v>
      </c>
      <c r="AW8" s="697" t="n">
        <v>560</v>
      </c>
      <c r="AX8" s="697" t="n">
        <v>540</v>
      </c>
      <c r="AY8" s="697" t="n">
        <v>540</v>
      </c>
      <c r="AZ8" s="697" t="n">
        <v>540</v>
      </c>
      <c r="BA8" s="697" t="n">
        <v>540</v>
      </c>
      <c r="BB8" s="697" t="n">
        <v>240</v>
      </c>
      <c r="BC8" s="697">
        <f>220+CV8</f>
        <v/>
      </c>
      <c r="BD8" s="697">
        <f>620+CU8</f>
        <v/>
      </c>
      <c r="BE8" s="697" t="n">
        <v>800</v>
      </c>
      <c r="BF8" s="697" t="n">
        <v>730</v>
      </c>
      <c r="BG8" s="697" t="n">
        <v>640</v>
      </c>
      <c r="BH8" s="697" t="n">
        <v>600</v>
      </c>
      <c r="BI8" s="697" t="n">
        <v>580</v>
      </c>
      <c r="BJ8" s="697" t="n">
        <v>520</v>
      </c>
      <c r="BK8" s="697" t="n">
        <v>480</v>
      </c>
      <c r="BL8" s="697" t="n">
        <v>380</v>
      </c>
      <c r="BM8" s="697" t="n">
        <v>360</v>
      </c>
      <c r="BN8" s="697" t="n">
        <v>300</v>
      </c>
      <c r="BO8" s="697" t="n">
        <v>300</v>
      </c>
      <c r="BP8" s="697" t="n">
        <v>180</v>
      </c>
      <c r="BQ8" s="697">
        <f>100+CL8</f>
        <v/>
      </c>
      <c r="BR8" s="697" t="n">
        <v>400</v>
      </c>
      <c r="BS8" s="697" t="n">
        <v>300</v>
      </c>
      <c r="BT8" s="697" t="n">
        <v>260</v>
      </c>
      <c r="BU8" s="697" t="n">
        <v>520</v>
      </c>
      <c r="BV8" s="697" t="n">
        <v>480</v>
      </c>
      <c r="BW8" s="697" t="n">
        <v>480</v>
      </c>
      <c r="BX8" s="697" t="n">
        <v>480</v>
      </c>
      <c r="BY8" s="697" t="n">
        <v>480</v>
      </c>
      <c r="BZ8" s="192">
        <f>BX8+IF(NOT(ISBLANK(OFFSET(BZ8,0,6))),N(OFFSET(BZ8,0,6)),N(OFFSET(BZ8,0,7)))-BY8</f>
        <v/>
      </c>
      <c r="CA8" s="5" t="n"/>
      <c r="CB8" s="22" t="n"/>
      <c r="CD8" s="49" t="n"/>
      <c r="CF8" s="23" t="n">
        <v>0</v>
      </c>
      <c r="CG8" s="23" t="n">
        <v>0</v>
      </c>
      <c r="CH8" s="23" t="n">
        <v>300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/>
      <c r="CT8" s="23" t="n"/>
      <c r="CU8" s="23" t="n">
        <v>300</v>
      </c>
      <c r="CV8" s="23" t="n">
        <v>600</v>
      </c>
      <c r="CW8" s="23" t="n"/>
      <c r="CX8" s="23" t="n"/>
      <c r="CY8" s="23" t="n"/>
      <c r="CZ8" s="23" t="n"/>
      <c r="DA8" s="23" t="n"/>
      <c r="DB8" s="219" t="n"/>
      <c r="DC8" s="23" t="n"/>
      <c r="DD8" s="23" t="n"/>
      <c r="DE8" s="23" t="n">
        <v>300</v>
      </c>
      <c r="DF8" s="23" t="n"/>
      <c r="DG8" s="23" t="n"/>
      <c r="DH8" s="23" t="n"/>
      <c r="DI8" s="219" t="n"/>
      <c r="DJ8" s="219" t="n"/>
      <c r="DK8" s="23" t="n">
        <v>300</v>
      </c>
      <c r="DL8" s="219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19" t="n"/>
      <c r="DX8" s="219" t="n"/>
      <c r="DY8" s="219" t="n"/>
      <c r="DZ8" s="23" t="n"/>
      <c r="EA8" s="23" t="n"/>
      <c r="EB8" s="23" t="n"/>
      <c r="EC8" s="23" t="n"/>
      <c r="ED8" s="23" t="n"/>
      <c r="EE8" s="23" t="n"/>
      <c r="EF8" s="219" t="n"/>
      <c r="EG8" s="219" t="n"/>
      <c r="EH8" s="23" t="n"/>
      <c r="EI8" s="23" t="n">
        <v>600</v>
      </c>
      <c r="EJ8" s="23" t="n">
        <v>600</v>
      </c>
      <c r="EK8" s="23" t="n"/>
      <c r="EL8" s="219" t="n"/>
      <c r="EM8" s="23" t="n"/>
      <c r="EN8" s="219" t="n"/>
      <c r="EO8" s="23" t="n"/>
      <c r="EP8" s="23" t="n"/>
      <c r="EQ8" s="23" t="n"/>
      <c r="ER8" s="23" t="n"/>
      <c r="ES8" s="23" t="n"/>
      <c r="ET8" s="219" t="n"/>
      <c r="EU8" s="23" t="n"/>
      <c r="EV8" s="23" t="n">
        <v>300</v>
      </c>
      <c r="EW8" s="23" t="n"/>
      <c r="EX8" s="219" t="n"/>
      <c r="EY8" s="23" t="n"/>
      <c r="EZ8" s="23" t="n"/>
      <c r="FB8" s="304" t="inlineStr">
        <is>
          <t xml:space="preserve">SACOLAS </t>
        </is>
      </c>
      <c r="FC8" s="235" t="inlineStr">
        <is>
          <t>PCT</t>
        </is>
      </c>
      <c r="FD8" s="746" t="n">
        <v>46118</v>
      </c>
      <c r="FE8" s="746" t="n">
        <v>46125</v>
      </c>
      <c r="FF8" s="746" t="n">
        <v>46132</v>
      </c>
      <c r="FG8" s="746" t="n">
        <v>46139</v>
      </c>
      <c r="FH8" s="746" t="n">
        <v>46146</v>
      </c>
      <c r="FI8" s="746" t="n">
        <v>46154</v>
      </c>
      <c r="FJ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700</v>
      </c>
      <c r="E9" s="5" t="n"/>
      <c r="F9" s="697">
        <f>560+EY9</f>
        <v/>
      </c>
      <c r="G9" s="697">
        <f>700+EW9</f>
        <v/>
      </c>
      <c r="H9" s="697">
        <f>1280+EV9</f>
        <v/>
      </c>
      <c r="I9" s="697">
        <f>1460+EU9</f>
        <v/>
      </c>
      <c r="J9" s="697" t="n">
        <v>1820</v>
      </c>
      <c r="K9" s="697" t="n">
        <v>1600</v>
      </c>
      <c r="L9" s="697" t="n">
        <v>1600</v>
      </c>
      <c r="M9" s="697" t="n">
        <v>1600</v>
      </c>
      <c r="N9" s="697" t="n">
        <v>1600</v>
      </c>
      <c r="O9" s="697" t="n">
        <v>1600</v>
      </c>
      <c r="P9" s="697" t="n">
        <v>1600</v>
      </c>
      <c r="Q9" s="697" t="n">
        <v>1600</v>
      </c>
      <c r="R9" s="314" t="n">
        <v>80</v>
      </c>
      <c r="S9" s="697">
        <f>0+EM9</f>
        <v/>
      </c>
      <c r="T9" s="697" t="n">
        <v>800</v>
      </c>
      <c r="U9" s="697" t="n">
        <v>680</v>
      </c>
      <c r="V9" s="697" t="n">
        <v>680</v>
      </c>
      <c r="W9" s="697" t="n">
        <v>680</v>
      </c>
      <c r="X9" s="697" t="n">
        <v>680</v>
      </c>
      <c r="Y9" s="697" t="n">
        <v>680</v>
      </c>
      <c r="Z9" s="697" t="n">
        <v>580</v>
      </c>
      <c r="AA9" s="697">
        <f>400+800</f>
        <v/>
      </c>
      <c r="AB9" s="697" t="n">
        <v>1120</v>
      </c>
      <c r="AC9" s="697" t="n">
        <v>880</v>
      </c>
      <c r="AD9" s="697" t="n">
        <v>600</v>
      </c>
      <c r="AE9" s="697" t="n">
        <v>560</v>
      </c>
      <c r="AF9" s="697">
        <f>460+EA9</f>
        <v/>
      </c>
      <c r="AG9" s="697">
        <f>400+DZ9</f>
        <v/>
      </c>
      <c r="AH9" s="697">
        <f>400+DU9</f>
        <v/>
      </c>
      <c r="AI9" s="697" t="n">
        <v>850</v>
      </c>
      <c r="AJ9" s="697" t="n">
        <v>820</v>
      </c>
      <c r="AK9" s="697" t="n">
        <v>720</v>
      </c>
      <c r="AL9" s="697" t="n">
        <v>720</v>
      </c>
      <c r="AM9" s="697" t="n">
        <v>580</v>
      </c>
      <c r="AN9" s="697" t="n">
        <v>660</v>
      </c>
      <c r="AO9" s="697" t="n">
        <v>780</v>
      </c>
      <c r="AP9" s="697" t="n">
        <v>560</v>
      </c>
      <c r="AQ9" s="697" t="n">
        <v>620</v>
      </c>
      <c r="AR9" s="697" t="n">
        <v>620</v>
      </c>
      <c r="AS9" s="697" t="n">
        <v>480</v>
      </c>
      <c r="AT9" s="697">
        <f>360+DG9+DF9</f>
        <v/>
      </c>
      <c r="AU9" s="697" t="n">
        <v>820</v>
      </c>
      <c r="AV9" s="697" t="n">
        <v>660</v>
      </c>
      <c r="AW9" s="697">
        <f>660+DA9</f>
        <v/>
      </c>
      <c r="AX9" s="697" t="n">
        <v>800</v>
      </c>
      <c r="AY9" s="697" t="n">
        <v>800</v>
      </c>
      <c r="AZ9" s="697" t="n">
        <v>800</v>
      </c>
      <c r="BA9" s="697" t="n">
        <v>800</v>
      </c>
      <c r="BB9" s="697" t="n">
        <v>660</v>
      </c>
      <c r="BC9" s="697" t="n">
        <v>660</v>
      </c>
      <c r="BD9" s="697">
        <f>600+CU9</f>
        <v/>
      </c>
      <c r="BE9" s="697">
        <f>360+CT9</f>
        <v/>
      </c>
      <c r="BF9" s="697" t="n">
        <v>0</v>
      </c>
      <c r="BG9" s="697">
        <f>0+CS9</f>
        <v/>
      </c>
      <c r="BH9" s="697" t="n">
        <v>1400</v>
      </c>
      <c r="BI9" s="697" t="n">
        <v>940</v>
      </c>
      <c r="BJ9" s="697">
        <f>760+CP9</f>
        <v/>
      </c>
      <c r="BK9" s="697" t="n">
        <v>960</v>
      </c>
      <c r="BL9" s="697" t="n">
        <v>760</v>
      </c>
      <c r="BM9" s="697" t="n">
        <v>520</v>
      </c>
      <c r="BN9" s="697">
        <f>400+CM9</f>
        <v/>
      </c>
      <c r="BO9" s="697" t="n">
        <v>660</v>
      </c>
      <c r="BP9" s="697" t="n">
        <v>400</v>
      </c>
      <c r="BQ9" s="697">
        <f>200+CL9</f>
        <v/>
      </c>
      <c r="BR9" s="697">
        <f>350+CK9</f>
        <v/>
      </c>
      <c r="BS9" s="697">
        <f>380+CI9</f>
        <v/>
      </c>
      <c r="BT9" s="697" t="n">
        <v>440</v>
      </c>
      <c r="BU9" s="697" t="n">
        <v>440</v>
      </c>
      <c r="BV9" s="697" t="n">
        <v>480</v>
      </c>
      <c r="BW9" s="697" t="n">
        <v>480</v>
      </c>
      <c r="BX9" s="697" t="n">
        <v>480</v>
      </c>
      <c r="BY9" s="697" t="n">
        <v>480</v>
      </c>
      <c r="BZ9" s="192">
        <f>BX9+IF(NOT(ISBLANK(OFFSET(BZ9,0,6))),N(OFFSET(BZ9,0,6)),N(OFFSET(BZ9,0,7)))-BY9</f>
        <v/>
      </c>
      <c r="CA9" s="5" t="n"/>
      <c r="CB9" s="22" t="n"/>
      <c r="CD9" s="49" t="n"/>
      <c r="CF9" s="23" t="n">
        <v>0</v>
      </c>
      <c r="CG9" s="23" t="n">
        <v>0</v>
      </c>
      <c r="CH9" s="23" t="n">
        <v>200</v>
      </c>
      <c r="CI9" s="23" t="n">
        <v>200</v>
      </c>
      <c r="CJ9" s="219" t="n">
        <v>1400</v>
      </c>
      <c r="CK9" s="23" t="n">
        <v>200</v>
      </c>
      <c r="CL9" s="23" t="n">
        <v>400</v>
      </c>
      <c r="CM9" s="23" t="n">
        <v>400</v>
      </c>
      <c r="CN9" s="23" t="n"/>
      <c r="CO9" s="23" t="n"/>
      <c r="CP9" s="23" t="n">
        <v>400</v>
      </c>
      <c r="CQ9" s="23" t="n">
        <v>400</v>
      </c>
      <c r="CR9" s="23" t="n">
        <v>600</v>
      </c>
      <c r="CS9" s="23" t="n">
        <v>400</v>
      </c>
      <c r="CT9" s="23" t="n">
        <v>200</v>
      </c>
      <c r="CU9" s="23" t="n">
        <v>200</v>
      </c>
      <c r="CV9" s="23" t="n"/>
      <c r="CW9" s="23" t="n"/>
      <c r="CX9" s="23" t="n"/>
      <c r="CY9" s="23" t="n"/>
      <c r="CZ9" s="23" t="n"/>
      <c r="DA9" s="23" t="n">
        <v>200</v>
      </c>
      <c r="DB9" s="219" t="n">
        <v>2000</v>
      </c>
      <c r="DC9" s="23" t="n"/>
      <c r="DD9" s="23" t="n"/>
      <c r="DE9" s="23" t="n"/>
      <c r="DF9" s="23" t="n">
        <v>400</v>
      </c>
      <c r="DG9" s="23" t="n">
        <v>200</v>
      </c>
      <c r="DH9" s="23" t="n"/>
      <c r="DI9" s="219" t="n"/>
      <c r="DJ9" s="219" t="n"/>
      <c r="DK9" s="23" t="n">
        <v>200</v>
      </c>
      <c r="DL9" s="219" t="n"/>
      <c r="DM9" s="23" t="n">
        <v>200</v>
      </c>
      <c r="DN9" s="23" t="n"/>
      <c r="DO9" s="23" t="n">
        <v>200</v>
      </c>
      <c r="DP9" s="23" t="n"/>
      <c r="DQ9" s="23" t="n">
        <v>200</v>
      </c>
      <c r="DR9" s="23" t="n"/>
      <c r="DS9" s="23" t="n">
        <v>200</v>
      </c>
      <c r="DT9" s="23" t="n">
        <v>400</v>
      </c>
      <c r="DU9" s="23" t="n">
        <v>200</v>
      </c>
      <c r="DV9" s="23" t="n"/>
      <c r="DW9" s="219" t="n"/>
      <c r="DX9" s="219" t="n"/>
      <c r="DY9" s="219" t="n"/>
      <c r="DZ9" s="23" t="n">
        <v>200</v>
      </c>
      <c r="EA9" s="23" t="n">
        <v>200</v>
      </c>
      <c r="EB9" s="23" t="n">
        <v>200</v>
      </c>
      <c r="EC9" s="23" t="n"/>
      <c r="ED9" s="282" t="inlineStr">
        <is>
          <t>800 DE CD</t>
        </is>
      </c>
      <c r="EE9" s="23" t="n"/>
      <c r="EF9" s="219" t="n"/>
      <c r="EG9" s="219" t="n"/>
      <c r="EH9" s="23" t="n"/>
      <c r="EI9" s="23" t="n"/>
      <c r="EJ9" s="23" t="n"/>
      <c r="EK9" s="23" t="n"/>
      <c r="EL9" s="219" t="n"/>
      <c r="EM9" s="23" t="n">
        <v>1000</v>
      </c>
      <c r="EN9" s="219" t="n">
        <v>1400</v>
      </c>
      <c r="EO9" s="23" t="n"/>
      <c r="EP9" s="23" t="n"/>
      <c r="EQ9" s="23" t="n"/>
      <c r="ER9" s="23" t="n"/>
      <c r="ES9" s="23" t="n"/>
      <c r="ET9" s="219" t="n"/>
      <c r="EU9" s="23" t="n">
        <v>400</v>
      </c>
      <c r="EV9" s="23" t="n">
        <v>400</v>
      </c>
      <c r="EW9" s="23" t="n">
        <v>800</v>
      </c>
      <c r="EX9" s="219" t="n"/>
      <c r="EY9" s="23" t="n">
        <v>400</v>
      </c>
      <c r="EZ9" s="23" t="n">
        <v>400</v>
      </c>
      <c r="FB9" s="300" t="inlineStr">
        <is>
          <t xml:space="preserve">SACOLA P </t>
        </is>
      </c>
      <c r="FC9" s="162" t="n">
        <v>200</v>
      </c>
      <c r="FD9" s="697">
        <f>CJ9</f>
        <v/>
      </c>
      <c r="FE9" s="697" t="n">
        <v>1400</v>
      </c>
      <c r="FF9" s="697" t="n">
        <v>1160</v>
      </c>
      <c r="FG9" s="697" t="n">
        <v>980</v>
      </c>
      <c r="FH9" s="697" t="n">
        <v>740</v>
      </c>
      <c r="FI9" s="697" t="n">
        <v>200</v>
      </c>
      <c r="FJ9" s="431">
        <f>FH9+IF(NOT(ISBLANK(OFFSET(FJ9,0,6))),N(OFFSET(FJ9,0,6)),N(OFFSET(FJ9,0,7)))-FI9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600</v>
      </c>
      <c r="E10" s="5" t="n"/>
      <c r="F10" s="697">
        <f>420+EY10</f>
        <v/>
      </c>
      <c r="G10" s="697">
        <f>720+EW10</f>
        <v/>
      </c>
      <c r="H10" s="697">
        <f>1280+EV10</f>
        <v/>
      </c>
      <c r="I10" s="697" t="n">
        <v>1470</v>
      </c>
      <c r="J10" s="697" t="n">
        <v>1440</v>
      </c>
      <c r="K10" s="697" t="n">
        <v>1360</v>
      </c>
      <c r="L10" s="697" t="n">
        <v>1300</v>
      </c>
      <c r="M10" s="697" t="n">
        <v>1160</v>
      </c>
      <c r="N10" s="697" t="n">
        <v>1080</v>
      </c>
      <c r="O10" s="697" t="n">
        <v>1000</v>
      </c>
      <c r="P10" s="697" t="n">
        <v>840</v>
      </c>
      <c r="Q10" s="697" t="n">
        <v>640</v>
      </c>
      <c r="R10" s="697" t="n">
        <v>300</v>
      </c>
      <c r="S10" s="697" t="n">
        <v>700</v>
      </c>
      <c r="T10" s="697" t="n">
        <v>650</v>
      </c>
      <c r="U10" s="697" t="n">
        <v>620</v>
      </c>
      <c r="V10" s="697" t="n">
        <v>620</v>
      </c>
      <c r="W10" s="697" t="n">
        <v>600</v>
      </c>
      <c r="X10" s="697" t="n">
        <v>600</v>
      </c>
      <c r="Y10" s="697" t="n">
        <v>600</v>
      </c>
      <c r="Z10" s="697">
        <f>580+EH10</f>
        <v/>
      </c>
      <c r="AA10" s="697" t="n">
        <v>640</v>
      </c>
      <c r="AB10" s="697" t="n">
        <v>640</v>
      </c>
      <c r="AC10" s="697" t="n">
        <v>640</v>
      </c>
      <c r="AD10" s="697" t="n">
        <v>400</v>
      </c>
      <c r="AE10" s="697" t="n">
        <v>480</v>
      </c>
      <c r="AF10" s="697" t="n">
        <v>400</v>
      </c>
      <c r="AG10" s="697">
        <f>200+DZ10</f>
        <v/>
      </c>
      <c r="AH10" s="697">
        <f>260+DU10</f>
        <v/>
      </c>
      <c r="AI10" s="697" t="n">
        <v>440</v>
      </c>
      <c r="AJ10" s="697" t="n">
        <v>440</v>
      </c>
      <c r="AK10" s="697" t="n">
        <v>420</v>
      </c>
      <c r="AL10" s="697" t="n">
        <v>360</v>
      </c>
      <c r="AM10" s="697" t="n">
        <v>140</v>
      </c>
      <c r="AN10" s="697" t="n">
        <v>440</v>
      </c>
      <c r="AO10" s="697" t="n">
        <v>1000</v>
      </c>
      <c r="AP10" s="697" t="n">
        <v>740</v>
      </c>
      <c r="AQ10" s="697" t="n">
        <v>640</v>
      </c>
      <c r="AR10" s="697" t="n">
        <v>1040</v>
      </c>
      <c r="AS10" s="697" t="n">
        <v>900</v>
      </c>
      <c r="AT10" s="697" t="n">
        <v>860</v>
      </c>
      <c r="AU10" s="697" t="n">
        <v>680</v>
      </c>
      <c r="AV10" s="697" t="n">
        <v>580</v>
      </c>
      <c r="AW10" s="697" t="n">
        <v>480</v>
      </c>
      <c r="AX10" s="697" t="n">
        <v>480</v>
      </c>
      <c r="AY10" s="697" t="n">
        <v>480</v>
      </c>
      <c r="AZ10" s="697" t="n">
        <v>480</v>
      </c>
      <c r="BA10" s="697" t="n">
        <v>480</v>
      </c>
      <c r="BB10" s="697" t="n">
        <v>480</v>
      </c>
      <c r="BC10" s="697" t="n">
        <v>580</v>
      </c>
      <c r="BD10" s="697">
        <f>580+CU10</f>
        <v/>
      </c>
      <c r="BE10" s="697" t="n">
        <v>620</v>
      </c>
      <c r="BF10" s="697" t="n">
        <v>0</v>
      </c>
      <c r="BG10" s="697">
        <f>0+CS10</f>
        <v/>
      </c>
      <c r="BH10" s="697" t="n">
        <v>800</v>
      </c>
      <c r="BI10" s="697" t="n">
        <v>580</v>
      </c>
      <c r="BJ10" s="697">
        <f>440+CP10</f>
        <v/>
      </c>
      <c r="BK10" s="697" t="n">
        <v>600</v>
      </c>
      <c r="BL10" s="697" t="n">
        <v>740</v>
      </c>
      <c r="BM10" s="697" t="n">
        <v>640</v>
      </c>
      <c r="BN10" s="697" t="n">
        <v>600</v>
      </c>
      <c r="BO10" s="697" t="n">
        <v>500</v>
      </c>
      <c r="BP10" s="697" t="n">
        <v>340</v>
      </c>
      <c r="BQ10" s="697">
        <f>300+CL10</f>
        <v/>
      </c>
      <c r="BR10" s="697" t="n">
        <v>340</v>
      </c>
      <c r="BS10" s="697">
        <f>240+CI10</f>
        <v/>
      </c>
      <c r="BT10" s="697" t="n">
        <v>200</v>
      </c>
      <c r="BU10" s="697" t="n">
        <v>280</v>
      </c>
      <c r="BV10" s="697" t="n">
        <v>400</v>
      </c>
      <c r="BW10" s="697" t="n">
        <v>400</v>
      </c>
      <c r="BX10" s="697" t="n">
        <v>400</v>
      </c>
      <c r="BY10" s="697" t="n">
        <v>400</v>
      </c>
      <c r="BZ10" s="192">
        <f>BX10+IF(NOT(ISBLANK(OFFSET(BZ10,0,6))),N(OFFSET(BZ10,0,6)),N(OFFSET(BZ10,0,7)))-BY10</f>
        <v/>
      </c>
      <c r="CA10" s="5" t="n"/>
      <c r="CB10" s="22" t="n"/>
      <c r="CC10" s="4" t="n"/>
      <c r="CD10" s="49" t="n"/>
      <c r="CE10" s="4" t="n"/>
      <c r="CF10" s="23" t="n">
        <v>0</v>
      </c>
      <c r="CG10" s="23" t="n">
        <v>0</v>
      </c>
      <c r="CH10" s="23" t="n"/>
      <c r="CI10" s="23" t="n">
        <v>200</v>
      </c>
      <c r="CJ10" s="219" t="n">
        <v>1000</v>
      </c>
      <c r="CK10" s="23" t="n"/>
      <c r="CL10" s="23" t="n">
        <v>200</v>
      </c>
      <c r="CM10" s="23" t="n"/>
      <c r="CN10" s="23" t="n"/>
      <c r="CO10" s="23" t="n">
        <v>200</v>
      </c>
      <c r="CP10" s="23" t="n">
        <v>200</v>
      </c>
      <c r="CQ10" s="23" t="n"/>
      <c r="CR10" s="23" t="n">
        <v>600</v>
      </c>
      <c r="CS10" s="23" t="n">
        <v>200</v>
      </c>
      <c r="CT10" s="23" t="n"/>
      <c r="CU10" s="23" t="n">
        <v>200</v>
      </c>
      <c r="CV10" s="23" t="n"/>
      <c r="CW10" s="23" t="n"/>
      <c r="CX10" s="23" t="n"/>
      <c r="CY10" s="23" t="n">
        <v>200</v>
      </c>
      <c r="CZ10" s="23" t="n"/>
      <c r="DA10" s="23" t="n"/>
      <c r="DB10" s="219" t="n">
        <v>1600</v>
      </c>
      <c r="DC10" s="23" t="n"/>
      <c r="DD10" s="23" t="n"/>
      <c r="DE10" s="23" t="n"/>
      <c r="DF10" s="23" t="n"/>
      <c r="DG10" s="23" t="n"/>
      <c r="DH10" s="23" t="n"/>
      <c r="DI10" s="437" t="inlineStr">
        <is>
          <t>100 P/ Q2</t>
        </is>
      </c>
      <c r="DJ10" s="219" t="n"/>
      <c r="DK10" s="23" t="n">
        <v>600</v>
      </c>
      <c r="DL10" s="219" t="n">
        <v>200</v>
      </c>
      <c r="DM10" s="23" t="n"/>
      <c r="DN10" s="23" t="n"/>
      <c r="DO10" s="23" t="n">
        <v>600</v>
      </c>
      <c r="DP10" s="23" t="n">
        <v>200</v>
      </c>
      <c r="DQ10" s="23" t="n">
        <v>400</v>
      </c>
      <c r="DR10" s="23" t="n"/>
      <c r="DS10" s="23" t="n"/>
      <c r="DT10" s="23" t="n"/>
      <c r="DU10" s="23" t="n">
        <v>200</v>
      </c>
      <c r="DV10" s="23" t="n"/>
      <c r="DW10" s="219" t="n"/>
      <c r="DX10" s="219" t="n"/>
      <c r="DY10" s="219" t="n">
        <v>800</v>
      </c>
      <c r="DZ10" s="23" t="n">
        <v>200</v>
      </c>
      <c r="EA10" s="23" t="n"/>
      <c r="EB10" s="23" t="n">
        <v>200</v>
      </c>
      <c r="EC10" s="23" t="n"/>
      <c r="ED10" s="23" t="n"/>
      <c r="EE10" s="23" t="n"/>
      <c r="EF10" s="219" t="n"/>
      <c r="EG10" s="219" t="n">
        <v>600</v>
      </c>
      <c r="EH10" s="23" t="n">
        <v>200</v>
      </c>
      <c r="EI10" s="23" t="n"/>
      <c r="EJ10" s="23" t="n"/>
      <c r="EK10" s="23" t="n"/>
      <c r="EL10" s="219" t="n"/>
      <c r="EM10" s="23" t="n"/>
      <c r="EN10" s="219" t="n">
        <v>1000</v>
      </c>
      <c r="EO10" s="23" t="n">
        <v>400</v>
      </c>
      <c r="EP10" s="23" t="n"/>
      <c r="EQ10" s="23" t="n"/>
      <c r="ER10" s="23" t="n"/>
      <c r="ES10" s="23" t="n"/>
      <c r="ET10" s="219" t="n"/>
      <c r="EU10" s="23" t="n"/>
      <c r="EV10" s="23" t="n">
        <v>400</v>
      </c>
      <c r="EW10" s="23" t="n">
        <v>600</v>
      </c>
      <c r="EX10" s="219" t="n"/>
      <c r="EY10" s="23" t="n">
        <v>400</v>
      </c>
      <c r="EZ10" s="23" t="n">
        <v>200</v>
      </c>
      <c r="FB10" s="65" t="inlineStr">
        <is>
          <t xml:space="preserve">SACOLA M </t>
        </is>
      </c>
      <c r="FC10" s="699" t="n">
        <v>200</v>
      </c>
      <c r="FD10" s="697">
        <f>CJ10</f>
        <v/>
      </c>
      <c r="FE10" s="697" t="n">
        <v>1000</v>
      </c>
      <c r="FF10" s="697" t="n">
        <v>720</v>
      </c>
      <c r="FG10" s="697" t="n">
        <v>680</v>
      </c>
      <c r="FH10" s="697" t="n">
        <v>480</v>
      </c>
      <c r="FI10" s="697" t="n">
        <v>480</v>
      </c>
      <c r="FJ10" s="431">
        <f>FH10+IF(NOT(ISBLANK(OFFSET(FJ10,0,6))),N(OFFSET(FJ10,0,6)),N(OFFSET(FJ10,0,7)))-FI10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100</v>
      </c>
      <c r="G11" s="697" t="n">
        <v>100</v>
      </c>
      <c r="H11" s="697" t="n">
        <v>150</v>
      </c>
      <c r="I11" s="697" t="n">
        <v>150</v>
      </c>
      <c r="J11" s="697" t="n">
        <v>130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40</v>
      </c>
      <c r="AD11" s="697" t="n">
        <v>20</v>
      </c>
      <c r="AE11" s="697" t="n">
        <v>20</v>
      </c>
      <c r="AF11" s="697" t="n">
        <v>0</v>
      </c>
      <c r="AG11" s="697" t="n">
        <v>0</v>
      </c>
      <c r="AH11" s="697">
        <f>0+100</f>
        <v/>
      </c>
      <c r="AI11" s="697" t="n">
        <v>100</v>
      </c>
      <c r="AJ11" s="697" t="n">
        <v>100</v>
      </c>
      <c r="AK11" s="697" t="n">
        <v>80</v>
      </c>
      <c r="AL11" s="697" t="n">
        <v>60</v>
      </c>
      <c r="AM11" s="697" t="n">
        <v>60</v>
      </c>
      <c r="AN11" s="697" t="n">
        <v>60</v>
      </c>
      <c r="AO11" s="697" t="n">
        <v>40</v>
      </c>
      <c r="AP11" s="697" t="n">
        <v>40</v>
      </c>
      <c r="AQ11" s="697" t="n">
        <v>40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>
        <f>0+20</f>
        <v/>
      </c>
      <c r="AW11" s="697" t="n">
        <v>0</v>
      </c>
      <c r="AX11" s="697" t="n">
        <v>0</v>
      </c>
      <c r="AY11" s="697" t="n">
        <v>0</v>
      </c>
      <c r="AZ11" s="697" t="n">
        <v>0</v>
      </c>
      <c r="BA11" s="697" t="n">
        <v>0</v>
      </c>
      <c r="BB11" s="697" t="n">
        <v>0</v>
      </c>
      <c r="BC11" s="697">
        <f>0+CV11</f>
        <v/>
      </c>
      <c r="BD11" s="697" t="n">
        <v>100</v>
      </c>
      <c r="BE11" s="697" t="n">
        <v>45</v>
      </c>
      <c r="BF11" s="697" t="n">
        <v>0</v>
      </c>
      <c r="BG11" s="697" t="n">
        <v>0</v>
      </c>
      <c r="BH11" s="697" t="n">
        <v>100</v>
      </c>
      <c r="BI11" s="697" t="n">
        <v>100</v>
      </c>
      <c r="BJ11" s="697" t="n">
        <v>100</v>
      </c>
      <c r="BK11" s="697" t="n">
        <v>80</v>
      </c>
      <c r="BL11" s="697" t="n">
        <v>80</v>
      </c>
      <c r="BM11" s="697" t="n">
        <v>80</v>
      </c>
      <c r="BN11" s="697" t="n">
        <v>80</v>
      </c>
      <c r="BO11" s="697" t="n">
        <v>80</v>
      </c>
      <c r="BP11" s="697" t="n">
        <v>40</v>
      </c>
      <c r="BQ11" s="697" t="n">
        <v>40</v>
      </c>
      <c r="BR11" s="697" t="n">
        <v>40</v>
      </c>
      <c r="BS11" s="697" t="n">
        <v>40</v>
      </c>
      <c r="BT11" s="697" t="n">
        <v>40</v>
      </c>
      <c r="BU11" s="697" t="n">
        <v>20</v>
      </c>
      <c r="BV11" s="697" t="n">
        <v>20</v>
      </c>
      <c r="BW11" s="697" t="n">
        <v>20</v>
      </c>
      <c r="BX11" s="697" t="n">
        <v>20</v>
      </c>
      <c r="BY11" s="697" t="n">
        <v>20</v>
      </c>
      <c r="BZ11" s="192">
        <f>BX11+IF(NOT(ISBLANK(OFFSET(BZ11,0,6))),N(OFFSET(BZ11,0,6)),N(OFFSET(BZ11,0,7)))-BY11</f>
        <v/>
      </c>
      <c r="CA11" s="5" t="n"/>
      <c r="CB11" s="22" t="n"/>
      <c r="CC11" s="4" t="n"/>
      <c r="CD11" s="49" t="n"/>
      <c r="CE11" s="4" t="n"/>
      <c r="CF11" s="23" t="n">
        <v>0</v>
      </c>
      <c r="CG11" s="23" t="n">
        <v>0</v>
      </c>
      <c r="CH11" s="23" t="n"/>
      <c r="CI11" s="23" t="n"/>
      <c r="CJ11" s="219" t="n">
        <v>100</v>
      </c>
      <c r="CK11" s="23" t="n"/>
      <c r="CL11" s="23" t="n"/>
      <c r="CM11" s="23" t="n"/>
      <c r="CN11" s="23" t="n"/>
      <c r="CO11" s="23" t="n"/>
      <c r="CP11" s="23" t="n"/>
      <c r="CQ11" s="23" t="n"/>
      <c r="CR11" s="23" t="n">
        <v>100</v>
      </c>
      <c r="CS11" s="23" t="n"/>
      <c r="CT11" s="23" t="n"/>
      <c r="CU11" s="23" t="n"/>
      <c r="CV11" s="23" t="n">
        <v>100</v>
      </c>
      <c r="CW11" s="23" t="n"/>
      <c r="CX11" s="23" t="n"/>
      <c r="CY11" s="23" t="n"/>
      <c r="CZ11" s="23" t="n"/>
      <c r="DA11" s="23" t="n"/>
      <c r="DB11" s="219" t="n">
        <v>200</v>
      </c>
      <c r="DC11" s="192" t="inlineStr">
        <is>
          <t>20 DE Q2</t>
        </is>
      </c>
      <c r="DD11" s="23" t="n"/>
      <c r="DE11" s="23" t="n"/>
      <c r="DF11" s="23" t="n"/>
      <c r="DG11" s="23" t="n"/>
      <c r="DH11" s="23" t="n"/>
      <c r="DI11" s="219" t="n"/>
      <c r="DJ11" s="219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82" t="inlineStr">
        <is>
          <t>100 DE TTR</t>
        </is>
      </c>
      <c r="DW11" s="219" t="n"/>
      <c r="DX11" s="219" t="n"/>
      <c r="DY11" s="219" t="n"/>
      <c r="DZ11" s="23" t="n"/>
      <c r="EA11" s="23" t="n"/>
      <c r="EB11" s="23" t="n"/>
      <c r="EC11" s="23" t="n"/>
      <c r="ED11" s="23" t="n"/>
      <c r="EE11" s="23" t="n"/>
      <c r="EF11" s="219" t="n"/>
      <c r="EG11" s="219" t="n"/>
      <c r="EH11" s="23" t="n"/>
      <c r="EI11" s="23" t="n"/>
      <c r="EJ11" s="23" t="n"/>
      <c r="EK11" s="23" t="n"/>
      <c r="EL11" s="219" t="n"/>
      <c r="EM11" s="23" t="n"/>
      <c r="EN11" s="219" t="n">
        <v>100</v>
      </c>
      <c r="EO11" s="23" t="n"/>
      <c r="EP11" s="23" t="n"/>
      <c r="EQ11" s="23" t="n"/>
      <c r="ER11" s="23" t="n"/>
      <c r="ES11" s="23" t="n"/>
      <c r="ET11" s="219" t="n"/>
      <c r="EU11" s="23" t="n"/>
      <c r="EV11" s="23" t="n"/>
      <c r="EW11" s="23" t="n"/>
      <c r="EX11" s="219" t="n"/>
      <c r="EY11" s="23" t="n"/>
      <c r="EZ11" s="23" t="n"/>
      <c r="FB11" s="66" t="inlineStr">
        <is>
          <t xml:space="preserve">SACOLA G </t>
        </is>
      </c>
      <c r="FC11" s="699" t="n">
        <v>100</v>
      </c>
      <c r="FD11" s="697">
        <f>CJ11</f>
        <v/>
      </c>
      <c r="FE11" s="697" t="n">
        <v>100</v>
      </c>
      <c r="FF11" s="697" t="n">
        <v>100</v>
      </c>
      <c r="FG11" s="697" t="n">
        <v>100</v>
      </c>
      <c r="FH11" s="697" t="n">
        <v>60</v>
      </c>
      <c r="FI11" s="697" t="n">
        <v>60</v>
      </c>
      <c r="FJ11" s="431">
        <f>FH11+IF(NOT(ISBLANK(OFFSET(FJ11,0,6))),N(OFFSET(FJ11,0,6)),N(OFFSET(FJ11,0,7)))-FI11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5" t="n"/>
      <c r="CB12" s="16" t="n"/>
      <c r="CC12" s="64" t="n"/>
      <c r="CD12" s="64" t="n"/>
      <c r="CE12" s="4" t="n"/>
      <c r="CJ12" s="47" t="n"/>
      <c r="DB12" s="47" t="n"/>
      <c r="DI12" s="64" t="n"/>
      <c r="DJ12" s="64" t="n"/>
      <c r="DL12" s="64" t="n"/>
      <c r="DW12" s="47" t="n"/>
      <c r="DX12" s="47" t="n"/>
      <c r="DY12" s="47" t="n"/>
      <c r="EF12" s="64" t="n"/>
      <c r="EG12" s="64" t="n"/>
      <c r="EL12" s="308" t="n"/>
      <c r="EN12" s="308" t="n"/>
      <c r="ET12" s="47" t="n"/>
      <c r="EX12" s="47" t="n"/>
      <c r="FB12" s="35" t="n"/>
      <c r="FC12" s="2" t="n"/>
      <c r="FD12" s="4" t="n"/>
      <c r="FE12" s="4" t="n"/>
      <c r="FF12" s="4" t="n"/>
      <c r="FG12" s="4" t="n"/>
      <c r="FH12" s="4" t="n"/>
      <c r="FI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A13" s="726" t="n"/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34" t="n"/>
      <c r="CG13" s="734" t="n">
        <v>46142</v>
      </c>
      <c r="CH13" s="734" t="n">
        <v>46114</v>
      </c>
      <c r="CI13" s="734" t="n">
        <v>46107</v>
      </c>
      <c r="CJ13" s="735" t="n">
        <v>46065</v>
      </c>
      <c r="CK13" s="734" t="n">
        <v>46099</v>
      </c>
      <c r="CL13" s="734" t="n">
        <v>46092</v>
      </c>
      <c r="CM13" s="734" t="n">
        <v>46071</v>
      </c>
      <c r="CN13" s="736" t="n">
        <v>46067</v>
      </c>
      <c r="CO13" s="734" t="n">
        <v>46048</v>
      </c>
      <c r="CP13" s="734" t="n">
        <v>46043</v>
      </c>
      <c r="CQ13" s="734" t="n">
        <v>46029</v>
      </c>
      <c r="CR13" s="734" t="n">
        <v>46024</v>
      </c>
      <c r="CS13" s="734" t="n">
        <v>46017</v>
      </c>
      <c r="CT13" s="734" t="n">
        <v>46007</v>
      </c>
      <c r="CU13" s="734" t="n">
        <v>46001</v>
      </c>
      <c r="CV13" s="734" t="n">
        <v>45994</v>
      </c>
      <c r="CW13" s="734" t="n">
        <v>45986</v>
      </c>
      <c r="CX13" s="734" t="n">
        <v>45973</v>
      </c>
      <c r="CY13" s="734" t="n">
        <v>45960</v>
      </c>
      <c r="CZ13" s="736" t="n">
        <v>45962</v>
      </c>
      <c r="DA13" s="734" t="n">
        <v>45951</v>
      </c>
      <c r="DB13" s="737" t="n">
        <v>45903</v>
      </c>
      <c r="DC13" s="736" t="n">
        <v>45955</v>
      </c>
      <c r="DD13" s="736" t="n">
        <v>45945</v>
      </c>
      <c r="DE13" s="734" t="n">
        <v>45937</v>
      </c>
      <c r="DF13" s="734" t="n">
        <v>45931</v>
      </c>
      <c r="DG13" s="734" t="n">
        <v>45923</v>
      </c>
      <c r="DH13" s="734" t="n">
        <v>45923</v>
      </c>
      <c r="DI13" s="754" t="n">
        <v>45925</v>
      </c>
      <c r="DJ13" s="754" t="n">
        <v>45923</v>
      </c>
      <c r="DK13" s="734" t="n">
        <v>45915</v>
      </c>
      <c r="DL13" s="738" t="n">
        <v>45863</v>
      </c>
      <c r="DM13" s="734" t="n">
        <v>45909</v>
      </c>
      <c r="DN13" s="736" t="n">
        <v>45902</v>
      </c>
      <c r="DO13" s="734" t="n">
        <v>45895</v>
      </c>
      <c r="DP13" s="734" t="n">
        <v>45888</v>
      </c>
      <c r="DQ13" s="734" t="n">
        <v>45881</v>
      </c>
      <c r="DR13" s="739" t="n">
        <v>45880</v>
      </c>
      <c r="DS13" s="734" t="n">
        <v>45874</v>
      </c>
      <c r="DT13" s="734" t="n">
        <v>45853</v>
      </c>
      <c r="DU13" s="734" t="n">
        <v>45848</v>
      </c>
      <c r="DV13" s="736" t="n">
        <v>45852</v>
      </c>
      <c r="DW13" s="739" t="n">
        <v>45852</v>
      </c>
      <c r="DX13" s="739" t="n">
        <v>45847</v>
      </c>
      <c r="DY13" s="739" t="n">
        <v>45791</v>
      </c>
      <c r="DZ13" s="734" t="n">
        <v>45839</v>
      </c>
      <c r="EA13" s="734" t="n">
        <v>45832</v>
      </c>
      <c r="EB13" s="734" t="n">
        <v>45825</v>
      </c>
      <c r="EC13" s="736" t="n">
        <v>45820</v>
      </c>
      <c r="ED13" s="736" t="n">
        <v>45806</v>
      </c>
      <c r="EE13" s="734" t="n">
        <v>45798</v>
      </c>
      <c r="EF13" s="755" t="n">
        <v>45798</v>
      </c>
      <c r="EG13" s="742" t="n">
        <v>45735</v>
      </c>
      <c r="EH13" s="734" t="n">
        <v>45790</v>
      </c>
      <c r="EI13" s="734" t="n">
        <v>45783</v>
      </c>
      <c r="EJ13" s="734" t="n">
        <v>45756</v>
      </c>
      <c r="EK13" s="734" t="n">
        <v>45749</v>
      </c>
      <c r="EL13" s="740" t="n">
        <v>45750</v>
      </c>
      <c r="EM13" s="734" t="n">
        <v>45743</v>
      </c>
      <c r="EN13" s="740" t="n">
        <v>45700</v>
      </c>
      <c r="EO13" s="734" t="n">
        <v>45734</v>
      </c>
      <c r="EP13" s="734" t="n">
        <v>45728</v>
      </c>
      <c r="EQ13" s="736" t="n">
        <v>45724</v>
      </c>
      <c r="ER13" s="734" t="n">
        <v>45706</v>
      </c>
      <c r="ES13" s="734" t="n">
        <v>45699</v>
      </c>
      <c r="ET13" s="744" t="n">
        <v>45698</v>
      </c>
      <c r="EU13" s="734" t="n">
        <v>45674</v>
      </c>
      <c r="EV13" s="734" t="n">
        <v>45664</v>
      </c>
      <c r="EW13" s="734" t="n">
        <v>45660</v>
      </c>
      <c r="EX13" s="744" t="n">
        <v>45663</v>
      </c>
      <c r="EY13" s="734" t="n">
        <v>45652</v>
      </c>
      <c r="EZ13" s="734" t="n">
        <v>45643</v>
      </c>
      <c r="FB13" s="304" t="inlineStr">
        <is>
          <t>DIVERSOS</t>
        </is>
      </c>
      <c r="FC13" s="235" t="inlineStr">
        <is>
          <t>PCT</t>
        </is>
      </c>
      <c r="FD13" s="746" t="n">
        <v>46118</v>
      </c>
      <c r="FE13" s="746" t="n">
        <v>46125</v>
      </c>
      <c r="FF13" s="746" t="n">
        <v>46132</v>
      </c>
      <c r="FG13" s="746" t="n">
        <v>46139</v>
      </c>
      <c r="FH13" s="746" t="n">
        <v>46146</v>
      </c>
      <c r="FI13" s="746" t="n">
        <v>46154</v>
      </c>
      <c r="FJ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6</v>
      </c>
      <c r="G14" s="697">
        <f>6+EW14</f>
        <v/>
      </c>
      <c r="H14" s="237" t="n">
        <v>7</v>
      </c>
      <c r="I14" s="237" t="n">
        <v>6</v>
      </c>
      <c r="J14" s="237" t="n">
        <v>6</v>
      </c>
      <c r="K14" s="237" t="n">
        <v>6</v>
      </c>
      <c r="L14" s="237" t="n">
        <v>5</v>
      </c>
      <c r="M14" s="237" t="n">
        <v>5</v>
      </c>
      <c r="N14" s="237" t="n">
        <v>4</v>
      </c>
      <c r="O14" s="237" t="n">
        <v>4</v>
      </c>
      <c r="P14" s="237" t="n">
        <v>3</v>
      </c>
      <c r="Q14" s="237" t="n">
        <v>4</v>
      </c>
      <c r="R14" s="237" t="n">
        <v>3</v>
      </c>
      <c r="S14" s="237">
        <f>5+EM14</f>
        <v/>
      </c>
      <c r="T14" s="237" t="n">
        <v>6</v>
      </c>
      <c r="U14" s="237" t="n">
        <v>5</v>
      </c>
      <c r="V14" s="237" t="n">
        <v>5</v>
      </c>
      <c r="W14" s="237" t="n">
        <v>5</v>
      </c>
      <c r="X14" s="237" t="n">
        <v>5</v>
      </c>
      <c r="Y14" s="237" t="n">
        <v>3</v>
      </c>
      <c r="Z14" s="237">
        <f>2+EH14</f>
        <v/>
      </c>
      <c r="AA14" s="237" t="n">
        <v>4</v>
      </c>
      <c r="AB14" s="237" t="n">
        <v>4</v>
      </c>
      <c r="AC14" s="237" t="n">
        <v>4</v>
      </c>
      <c r="AD14" s="237" t="n">
        <v>4</v>
      </c>
      <c r="AE14" s="237" t="n">
        <v>4</v>
      </c>
      <c r="AF14" s="237" t="n">
        <v>3</v>
      </c>
      <c r="AG14" s="237" t="n">
        <v>2</v>
      </c>
      <c r="AH14" s="237">
        <f>2+DU14</f>
        <v/>
      </c>
      <c r="AI14" s="237" t="n">
        <v>3</v>
      </c>
      <c r="AJ14" s="237" t="n">
        <v>2</v>
      </c>
      <c r="AK14" s="237" t="n">
        <v>2</v>
      </c>
      <c r="AL14" s="237" t="n">
        <v>2</v>
      </c>
      <c r="AM14" s="237" t="n">
        <v>2</v>
      </c>
      <c r="AN14" s="237" t="n">
        <v>3</v>
      </c>
      <c r="AO14" s="237" t="n">
        <v>2</v>
      </c>
      <c r="AP14" s="237" t="n">
        <v>1</v>
      </c>
      <c r="AQ14" s="237" t="n">
        <v>4</v>
      </c>
      <c r="AR14" s="237" t="n">
        <v>3</v>
      </c>
      <c r="AS14" s="237">
        <f>2+DH14</f>
        <v/>
      </c>
      <c r="AT14" s="237" t="n">
        <v>3</v>
      </c>
      <c r="AU14" s="237" t="n">
        <v>1</v>
      </c>
      <c r="AV14" s="237" t="n">
        <v>1</v>
      </c>
      <c r="AW14" s="237" t="n">
        <v>1</v>
      </c>
      <c r="AX14" s="237" t="n">
        <v>1</v>
      </c>
      <c r="AY14" s="237" t="n">
        <v>1</v>
      </c>
      <c r="AZ14" s="237">
        <f>1+CX14</f>
        <v/>
      </c>
      <c r="BA14" s="237" t="n">
        <v>4</v>
      </c>
      <c r="BB14" s="237" t="n">
        <v>4</v>
      </c>
      <c r="BC14" s="237" t="n">
        <v>4</v>
      </c>
      <c r="BD14" s="237" t="n">
        <v>4</v>
      </c>
      <c r="BE14" s="237" t="n">
        <v>3</v>
      </c>
      <c r="BF14" s="237" t="n">
        <v>0</v>
      </c>
      <c r="BG14" s="237">
        <f>0+CS14</f>
        <v/>
      </c>
      <c r="BH14" s="237" t="n">
        <v>15</v>
      </c>
      <c r="BI14" s="237" t="n">
        <v>13</v>
      </c>
      <c r="BJ14" s="237" t="n">
        <v>13</v>
      </c>
      <c r="BK14" s="237" t="n">
        <v>12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6</v>
      </c>
      <c r="BR14" s="237">
        <f>5+CK14</f>
        <v/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>
        <f>5+CG14</f>
        <v/>
      </c>
      <c r="BY14" s="237" t="n">
        <v>7</v>
      </c>
      <c r="BZ14" s="198">
        <f>BX14+IF(NOT(ISBLANK(OFFSET(BZ14,0,6))),N(OFFSET(BZ14,0,6)),N(OFFSET(BZ14,0,7)))-BY14</f>
        <v/>
      </c>
      <c r="CA14" s="726" t="n"/>
      <c r="CB14" s="22" t="n"/>
      <c r="CC14" s="4" t="n"/>
      <c r="CD14" s="49" t="n"/>
      <c r="CE14" s="4" t="n"/>
      <c r="CF14" s="23" t="n">
        <v>0</v>
      </c>
      <c r="CG14" s="23" t="n">
        <v>3</v>
      </c>
      <c r="CH14" s="23" t="n"/>
      <c r="CI14" s="23" t="n"/>
      <c r="CJ14" s="219" t="n">
        <v>8</v>
      </c>
      <c r="CK14" s="23" t="n">
        <v>2</v>
      </c>
      <c r="CL14" s="23" t="n"/>
      <c r="CM14" s="23" t="n"/>
      <c r="CN14" s="23" t="n"/>
      <c r="CO14" s="23" t="n"/>
      <c r="CP14" s="23" t="n"/>
      <c r="CQ14" s="23" t="n">
        <v>5</v>
      </c>
      <c r="CR14" s="23" t="n">
        <v>7</v>
      </c>
      <c r="CS14" s="23" t="n">
        <v>3</v>
      </c>
      <c r="CT14" s="23" t="n"/>
      <c r="CU14" s="23" t="n"/>
      <c r="CV14" s="23" t="n"/>
      <c r="CW14" s="23" t="n"/>
      <c r="CX14" s="23" t="n">
        <v>3</v>
      </c>
      <c r="CY14" s="23" t="n"/>
      <c r="CZ14" s="23" t="n"/>
      <c r="DA14" s="23" t="n"/>
      <c r="DB14" s="219" t="n">
        <v>20</v>
      </c>
      <c r="DC14" s="23" t="n"/>
      <c r="DD14" s="23" t="n"/>
      <c r="DE14" s="23" t="n"/>
      <c r="DF14" s="23" t="n"/>
      <c r="DG14" s="23" t="n"/>
      <c r="DH14" s="23" t="n">
        <v>1</v>
      </c>
      <c r="DI14" s="437" t="inlineStr">
        <is>
          <t>100 P/ Q2</t>
        </is>
      </c>
      <c r="DJ14" s="219" t="n"/>
      <c r="DK14" s="23" t="n"/>
      <c r="DL14" s="219" t="n">
        <v>200</v>
      </c>
      <c r="DM14" s="23" t="n">
        <v>3</v>
      </c>
      <c r="DN14" s="23" t="n"/>
      <c r="DO14" s="23" t="n"/>
      <c r="DP14" s="23" t="n"/>
      <c r="DQ14" s="23" t="n">
        <v>1</v>
      </c>
      <c r="DR14" s="23" t="n"/>
      <c r="DS14" s="23" t="n">
        <v>1</v>
      </c>
      <c r="DT14" s="23" t="n"/>
      <c r="DU14" s="23" t="n">
        <v>1</v>
      </c>
      <c r="DV14" s="23" t="n"/>
      <c r="DW14" s="219" t="n"/>
      <c r="DX14" s="219" t="n"/>
      <c r="DY14" s="219" t="n">
        <v>5</v>
      </c>
      <c r="DZ14" s="23" t="n"/>
      <c r="EA14" s="23" t="n"/>
      <c r="EB14" s="23" t="n"/>
      <c r="EC14" s="23" t="n"/>
      <c r="ED14" s="23" t="n"/>
      <c r="EE14" s="23" t="n"/>
      <c r="EF14" s="219" t="n"/>
      <c r="EG14" s="219" t="n">
        <v>2</v>
      </c>
      <c r="EH14" s="23" t="n">
        <v>3</v>
      </c>
      <c r="EI14" s="23" t="n"/>
      <c r="EJ14" s="23" t="n"/>
      <c r="EK14" s="23" t="n"/>
      <c r="EL14" s="219" t="n"/>
      <c r="EM14" s="23" t="n">
        <v>1</v>
      </c>
      <c r="EN14" s="219" t="n">
        <v>7</v>
      </c>
      <c r="EO14" s="23" t="n">
        <v>2</v>
      </c>
      <c r="EP14" s="23" t="n">
        <v>2</v>
      </c>
      <c r="EQ14" s="23" t="n"/>
      <c r="ER14" s="23" t="n"/>
      <c r="ES14" s="23" t="n"/>
      <c r="ET14" s="219" t="n"/>
      <c r="EU14" s="23" t="n"/>
      <c r="EV14" s="23" t="n"/>
      <c r="EW14" s="23" t="n">
        <v>1</v>
      </c>
      <c r="EX14" s="219" t="n"/>
      <c r="EY14" s="23" t="n"/>
      <c r="EZ14" s="23" t="n">
        <v>4</v>
      </c>
      <c r="FB14" s="300" t="inlineStr">
        <is>
          <t>PAPEL DE SEDA</t>
        </is>
      </c>
      <c r="FC14" s="162" t="n">
        <v>200</v>
      </c>
      <c r="FD14" s="697">
        <f>CJ14</f>
        <v/>
      </c>
      <c r="FE14" s="697" t="n">
        <v>7</v>
      </c>
      <c r="FF14" s="697" t="n">
        <v>3</v>
      </c>
      <c r="FG14" s="697" t="n">
        <v>3</v>
      </c>
      <c r="FH14" s="697" t="n">
        <v>3</v>
      </c>
      <c r="FI14" s="697" t="n">
        <v>0</v>
      </c>
      <c r="FJ14" s="431">
        <f>FH14+IF(NOT(ISBLANK(OFFSET(FJ14,0,6))),N(OFFSET(FJ14,0,6)),N(OFFSET(FJ14,0,7)))-FI14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0+EW15</f>
        <v/>
      </c>
      <c r="H15" s="237">
        <f>2+EV15</f>
        <v/>
      </c>
      <c r="I15" s="237" t="n">
        <v>3</v>
      </c>
      <c r="J15" s="237" t="n">
        <v>3</v>
      </c>
      <c r="K15" s="237" t="n">
        <v>3</v>
      </c>
      <c r="L15" s="237" t="n">
        <v>3</v>
      </c>
      <c r="M15" s="237" t="n">
        <v>3</v>
      </c>
      <c r="N15" s="237" t="n">
        <v>3</v>
      </c>
      <c r="O15" s="237" t="n">
        <v>3</v>
      </c>
      <c r="P15" s="237" t="n">
        <v>3</v>
      </c>
      <c r="Q15" s="237" t="n">
        <v>3</v>
      </c>
      <c r="R15" s="237" t="n">
        <v>3</v>
      </c>
      <c r="S15" s="237" t="n">
        <v>3</v>
      </c>
      <c r="T15" s="237" t="n">
        <v>3</v>
      </c>
      <c r="U15" s="237" t="n">
        <v>3</v>
      </c>
      <c r="V15" s="237" t="n">
        <v>3</v>
      </c>
      <c r="W15" s="237" t="n">
        <v>3</v>
      </c>
      <c r="X15" s="237" t="n">
        <v>2</v>
      </c>
      <c r="Y15" s="237" t="n">
        <v>2</v>
      </c>
      <c r="Z15" s="237" t="n">
        <v>2</v>
      </c>
      <c r="AA15" s="237" t="n">
        <v>3</v>
      </c>
      <c r="AB15" s="237" t="n">
        <v>3</v>
      </c>
      <c r="AC15" s="237" t="n">
        <v>3</v>
      </c>
      <c r="AD15" s="237" t="n">
        <v>2</v>
      </c>
      <c r="AE15" s="237" t="n">
        <v>2</v>
      </c>
      <c r="AF15" s="237" t="n">
        <v>2</v>
      </c>
      <c r="AG15" s="237" t="n">
        <v>2</v>
      </c>
      <c r="AH15" s="237" t="n">
        <v>2</v>
      </c>
      <c r="AI15" s="237" t="n">
        <v>2</v>
      </c>
      <c r="AJ15" s="237" t="n">
        <v>2</v>
      </c>
      <c r="AK15" s="237" t="n">
        <v>1</v>
      </c>
      <c r="AL15" s="237" t="n">
        <v>1</v>
      </c>
      <c r="AM15" s="237" t="n">
        <v>1</v>
      </c>
      <c r="AN15" s="237" t="n">
        <v>3</v>
      </c>
      <c r="AO15" s="237" t="n">
        <v>3</v>
      </c>
      <c r="AP15" s="237" t="n">
        <v>3</v>
      </c>
      <c r="AQ15" s="237" t="n">
        <v>3</v>
      </c>
      <c r="AR15" s="237" t="n">
        <v>3</v>
      </c>
      <c r="AS15" s="237" t="n">
        <v>3</v>
      </c>
      <c r="AT15" s="237" t="n">
        <v>3</v>
      </c>
      <c r="AU15" s="237" t="n">
        <v>2</v>
      </c>
      <c r="AV15" s="237" t="n">
        <v>2</v>
      </c>
      <c r="AW15" s="237" t="n">
        <v>2</v>
      </c>
      <c r="AX15" s="237" t="n">
        <v>2</v>
      </c>
      <c r="AY15" s="237" t="n">
        <v>2</v>
      </c>
      <c r="AZ15" s="237" t="n">
        <v>2</v>
      </c>
      <c r="BA15" s="237" t="n">
        <v>2</v>
      </c>
      <c r="BB15" s="237" t="n">
        <v>2</v>
      </c>
      <c r="BC15" s="237" t="n">
        <v>1</v>
      </c>
      <c r="BD15" s="237">
        <f>1+CU15</f>
        <v/>
      </c>
      <c r="BE15" s="237" t="n">
        <v>6</v>
      </c>
      <c r="BF15" s="237" t="n">
        <v>5</v>
      </c>
      <c r="BG15" s="237" t="n">
        <v>5</v>
      </c>
      <c r="BH15" s="237" t="n">
        <v>5</v>
      </c>
      <c r="BI15" s="237" t="n">
        <v>5</v>
      </c>
      <c r="BJ15" s="237" t="n">
        <v>5</v>
      </c>
      <c r="BK15" s="237" t="n">
        <v>5</v>
      </c>
      <c r="BL15" s="237" t="n">
        <v>5</v>
      </c>
      <c r="BM15" s="237" t="n">
        <v>4</v>
      </c>
      <c r="BN15" s="237" t="n">
        <v>3</v>
      </c>
      <c r="BO15" s="237" t="n">
        <v>3</v>
      </c>
      <c r="BP15" s="237" t="n">
        <v>3</v>
      </c>
      <c r="BQ15" s="237" t="n">
        <v>2</v>
      </c>
      <c r="BR15" s="237" t="n">
        <v>2</v>
      </c>
      <c r="BS15" s="237" t="n">
        <v>1</v>
      </c>
      <c r="BT15" s="237" t="n">
        <v>1</v>
      </c>
      <c r="BU15" s="237" t="n">
        <v>1</v>
      </c>
      <c r="BV15" s="237" t="n">
        <v>1</v>
      </c>
      <c r="BW15" s="237" t="n">
        <v>1</v>
      </c>
      <c r="BX15" s="237" t="n">
        <v>1</v>
      </c>
      <c r="BY15" s="237" t="n">
        <v>0</v>
      </c>
      <c r="BZ15" s="198">
        <f>BX15+IF(NOT(ISBLANK(OFFSET(BZ15,0,6))),N(OFFSET(BZ15,0,6)),N(OFFSET(BZ15,0,7)))-BY15</f>
        <v/>
      </c>
      <c r="CA15" s="726" t="n"/>
      <c r="CB15" s="22" t="n"/>
      <c r="CC15" s="4" t="n"/>
      <c r="CD15" s="49" t="n">
        <v>5</v>
      </c>
      <c r="CE15" s="4" t="n"/>
      <c r="CF15" s="23" t="n">
        <v>0</v>
      </c>
      <c r="CG15" s="23" t="n">
        <v>0</v>
      </c>
      <c r="CH15" s="23" t="n"/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5</v>
      </c>
      <c r="CV15" s="23" t="n"/>
      <c r="CW15" s="23" t="n"/>
      <c r="CX15" s="23" t="n"/>
      <c r="CY15" s="23" t="n"/>
      <c r="CZ15" s="23" t="n"/>
      <c r="DA15" s="23" t="n"/>
      <c r="DB15" s="219" t="n">
        <v>9</v>
      </c>
      <c r="DC15" s="23" t="n"/>
      <c r="DD15" s="23" t="n"/>
      <c r="DE15" s="23" t="n"/>
      <c r="DF15" s="23" t="n"/>
      <c r="DG15" s="23" t="n"/>
      <c r="DH15" s="23" t="n"/>
      <c r="DI15" s="437" t="inlineStr">
        <is>
          <t>100 P/ Q2</t>
        </is>
      </c>
      <c r="DJ15" s="219" t="n"/>
      <c r="DK15" s="23" t="n"/>
      <c r="DL15" s="219" t="n">
        <v>200</v>
      </c>
      <c r="DM15" s="23" t="n"/>
      <c r="DN15" s="23" t="n"/>
      <c r="DO15" s="23" t="n"/>
      <c r="DP15" s="23" t="n"/>
      <c r="DQ15" s="23" t="n">
        <v>1</v>
      </c>
      <c r="DR15" s="23" t="n"/>
      <c r="DS15" s="23" t="n">
        <v>1</v>
      </c>
      <c r="DT15" s="23" t="n"/>
      <c r="DU15" s="23" t="n"/>
      <c r="DV15" s="23" t="n"/>
      <c r="DW15" s="219" t="n"/>
      <c r="DX15" s="219" t="n"/>
      <c r="DY15" s="219" t="n">
        <v>2</v>
      </c>
      <c r="DZ15" s="23" t="n"/>
      <c r="EA15" s="23" t="n"/>
      <c r="EB15" s="23" t="n"/>
      <c r="EC15" s="23" t="n"/>
      <c r="ED15" s="23" t="n"/>
      <c r="EE15" s="23" t="n">
        <v>1</v>
      </c>
      <c r="EF15" s="219" t="n"/>
      <c r="EG15" s="219" t="n">
        <v>2</v>
      </c>
      <c r="EH15" s="23" t="n"/>
      <c r="EI15" s="23" t="n"/>
      <c r="EJ15" s="23" t="n"/>
      <c r="EK15" s="23" t="n"/>
      <c r="EL15" s="219" t="n"/>
      <c r="EM15" s="23" t="n"/>
      <c r="EN15" s="219" t="n"/>
      <c r="EO15" s="23" t="n"/>
      <c r="EP15" s="23" t="n"/>
      <c r="EQ15" s="23" t="n"/>
      <c r="ER15" s="23" t="n"/>
      <c r="ES15" s="23" t="n"/>
      <c r="ET15" s="219" t="n"/>
      <c r="EU15" s="23" t="n"/>
      <c r="EV15" s="23" t="n">
        <v>1</v>
      </c>
      <c r="EW15" s="23" t="n">
        <v>2</v>
      </c>
      <c r="EX15" s="219" t="n"/>
      <c r="EY15" s="23" t="n"/>
      <c r="EZ15" s="23" t="n">
        <v>2</v>
      </c>
      <c r="FB15" s="65" t="inlineStr">
        <is>
          <t>ADESIVOS</t>
        </is>
      </c>
      <c r="FC15" s="699" t="n">
        <v>200</v>
      </c>
      <c r="FD15" s="697">
        <f>CJ15</f>
        <v/>
      </c>
      <c r="FE15" s="697" t="n">
        <v>4</v>
      </c>
      <c r="FF15" s="697" t="n">
        <v>3</v>
      </c>
      <c r="FG15" s="697" t="n">
        <v>3</v>
      </c>
      <c r="FH15" s="697" t="n">
        <v>2</v>
      </c>
      <c r="FI15" s="697" t="n">
        <v>0</v>
      </c>
      <c r="FJ15" s="431">
        <f>FH15+IF(NOT(ISBLANK(OFFSET(FJ15,0,6))),N(OFFSET(FJ15,0,6)),N(OFFSET(FJ15,0,7)))-FI15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1+EY16</f>
        <v/>
      </c>
      <c r="G16" s="697" t="n">
        <v>4</v>
      </c>
      <c r="H16" s="697" t="n">
        <v>4</v>
      </c>
      <c r="I16" s="697" t="n">
        <v>4</v>
      </c>
      <c r="J16" s="697" t="n">
        <v>4</v>
      </c>
      <c r="K16" s="697" t="n">
        <v>4</v>
      </c>
      <c r="L16" s="697" t="n">
        <v>3</v>
      </c>
      <c r="M16" s="697" t="n">
        <v>3</v>
      </c>
      <c r="N16" s="697">
        <f>2+ER16</f>
        <v/>
      </c>
      <c r="O16" s="697" t="n">
        <v>3</v>
      </c>
      <c r="P16" s="697" t="n">
        <v>3</v>
      </c>
      <c r="Q16" s="697" t="n">
        <v>2</v>
      </c>
      <c r="R16" s="697" t="n">
        <v>1</v>
      </c>
      <c r="S16" s="697">
        <f>4+EM16</f>
        <v/>
      </c>
      <c r="T16" s="697" t="n">
        <v>4</v>
      </c>
      <c r="U16" s="697" t="n">
        <v>4</v>
      </c>
      <c r="V16" s="697" t="n">
        <v>4</v>
      </c>
      <c r="W16" s="697" t="n">
        <v>3</v>
      </c>
      <c r="X16" s="697" t="n">
        <v>2</v>
      </c>
      <c r="Y16" s="237" t="n">
        <v>7</v>
      </c>
      <c r="Z16" s="237" t="n">
        <v>6</v>
      </c>
      <c r="AA16" s="237" t="n">
        <v>6</v>
      </c>
      <c r="AB16" s="237" t="n">
        <v>5</v>
      </c>
      <c r="AC16" s="237" t="n">
        <v>4</v>
      </c>
      <c r="AD16" s="237" t="n">
        <v>2</v>
      </c>
      <c r="AE16" s="237" t="n">
        <v>6</v>
      </c>
      <c r="AF16" s="237" t="n">
        <v>6</v>
      </c>
      <c r="AG16" s="237" t="n">
        <v>4</v>
      </c>
      <c r="AH16" s="237" t="n">
        <v>4</v>
      </c>
      <c r="AI16" s="237" t="n">
        <v>3</v>
      </c>
      <c r="AJ16" s="237" t="n">
        <v>3</v>
      </c>
      <c r="AK16" s="237" t="n">
        <v>2</v>
      </c>
      <c r="AL16" s="237" t="n">
        <v>3</v>
      </c>
      <c r="AM16" s="237" t="n">
        <v>3</v>
      </c>
      <c r="AN16" s="237" t="n">
        <v>3</v>
      </c>
      <c r="AO16" s="237" t="n">
        <v>3</v>
      </c>
      <c r="AP16" s="237" t="n">
        <v>3</v>
      </c>
      <c r="AQ16" s="237" t="n">
        <v>3</v>
      </c>
      <c r="AR16" s="237" t="n">
        <v>3</v>
      </c>
      <c r="AS16" s="237">
        <f>3+DH16</f>
        <v/>
      </c>
      <c r="AT16" s="237" t="n">
        <v>3</v>
      </c>
      <c r="AU16" s="237">
        <f>3+DE16</f>
        <v/>
      </c>
      <c r="AV16" s="237" t="n">
        <v>3</v>
      </c>
      <c r="AW16" s="237" t="n">
        <v>2</v>
      </c>
      <c r="AX16" s="237" t="n">
        <v>2</v>
      </c>
      <c r="AY16" s="237" t="n">
        <v>2</v>
      </c>
      <c r="AZ16" s="237">
        <f>1+CX16</f>
        <v/>
      </c>
      <c r="BA16" s="237" t="n">
        <v>1</v>
      </c>
      <c r="BB16" s="237">
        <f>1+CW16</f>
        <v/>
      </c>
      <c r="BC16" s="237" t="n">
        <v>6</v>
      </c>
      <c r="BD16" s="237" t="n">
        <v>6</v>
      </c>
      <c r="BE16" s="237" t="n">
        <v>2</v>
      </c>
      <c r="BF16" s="237" t="n">
        <v>0</v>
      </c>
      <c r="BG16" s="237">
        <f>0+CS16</f>
        <v/>
      </c>
      <c r="BH16" s="237" t="n">
        <v>6</v>
      </c>
      <c r="BI16" s="237" t="n">
        <v>5</v>
      </c>
      <c r="BJ16" s="237">
        <f>5+CP16</f>
        <v/>
      </c>
      <c r="BK16" s="237" t="n">
        <v>5</v>
      </c>
      <c r="BL16" s="237" t="n">
        <v>4</v>
      </c>
      <c r="BM16" s="237" t="n">
        <v>4</v>
      </c>
      <c r="BN16" s="237">
        <f>3+CM16</f>
        <v/>
      </c>
      <c r="BO16" s="237" t="n">
        <v>4</v>
      </c>
      <c r="BP16" s="237" t="n">
        <v>3</v>
      </c>
      <c r="BQ16" s="237">
        <f>3+CL16</f>
        <v/>
      </c>
      <c r="BR16" s="237" t="n">
        <v>3</v>
      </c>
      <c r="BS16" s="237">
        <f>2+CI16</f>
        <v/>
      </c>
      <c r="BT16" s="237" t="n">
        <v>3</v>
      </c>
      <c r="BU16" s="237" t="n">
        <v>3</v>
      </c>
      <c r="BV16" s="237" t="n">
        <v>3</v>
      </c>
      <c r="BW16" s="237" t="n">
        <v>2</v>
      </c>
      <c r="BX16" s="237">
        <f>2+CG16</f>
        <v/>
      </c>
      <c r="BY16" s="237" t="n">
        <v>1</v>
      </c>
      <c r="BZ16" s="198">
        <f>BX16+IF(NOT(ISBLANK(OFFSET(BZ16,0,6))),N(OFFSET(BZ16,0,6)),N(OFFSET(BZ16,0,7)))-BY16</f>
        <v/>
      </c>
      <c r="CA16" s="2" t="n"/>
      <c r="CB16" s="22" t="n"/>
      <c r="CC16" s="4" t="n"/>
      <c r="CD16" s="49" t="n">
        <v>4</v>
      </c>
      <c r="CE16" s="4" t="n"/>
      <c r="CF16" s="23" t="n">
        <v>0</v>
      </c>
      <c r="CG16" s="23" t="n">
        <v>2</v>
      </c>
      <c r="CH16" s="23" t="n">
        <v>1</v>
      </c>
      <c r="CI16" s="23" t="n">
        <v>1</v>
      </c>
      <c r="CJ16" s="23" t="n"/>
      <c r="CK16" s="23" t="n"/>
      <c r="CL16" s="23" t="n">
        <v>1</v>
      </c>
      <c r="CM16" s="23" t="n">
        <v>1</v>
      </c>
      <c r="CN16" s="23" t="n"/>
      <c r="CO16" s="23" t="n"/>
      <c r="CP16" s="23" t="n">
        <v>1</v>
      </c>
      <c r="CQ16" s="23" t="n"/>
      <c r="CR16" s="23" t="n">
        <v>2</v>
      </c>
      <c r="CS16" s="23" t="n">
        <v>4</v>
      </c>
      <c r="CT16" s="23" t="n"/>
      <c r="CU16" s="23" t="n"/>
      <c r="CV16" s="23" t="n"/>
      <c r="CW16" s="23" t="n">
        <v>5</v>
      </c>
      <c r="CX16" s="23" t="n">
        <v>4</v>
      </c>
      <c r="CY16" s="23" t="n">
        <v>2</v>
      </c>
      <c r="CZ16" s="23" t="n"/>
      <c r="DA16" s="23" t="n"/>
      <c r="DB16" s="219" t="n"/>
      <c r="DC16" s="23" t="n"/>
      <c r="DD16" s="23" t="n"/>
      <c r="DE16" s="23" t="n">
        <v>1</v>
      </c>
      <c r="DF16" s="23" t="n"/>
      <c r="DG16" s="23" t="n"/>
      <c r="DH16" s="23" t="n">
        <v>1</v>
      </c>
      <c r="DI16" s="219" t="n"/>
      <c r="DJ16" s="219" t="n"/>
      <c r="DK16" s="23" t="n">
        <v>1</v>
      </c>
      <c r="DL16" s="219" t="n"/>
      <c r="DM16" s="23" t="n">
        <v>1</v>
      </c>
      <c r="DN16" s="23" t="n"/>
      <c r="DO16" s="23" t="n">
        <v>1</v>
      </c>
      <c r="DP16" s="23" t="n"/>
      <c r="DQ16" s="23" t="n">
        <v>1</v>
      </c>
      <c r="DR16" s="23" t="n"/>
      <c r="DS16" s="23" t="n">
        <v>2</v>
      </c>
      <c r="DT16" s="23" t="n"/>
      <c r="DU16" s="23" t="n"/>
      <c r="DV16" s="23" t="n"/>
      <c r="DW16" s="219" t="n"/>
      <c r="DX16" s="219" t="n"/>
      <c r="DY16" s="219" t="n"/>
      <c r="DZ16" s="23" t="n"/>
      <c r="EA16" s="23" t="n"/>
      <c r="EB16" s="23" t="n">
        <v>4</v>
      </c>
      <c r="EC16" s="23" t="n"/>
      <c r="ED16" s="23" t="n"/>
      <c r="EE16" s="23" t="n"/>
      <c r="EF16" s="219" t="n"/>
      <c r="EG16" s="219" t="n"/>
      <c r="EH16" s="23" t="n"/>
      <c r="EI16" s="23" t="n">
        <v>5</v>
      </c>
      <c r="EJ16" s="23" t="n"/>
      <c r="EK16" s="23" t="n"/>
      <c r="EL16" s="219" t="n"/>
      <c r="EM16" s="23" t="n">
        <v>2</v>
      </c>
      <c r="EN16" s="219" t="n">
        <v>3</v>
      </c>
      <c r="EO16" s="23" t="n">
        <v>3</v>
      </c>
      <c r="EP16" s="23" t="n"/>
      <c r="EQ16" s="23" t="n"/>
      <c r="ER16" s="23" t="n">
        <v>1</v>
      </c>
      <c r="ES16" s="23" t="n">
        <v>1</v>
      </c>
      <c r="ET16" s="219" t="n"/>
      <c r="EU16" s="23" t="n"/>
      <c r="EV16" s="23" t="n"/>
      <c r="EW16" s="23" t="n"/>
      <c r="EX16" s="219" t="n"/>
      <c r="EY16" s="23" t="n">
        <v>4</v>
      </c>
      <c r="EZ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2+EY17</f>
        <v/>
      </c>
      <c r="G17" s="697">
        <f>2+EW17</f>
        <v/>
      </c>
      <c r="H17" s="237">
        <f>6+EV17</f>
        <v/>
      </c>
      <c r="I17" s="237" t="n">
        <v>8</v>
      </c>
      <c r="J17" s="237" t="n">
        <v>7</v>
      </c>
      <c r="K17" s="237" t="n">
        <v>7</v>
      </c>
      <c r="L17" s="237" t="n">
        <v>7</v>
      </c>
      <c r="M17" s="237" t="n">
        <v>6</v>
      </c>
      <c r="N17" s="237">
        <f>6+ER17</f>
        <v/>
      </c>
      <c r="O17" s="237" t="n">
        <v>7</v>
      </c>
      <c r="P17" s="237">
        <f>5-2</f>
        <v/>
      </c>
      <c r="Q17" s="237" t="n">
        <v>7</v>
      </c>
      <c r="R17" s="237" t="n">
        <v>7</v>
      </c>
      <c r="S17" s="237" t="n">
        <v>7</v>
      </c>
      <c r="T17" s="237" t="n">
        <v>6</v>
      </c>
      <c r="U17" s="237" t="n">
        <v>5</v>
      </c>
      <c r="V17" s="237" t="n">
        <v>5</v>
      </c>
      <c r="W17" s="237" t="n">
        <v>4</v>
      </c>
      <c r="X17" s="237" t="n">
        <v>4</v>
      </c>
      <c r="Y17" s="237" t="n">
        <v>2</v>
      </c>
      <c r="Z17" s="237">
        <f>2+EH17</f>
        <v/>
      </c>
      <c r="AA17" s="237" t="n">
        <v>4</v>
      </c>
      <c r="AB17" s="237" t="n">
        <v>3</v>
      </c>
      <c r="AC17" s="237" t="n">
        <v>3</v>
      </c>
      <c r="AD17" s="237" t="n">
        <v>3</v>
      </c>
      <c r="AE17" s="237" t="n">
        <v>2</v>
      </c>
      <c r="AF17" s="237">
        <f>2+EA17</f>
        <v/>
      </c>
      <c r="AG17" s="237" t="n">
        <v>2</v>
      </c>
      <c r="AH17" s="237">
        <f>2+DU17</f>
        <v/>
      </c>
      <c r="AI17" s="237" t="n">
        <v>2</v>
      </c>
      <c r="AJ17" s="237" t="n">
        <v>2</v>
      </c>
      <c r="AK17" s="237" t="n">
        <v>2</v>
      </c>
      <c r="AL17" s="237" t="n">
        <v>2</v>
      </c>
      <c r="AM17" s="237" t="n">
        <v>1</v>
      </c>
      <c r="AN17" s="237" t="n">
        <v>3</v>
      </c>
      <c r="AO17" s="237" t="n">
        <v>5</v>
      </c>
      <c r="AP17" s="237" t="n">
        <v>4</v>
      </c>
      <c r="AQ17" s="237" t="n">
        <v>3</v>
      </c>
      <c r="AR17" s="237" t="n">
        <v>3</v>
      </c>
      <c r="AS17" s="237" t="n">
        <v>3</v>
      </c>
      <c r="AT17" s="237" t="n">
        <v>2</v>
      </c>
      <c r="AU17" s="237">
        <f>2+DE17</f>
        <v/>
      </c>
      <c r="AV17" s="237" t="n">
        <v>2</v>
      </c>
      <c r="AW17" s="237">
        <f>2+DA17</f>
        <v/>
      </c>
      <c r="AX17" s="237" t="n">
        <v>3</v>
      </c>
      <c r="AY17" s="237" t="n">
        <v>2</v>
      </c>
      <c r="AZ17" s="237">
        <f>2+CX17</f>
        <v/>
      </c>
      <c r="BA17" s="237" t="n">
        <v>3</v>
      </c>
      <c r="BB17" s="237">
        <f>2+CW17</f>
        <v/>
      </c>
      <c r="BC17" s="237">
        <f>3+CV17</f>
        <v/>
      </c>
      <c r="BD17" s="237">
        <f>3+CU17</f>
        <v/>
      </c>
      <c r="BE17" s="237" t="n">
        <v>4</v>
      </c>
      <c r="BF17" s="237" t="n">
        <v>3</v>
      </c>
      <c r="BG17" s="237">
        <f>2+CS17</f>
        <v/>
      </c>
      <c r="BH17" s="237" t="n">
        <v>5</v>
      </c>
      <c r="BI17" s="237" t="n">
        <v>5</v>
      </c>
      <c r="BJ17" s="237" t="n">
        <v>4</v>
      </c>
      <c r="BK17" s="237" t="n">
        <v>4</v>
      </c>
      <c r="BL17" s="237" t="n">
        <v>4</v>
      </c>
      <c r="BM17" s="237" t="n">
        <v>4</v>
      </c>
      <c r="BN17" s="237" t="n">
        <v>3</v>
      </c>
      <c r="BO17" s="237" t="n">
        <v>3</v>
      </c>
      <c r="BP17" s="237" t="n">
        <v>3</v>
      </c>
      <c r="BQ17" s="237" t="n">
        <v>2</v>
      </c>
      <c r="BR17" s="237">
        <f>1+CK17</f>
        <v/>
      </c>
      <c r="BS17" s="237" t="n">
        <v>2</v>
      </c>
      <c r="BT17" s="237" t="n">
        <v>2</v>
      </c>
      <c r="BU17" s="237" t="n">
        <v>1</v>
      </c>
      <c r="BV17" s="237" t="n">
        <v>1</v>
      </c>
      <c r="BW17" s="237" t="n">
        <v>0</v>
      </c>
      <c r="BX17" s="237">
        <f>0+CG17</f>
        <v/>
      </c>
      <c r="BY17" s="237" t="n">
        <v>2</v>
      </c>
      <c r="BZ17" s="198">
        <f>BX17+IF(NOT(ISBLANK(OFFSET(BZ17,0,6))),N(OFFSET(BZ17,0,6)),N(OFFSET(BZ17,0,7)))-BY17</f>
        <v/>
      </c>
      <c r="CA17" s="2" t="n"/>
      <c r="CB17" s="22" t="n"/>
      <c r="CC17" s="4" t="n"/>
      <c r="CD17" s="49" t="n">
        <v>1</v>
      </c>
      <c r="CE17" s="4" t="n"/>
      <c r="CF17" s="23" t="n">
        <v>0</v>
      </c>
      <c r="CG17" s="23" t="n">
        <v>3</v>
      </c>
      <c r="CH17" s="23" t="n"/>
      <c r="CI17" s="23" t="n"/>
      <c r="CJ17" s="23" t="n"/>
      <c r="CK17" s="23" t="n">
        <v>1</v>
      </c>
      <c r="CL17" s="23" t="n"/>
      <c r="CM17" s="23" t="n"/>
      <c r="CN17" s="23" t="n"/>
      <c r="CO17" s="23" t="n">
        <v>1</v>
      </c>
      <c r="CP17" s="23" t="n"/>
      <c r="CQ17" s="23" t="n"/>
      <c r="CR17" s="23" t="n">
        <v>2</v>
      </c>
      <c r="CS17" s="23" t="n">
        <v>1</v>
      </c>
      <c r="CT17" s="23" t="n"/>
      <c r="CU17" s="23" t="n">
        <v>2</v>
      </c>
      <c r="CV17" s="23" t="n">
        <v>1</v>
      </c>
      <c r="CW17" s="23" t="n">
        <v>2</v>
      </c>
      <c r="CX17" s="23" t="n">
        <v>2</v>
      </c>
      <c r="CY17" s="23" t="n"/>
      <c r="CZ17" s="23" t="n"/>
      <c r="DA17" s="23" t="n">
        <v>1</v>
      </c>
      <c r="DB17" s="219" t="n"/>
      <c r="DC17" s="23" t="n"/>
      <c r="DD17" s="23" t="n"/>
      <c r="DE17" s="23" t="n">
        <v>1</v>
      </c>
      <c r="DF17" s="23" t="n"/>
      <c r="DG17" s="23" t="n"/>
      <c r="DH17" s="23" t="n"/>
      <c r="DI17" s="219" t="n"/>
      <c r="DJ17" s="219" t="n"/>
      <c r="DK17" s="23" t="n"/>
      <c r="DL17" s="219" t="n"/>
      <c r="DM17" s="23" t="n"/>
      <c r="DN17" s="23" t="n"/>
      <c r="DO17" s="23" t="n">
        <v>2</v>
      </c>
      <c r="DP17" s="23" t="n">
        <v>1</v>
      </c>
      <c r="DQ17" s="23" t="n">
        <v>1</v>
      </c>
      <c r="DR17" s="23" t="n"/>
      <c r="DS17" s="23" t="n">
        <v>1</v>
      </c>
      <c r="DT17" s="23" t="n"/>
      <c r="DU17" s="23" t="n">
        <v>1</v>
      </c>
      <c r="DV17" s="23" t="n"/>
      <c r="DW17" s="219" t="n"/>
      <c r="DX17" s="219" t="n"/>
      <c r="DY17" s="219" t="n"/>
      <c r="DZ17" s="23" t="n"/>
      <c r="EA17" s="23" t="n">
        <v>1</v>
      </c>
      <c r="EB17" s="23" t="n"/>
      <c r="EC17" s="23" t="n"/>
      <c r="ED17" s="23" t="n"/>
      <c r="EE17" s="23" t="n"/>
      <c r="EF17" s="219" t="n"/>
      <c r="EG17" s="219" t="n"/>
      <c r="EH17" s="23" t="n">
        <v>2</v>
      </c>
      <c r="EI17" s="23" t="n"/>
      <c r="EJ17" s="23" t="n"/>
      <c r="EK17" s="23" t="n"/>
      <c r="EL17" s="219" t="n"/>
      <c r="EM17" s="23" t="n"/>
      <c r="EN17" s="219" t="n"/>
      <c r="EO17" s="23" t="n"/>
      <c r="EP17" s="23" t="n">
        <v>4</v>
      </c>
      <c r="EQ17" s="282" t="inlineStr">
        <is>
          <t>02 P/ BSH</t>
        </is>
      </c>
      <c r="ER17" s="23" t="n">
        <v>1</v>
      </c>
      <c r="ES17" s="23" t="n"/>
      <c r="ET17" s="219" t="n"/>
      <c r="EU17" s="23" t="n"/>
      <c r="EV17" s="23" t="n">
        <v>2</v>
      </c>
      <c r="EW17" s="23" t="n">
        <v>3</v>
      </c>
      <c r="EX17" s="219" t="n"/>
      <c r="EY17" s="23" t="n">
        <v>1</v>
      </c>
      <c r="EZ17" s="23" t="n">
        <v>2</v>
      </c>
    </row>
    <row r="18" customFormat="1" s="3">
      <c r="A18" s="35" t="n"/>
      <c r="C18" s="763" t="n"/>
      <c r="D18" s="450" t="n"/>
      <c r="CB18" s="48" t="n"/>
      <c r="CD18" s="61" t="n"/>
      <c r="CJ18" s="250" t="n"/>
      <c r="DI18" s="372" t="n"/>
      <c r="DJ18" s="372" t="n"/>
      <c r="DL18" s="372" t="n"/>
      <c r="DW18" s="250" t="n"/>
      <c r="DX18" s="250" t="n"/>
      <c r="DY18" s="250" t="n"/>
      <c r="EF18" s="372" t="n"/>
      <c r="EG18" s="372" t="n"/>
      <c r="EL18" s="19" t="n"/>
      <c r="EN18" s="19" t="n"/>
      <c r="ET18" s="250" t="n"/>
      <c r="EX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A19" s="2" t="n"/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34" t="n"/>
      <c r="CG19" s="734" t="n">
        <v>46142</v>
      </c>
      <c r="CH19" s="734" t="n">
        <v>46114</v>
      </c>
      <c r="CI19" s="734" t="n">
        <v>46107</v>
      </c>
      <c r="CJ19" s="735" t="n">
        <v>46065</v>
      </c>
      <c r="CK19" s="734" t="n">
        <v>46099</v>
      </c>
      <c r="CL19" s="734" t="n">
        <v>46092</v>
      </c>
      <c r="CM19" s="734" t="n">
        <v>46071</v>
      </c>
      <c r="CN19" s="736" t="n">
        <v>46067</v>
      </c>
      <c r="CO19" s="734" t="n">
        <v>46048</v>
      </c>
      <c r="CP19" s="734" t="n">
        <v>46043</v>
      </c>
      <c r="CQ19" s="734" t="n">
        <v>46029</v>
      </c>
      <c r="CR19" s="734" t="n">
        <v>46024</v>
      </c>
      <c r="CS19" s="734" t="n">
        <v>46017</v>
      </c>
      <c r="CT19" s="734" t="n">
        <v>46007</v>
      </c>
      <c r="CU19" s="734" t="n">
        <v>46001</v>
      </c>
      <c r="CV19" s="734" t="n">
        <v>45994</v>
      </c>
      <c r="CW19" s="734" t="n">
        <v>45986</v>
      </c>
      <c r="CX19" s="734" t="n">
        <v>45973</v>
      </c>
      <c r="CY19" s="734" t="n">
        <v>45960</v>
      </c>
      <c r="CZ19" s="736" t="n">
        <v>45962</v>
      </c>
      <c r="DA19" s="734" t="n">
        <v>45951</v>
      </c>
      <c r="DB19" s="737" t="n">
        <v>45903</v>
      </c>
      <c r="DC19" s="736" t="n">
        <v>45955</v>
      </c>
      <c r="DD19" s="736" t="n">
        <v>45945</v>
      </c>
      <c r="DE19" s="734" t="n">
        <v>45937</v>
      </c>
      <c r="DF19" s="734" t="n">
        <v>45931</v>
      </c>
      <c r="DG19" s="734" t="n">
        <v>45923</v>
      </c>
      <c r="DH19" s="734" t="n">
        <v>45923</v>
      </c>
      <c r="DI19" s="754" t="n">
        <v>45925</v>
      </c>
      <c r="DJ19" s="754" t="n">
        <v>45923</v>
      </c>
      <c r="DK19" s="734" t="n">
        <v>45915</v>
      </c>
      <c r="DL19" s="738" t="n">
        <v>45863</v>
      </c>
      <c r="DM19" s="734" t="n">
        <v>45909</v>
      </c>
      <c r="DN19" s="736" t="n">
        <v>45902</v>
      </c>
      <c r="DO19" s="734" t="n">
        <v>45895</v>
      </c>
      <c r="DP19" s="734" t="n">
        <v>45888</v>
      </c>
      <c r="DQ19" s="734" t="n">
        <v>45881</v>
      </c>
      <c r="DR19" s="739" t="n">
        <v>45880</v>
      </c>
      <c r="DS19" s="734" t="n">
        <v>45874</v>
      </c>
      <c r="DT19" s="734" t="n">
        <v>45853</v>
      </c>
      <c r="DU19" s="734" t="n">
        <v>45848</v>
      </c>
      <c r="DV19" s="736" t="n">
        <v>45852</v>
      </c>
      <c r="DW19" s="739" t="n">
        <v>45852</v>
      </c>
      <c r="DX19" s="739" t="n">
        <v>45847</v>
      </c>
      <c r="DY19" s="739" t="n">
        <v>45791</v>
      </c>
      <c r="DZ19" s="734" t="n">
        <v>45839</v>
      </c>
      <c r="EA19" s="734" t="n">
        <v>45832</v>
      </c>
      <c r="EB19" s="734" t="n">
        <v>45825</v>
      </c>
      <c r="EC19" s="736" t="n">
        <v>45820</v>
      </c>
      <c r="ED19" s="736" t="n">
        <v>45806</v>
      </c>
      <c r="EE19" s="734" t="n">
        <v>45798</v>
      </c>
      <c r="EF19" s="755" t="n">
        <v>45798</v>
      </c>
      <c r="EG19" s="742" t="n">
        <v>45735</v>
      </c>
      <c r="EH19" s="734" t="n">
        <v>45790</v>
      </c>
      <c r="EI19" s="734" t="n">
        <v>45783</v>
      </c>
      <c r="EJ19" s="734" t="n">
        <v>45756</v>
      </c>
      <c r="EK19" s="734" t="n">
        <v>45749</v>
      </c>
      <c r="EL19" s="740" t="n">
        <v>45750</v>
      </c>
      <c r="EM19" s="734" t="n">
        <v>45743</v>
      </c>
      <c r="EN19" s="740" t="n">
        <v>45700</v>
      </c>
      <c r="EO19" s="734" t="n">
        <v>45734</v>
      </c>
      <c r="EP19" s="734" t="n">
        <v>45728</v>
      </c>
      <c r="EQ19" s="736" t="n">
        <v>45724</v>
      </c>
      <c r="ER19" s="734" t="n">
        <v>45706</v>
      </c>
      <c r="ES19" s="734" t="n">
        <v>45699</v>
      </c>
      <c r="ET19" s="744" t="n">
        <v>45698</v>
      </c>
      <c r="EU19" s="734" t="n">
        <v>45674</v>
      </c>
      <c r="EV19" s="734" t="n">
        <v>45664</v>
      </c>
      <c r="EW19" s="734" t="n">
        <v>45660</v>
      </c>
      <c r="EX19" s="744" t="n">
        <v>45663</v>
      </c>
      <c r="EY19" s="734" t="n">
        <v>45652</v>
      </c>
      <c r="EZ19" s="734" t="n">
        <v>45643</v>
      </c>
      <c r="FB19" s="304" t="inlineStr">
        <is>
          <t>CAIXAS</t>
        </is>
      </c>
      <c r="FC19" s="235" t="inlineStr">
        <is>
          <t>PCT</t>
        </is>
      </c>
      <c r="FD19" s="746" t="n">
        <v>46118</v>
      </c>
      <c r="FE19" s="746" t="n">
        <v>46125</v>
      </c>
      <c r="FF19" s="746" t="n">
        <v>46132</v>
      </c>
      <c r="FG19" s="746" t="n">
        <v>46139</v>
      </c>
      <c r="FH19" s="746" t="n">
        <v>46146</v>
      </c>
      <c r="FI19" s="746" t="n">
        <v>46154</v>
      </c>
      <c r="FJ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170</v>
      </c>
      <c r="G20" s="697" t="n">
        <v>170</v>
      </c>
      <c r="H20" s="697" t="n">
        <v>172</v>
      </c>
      <c r="I20" s="697" t="n">
        <v>172</v>
      </c>
      <c r="J20" s="697" t="n">
        <v>172</v>
      </c>
      <c r="K20" s="697" t="n">
        <v>172</v>
      </c>
      <c r="L20" s="697" t="n">
        <v>170</v>
      </c>
      <c r="M20" s="697" t="n">
        <v>170</v>
      </c>
      <c r="N20" s="697" t="n">
        <v>163</v>
      </c>
      <c r="O20" s="697" t="n">
        <v>159</v>
      </c>
      <c r="P20" s="697" t="n">
        <v>158</v>
      </c>
      <c r="Q20" s="697" t="n">
        <v>157</v>
      </c>
      <c r="R20" s="314" t="n">
        <v>161</v>
      </c>
      <c r="S20" s="697" t="n">
        <v>146</v>
      </c>
      <c r="T20" s="697" t="n">
        <v>126</v>
      </c>
      <c r="U20" s="697" t="n">
        <v>107</v>
      </c>
      <c r="V20" s="697" t="n">
        <v>98</v>
      </c>
      <c r="W20" s="697" t="n">
        <v>97</v>
      </c>
      <c r="X20" s="697" t="n">
        <v>95</v>
      </c>
      <c r="Y20" s="697" t="n">
        <v>93</v>
      </c>
      <c r="Z20" s="697" t="n">
        <v>93</v>
      </c>
      <c r="AA20" s="697" t="n">
        <v>93</v>
      </c>
      <c r="AB20" s="697" t="n">
        <v>92</v>
      </c>
      <c r="AC20" s="697" t="n">
        <v>91</v>
      </c>
      <c r="AD20" s="697" t="n">
        <v>87</v>
      </c>
      <c r="AE20" s="697" t="n">
        <v>228</v>
      </c>
      <c r="AF20" s="697" t="n">
        <v>247</v>
      </c>
      <c r="AG20" s="697" t="n">
        <v>233</v>
      </c>
      <c r="AH20" s="697" t="n">
        <v>212</v>
      </c>
      <c r="AI20" s="697" t="n">
        <v>168</v>
      </c>
      <c r="AJ20" s="697" t="n">
        <v>153</v>
      </c>
      <c r="AK20" s="697" t="n">
        <v>148</v>
      </c>
      <c r="AL20" s="697" t="n">
        <v>98</v>
      </c>
      <c r="AM20" s="697" t="n">
        <v>85</v>
      </c>
      <c r="AN20" s="697" t="n">
        <v>220</v>
      </c>
      <c r="AO20" s="697" t="n">
        <v>203</v>
      </c>
      <c r="AP20" s="697" t="n">
        <v>177</v>
      </c>
      <c r="AQ20" s="697" t="n">
        <v>154</v>
      </c>
      <c r="AR20" s="697" t="n">
        <v>150</v>
      </c>
      <c r="AS20" s="697" t="n">
        <v>133</v>
      </c>
      <c r="AT20" s="697" t="n">
        <v>113</v>
      </c>
      <c r="AU20" s="697" t="n">
        <v>73</v>
      </c>
      <c r="AV20" s="697" t="n">
        <v>59</v>
      </c>
      <c r="AW20" s="697">
        <f>9+DA20</f>
        <v/>
      </c>
      <c r="AX20" s="697" t="n">
        <v>138</v>
      </c>
      <c r="AY20" s="697" t="n">
        <v>123</v>
      </c>
      <c r="AZ20" s="697" t="n">
        <v>24</v>
      </c>
      <c r="BA20" s="697" t="n">
        <v>22</v>
      </c>
      <c r="BB20" s="697" t="n">
        <v>21</v>
      </c>
      <c r="BC20" s="697" t="n">
        <v>20</v>
      </c>
      <c r="BD20" s="697">
        <f>19+CU20</f>
        <v/>
      </c>
      <c r="BE20" s="697" t="n">
        <v>321</v>
      </c>
      <c r="BF20" s="697" t="n">
        <v>312</v>
      </c>
      <c r="BG20" s="697" t="n">
        <v>302</v>
      </c>
      <c r="BH20" s="697" t="n">
        <v>298</v>
      </c>
      <c r="BI20" s="697" t="n">
        <v>299</v>
      </c>
      <c r="BJ20" s="697" t="n">
        <v>299</v>
      </c>
      <c r="BK20" s="697" t="n">
        <v>298</v>
      </c>
      <c r="BL20" s="697" t="n">
        <v>278</v>
      </c>
      <c r="BM20" s="697" t="n">
        <v>270</v>
      </c>
      <c r="BN20" s="697" t="n">
        <v>263</v>
      </c>
      <c r="BO20" s="697" t="n">
        <v>260</v>
      </c>
      <c r="BP20" s="697" t="n">
        <v>235</v>
      </c>
      <c r="BQ20" s="697" t="n">
        <v>211</v>
      </c>
      <c r="BR20" s="697" t="n">
        <v>180</v>
      </c>
      <c r="BS20" s="697" t="n">
        <v>168</v>
      </c>
      <c r="BT20" s="697" t="n"/>
      <c r="BU20" s="697" t="n"/>
      <c r="BV20" s="697" t="n"/>
      <c r="BW20" s="697" t="n">
        <v>150</v>
      </c>
      <c r="BX20" s="697" t="n">
        <v>150</v>
      </c>
      <c r="BY20" s="697" t="n">
        <v>149</v>
      </c>
      <c r="BZ20" s="192">
        <f>BX20+IF(NOT(ISBLANK(OFFSET(BZ20,0,6))),N(OFFSET(BZ20,0,6)),N(OFFSET(BZ20,0,7)))-BY20</f>
        <v/>
      </c>
      <c r="CA20" s="2" t="n"/>
      <c r="CB20" s="22" t="n"/>
      <c r="CC20" s="4" t="n"/>
      <c r="CD20" s="49" t="n"/>
      <c r="CE20" s="4" t="n"/>
      <c r="CF20" s="23" t="n">
        <v>0</v>
      </c>
      <c r="CG20" s="23" t="n">
        <v>0</v>
      </c>
      <c r="CH20" s="23" t="n"/>
      <c r="CI20" s="23" t="n"/>
      <c r="CJ20" s="219" t="n">
        <v>150</v>
      </c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>
        <v>150</v>
      </c>
      <c r="CV20" s="23" t="n"/>
      <c r="CW20" s="23" t="n"/>
      <c r="CX20" s="23" t="n"/>
      <c r="CY20" s="23" t="n"/>
      <c r="CZ20" s="23" t="n"/>
      <c r="DA20" s="23" t="n">
        <v>150</v>
      </c>
      <c r="DB20" s="219" t="n">
        <v>150</v>
      </c>
      <c r="DC20" s="23" t="n"/>
      <c r="DD20" s="23" t="n"/>
      <c r="DE20" s="23" t="n"/>
      <c r="DF20" s="23" t="n"/>
      <c r="DG20" s="23" t="n"/>
      <c r="DH20" s="23" t="n"/>
      <c r="DI20" s="219" t="n"/>
      <c r="DJ20" s="219" t="n"/>
      <c r="DK20" s="23" t="n"/>
      <c r="DL20" s="219" t="n"/>
      <c r="DM20" s="23" t="n"/>
      <c r="DN20" s="23" t="n"/>
      <c r="DO20" s="23" t="n"/>
      <c r="DP20" s="23" t="n"/>
      <c r="DQ20" s="23" t="n">
        <v>150</v>
      </c>
      <c r="DR20" s="23" t="n"/>
      <c r="DS20" s="23" t="n"/>
      <c r="DT20" s="23" t="n"/>
      <c r="DU20" s="23" t="n"/>
      <c r="DV20" s="23" t="n"/>
      <c r="DW20" s="219" t="n"/>
      <c r="DX20" s="219" t="n"/>
      <c r="DY20" s="219" t="n"/>
      <c r="DZ20" s="23" t="n"/>
      <c r="EA20" s="23" t="n"/>
      <c r="EB20" s="23" t="n">
        <v>150</v>
      </c>
      <c r="EC20" s="23" t="n"/>
      <c r="ED20" s="23" t="n"/>
      <c r="EE20" s="23" t="n"/>
      <c r="EF20" s="219" t="n"/>
      <c r="EG20" s="219" t="n"/>
      <c r="EH20" s="23" t="n"/>
      <c r="EI20" s="23" t="n"/>
      <c r="EJ20" s="23" t="n"/>
      <c r="EK20" s="23" t="n"/>
      <c r="EL20" s="292" t="inlineStr">
        <is>
          <t>100 DE SHN</t>
        </is>
      </c>
      <c r="EM20" s="23" t="n"/>
      <c r="EN20" s="219" t="n"/>
      <c r="EO20" s="23" t="n"/>
      <c r="EP20" s="23" t="n"/>
      <c r="EQ20" s="23" t="n"/>
      <c r="ER20" s="23" t="n"/>
      <c r="ES20" s="23" t="n"/>
      <c r="ET20" s="219" t="n"/>
      <c r="EU20" s="23" t="n"/>
      <c r="EV20" s="23" t="n"/>
      <c r="EW20" s="23" t="n"/>
      <c r="EX20" s="219" t="n"/>
      <c r="EY20" s="23" t="n"/>
      <c r="EZ20" s="23" t="n"/>
      <c r="FB20" s="300" t="inlineStr">
        <is>
          <t>CAIXA P</t>
        </is>
      </c>
      <c r="FC20" s="162" t="n">
        <v>150</v>
      </c>
      <c r="FD20" s="697">
        <f>CJ20</f>
        <v/>
      </c>
      <c r="FE20" s="697" t="n"/>
      <c r="FF20" s="697" t="n"/>
      <c r="FG20" s="697" t="n">
        <v>96</v>
      </c>
      <c r="FH20" s="697" t="n">
        <v>90</v>
      </c>
      <c r="FI20" s="697" t="n"/>
      <c r="FJ20" s="431">
        <f>FH20+IF(NOT(ISBLANK(OFFSET(FJ20,0,6))),N(OFFSET(FJ20,0,6)),N(OFFSET(FJ20,0,7)))-FI20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102</v>
      </c>
      <c r="G21" s="697" t="n">
        <v>102</v>
      </c>
      <c r="H21" s="697" t="n">
        <v>102</v>
      </c>
      <c r="I21" s="697" t="n">
        <v>96</v>
      </c>
      <c r="J21" s="697" t="n">
        <v>96</v>
      </c>
      <c r="K21" s="697" t="n">
        <v>95</v>
      </c>
      <c r="L21" s="697" t="n">
        <v>93</v>
      </c>
      <c r="M21" s="697" t="n">
        <v>182</v>
      </c>
      <c r="N21" s="697">
        <f>164+ER21</f>
        <v/>
      </c>
      <c r="O21" s="697" t="n">
        <v>241</v>
      </c>
      <c r="P21" s="697" t="n">
        <v>180</v>
      </c>
      <c r="Q21" s="697" t="n">
        <v>228</v>
      </c>
      <c r="R21" s="697" t="n">
        <v>188</v>
      </c>
      <c r="S21" s="697" t="n">
        <v>135</v>
      </c>
      <c r="T21" s="697">
        <f>89+EK21</f>
        <v/>
      </c>
      <c r="U21" s="697" t="n">
        <v>152</v>
      </c>
      <c r="V21" s="697" t="n">
        <v>152</v>
      </c>
      <c r="W21" s="697" t="n">
        <v>151</v>
      </c>
      <c r="X21" s="697" t="n">
        <v>144</v>
      </c>
      <c r="Y21" s="697" t="n">
        <v>100</v>
      </c>
      <c r="Z21" s="697" t="n">
        <v>51</v>
      </c>
      <c r="AA21" s="697">
        <f>26+EE21</f>
        <v/>
      </c>
      <c r="AB21" s="697" t="n">
        <v>118</v>
      </c>
      <c r="AC21" s="697">
        <f>103+50</f>
        <v/>
      </c>
      <c r="AD21" s="697" t="n">
        <v>52</v>
      </c>
      <c r="AE21" s="697" t="n">
        <v>129</v>
      </c>
      <c r="AF21" s="697" t="n">
        <v>192</v>
      </c>
      <c r="AG21" s="697" t="n">
        <v>149</v>
      </c>
      <c r="AH21" s="697" t="n">
        <v>99</v>
      </c>
      <c r="AI21" s="697" t="n">
        <v>161</v>
      </c>
      <c r="AJ21" s="697" t="n">
        <v>130</v>
      </c>
      <c r="AK21" s="697" t="n">
        <v>107</v>
      </c>
      <c r="AL21" s="697" t="n">
        <v>36</v>
      </c>
      <c r="AM21" s="697" t="n">
        <v>24</v>
      </c>
      <c r="AN21" s="697" t="n">
        <v>98</v>
      </c>
      <c r="AO21" s="697">
        <f>49+DO21</f>
        <v/>
      </c>
      <c r="AP21" s="697" t="n">
        <v>88</v>
      </c>
      <c r="AQ21" s="697" t="n">
        <v>128</v>
      </c>
      <c r="AR21" s="697" t="n">
        <v>196</v>
      </c>
      <c r="AS21" s="697" t="n">
        <v>134</v>
      </c>
      <c r="AT21" s="697" t="n">
        <v>92</v>
      </c>
      <c r="AU21" s="697">
        <f>31+DE21+30</f>
        <v/>
      </c>
      <c r="AV21" s="697" t="n">
        <v>89</v>
      </c>
      <c r="AW21" s="697">
        <f>38+50</f>
        <v/>
      </c>
      <c r="AX21" s="697" t="n">
        <v>122</v>
      </c>
      <c r="AY21" s="697" t="n">
        <v>185</v>
      </c>
      <c r="AZ21" s="697" t="n">
        <v>173</v>
      </c>
      <c r="BA21" s="697" t="n">
        <v>171</v>
      </c>
      <c r="BB21" s="697" t="n">
        <v>167</v>
      </c>
      <c r="BC21" s="697" t="n">
        <v>167</v>
      </c>
      <c r="BD21" s="697" t="n">
        <v>166</v>
      </c>
      <c r="BE21" s="697" t="n">
        <v>164</v>
      </c>
      <c r="BF21" s="697" t="n">
        <v>124</v>
      </c>
      <c r="BG21" s="697" t="n">
        <v>99</v>
      </c>
      <c r="BH21" s="697">
        <f>111+CQ21</f>
        <v/>
      </c>
      <c r="BI21" s="697" t="n">
        <v>203</v>
      </c>
      <c r="BJ21" s="697" t="n">
        <v>184</v>
      </c>
      <c r="BK21" s="697" t="n">
        <v>172</v>
      </c>
      <c r="BL21" s="697" t="n">
        <v>158</v>
      </c>
      <c r="BM21" s="697" t="n">
        <v>154</v>
      </c>
      <c r="BN21" s="697" t="n">
        <v>150</v>
      </c>
      <c r="BO21" s="697" t="n">
        <v>139</v>
      </c>
      <c r="BP21" s="697" t="n">
        <v>106</v>
      </c>
      <c r="BQ21" s="697">
        <f>102+CL21</f>
        <v/>
      </c>
      <c r="BR21" s="314" t="n">
        <v>214</v>
      </c>
      <c r="BS21" s="697" t="n">
        <v>208</v>
      </c>
      <c r="BT21" s="697" t="n"/>
      <c r="BU21" s="697" t="n"/>
      <c r="BV21" s="697" t="n"/>
      <c r="BW21" s="697" t="n">
        <v>198</v>
      </c>
      <c r="BX21" s="697" t="n">
        <v>198</v>
      </c>
      <c r="BY21" s="697" t="n">
        <v>193</v>
      </c>
      <c r="BZ21" s="192">
        <f>BX21+IF(NOT(ISBLANK(OFFSET(BZ21,0,6))),N(OFFSET(BZ21,0,6)),N(OFFSET(BZ21,0,7)))-BY21</f>
        <v/>
      </c>
      <c r="CA21" s="2" t="n"/>
      <c r="CB21" s="22" t="n"/>
      <c r="CC21" s="4" t="n"/>
      <c r="CD21" s="49" t="n"/>
      <c r="CE21" s="4" t="n"/>
      <c r="CF21" s="23" t="n">
        <v>0</v>
      </c>
      <c r="CG21" s="23" t="n">
        <v>0</v>
      </c>
      <c r="CH21" s="23" t="n"/>
      <c r="CI21" s="23" t="n"/>
      <c r="CJ21" s="219" t="n">
        <v>200</v>
      </c>
      <c r="CK21" s="23" t="n"/>
      <c r="CL21" s="23" t="n">
        <v>100</v>
      </c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/>
      <c r="CX21" s="23" t="n"/>
      <c r="CY21" s="23" t="n">
        <v>100</v>
      </c>
      <c r="CZ21" s="192" t="inlineStr">
        <is>
          <t>50 DE Q2</t>
        </is>
      </c>
      <c r="DA21" s="23" t="n"/>
      <c r="DB21" s="219" t="n">
        <v>400</v>
      </c>
      <c r="DC21" s="23" t="n"/>
      <c r="DD21" s="192" t="inlineStr">
        <is>
          <t>30 DE Q2</t>
        </is>
      </c>
      <c r="DE21" s="23" t="n">
        <v>100</v>
      </c>
      <c r="DF21" s="23" t="n"/>
      <c r="DG21" s="23" t="n"/>
      <c r="DH21" s="23" t="n"/>
      <c r="DI21" s="219" t="n"/>
      <c r="DJ21" s="437" t="inlineStr">
        <is>
          <t>15 DE SHN</t>
        </is>
      </c>
      <c r="DK21" s="23" t="n">
        <v>100</v>
      </c>
      <c r="DL21" s="219" t="n"/>
      <c r="DM21" s="23" t="n">
        <v>100</v>
      </c>
      <c r="DN21" s="23" t="n"/>
      <c r="DO21" s="23" t="n">
        <v>100</v>
      </c>
      <c r="DP21" s="23" t="n"/>
      <c r="DQ21" s="23" t="n">
        <v>100</v>
      </c>
      <c r="DR21" s="419" t="inlineStr">
        <is>
          <t>14 P/ SHN</t>
        </is>
      </c>
      <c r="DS21" s="23" t="n"/>
      <c r="DT21" s="23" t="n">
        <v>100</v>
      </c>
      <c r="DU21" s="23" t="n"/>
      <c r="DV21" s="23" t="n"/>
      <c r="DW21" s="219" t="n"/>
      <c r="DX21" s="292" t="inlineStr">
        <is>
          <t>30 P/ Q2</t>
        </is>
      </c>
      <c r="DY21" s="219" t="n">
        <v>100</v>
      </c>
      <c r="DZ21" s="23" t="n"/>
      <c r="EA21" s="23" t="n">
        <v>100</v>
      </c>
      <c r="EB21" s="23" t="n">
        <v>100</v>
      </c>
      <c r="EC21" s="282" t="inlineStr">
        <is>
          <t>50 DE GV</t>
        </is>
      </c>
      <c r="ED21" s="23" t="n"/>
      <c r="EE21" s="23" t="n">
        <v>100</v>
      </c>
      <c r="EF21" s="376" t="inlineStr">
        <is>
          <t>30 P/ Q2</t>
        </is>
      </c>
      <c r="EG21" s="219" t="n">
        <v>100</v>
      </c>
      <c r="EH21" s="23" t="n"/>
      <c r="EI21" s="23" t="n"/>
      <c r="EJ21" s="23" t="n"/>
      <c r="EK21" s="23" t="n">
        <v>100</v>
      </c>
      <c r="EL21" s="219" t="n"/>
      <c r="EM21" s="23" t="n"/>
      <c r="EN21" s="219" t="n">
        <v>200</v>
      </c>
      <c r="EO21" s="23" t="n"/>
      <c r="EP21" s="23" t="n">
        <v>100</v>
      </c>
      <c r="EQ21" s="23" t="n"/>
      <c r="ER21" s="23" t="n">
        <v>100</v>
      </c>
      <c r="ES21" s="23" t="n">
        <v>100</v>
      </c>
      <c r="ET21" s="260" t="inlineStr">
        <is>
          <t>14 P/ BSH</t>
        </is>
      </c>
      <c r="EU21" s="23" t="n"/>
      <c r="EV21" s="23" t="n"/>
      <c r="EW21" s="23" t="n"/>
      <c r="EX21" s="260" t="inlineStr">
        <is>
          <t>20 P/ SHN</t>
        </is>
      </c>
      <c r="EY21" s="23" t="n"/>
      <c r="EZ21" s="23" t="n"/>
      <c r="FB21" s="65" t="inlineStr">
        <is>
          <t>CAIXA M</t>
        </is>
      </c>
      <c r="FC21" s="699" t="n">
        <v>100</v>
      </c>
      <c r="FD21" s="697">
        <f>CJ21</f>
        <v/>
      </c>
      <c r="FE21" s="697" t="n"/>
      <c r="FF21" s="697" t="n"/>
      <c r="FG21" s="697" t="n">
        <v>126</v>
      </c>
      <c r="FH21" s="697" t="n">
        <v>117</v>
      </c>
      <c r="FI21" s="697" t="n"/>
      <c r="FJ21" s="431">
        <f>FH21+IF(NOT(ISBLANK(OFFSET(FJ21,0,6))),N(OFFSET(FJ21,0,6)),N(OFFSET(FJ21,0,7)))-FI21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16</v>
      </c>
      <c r="G22" s="697" t="n">
        <v>16</v>
      </c>
      <c r="H22" s="697" t="n">
        <v>16</v>
      </c>
      <c r="I22" s="697" t="n">
        <v>16</v>
      </c>
      <c r="J22" s="697" t="n">
        <v>16</v>
      </c>
      <c r="K22" s="697" t="n">
        <v>16</v>
      </c>
      <c r="L22" s="697" t="n">
        <v>17</v>
      </c>
      <c r="M22" s="697" t="n">
        <v>17</v>
      </c>
      <c r="N22" s="697" t="n">
        <v>17</v>
      </c>
      <c r="O22" s="697" t="n">
        <v>17</v>
      </c>
      <c r="P22" s="697" t="n">
        <v>16</v>
      </c>
      <c r="Q22" s="697" t="n">
        <v>16</v>
      </c>
      <c r="R22" s="697" t="n">
        <v>16</v>
      </c>
      <c r="S22" s="697" t="n">
        <v>16</v>
      </c>
      <c r="T22" s="697" t="n">
        <v>16</v>
      </c>
      <c r="U22" s="697" t="n">
        <v>16</v>
      </c>
      <c r="V22" s="697" t="n">
        <v>16</v>
      </c>
      <c r="W22" s="697" t="n">
        <v>16</v>
      </c>
      <c r="X22" s="697" t="n">
        <v>16</v>
      </c>
      <c r="Y22" s="697" t="n">
        <v>16</v>
      </c>
      <c r="Z22" s="697" t="n">
        <v>14</v>
      </c>
      <c r="AA22" s="697" t="n">
        <v>14</v>
      </c>
      <c r="AB22" s="697" t="n">
        <v>14</v>
      </c>
      <c r="AC22" s="697" t="n">
        <v>12</v>
      </c>
      <c r="AD22" s="697" t="n">
        <v>12</v>
      </c>
      <c r="AE22" s="697" t="n">
        <v>12</v>
      </c>
      <c r="AF22" s="697" t="n">
        <v>12</v>
      </c>
      <c r="AG22" s="697" t="n">
        <v>12</v>
      </c>
      <c r="AH22" s="697" t="n">
        <v>12</v>
      </c>
      <c r="AI22" s="697" t="n">
        <v>12</v>
      </c>
      <c r="AJ22" s="697" t="n">
        <v>12</v>
      </c>
      <c r="AK22" s="697" t="n">
        <v>12</v>
      </c>
      <c r="AL22" s="697" t="n">
        <v>12</v>
      </c>
      <c r="AM22" s="697" t="n">
        <v>12</v>
      </c>
      <c r="AN22" s="697">
        <f>12+DP22</f>
        <v/>
      </c>
      <c r="AO22" s="697">
        <f>87-20</f>
        <v/>
      </c>
      <c r="AP22" s="697" t="n">
        <v>64</v>
      </c>
      <c r="AQ22" s="697" t="n">
        <v>63</v>
      </c>
      <c r="AR22" s="697" t="n">
        <v>63</v>
      </c>
      <c r="AS22" s="697" t="n">
        <v>63</v>
      </c>
      <c r="AT22" s="697" t="n">
        <v>63</v>
      </c>
      <c r="AU22" s="697" t="n">
        <v>63</v>
      </c>
      <c r="AV22" s="697" t="n">
        <v>63</v>
      </c>
      <c r="AW22" s="697" t="n">
        <v>60</v>
      </c>
      <c r="AX22" s="697" t="n">
        <v>60</v>
      </c>
      <c r="AY22" s="697" t="n">
        <v>59</v>
      </c>
      <c r="AZ22" s="697" t="n">
        <v>59</v>
      </c>
      <c r="BA22" s="697" t="n">
        <v>59</v>
      </c>
      <c r="BB22" s="697" t="n">
        <v>54</v>
      </c>
      <c r="BC22" s="697" t="n">
        <v>54</v>
      </c>
      <c r="BD22" s="697" t="n">
        <v>54</v>
      </c>
      <c r="BE22" s="697" t="n">
        <v>52</v>
      </c>
      <c r="BF22" s="697" t="n">
        <v>48</v>
      </c>
      <c r="BG22" s="697" t="n">
        <v>48</v>
      </c>
      <c r="BH22" s="697" t="n">
        <v>48</v>
      </c>
      <c r="BI22" s="697" t="n">
        <v>48</v>
      </c>
      <c r="BJ22" s="697" t="n">
        <v>49</v>
      </c>
      <c r="BK22" s="697" t="n">
        <v>49</v>
      </c>
      <c r="BL22" s="697" t="n">
        <v>49</v>
      </c>
      <c r="BM22" s="697" t="n">
        <v>49</v>
      </c>
      <c r="BN22" s="697" t="n">
        <v>49</v>
      </c>
      <c r="BO22" s="697" t="n">
        <v>49</v>
      </c>
      <c r="BP22" s="697" t="n">
        <v>49</v>
      </c>
      <c r="BQ22" s="697" t="n">
        <v>49</v>
      </c>
      <c r="BR22" s="697" t="n">
        <v>49</v>
      </c>
      <c r="BS22" s="697" t="n">
        <v>49</v>
      </c>
      <c r="BT22" s="697" t="n">
        <v>49</v>
      </c>
      <c r="BU22" s="697" t="n">
        <v>49</v>
      </c>
      <c r="BV22" s="697" t="n">
        <v>49</v>
      </c>
      <c r="BW22" s="697" t="n">
        <v>49</v>
      </c>
      <c r="BX22" s="697" t="n">
        <v>49</v>
      </c>
      <c r="BY22" s="697" t="n">
        <v>46</v>
      </c>
      <c r="BZ22" s="192">
        <f>BX22+IF(NOT(ISBLANK(OFFSET(BZ22,0,6))),N(OFFSET(BZ22,0,6)),N(OFFSET(BZ22,0,7)))-BY22</f>
        <v/>
      </c>
      <c r="CA22" s="726" t="n"/>
      <c r="CB22" s="22" t="n"/>
      <c r="CC22" s="4" t="n"/>
      <c r="CD22" s="49" t="n"/>
      <c r="CE22" s="4" t="n"/>
      <c r="CF22" s="23" t="n">
        <v>0</v>
      </c>
      <c r="CG22" s="23" t="n">
        <v>0</v>
      </c>
      <c r="CH22" s="23" t="n"/>
      <c r="CI22" s="23" t="n"/>
      <c r="CJ22" s="2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443" t="n">
        <v>400</v>
      </c>
      <c r="DC22" s="23" t="n"/>
      <c r="DD22" s="23" t="n"/>
      <c r="DE22" s="23" t="n"/>
      <c r="DF22" s="23" t="n"/>
      <c r="DG22" s="23" t="n"/>
      <c r="DH22" s="23" t="n"/>
      <c r="DI22" s="219" t="n"/>
      <c r="DJ22" s="219" t="n"/>
      <c r="DK22" s="23" t="n"/>
      <c r="DL22" s="219" t="n"/>
      <c r="DM22" s="23" t="n"/>
      <c r="DN22" s="192" t="inlineStr">
        <is>
          <t>20 P/ GV</t>
        </is>
      </c>
      <c r="DO22" s="23" t="n"/>
      <c r="DP22" s="23" t="n">
        <v>75</v>
      </c>
      <c r="DQ22" s="23" t="n"/>
      <c r="DR22" s="23" t="n"/>
      <c r="DS22" s="23" t="n"/>
      <c r="DT22" s="23" t="n"/>
      <c r="DU22" s="23" t="n"/>
      <c r="DV22" s="23" t="n"/>
      <c r="DW22" s="219" t="n"/>
      <c r="DX22" s="219" t="n"/>
      <c r="DY22" s="219" t="n">
        <v>150</v>
      </c>
      <c r="DZ22" s="23" t="n"/>
      <c r="EA22" s="23" t="n"/>
      <c r="EB22" s="23" t="n"/>
      <c r="EC22" s="23" t="n"/>
      <c r="ED22" s="23" t="n"/>
      <c r="EE22" s="23" t="n"/>
      <c r="EF22" s="376" t="inlineStr">
        <is>
          <t>50 P/ Q2</t>
        </is>
      </c>
      <c r="EG22" s="219" t="n">
        <v>100</v>
      </c>
      <c r="EH22" s="23" t="n"/>
      <c r="EI22" s="23" t="n"/>
      <c r="EJ22" s="23" t="n"/>
      <c r="EK22" s="23" t="n"/>
      <c r="EL22" s="219" t="n"/>
      <c r="EM22" s="23" t="n"/>
      <c r="EN22" s="219" t="n"/>
      <c r="EO22" s="23" t="n"/>
      <c r="EP22" s="23" t="n"/>
      <c r="EQ22" s="23" t="n"/>
      <c r="ER22" s="23" t="n"/>
      <c r="ES22" s="23" t="n"/>
      <c r="ET22" s="219" t="n"/>
      <c r="EU22" s="23" t="n"/>
      <c r="EV22" s="23" t="n"/>
      <c r="EW22" s="23" t="n"/>
      <c r="EX22" s="219" t="n"/>
      <c r="EY22" s="23" t="n"/>
      <c r="EZ22" s="23" t="n"/>
      <c r="FB22" s="66" t="inlineStr">
        <is>
          <t>CARTUCHO P</t>
        </is>
      </c>
      <c r="FC22" s="699" t="n">
        <v>200</v>
      </c>
      <c r="FD22" s="697">
        <f>CJ22</f>
        <v/>
      </c>
      <c r="FE22" s="697" t="n"/>
      <c r="FF22" s="697" t="n"/>
      <c r="FG22" s="697" t="n">
        <v>94</v>
      </c>
      <c r="FH22" s="697" t="n">
        <v>85</v>
      </c>
      <c r="FI22" s="697" t="n"/>
      <c r="FJ22" s="431">
        <f>FH22+IF(NOT(ISBLANK(OFFSET(FJ22,0,6))),N(OFFSET(FJ22,0,6)),N(OFFSET(FJ22,0,7)))-FI22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/>
      <c r="BJ23" s="697" t="n">
        <v>0</v>
      </c>
      <c r="BK23" s="697" t="n">
        <v>0</v>
      </c>
      <c r="BL23" s="697">
        <f>127-50</f>
        <v/>
      </c>
      <c r="BM23" s="697" t="n">
        <v>72</v>
      </c>
      <c r="BN23" s="697">
        <f>62+CM23</f>
        <v/>
      </c>
      <c r="BO23" s="697" t="n">
        <v>208</v>
      </c>
      <c r="BP23" s="697" t="n">
        <v>190</v>
      </c>
      <c r="BQ23" s="697" t="n">
        <v>170</v>
      </c>
      <c r="BR23" s="697" t="n">
        <v>149</v>
      </c>
      <c r="BS23" s="697" t="n">
        <v>142</v>
      </c>
      <c r="BT23" s="697" t="n"/>
      <c r="BU23" s="697" t="n"/>
      <c r="BV23" s="697" t="n"/>
      <c r="BW23" s="697" t="n">
        <v>100</v>
      </c>
      <c r="BX23" s="697" t="n">
        <v>98</v>
      </c>
      <c r="BY23" s="697" t="n"/>
      <c r="BZ23" s="192">
        <f>BX23+IF(NOT(ISBLANK(OFFSET(BZ23,0,6))),N(OFFSET(BZ23,0,6)),N(OFFSET(BZ23,0,7)))-BY23</f>
        <v/>
      </c>
      <c r="CB23" s="22" t="n"/>
      <c r="CD23" s="49" t="n"/>
      <c r="CF23" s="23" t="n">
        <v>0</v>
      </c>
      <c r="CG23" s="23" t="n">
        <v>0</v>
      </c>
      <c r="CH23" s="23" t="n"/>
      <c r="CI23" s="23" t="n"/>
      <c r="CJ23" s="219" t="n">
        <v>150</v>
      </c>
      <c r="CK23" s="23" t="n"/>
      <c r="CL23" s="23" t="n"/>
      <c r="CM23" s="23" t="n">
        <v>150</v>
      </c>
      <c r="CN23" s="192" t="inlineStr">
        <is>
          <t>50 P/ MD</t>
        </is>
      </c>
      <c r="CO23" s="23" t="n">
        <v>150</v>
      </c>
      <c r="CP23" s="23" t="n"/>
      <c r="CQ23" s="23" t="n"/>
      <c r="CR23" s="23" t="n"/>
      <c r="CS23" s="23" t="n"/>
      <c r="CT23" s="23" t="n"/>
      <c r="CU23" s="23" t="n"/>
      <c r="DB23" s="326" t="n"/>
      <c r="DI23" s="5" t="n"/>
      <c r="DJ23" s="5" t="n"/>
      <c r="DL23" s="5" t="n"/>
      <c r="DW23" s="219" t="n">
        <v>25</v>
      </c>
      <c r="DX23" s="5" t="n"/>
      <c r="DY23" s="5" t="n"/>
      <c r="EF23" s="5" t="n"/>
      <c r="EG23" s="5" t="n"/>
      <c r="EN23" s="326" t="n">
        <v>200</v>
      </c>
      <c r="FB23" s="66" t="inlineStr">
        <is>
          <t>CARTUCHO M</t>
        </is>
      </c>
      <c r="FC23" s="699" t="n">
        <v>150</v>
      </c>
      <c r="FD23" s="697">
        <f>CJ23</f>
        <v/>
      </c>
      <c r="FE23" s="697" t="n"/>
      <c r="FF23" s="697" t="n"/>
      <c r="FG23" s="697" t="n">
        <v>142</v>
      </c>
      <c r="FH23" s="697" t="n">
        <v>123</v>
      </c>
      <c r="FI23" s="697" t="n"/>
      <c r="FJ23" s="431">
        <f>FH23+IF(NOT(ISBLANK(OFFSET(FJ23,0,6))),N(OFFSET(FJ23,0,6)),N(OFFSET(FJ23,0,7)))-FI23</f>
        <v/>
      </c>
    </row>
    <row r="24">
      <c r="BZ24" s="4" t="n"/>
      <c r="CB24" t="inlineStr">
        <is>
          <t> </t>
        </is>
      </c>
      <c r="CJ24" s="5" t="n"/>
      <c r="DB24" s="327" t="n"/>
      <c r="DI24" s="5" t="n"/>
      <c r="DJ24" s="5" t="n"/>
      <c r="DL24" s="5" t="n"/>
      <c r="DW24" s="219" t="n"/>
      <c r="DX24" s="5" t="n"/>
      <c r="DY24" s="5" t="n"/>
      <c r="EF24" s="5" t="n"/>
      <c r="EG24" s="5" t="n"/>
      <c r="EN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J25" s="5" t="n"/>
      <c r="DB25" s="5" t="n"/>
      <c r="DI25" s="5" t="n"/>
      <c r="DJ25" s="5" t="n"/>
      <c r="DL25" s="5" t="n"/>
      <c r="DW25" s="219" t="n">
        <v>25</v>
      </c>
      <c r="DX25" s="5" t="n"/>
      <c r="DY25" s="5" t="n"/>
      <c r="EF25" s="5" t="n"/>
      <c r="EG25" s="5" t="n"/>
      <c r="EN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4</v>
      </c>
      <c r="G26" s="697" t="n">
        <v>4</v>
      </c>
      <c r="H26" s="697" t="n">
        <v>4</v>
      </c>
      <c r="I26" s="697" t="n">
        <v>4</v>
      </c>
      <c r="J26" s="697" t="n">
        <v>4</v>
      </c>
      <c r="K26" s="697" t="n">
        <v>4</v>
      </c>
      <c r="L26" s="697" t="n">
        <v>4</v>
      </c>
      <c r="M26" s="697" t="n">
        <v>2</v>
      </c>
      <c r="N26" s="697" t="n">
        <v>2</v>
      </c>
      <c r="O26" s="697" t="n">
        <v>2</v>
      </c>
      <c r="P26" s="697" t="n">
        <v>2</v>
      </c>
      <c r="Q26" s="697" t="n">
        <v>2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J26" s="5" t="n"/>
      <c r="DB26" s="5" t="n"/>
      <c r="DI26" s="5" t="n"/>
      <c r="DJ26" s="5" t="n"/>
      <c r="DL26" s="5" t="n"/>
      <c r="DW26" s="219" t="n">
        <v>25</v>
      </c>
      <c r="DX26" s="5" t="n"/>
      <c r="DY26" s="5" t="n"/>
      <c r="EF26" s="5" t="n"/>
      <c r="EG26" s="5" t="n"/>
      <c r="EL26" s="327" t="n"/>
      <c r="EN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213</v>
      </c>
      <c r="G27" s="697" t="n">
        <v>213</v>
      </c>
      <c r="H27" s="697" t="n">
        <v>213</v>
      </c>
      <c r="I27" s="697" t="n">
        <v>212</v>
      </c>
      <c r="J27" s="697" t="n">
        <v>212</v>
      </c>
      <c r="K27" s="697" t="n">
        <v>212</v>
      </c>
      <c r="L27" s="697" t="n">
        <v>212</v>
      </c>
      <c r="M27" s="697" t="n">
        <v>209</v>
      </c>
      <c r="N27" s="697" t="n">
        <v>209</v>
      </c>
      <c r="O27" s="697" t="n">
        <v>209</v>
      </c>
      <c r="P27" s="697" t="n">
        <v>209</v>
      </c>
      <c r="Q27" s="697" t="n">
        <v>204</v>
      </c>
      <c r="R27" s="697" t="n">
        <v>204</v>
      </c>
      <c r="S27" s="697" t="n">
        <v>204</v>
      </c>
      <c r="T27" s="697" t="n">
        <v>204</v>
      </c>
      <c r="U27" s="697" t="n">
        <v>204</v>
      </c>
      <c r="V27" s="697" t="n">
        <v>204</v>
      </c>
      <c r="W27" s="697" t="n">
        <v>204</v>
      </c>
      <c r="X27" s="697" t="n">
        <v>204</v>
      </c>
      <c r="Y27" s="697" t="n">
        <v>204</v>
      </c>
      <c r="Z27" s="697" t="n">
        <v>202</v>
      </c>
      <c r="AA27" s="697" t="n">
        <v>202</v>
      </c>
      <c r="AB27" s="697" t="n">
        <v>202</v>
      </c>
      <c r="AC27" s="697" t="n">
        <v>202</v>
      </c>
      <c r="AD27" s="697" t="n">
        <v>202</v>
      </c>
      <c r="AE27" s="697" t="n">
        <v>202</v>
      </c>
      <c r="AF27" s="697" t="n">
        <v>203</v>
      </c>
      <c r="AG27" s="697" t="n">
        <v>203</v>
      </c>
      <c r="AH27" s="697" t="n">
        <v>203</v>
      </c>
      <c r="AI27" s="697" t="n">
        <v>203</v>
      </c>
      <c r="AJ27" s="697" t="n">
        <v>203</v>
      </c>
      <c r="AK27" s="697" t="n">
        <v>203</v>
      </c>
      <c r="AL27" s="697" t="n">
        <v>203</v>
      </c>
      <c r="AM27" s="697" t="n">
        <v>203</v>
      </c>
      <c r="AN27" s="697" t="n">
        <v>203</v>
      </c>
      <c r="AO27" s="697" t="n">
        <v>203</v>
      </c>
      <c r="AP27" s="697" t="n">
        <v>203</v>
      </c>
      <c r="AQ27" s="697" t="n">
        <v>203</v>
      </c>
      <c r="AR27" s="697" t="n">
        <v>203</v>
      </c>
      <c r="AS27" s="697" t="n">
        <v>203</v>
      </c>
      <c r="AT27" s="697" t="n">
        <v>203</v>
      </c>
      <c r="AU27" s="697" t="n">
        <v>180</v>
      </c>
      <c r="AV27" s="697" t="n">
        <v>180</v>
      </c>
      <c r="AW27" s="697" t="n">
        <v>178</v>
      </c>
      <c r="AX27" s="697" t="n">
        <v>178</v>
      </c>
      <c r="AY27" s="697" t="n">
        <v>178</v>
      </c>
      <c r="AZ27" s="697" t="n">
        <v>178</v>
      </c>
      <c r="BA27" s="697" t="n">
        <v>179</v>
      </c>
      <c r="BB27" s="697" t="n">
        <v>179</v>
      </c>
      <c r="BC27" s="697" t="n">
        <v>179</v>
      </c>
      <c r="BD27" s="697" t="n">
        <v>179</v>
      </c>
      <c r="BE27" s="697" t="n">
        <v>173</v>
      </c>
      <c r="BF27" s="697" t="n">
        <v>173</v>
      </c>
      <c r="BG27" s="697" t="n">
        <v>173</v>
      </c>
      <c r="BH27" s="697" t="n">
        <v>160</v>
      </c>
      <c r="BI27" s="697" t="n">
        <v>154</v>
      </c>
      <c r="BJ27" s="697" t="n">
        <v>171</v>
      </c>
      <c r="BK27" s="697" t="n">
        <v>171</v>
      </c>
      <c r="BL27" s="697" t="n">
        <v>171</v>
      </c>
      <c r="BM27" s="697" t="n">
        <v>171</v>
      </c>
      <c r="BN27" s="697" t="n">
        <v>171</v>
      </c>
      <c r="BO27" s="697" t="n">
        <v>171</v>
      </c>
      <c r="BP27" s="697" t="n">
        <v>171</v>
      </c>
      <c r="BQ27" s="697" t="n">
        <v>171</v>
      </c>
      <c r="BR27" s="697" t="n">
        <v>171</v>
      </c>
      <c r="BS27" s="697" t="n">
        <v>171</v>
      </c>
      <c r="BT27" s="697" t="n">
        <v>171</v>
      </c>
      <c r="BU27" s="697" t="n">
        <v>171</v>
      </c>
      <c r="BV27" s="697" t="n">
        <v>171</v>
      </c>
      <c r="BW27" s="697" t="n">
        <v>171</v>
      </c>
      <c r="BX27" s="697" t="n">
        <v>171</v>
      </c>
      <c r="BY27" s="697" t="n">
        <v>170</v>
      </c>
      <c r="BZ27" s="192">
        <f>BX27+IF(NOT(ISBLANK(OFFSET(BZ27,0,6))),N(OFFSET(BZ27,0,6)),N(OFFSET(BZ27,0,7)))-BY27</f>
        <v/>
      </c>
      <c r="CJ27" s="5" t="n"/>
      <c r="DB27" s="5" t="n"/>
      <c r="DI27" s="5" t="n"/>
      <c r="DJ27" s="5" t="n"/>
      <c r="DL27" s="5" t="n"/>
      <c r="DW27" s="5" t="n"/>
      <c r="DX27" s="5" t="n"/>
      <c r="DY27" s="5" t="n"/>
      <c r="EF27" s="5" t="n"/>
      <c r="EG27" s="5" t="n"/>
      <c r="EL27" s="327" t="n"/>
      <c r="EN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99</v>
      </c>
      <c r="G28" s="699" t="n">
        <v>88</v>
      </c>
      <c r="H28" s="697" t="n">
        <v>88</v>
      </c>
      <c r="I28" s="697" t="n">
        <v>88</v>
      </c>
      <c r="J28" s="697" t="n">
        <v>87</v>
      </c>
      <c r="K28" s="697" t="n">
        <v>84</v>
      </c>
      <c r="L28" s="697" t="n">
        <v>76</v>
      </c>
      <c r="M28" s="697" t="n">
        <v>77</v>
      </c>
      <c r="N28" s="697" t="n">
        <v>77</v>
      </c>
      <c r="O28" s="697" t="n">
        <v>68</v>
      </c>
      <c r="P28" s="697" t="n">
        <v>42</v>
      </c>
      <c r="Q28" s="697" t="n">
        <v>25</v>
      </c>
      <c r="R28" s="697" t="n">
        <v>4</v>
      </c>
      <c r="S28" s="697" t="n">
        <v>3</v>
      </c>
      <c r="T28" s="697" t="n">
        <v>2</v>
      </c>
      <c r="U28" s="697" t="n">
        <v>1</v>
      </c>
      <c r="V28" s="697" t="n">
        <v>2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J28" s="5" t="n"/>
      <c r="DB28" s="5" t="n"/>
      <c r="DI28" s="5" t="n"/>
      <c r="DJ28" s="5" t="n"/>
      <c r="DL28" s="5" t="n"/>
      <c r="DW28" s="5" t="n"/>
      <c r="DX28" s="5" t="n"/>
      <c r="DY28" s="5" t="n"/>
      <c r="EF28" s="5" t="n"/>
      <c r="EG28" s="5" t="n"/>
      <c r="EL28" s="327" t="n"/>
      <c r="EN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206</v>
      </c>
      <c r="G29" s="699" t="n">
        <v>164</v>
      </c>
      <c r="H29" s="697" t="n">
        <v>141</v>
      </c>
      <c r="I29" s="697" t="n">
        <v>121</v>
      </c>
      <c r="J29" s="697" t="n">
        <v>97</v>
      </c>
      <c r="K29" s="697">
        <f>69-14</f>
        <v/>
      </c>
      <c r="L29" s="697" t="n">
        <v>32</v>
      </c>
      <c r="M29" s="697" t="n">
        <v>22</v>
      </c>
      <c r="N29" s="697" t="n">
        <v>12</v>
      </c>
      <c r="O29" s="697" t="n">
        <v>4</v>
      </c>
      <c r="P29" s="697" t="n">
        <v>0</v>
      </c>
      <c r="Q29" s="697" t="n">
        <v>0</v>
      </c>
      <c r="R29" s="697" t="n">
        <v>1</v>
      </c>
      <c r="S29" s="697" t="n">
        <v>1</v>
      </c>
      <c r="T29" s="697" t="n">
        <v>1</v>
      </c>
      <c r="U29" s="697" t="n">
        <v>1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1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J29" s="5" t="n"/>
      <c r="DB29" s="5" t="n"/>
      <c r="DI29" s="5" t="n"/>
      <c r="DJ29" s="5" t="n"/>
      <c r="DL29" s="5" t="n"/>
      <c r="DW29" s="5" t="n"/>
      <c r="DX29" s="5" t="n"/>
      <c r="DY29" s="5" t="n"/>
      <c r="EF29" s="5" t="n"/>
      <c r="EG29" s="5" t="n"/>
      <c r="EL29" s="327" t="n"/>
      <c r="EN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>
        <v>0</v>
      </c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J30" s="5" t="n"/>
      <c r="DB30" s="5" t="n"/>
      <c r="DW30" s="5" t="n"/>
      <c r="DX30" s="5" t="n"/>
      <c r="DY30" s="5" t="n"/>
      <c r="EL30" s="327" t="n"/>
      <c r="EN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2</v>
      </c>
      <c r="H31" s="697" t="n">
        <v>2</v>
      </c>
      <c r="I31" s="697" t="n">
        <v>2</v>
      </c>
      <c r="J31" s="697" t="n">
        <v>2</v>
      </c>
      <c r="K31" s="697" t="n">
        <v>2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J31" s="5" t="n"/>
      <c r="DB31" s="5" t="n"/>
      <c r="DW31" s="5" t="n"/>
      <c r="DX31" s="5" t="n"/>
      <c r="DY31" s="5" t="n"/>
      <c r="EL31" s="327" t="n"/>
      <c r="EN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13</v>
      </c>
      <c r="G32" s="699" t="n">
        <v>12</v>
      </c>
      <c r="H32" s="697" t="n">
        <v>9</v>
      </c>
      <c r="I32" s="697" t="n">
        <v>4</v>
      </c>
      <c r="J32" s="697" t="n">
        <v>4</v>
      </c>
      <c r="K32" s="697" t="n">
        <v>4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J32" s="5" t="n"/>
      <c r="DB32" s="5" t="n"/>
      <c r="DW32" s="5" t="n"/>
      <c r="DX32" s="5" t="n"/>
      <c r="DY32" s="5" t="n"/>
      <c r="EL32" s="327" t="n"/>
      <c r="EN32" s="327" t="n"/>
    </row>
    <row r="33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105</v>
      </c>
      <c r="G33" s="699" t="n">
        <v>105</v>
      </c>
      <c r="H33" s="697" t="n">
        <v>105</v>
      </c>
      <c r="I33" s="697" t="n">
        <v>105</v>
      </c>
      <c r="J33" s="697" t="n">
        <v>105</v>
      </c>
      <c r="K33" s="697" t="n">
        <v>105</v>
      </c>
      <c r="L33" s="697" t="n">
        <v>105</v>
      </c>
      <c r="M33" s="697" t="n">
        <v>105</v>
      </c>
      <c r="N33" s="697" t="n">
        <v>105</v>
      </c>
      <c r="O33" s="697" t="n">
        <v>105</v>
      </c>
      <c r="P33" s="697" t="n">
        <v>105</v>
      </c>
      <c r="Q33" s="697" t="n">
        <v>105</v>
      </c>
      <c r="R33" s="697" t="n">
        <v>105</v>
      </c>
      <c r="S33" s="697" t="n">
        <v>105</v>
      </c>
      <c r="T33" s="697" t="n">
        <v>105</v>
      </c>
      <c r="U33" s="697" t="n">
        <v>105</v>
      </c>
      <c r="V33" s="697" t="n">
        <v>66</v>
      </c>
      <c r="W33" s="697" t="n">
        <v>66</v>
      </c>
      <c r="X33" s="697" t="n">
        <v>66</v>
      </c>
      <c r="Y33" s="697" t="n">
        <v>66</v>
      </c>
      <c r="Z33" s="697" t="n">
        <v>66</v>
      </c>
      <c r="AA33" s="697" t="n">
        <v>66</v>
      </c>
      <c r="AB33" s="697" t="n">
        <v>66</v>
      </c>
      <c r="AC33" s="697" t="n">
        <v>66</v>
      </c>
      <c r="AD33" s="697" t="n">
        <v>66</v>
      </c>
      <c r="AE33" s="697" t="n">
        <v>66</v>
      </c>
      <c r="AF33" s="697" t="n">
        <v>66</v>
      </c>
      <c r="AG33" s="697" t="n">
        <v>66</v>
      </c>
      <c r="AH33" s="697" t="n">
        <v>66</v>
      </c>
      <c r="AI33" s="697" t="n">
        <v>66</v>
      </c>
      <c r="AJ33" s="697" t="n">
        <v>66</v>
      </c>
      <c r="AK33" s="697" t="n">
        <v>66</v>
      </c>
      <c r="AL33" s="697" t="n">
        <v>66</v>
      </c>
      <c r="AM33" s="697" t="n">
        <v>66</v>
      </c>
      <c r="AN33" s="697" t="n">
        <v>66</v>
      </c>
      <c r="AO33" s="697" t="n">
        <v>66</v>
      </c>
      <c r="AP33" s="697" t="n">
        <v>66</v>
      </c>
      <c r="AQ33" s="697" t="n">
        <v>66</v>
      </c>
      <c r="AR33" s="697" t="n">
        <v>66</v>
      </c>
      <c r="AS33" s="697" t="n">
        <v>66</v>
      </c>
      <c r="AT33" s="697" t="n">
        <v>66</v>
      </c>
      <c r="AU33" s="697" t="n">
        <v>66</v>
      </c>
      <c r="AV33" s="697" t="n">
        <v>66</v>
      </c>
      <c r="AW33" s="697" t="n">
        <v>66</v>
      </c>
      <c r="AX33" s="697" t="n">
        <v>66</v>
      </c>
      <c r="AY33" s="697" t="n">
        <v>66</v>
      </c>
      <c r="AZ33" s="314" t="n">
        <v>78</v>
      </c>
      <c r="BA33" s="314" t="n">
        <v>78</v>
      </c>
      <c r="BB33" s="697" t="n">
        <v>63</v>
      </c>
      <c r="BC33" s="697" t="n">
        <v>63</v>
      </c>
      <c r="BD33" s="697" t="n">
        <v>10</v>
      </c>
      <c r="BE33" s="697" t="n">
        <v>10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192">
        <f>BX33+IF(NOT(ISBLANK(OFFSET(BZ33,0,6))),N(OFFSET(BZ33,0,6)),N(OFFSET(BZ33,0,7)))-BY33</f>
        <v/>
      </c>
      <c r="CJ33" s="5" t="n"/>
      <c r="DB33" s="5" t="n"/>
      <c r="DW33" s="5" t="n"/>
      <c r="DX33" s="5" t="n"/>
      <c r="DY33" s="5" t="n"/>
      <c r="EL33" s="327" t="n"/>
      <c r="EN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51</v>
      </c>
      <c r="G34" s="699" t="n">
        <v>51</v>
      </c>
      <c r="H34" s="697" t="n">
        <v>51</v>
      </c>
      <c r="I34" s="697" t="n">
        <v>51</v>
      </c>
      <c r="J34" s="697" t="n">
        <v>51</v>
      </c>
      <c r="K34" s="697" t="n">
        <v>51</v>
      </c>
      <c r="L34" s="697" t="n">
        <v>51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51</v>
      </c>
      <c r="S34" s="697" t="n">
        <v>51</v>
      </c>
      <c r="T34" s="697" t="n">
        <v>51</v>
      </c>
      <c r="U34" s="697" t="n">
        <v>51</v>
      </c>
      <c r="V34" s="697" t="n">
        <v>120</v>
      </c>
      <c r="W34" s="697" t="n">
        <v>120</v>
      </c>
      <c r="X34" s="697" t="n">
        <v>120</v>
      </c>
      <c r="Y34" s="697" t="n">
        <v>120</v>
      </c>
      <c r="Z34" s="697" t="n">
        <v>120</v>
      </c>
      <c r="AA34" s="697" t="n">
        <v>120</v>
      </c>
      <c r="AB34" s="697" t="n">
        <v>120</v>
      </c>
      <c r="AC34" s="697" t="n">
        <v>120</v>
      </c>
      <c r="AD34" s="697" t="n">
        <v>120</v>
      </c>
      <c r="AE34" s="697" t="n">
        <v>120</v>
      </c>
      <c r="AF34" s="697" t="n">
        <v>120</v>
      </c>
      <c r="AG34" s="697" t="n">
        <v>120</v>
      </c>
      <c r="AH34" s="697" t="n">
        <v>120</v>
      </c>
      <c r="AI34" s="697" t="n">
        <v>120</v>
      </c>
      <c r="AJ34" s="697" t="n">
        <v>120</v>
      </c>
      <c r="AK34" s="697" t="n">
        <v>120</v>
      </c>
      <c r="AL34" s="697" t="n">
        <v>120</v>
      </c>
      <c r="AM34" s="697" t="n">
        <v>120</v>
      </c>
      <c r="AN34" s="697" t="n">
        <v>120</v>
      </c>
      <c r="AO34" s="697" t="n">
        <v>120</v>
      </c>
      <c r="AP34" s="697" t="n">
        <v>120</v>
      </c>
      <c r="AQ34" s="697" t="n">
        <v>120</v>
      </c>
      <c r="AR34" s="697" t="n">
        <v>120</v>
      </c>
      <c r="AS34" s="697" t="n">
        <v>120</v>
      </c>
      <c r="AT34" s="697" t="n">
        <v>120</v>
      </c>
      <c r="AU34" s="697" t="n">
        <v>120</v>
      </c>
      <c r="AV34" s="697" t="n">
        <v>120</v>
      </c>
      <c r="AW34" s="697" t="n">
        <v>120</v>
      </c>
      <c r="AX34" s="697" t="n">
        <v>120</v>
      </c>
      <c r="AY34" s="697" t="n">
        <v>120</v>
      </c>
      <c r="AZ34" s="314" t="n">
        <v>5</v>
      </c>
      <c r="BA34" s="314" t="n">
        <v>5</v>
      </c>
      <c r="BB34" s="697" t="n">
        <v>5</v>
      </c>
      <c r="BC34" s="697" t="n">
        <v>5</v>
      </c>
      <c r="BD34" s="697" t="n">
        <v>5</v>
      </c>
      <c r="BE34" s="697" t="n">
        <v>5</v>
      </c>
      <c r="BF34" s="697" t="n">
        <v>5</v>
      </c>
      <c r="BG34" s="697" t="n">
        <v>5</v>
      </c>
      <c r="BH34" s="697" t="n">
        <v>5</v>
      </c>
      <c r="BI34" s="697" t="n">
        <v>6</v>
      </c>
      <c r="BJ34" s="697" t="n">
        <v>6</v>
      </c>
      <c r="BK34" s="697" t="n">
        <v>6</v>
      </c>
      <c r="BL34" s="697" t="n">
        <v>6</v>
      </c>
      <c r="BM34" s="697" t="n">
        <v>6</v>
      </c>
      <c r="BN34" s="697" t="n">
        <v>6</v>
      </c>
      <c r="BO34" s="697" t="n">
        <v>6</v>
      </c>
      <c r="BP34" s="697" t="n">
        <v>6</v>
      </c>
      <c r="BQ34" s="697" t="n">
        <v>6</v>
      </c>
      <c r="BR34" s="697" t="n">
        <v>6</v>
      </c>
      <c r="BS34" s="697" t="n">
        <v>6</v>
      </c>
      <c r="BT34" s="697" t="n">
        <v>6</v>
      </c>
      <c r="BU34" s="697" t="n">
        <v>6</v>
      </c>
      <c r="BV34" s="697" t="n">
        <v>6</v>
      </c>
      <c r="BW34" s="697" t="n">
        <v>6</v>
      </c>
      <c r="BX34" s="697" t="n">
        <v>6</v>
      </c>
      <c r="BY34" s="697" t="n">
        <v>6</v>
      </c>
      <c r="BZ34" s="192">
        <f>BX34+IF(NOT(ISBLANK(OFFSET(BZ34,0,6))),N(OFFSET(BZ34,0,6)),N(OFFSET(BZ34,0,7)))-BY34</f>
        <v/>
      </c>
      <c r="CJ34" s="5" t="n"/>
      <c r="DB34" s="5" t="n"/>
      <c r="DW34" s="5" t="n"/>
      <c r="DX34" s="5" t="n"/>
      <c r="DY34" s="5" t="n"/>
      <c r="EL34" s="327" t="n"/>
      <c r="EN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81</v>
      </c>
      <c r="AA35" s="699" t="n">
        <v>78</v>
      </c>
      <c r="AB35" s="699" t="n">
        <v>74</v>
      </c>
      <c r="AC35" s="699" t="n">
        <v>72</v>
      </c>
      <c r="AD35" s="699" t="n">
        <v>60</v>
      </c>
      <c r="AE35" s="699" t="n">
        <v>59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J35" s="5" t="n"/>
      <c r="DB35" s="5" t="n"/>
      <c r="DW35" s="5" t="n"/>
      <c r="DX35" s="5" t="n"/>
      <c r="DY35" s="5" t="n"/>
      <c r="EL35" s="327" t="n"/>
      <c r="EN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10</v>
      </c>
      <c r="AA36" s="699" t="n">
        <v>7</v>
      </c>
      <c r="AB36" s="699" t="n">
        <v>7</v>
      </c>
      <c r="AC36" s="699" t="n">
        <v>7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J36" s="5" t="n"/>
      <c r="DB36" s="5" t="n"/>
      <c r="DW36" s="5" t="n"/>
      <c r="DX36" s="5" t="n"/>
      <c r="DY36" s="5" t="n"/>
      <c r="EL36" s="327" t="n"/>
      <c r="EN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J37" s="5" t="n"/>
      <c r="DB37" s="5" t="n"/>
      <c r="DW37" s="5" t="n"/>
      <c r="DX37" s="5" t="n"/>
      <c r="DY37" s="5" t="n"/>
      <c r="EL37" s="327" t="n"/>
      <c r="EN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85</v>
      </c>
      <c r="AA38" s="699" t="n">
        <v>77</v>
      </c>
      <c r="AB38" s="699" t="n">
        <v>76</v>
      </c>
      <c r="AC38" s="699" t="n">
        <v>58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J38" s="5" t="n"/>
      <c r="DB38" s="5" t="n"/>
      <c r="DW38" s="5" t="n"/>
      <c r="DX38" s="5" t="n"/>
      <c r="DY38" s="5" t="n"/>
      <c r="EL38" s="327" t="n"/>
      <c r="EN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J39" s="51" t="n"/>
      <c r="DB39" s="5" t="n"/>
      <c r="DW39" s="5" t="n"/>
      <c r="DX39" s="5" t="n"/>
      <c r="DY39" s="5" t="n"/>
      <c r="EL39" s="327" t="n"/>
      <c r="EN39" s="327" t="n"/>
    </row>
    <row r="40" hidden="1" ht="18.75" customHeight="1">
      <c r="A40" s="423" t="inlineStr">
        <is>
          <t>ENVELOPE C/ VISOR M</t>
        </is>
      </c>
      <c r="B40" s="424" t="n">
        <v>150</v>
      </c>
      <c r="C40" s="770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699" t="n">
        <v>10</v>
      </c>
      <c r="AP40" s="699" t="n">
        <v>6</v>
      </c>
      <c r="AQ40" s="699" t="n">
        <v>5</v>
      </c>
      <c r="AR40" s="699" t="n">
        <v>5</v>
      </c>
      <c r="AS40" s="699" t="n">
        <v>0</v>
      </c>
      <c r="AT40" s="699" t="n">
        <v>0</v>
      </c>
      <c r="AU40" s="699" t="n">
        <v>0</v>
      </c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J40" s="51" t="n"/>
      <c r="DB40" s="5" t="n"/>
      <c r="DW40" s="5" t="n"/>
      <c r="DX40" s="5" t="n"/>
      <c r="DY40" s="5" t="n"/>
      <c r="EL40" s="327" t="n"/>
      <c r="EN40" s="327" t="n"/>
    </row>
    <row r="41" hidden="1" ht="18.75" customHeight="1">
      <c r="A41" s="423" t="inlineStr">
        <is>
          <t>PIN MELHOR PAI DO MDO</t>
        </is>
      </c>
      <c r="B41" s="424" t="n">
        <v>25</v>
      </c>
      <c r="C41" s="770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</v>
      </c>
      <c r="AP41" s="699" t="n">
        <v>1</v>
      </c>
      <c r="AQ41" s="699" t="n">
        <v>1</v>
      </c>
      <c r="AR41" s="699" t="n">
        <v>1</v>
      </c>
      <c r="AS41" s="699" t="n">
        <v>1</v>
      </c>
      <c r="AT41" s="699" t="n">
        <v>0</v>
      </c>
      <c r="AU41" s="699" t="n">
        <v>0</v>
      </c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J41" s="573" t="n"/>
      <c r="DB41" s="5" t="n"/>
      <c r="DW41" s="5" t="n"/>
      <c r="DX41" s="5" t="n"/>
      <c r="DY41" s="5" t="n"/>
      <c r="EL41" s="327" t="n"/>
      <c r="EN41" s="327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</row>
    <row r="42" hidden="1" ht="18.75" customHeight="1">
      <c r="A42" s="423" t="inlineStr">
        <is>
          <t>PIN BALÃO</t>
        </is>
      </c>
      <c r="B42" s="424" t="n">
        <v>25</v>
      </c>
      <c r="C42" s="770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11</v>
      </c>
      <c r="AP42" s="699" t="n">
        <v>1</v>
      </c>
      <c r="AQ42" s="699" t="n">
        <v>-1</v>
      </c>
      <c r="AR42" s="699" t="n">
        <v>-1</v>
      </c>
      <c r="AS42" s="699" t="n">
        <v>0</v>
      </c>
      <c r="AT42" s="699" t="n">
        <v>0</v>
      </c>
      <c r="AU42" s="699" t="n">
        <v>0</v>
      </c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J42" s="573" t="n"/>
      <c r="DB42" s="5" t="n"/>
      <c r="DW42" s="5" t="n"/>
      <c r="DX42" s="5" t="n"/>
      <c r="DY42" s="5" t="n"/>
      <c r="EL42" s="327" t="n"/>
      <c r="EN42" s="327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</row>
    <row r="43" hidden="1" ht="18.75" customHeight="1">
      <c r="A43" s="423" t="inlineStr">
        <is>
          <t>PIN AMOR</t>
        </is>
      </c>
      <c r="B43" s="424" t="n">
        <v>25</v>
      </c>
      <c r="C43" s="770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4</v>
      </c>
      <c r="AP43" s="699" t="n">
        <v>1</v>
      </c>
      <c r="AQ43" s="699" t="n">
        <v>1</v>
      </c>
      <c r="AR43" s="699" t="n">
        <v>1</v>
      </c>
      <c r="AS43" s="699" t="n">
        <v>1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J43" s="573" t="n"/>
      <c r="DB43" s="5" t="n"/>
      <c r="DW43" s="5" t="n"/>
      <c r="DX43" s="5" t="n"/>
      <c r="DY43" s="5" t="n"/>
      <c r="EL43" s="327" t="n"/>
      <c r="EN43" s="327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</row>
    <row r="44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E44" s="573" t="n"/>
      <c r="F44" s="573" t="n"/>
      <c r="G44" s="573" t="n"/>
      <c r="H44" s="573" t="n"/>
      <c r="I44" s="573" t="n"/>
      <c r="J44" s="573" t="n"/>
      <c r="K44" s="573" t="n"/>
      <c r="L44" s="573" t="n"/>
      <c r="M44" s="573" t="n"/>
      <c r="N44" s="573" t="n"/>
      <c r="O44" s="573" t="n"/>
      <c r="P44" s="573" t="n"/>
      <c r="Q44" s="573" t="n"/>
      <c r="R44" s="573" t="n"/>
      <c r="S44" s="573" t="n"/>
      <c r="T44" s="573" t="n"/>
      <c r="U44" s="573" t="n"/>
      <c r="V44" s="573" t="n"/>
      <c r="W44" s="573" t="n"/>
      <c r="X44" s="573" t="n"/>
      <c r="Y44" s="573" t="n"/>
      <c r="Z44" s="573" t="n"/>
      <c r="AA44" s="573" t="n"/>
      <c r="AB44" s="573" t="n"/>
      <c r="AC44" s="573" t="n"/>
      <c r="AD44" s="573" t="n"/>
      <c r="AE44" s="573" t="n"/>
      <c r="AF44" s="573" t="n"/>
      <c r="AG44" s="573" t="n"/>
      <c r="AH44" s="573" t="n"/>
      <c r="AI44" s="573" t="n"/>
      <c r="AJ44" s="573" t="n"/>
      <c r="AK44" s="573" t="n"/>
      <c r="AL44" s="573" t="n"/>
      <c r="AM44" s="573" t="n"/>
      <c r="AN44" s="573" t="n"/>
      <c r="AO44" s="573" t="n"/>
      <c r="AP44" s="573" t="n"/>
      <c r="AQ44" s="573" t="n"/>
      <c r="AR44" s="573" t="n"/>
      <c r="AS44" s="573" t="n"/>
      <c r="AT44" s="573" t="n"/>
      <c r="AU44" s="573" t="n"/>
      <c r="AV44" s="573" t="n"/>
      <c r="AW44" s="573" t="n"/>
      <c r="AX44" s="573" t="n"/>
      <c r="AY44" s="573" t="n"/>
      <c r="AZ44" s="573" t="n"/>
      <c r="BA44" s="573" t="n"/>
      <c r="BB44" s="573" t="n"/>
      <c r="BC44" s="573" t="n"/>
      <c r="BD44" s="699" t="n">
        <v>132</v>
      </c>
      <c r="BE44" s="699" t="n">
        <v>111</v>
      </c>
      <c r="BF44" s="699" t="n">
        <v>41</v>
      </c>
      <c r="BG44" s="699" t="n">
        <v>38</v>
      </c>
      <c r="BH44" s="699" t="n">
        <v>31</v>
      </c>
      <c r="BI44" s="699" t="n">
        <v>21</v>
      </c>
      <c r="BJ44" s="699" t="n">
        <v>9</v>
      </c>
      <c r="BK44" s="699" t="n">
        <v>4</v>
      </c>
      <c r="BL44" s="699" t="n">
        <v>3</v>
      </c>
      <c r="BM44" s="699" t="n">
        <v>3</v>
      </c>
      <c r="BN44" s="699" t="n">
        <v>3</v>
      </c>
      <c r="BO44" s="699" t="n">
        <v>4</v>
      </c>
      <c r="BP44" s="699" t="n">
        <v>4</v>
      </c>
      <c r="BQ44" s="699" t="n">
        <v>4</v>
      </c>
      <c r="BR44" s="699" t="n">
        <v>4</v>
      </c>
      <c r="BS44" s="699" t="n">
        <v>4</v>
      </c>
      <c r="BT44" s="699" t="n">
        <v>4</v>
      </c>
      <c r="BU44" s="699" t="n">
        <v>4</v>
      </c>
      <c r="BV44" s="699" t="n">
        <v>4</v>
      </c>
      <c r="BW44" s="699" t="n">
        <v>4</v>
      </c>
      <c r="BX44" s="699" t="n">
        <v>4</v>
      </c>
      <c r="BY44" s="699" t="n">
        <v>0</v>
      </c>
      <c r="BZ44" s="192">
        <f>BX44+IF(NOT(ISBLANK(OFFSET(BZ44,0,6))),N(OFFSET(BZ44,0,6)),N(OFFSET(BZ44,0,7)))-BY44</f>
        <v/>
      </c>
      <c r="CA44" s="573" t="n"/>
      <c r="CJ44" s="573" t="n"/>
      <c r="DB44" s="5" t="n"/>
      <c r="DW44" s="5" t="n"/>
      <c r="DX44" s="5" t="n"/>
      <c r="DY44" s="5" t="n"/>
      <c r="EF44" s="173" t="n"/>
      <c r="EG44" s="173" t="n"/>
      <c r="EL44" s="327" t="n"/>
      <c r="EN44" s="327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699" t="n">
        <v>294</v>
      </c>
      <c r="BE45" s="699" t="n">
        <v>129</v>
      </c>
      <c r="BF45" s="699" t="n">
        <v>31</v>
      </c>
      <c r="BG45" s="699" t="n">
        <v>26</v>
      </c>
      <c r="BH45" s="699" t="n">
        <v>21</v>
      </c>
      <c r="BI45" s="699" t="n">
        <v>9</v>
      </c>
      <c r="BJ45" s="699" t="n">
        <v>3</v>
      </c>
      <c r="BK45" s="699" t="n">
        <v>0</v>
      </c>
      <c r="BL45" s="699" t="n">
        <v>0</v>
      </c>
      <c r="BM45" s="699" t="n">
        <v>0</v>
      </c>
      <c r="BN45" s="699" t="n">
        <v>0</v>
      </c>
      <c r="BO45" s="699" t="n">
        <v>0</v>
      </c>
      <c r="BP45" s="699" t="n">
        <v>0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73" t="n"/>
      <c r="DB45" s="5" t="n"/>
      <c r="DW45" s="5" t="n"/>
      <c r="DX45" s="5" t="n"/>
      <c r="DY45" s="5" t="n"/>
      <c r="EF45" s="173" t="n"/>
      <c r="EG45" s="173" t="n"/>
      <c r="EL45" s="327" t="n"/>
      <c r="EN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E46" s="573" t="n"/>
      <c r="F46" s="573" t="n"/>
      <c r="G46" s="573" t="n"/>
      <c r="H46" s="573" t="n"/>
      <c r="I46" s="573" t="n"/>
      <c r="J46" s="573" t="n"/>
      <c r="K46" s="573" t="n"/>
      <c r="L46" s="573" t="n"/>
      <c r="M46" s="573" t="n"/>
      <c r="N46" s="573" t="n"/>
      <c r="O46" s="573" t="n"/>
      <c r="P46" s="573" t="n"/>
      <c r="Q46" s="573" t="n"/>
      <c r="R46" s="573" t="n"/>
      <c r="S46" s="573" t="n"/>
      <c r="T46" s="573" t="n"/>
      <c r="U46" s="573" t="n"/>
      <c r="V46" s="573" t="n"/>
      <c r="W46" s="573" t="n"/>
      <c r="X46" s="573" t="n"/>
      <c r="Y46" s="573" t="n"/>
      <c r="Z46" s="573" t="n"/>
      <c r="AA46" s="573" t="n"/>
      <c r="AB46" s="573" t="n"/>
      <c r="AC46" s="573" t="n"/>
      <c r="AD46" s="573" t="n"/>
      <c r="AE46" s="573" t="n"/>
      <c r="AF46" s="573" t="n"/>
      <c r="AG46" s="573" t="n"/>
      <c r="AH46" s="573" t="n"/>
      <c r="AI46" s="573" t="n"/>
      <c r="AJ46" s="573" t="n"/>
      <c r="AK46" s="573" t="n"/>
      <c r="AL46" s="573" t="n"/>
      <c r="AM46" s="573" t="n"/>
      <c r="AN46" s="573" t="n"/>
      <c r="AO46" s="573" t="n"/>
      <c r="AP46" s="573" t="n"/>
      <c r="AQ46" s="573" t="n"/>
      <c r="AR46" s="573" t="n"/>
      <c r="AS46" s="573" t="n"/>
      <c r="AT46" s="573" t="n"/>
      <c r="AU46" s="573" t="n"/>
      <c r="AV46" s="573" t="n"/>
      <c r="AW46" s="573" t="n"/>
      <c r="AX46" s="573" t="n"/>
      <c r="AY46" s="573" t="n"/>
      <c r="AZ46" s="573" t="n"/>
      <c r="BA46" s="573" t="n"/>
      <c r="BB46" s="573" t="n"/>
      <c r="BC46" s="573" t="n"/>
      <c r="BD46" s="699" t="n">
        <v>222</v>
      </c>
      <c r="BE46" s="699" t="n">
        <v>3</v>
      </c>
      <c r="BF46" s="699" t="n">
        <v>-5</v>
      </c>
      <c r="BG46" s="699" t="n">
        <v>-5</v>
      </c>
      <c r="BH46" s="699" t="n">
        <v>-5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73" t="n"/>
      <c r="DB46" s="5" t="n"/>
      <c r="DW46" s="5" t="n"/>
      <c r="DX46" s="5" t="n"/>
      <c r="DY46" s="5" t="n"/>
      <c r="EF46" s="173" t="n"/>
      <c r="EG46" s="173" t="n"/>
      <c r="EL46" s="327" t="n"/>
      <c r="EN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E47" s="573" t="n"/>
      <c r="F47" s="573" t="n"/>
      <c r="G47" s="573" t="n"/>
      <c r="H47" s="573" t="n"/>
      <c r="I47" s="573" t="n"/>
      <c r="J47" s="573" t="n"/>
      <c r="K47" s="573" t="n"/>
      <c r="L47" s="573" t="n"/>
      <c r="M47" s="573" t="n"/>
      <c r="N47" s="573" t="n"/>
      <c r="O47" s="573" t="n"/>
      <c r="P47" s="573" t="n"/>
      <c r="Q47" s="573" t="n"/>
      <c r="R47" s="573" t="n"/>
      <c r="S47" s="573" t="n"/>
      <c r="T47" s="573" t="n"/>
      <c r="U47" s="573" t="n"/>
      <c r="V47" s="573" t="n"/>
      <c r="W47" s="573" t="n"/>
      <c r="X47" s="573" t="n"/>
      <c r="Y47" s="573" t="n"/>
      <c r="Z47" s="573" t="n"/>
      <c r="AA47" s="573" t="n"/>
      <c r="AB47" s="573" t="n"/>
      <c r="AC47" s="573" t="n"/>
      <c r="AD47" s="573" t="n"/>
      <c r="AE47" s="573" t="n"/>
      <c r="AF47" s="573" t="n"/>
      <c r="AG47" s="573" t="n"/>
      <c r="AH47" s="573" t="n"/>
      <c r="AI47" s="573" t="n"/>
      <c r="AJ47" s="573" t="n"/>
      <c r="AK47" s="573" t="n"/>
      <c r="AL47" s="573" t="n"/>
      <c r="AM47" s="573" t="n"/>
      <c r="AN47" s="573" t="n"/>
      <c r="AO47" s="573" t="n"/>
      <c r="AP47" s="573" t="n"/>
      <c r="AQ47" s="573" t="n"/>
      <c r="AR47" s="573" t="n"/>
      <c r="AS47" s="573" t="n"/>
      <c r="AT47" s="573" t="n"/>
      <c r="AU47" s="573" t="n"/>
      <c r="AV47" s="573" t="n"/>
      <c r="AW47" s="573" t="n"/>
      <c r="AX47" s="573" t="n"/>
      <c r="AY47" s="573" t="n"/>
      <c r="AZ47" s="573" t="n"/>
      <c r="BA47" s="573" t="n"/>
      <c r="BB47" s="573" t="n"/>
      <c r="BC47" s="573" t="n"/>
      <c r="BD47" s="699" t="n">
        <v>146</v>
      </c>
      <c r="BE47" s="699" t="n">
        <v>31</v>
      </c>
      <c r="BF47" s="699" t="n">
        <v>6</v>
      </c>
      <c r="BG47" s="699" t="n">
        <v>1</v>
      </c>
      <c r="BH47" s="699" t="n">
        <v>-2</v>
      </c>
      <c r="BI47" s="699" t="n">
        <v>1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73" t="n"/>
      <c r="CJ47" s="5" t="n"/>
      <c r="DB47" s="5" t="n"/>
      <c r="DW47" s="5" t="n"/>
      <c r="DX47" s="5" t="n"/>
      <c r="DY47" s="5" t="n"/>
      <c r="EF47" s="173" t="n"/>
      <c r="EG47" s="173" t="n"/>
      <c r="EL47" s="327" t="n"/>
      <c r="EN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699" t="n"/>
      <c r="BE48" s="699" t="n">
        <v>10</v>
      </c>
      <c r="BF48" s="699" t="n">
        <v>10</v>
      </c>
      <c r="BG48" s="699" t="n">
        <v>10</v>
      </c>
      <c r="BH48" s="699" t="n">
        <v>10</v>
      </c>
      <c r="BI48" s="699" t="n">
        <v>10</v>
      </c>
      <c r="BJ48" s="699" t="n">
        <v>10</v>
      </c>
      <c r="BK48" s="699" t="n">
        <v>10</v>
      </c>
      <c r="BL48" s="699" t="n">
        <v>10</v>
      </c>
      <c r="BM48" s="699" t="n">
        <v>10</v>
      </c>
      <c r="BN48" s="699" t="n">
        <v>10</v>
      </c>
      <c r="BO48" s="699" t="n">
        <v>13</v>
      </c>
      <c r="BP48" s="699" t="n">
        <v>13</v>
      </c>
      <c r="BQ48" s="699" t="n">
        <v>13</v>
      </c>
      <c r="BR48" s="699" t="n">
        <v>14</v>
      </c>
      <c r="BS48" s="699" t="n">
        <v>14</v>
      </c>
      <c r="BT48" s="699" t="n">
        <v>14</v>
      </c>
      <c r="BU48" s="699" t="n">
        <v>14</v>
      </c>
      <c r="BV48" s="699" t="n">
        <v>14</v>
      </c>
      <c r="BW48" s="699" t="n">
        <v>14</v>
      </c>
      <c r="BX48" s="699" t="n">
        <v>14</v>
      </c>
      <c r="BY48" s="699" t="n">
        <v>83</v>
      </c>
      <c r="BZ48" s="192">
        <f>BX48+IF(NOT(ISBLANK(OFFSET(BZ48,0,6))),N(OFFSET(BZ48,0,6)),N(OFFSET(BZ48,0,7)))-BY48</f>
        <v/>
      </c>
      <c r="CA48" s="573" t="n"/>
      <c r="DB48" s="5" t="n"/>
      <c r="DW48" s="5" t="n"/>
      <c r="DX48" s="5" t="n"/>
      <c r="DY48" s="5" t="n"/>
      <c r="EF48" s="173" t="n"/>
      <c r="EG48" s="173" t="n"/>
      <c r="EL48" s="327" t="n"/>
      <c r="EN48" s="327" t="n"/>
    </row>
    <row r="49">
      <c r="E49" s="573" t="n"/>
      <c r="F49" s="573" t="n"/>
      <c r="G49" s="573" t="n"/>
      <c r="H49" s="573" t="n"/>
      <c r="I49" s="573" t="n"/>
      <c r="J49" s="573" t="n"/>
      <c r="K49" s="573" t="n"/>
      <c r="L49" s="573" t="n"/>
      <c r="M49" s="573" t="n"/>
      <c r="N49" s="573" t="n"/>
      <c r="O49" s="573" t="n"/>
      <c r="P49" s="573" t="n"/>
      <c r="Q49" s="573" t="n"/>
      <c r="R49" s="573" t="n"/>
      <c r="S49" s="573" t="n"/>
      <c r="T49" s="573" t="n"/>
      <c r="U49" s="573" t="n"/>
      <c r="V49" s="573" t="n"/>
      <c r="W49" s="573" t="n"/>
      <c r="X49" s="573" t="n"/>
      <c r="Y49" s="573" t="n"/>
      <c r="Z49" s="573" t="n"/>
      <c r="AA49" s="573" t="n"/>
      <c r="AB49" s="573" t="n"/>
      <c r="AC49" s="573" t="n"/>
      <c r="AD49" s="573" t="n"/>
      <c r="AE49" s="573" t="n"/>
      <c r="AF49" s="573" t="n"/>
      <c r="AG49" s="573" t="n"/>
      <c r="AH49" s="573" t="n"/>
      <c r="AI49" s="573" t="n"/>
      <c r="AJ49" s="573" t="n"/>
      <c r="AK49" s="573" t="n"/>
      <c r="AL49" s="573" t="n"/>
      <c r="AM49" s="573" t="n"/>
      <c r="AN49" s="573" t="n"/>
      <c r="AO49" s="573" t="n"/>
      <c r="AP49" s="573" t="n"/>
      <c r="AQ49" s="573" t="n"/>
      <c r="AR49" s="573" t="n"/>
      <c r="AS49" s="573" t="n"/>
      <c r="AT49" s="573" t="n"/>
      <c r="AU49" s="573" t="n"/>
      <c r="AV49" s="573" t="n"/>
      <c r="AW49" s="573" t="n"/>
      <c r="AX49" s="573" t="n"/>
      <c r="AY49" s="573" t="n"/>
      <c r="AZ49" s="573" t="n"/>
      <c r="BA49" s="573" t="n"/>
      <c r="BB49" s="573" t="n"/>
      <c r="BC49" s="573" t="n"/>
      <c r="BD49" s="573" t="n"/>
      <c r="BE49" s="573" t="n"/>
      <c r="BF49" s="573" t="n"/>
      <c r="BG49" s="573" t="n"/>
      <c r="BH49" s="573" t="n"/>
      <c r="BI49" s="573" t="n"/>
      <c r="BJ49" s="573" t="n"/>
      <c r="BK49" s="573" t="n"/>
      <c r="BL49" s="573" t="n"/>
      <c r="BM49" s="573" t="n"/>
      <c r="BN49" s="573" t="n"/>
      <c r="BO49" s="573" t="n"/>
      <c r="BP49" s="573" t="n"/>
      <c r="BQ49" s="573" t="n"/>
      <c r="BR49" s="573" t="n"/>
      <c r="BS49" s="573" t="n"/>
      <c r="BT49" s="573" t="n"/>
      <c r="BU49" s="573" t="n"/>
      <c r="BV49" s="573" t="n"/>
      <c r="BW49" s="573" t="n"/>
      <c r="BX49" s="573" t="n"/>
      <c r="BY49" s="573" t="n"/>
      <c r="CA49" s="573" t="n"/>
      <c r="DB49" s="5" t="n"/>
      <c r="DW49" s="5" t="n"/>
      <c r="DX49" s="5" t="n"/>
      <c r="DY49" s="5" t="n"/>
      <c r="EF49" s="173" t="n"/>
      <c r="EG49" s="173" t="n"/>
      <c r="EL49" s="327" t="n"/>
      <c r="EN49" s="327" t="n"/>
    </row>
    <row r="50" ht="21" customHeight="1">
      <c r="A50" s="380" t="inlineStr">
        <is>
          <t>SOBRAS DATAS COMEMORATIVAS</t>
        </is>
      </c>
      <c r="B50" s="380" t="n"/>
      <c r="C50" s="380" t="n"/>
      <c r="E50" s="573" t="n"/>
      <c r="F50" s="573" t="n"/>
      <c r="G50" s="573" t="n"/>
      <c r="H50" s="573" t="n"/>
      <c r="I50" s="573" t="n"/>
      <c r="J50" s="573" t="n"/>
      <c r="K50" s="573" t="n"/>
      <c r="L50" s="573" t="n"/>
      <c r="M50" s="573" t="n"/>
      <c r="N50" s="573" t="n"/>
      <c r="O50" s="573" t="n"/>
      <c r="P50" s="573" t="n"/>
      <c r="Q50" s="573" t="n"/>
      <c r="R50" s="573" t="n"/>
      <c r="S50" s="573" t="n"/>
      <c r="T50" s="573" t="n"/>
      <c r="U50" s="573" t="n"/>
      <c r="V50" s="573" t="n"/>
      <c r="W50" s="573" t="n"/>
      <c r="X50" s="573" t="n"/>
      <c r="Y50" s="573" t="n"/>
      <c r="Z50" s="573" t="n"/>
      <c r="AA50" s="573" t="n"/>
      <c r="AB50" s="573" t="n"/>
      <c r="AC50" s="573" t="n"/>
      <c r="AD50" s="573" t="n"/>
      <c r="AE50" s="573" t="n"/>
      <c r="AF50" s="573" t="n"/>
      <c r="AG50" s="573" t="n"/>
      <c r="AH50" s="573" t="n"/>
      <c r="AI50" s="573" t="n"/>
      <c r="AJ50" s="573" t="n"/>
      <c r="AK50" s="573" t="n"/>
      <c r="AL50" s="573" t="n"/>
      <c r="AM50" s="573" t="n"/>
      <c r="AN50" s="573" t="n"/>
      <c r="AO50" s="573" t="n"/>
      <c r="AP50" s="573" t="n"/>
      <c r="AQ50" s="573" t="n"/>
      <c r="AR50" s="573" t="n"/>
      <c r="AS50" s="573" t="n"/>
      <c r="AT50" s="573" t="n"/>
      <c r="AU50" s="573" t="n"/>
      <c r="AV50" s="573" t="n"/>
      <c r="AW50" s="573" t="n"/>
      <c r="AX50" s="573" t="n"/>
      <c r="AY50" s="573" t="n"/>
      <c r="AZ50" s="573" t="n"/>
      <c r="BA50" s="573" t="n"/>
      <c r="BB50" s="573" t="n"/>
      <c r="BC50" s="573" t="n"/>
      <c r="BD50" s="573" t="n"/>
      <c r="BE50" s="573" t="n"/>
      <c r="BF50" s="573" t="n"/>
      <c r="BG50" s="573" t="n"/>
      <c r="BH50" s="573" t="n"/>
      <c r="BI50" s="573" t="n"/>
      <c r="BJ50" s="573" t="n"/>
      <c r="BK50" s="573" t="n"/>
      <c r="BL50" s="573" t="n"/>
      <c r="BM50" s="573" t="n"/>
      <c r="BN50" s="573" t="n"/>
      <c r="BO50" s="573" t="n"/>
      <c r="BP50" s="573" t="n"/>
      <c r="BQ50" s="573" t="n"/>
      <c r="BR50" s="573" t="n"/>
      <c r="BS50" s="573" t="n"/>
      <c r="BT50" s="573" t="n"/>
      <c r="BU50" s="573" t="n"/>
      <c r="BV50" s="573" t="n"/>
      <c r="BW50" s="573" t="n"/>
      <c r="BX50" s="573" t="n"/>
      <c r="BY50" s="573" t="n"/>
      <c r="CA50" s="573" t="n"/>
      <c r="DB50" s="51" t="n"/>
      <c r="DW50" s="51" t="n"/>
      <c r="DX50" s="5" t="n"/>
      <c r="DY50" s="5" t="n"/>
      <c r="EE50" s="59" t="n"/>
      <c r="EF50" s="174" t="n"/>
      <c r="EG50" s="174" t="n"/>
      <c r="EH50" s="59" t="n"/>
      <c r="EI50" s="59" t="n"/>
      <c r="EJ50" s="59" t="n"/>
      <c r="EK50" s="59" t="n"/>
      <c r="EL50" s="327" t="n"/>
      <c r="EM50" s="59" t="n"/>
      <c r="EN50" s="327" t="n"/>
      <c r="EO50" s="59" t="n"/>
      <c r="EP50" s="59" t="n"/>
      <c r="ER50" s="59" t="n"/>
      <c r="ES50" s="59" t="n"/>
      <c r="EU50" s="59" t="n"/>
      <c r="EV50" s="59" t="n"/>
      <c r="EW50" s="59" t="n"/>
      <c r="EY50" s="59" t="n"/>
      <c r="EZ50" s="59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CA51" s="573" t="n"/>
      <c r="CB51" s="51" t="n"/>
      <c r="DB51" s="51" t="n"/>
      <c r="DW51" s="51" t="n"/>
      <c r="DX51" s="51" t="n"/>
      <c r="DY51" s="51" t="n"/>
      <c r="EA51" s="59" t="n"/>
      <c r="EB51" s="59" t="n"/>
      <c r="EE51" s="573" t="n"/>
      <c r="EF51" s="174" t="n"/>
      <c r="EG51" s="174" t="n"/>
      <c r="EH51" s="573" t="n"/>
      <c r="EI51" s="573" t="n"/>
      <c r="EJ51" s="573" t="n"/>
      <c r="EK51" s="573" t="n"/>
      <c r="EL51" s="327" t="n"/>
      <c r="EM51" s="573" t="n"/>
      <c r="EN51" s="327" t="n"/>
      <c r="EO51" s="573" t="n"/>
      <c r="EP51" s="573" t="n"/>
      <c r="ER51" s="573" t="n"/>
      <c r="ES51" s="573" t="n"/>
      <c r="EU51" s="573" t="n"/>
      <c r="EV51" s="573" t="n"/>
      <c r="EW51" s="573" t="n"/>
      <c r="EX51" s="573" t="n"/>
      <c r="EY51" s="573" t="n"/>
      <c r="EZ51" s="573" t="n"/>
    </row>
    <row r="52" customFormat="1" s="29">
      <c r="A52" s="182" t="inlineStr">
        <is>
          <t>TAG NAMORADOS/23</t>
        </is>
      </c>
      <c r="B52" s="171" t="n">
        <v>300</v>
      </c>
      <c r="C52" s="172" t="n">
        <v>300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CJ52" s="59" t="n"/>
      <c r="DB52" s="573" t="n"/>
      <c r="DI52" s="173" t="n"/>
      <c r="DJ52" s="173" t="n"/>
      <c r="DL52" s="173" t="n"/>
      <c r="DO52" s="59" t="n"/>
      <c r="DP52" s="59" t="n"/>
      <c r="DQ52" s="59" t="n"/>
      <c r="DR52" s="59" t="n"/>
      <c r="DS52" s="59" t="n"/>
      <c r="DT52" s="59" t="n"/>
      <c r="DU52" s="59" t="n"/>
      <c r="DV52" s="59" t="n"/>
      <c r="DW52" s="573" t="n"/>
      <c r="DX52" s="51" t="n"/>
      <c r="DY52" s="51" t="n"/>
      <c r="DZ52" s="59" t="n"/>
      <c r="EA52" s="573" t="n"/>
      <c r="EB52" s="573" t="n"/>
      <c r="EC52" s="59" t="n"/>
      <c r="ED52" s="59" t="n"/>
      <c r="EE52" s="573" t="n"/>
      <c r="EH52" s="573" t="n"/>
      <c r="EI52" s="573" t="n"/>
      <c r="EJ52" s="573" t="n"/>
      <c r="EK52" s="573" t="n"/>
      <c r="EL52" s="327" t="n"/>
      <c r="EM52" s="573" t="n"/>
      <c r="EN52" s="327" t="n"/>
      <c r="EO52" s="573" t="n"/>
      <c r="EP52" s="573" t="n"/>
      <c r="EQ52" s="59" t="n"/>
      <c r="ER52" s="573" t="n"/>
      <c r="ES52" s="573" t="n"/>
      <c r="EU52" s="573" t="n"/>
      <c r="EV52" s="573" t="n"/>
      <c r="EW52" s="573" t="n"/>
      <c r="EX52" s="573" t="n"/>
      <c r="EY52" s="573" t="n"/>
      <c r="EZ52" s="573" t="n"/>
      <c r="FA52" s="573" t="n"/>
      <c r="FB52" s="5" t="n"/>
      <c r="FC52" s="5" t="n"/>
      <c r="FD52" s="5" t="n"/>
      <c r="FE52" s="5" t="n"/>
      <c r="FF52" s="5" t="n"/>
      <c r="FG52" s="5" t="n"/>
      <c r="FH52" s="5" t="n"/>
      <c r="FI52" s="5" t="n"/>
      <c r="FJ52" s="5" t="n"/>
      <c r="FK52" s="2" t="n"/>
      <c r="FL52" s="2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IN52" s="174" t="n"/>
      <c r="IO52" s="174" t="n"/>
      <c r="IR52" s="174" t="n"/>
      <c r="IV52" s="174" t="n"/>
      <c r="IZ52" s="174" t="n"/>
      <c r="JD52" s="71" t="n"/>
      <c r="JF52" s="174" t="n"/>
      <c r="JH52" s="68" t="n"/>
      <c r="JM52" s="68" t="n"/>
      <c r="JQ52" s="68" t="n"/>
      <c r="JS52" s="71" t="n"/>
    </row>
    <row r="53" customFormat="1" s="29"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J53" s="59" t="n"/>
      <c r="DB53" s="573" t="n"/>
      <c r="DI53" s="174" t="n"/>
      <c r="DJ53" s="174" t="n"/>
      <c r="DL53" s="174" t="n"/>
      <c r="DM53" s="59" t="n"/>
      <c r="DO53" s="573" t="n"/>
      <c r="DP53" s="573" t="n"/>
      <c r="DQ53" s="573" t="n"/>
      <c r="DR53" s="573" t="n"/>
      <c r="DS53" s="573" t="n"/>
      <c r="DT53" s="573" t="n"/>
      <c r="DU53" s="573" t="n"/>
      <c r="DV53" s="573" t="n"/>
      <c r="DW53" s="573" t="n"/>
      <c r="DX53" s="573" t="n"/>
      <c r="DY53" s="573" t="n"/>
      <c r="DZ53" s="573" t="n"/>
      <c r="EA53" s="573" t="n"/>
      <c r="EB53" s="573" t="n"/>
      <c r="EC53" s="573" t="n"/>
      <c r="ED53" s="573" t="n"/>
      <c r="EE53" s="573" t="n"/>
      <c r="EH53" s="573" t="n"/>
      <c r="EI53" s="573" t="n"/>
      <c r="EJ53" s="573" t="n"/>
      <c r="EK53" s="573" t="n"/>
      <c r="EL53" s="327" t="n"/>
      <c r="EM53" s="573" t="n"/>
      <c r="EN53" s="327" t="n"/>
      <c r="EO53" s="573" t="n"/>
      <c r="EP53" s="573" t="n"/>
      <c r="EQ53" s="573" t="n"/>
      <c r="ER53" s="573" t="n"/>
      <c r="ES53" s="573" t="n"/>
      <c r="ET53" s="573" t="n"/>
      <c r="EU53" s="573" t="n"/>
      <c r="EV53" s="573" t="n"/>
      <c r="EW53" s="573" t="n"/>
      <c r="EX53" s="573" t="n"/>
      <c r="EY53" s="573" t="n"/>
      <c r="EZ53" s="573" t="n"/>
      <c r="FB53" s="5" t="n"/>
      <c r="FC53" s="5" t="n"/>
      <c r="FD53" s="5" t="n"/>
      <c r="FE53" s="5" t="n"/>
      <c r="FF53" s="5" t="n"/>
      <c r="FG53" s="5" t="n"/>
      <c r="FH53" s="5" t="n"/>
      <c r="FI53" s="5" t="n"/>
      <c r="FJ53" s="5" t="n"/>
    </row>
    <row r="54">
      <c r="A54" s="774" t="inlineStr">
        <is>
          <t>FLACONETES</t>
        </is>
      </c>
      <c r="B54" s="731" t="n"/>
      <c r="C54" s="731" t="n"/>
      <c r="D54" s="775" t="n"/>
      <c r="F54" s="776" t="n">
        <v>45656</v>
      </c>
      <c r="G54" s="776" t="n">
        <v>45663</v>
      </c>
      <c r="H54" s="776" t="n">
        <v>45670</v>
      </c>
      <c r="I54" s="776" t="n">
        <v>45677</v>
      </c>
      <c r="J54" s="776" t="n">
        <v>45684</v>
      </c>
      <c r="K54" s="776" t="n">
        <v>45691</v>
      </c>
      <c r="L54" s="776" t="n">
        <v>45698</v>
      </c>
      <c r="M54" s="776" t="n">
        <v>45705</v>
      </c>
      <c r="N54" s="776" t="n">
        <v>45712</v>
      </c>
      <c r="O54" s="776" t="n">
        <v>45719</v>
      </c>
      <c r="P54" s="776" t="n">
        <v>45726</v>
      </c>
      <c r="Q54" s="776" t="n">
        <v>45733</v>
      </c>
      <c r="R54" s="777" t="n">
        <v>45740</v>
      </c>
      <c r="S54" s="776" t="n">
        <v>45747</v>
      </c>
      <c r="T54" s="776" t="n">
        <v>45754</v>
      </c>
      <c r="U54" s="776" t="n">
        <v>45761</v>
      </c>
      <c r="V54" s="776" t="n">
        <v>45768</v>
      </c>
      <c r="W54" s="776" t="n">
        <v>45775</v>
      </c>
      <c r="X54" s="776" t="n">
        <v>45782</v>
      </c>
      <c r="Y54" s="776" t="n">
        <v>45789</v>
      </c>
      <c r="Z54" s="776" t="n">
        <v>45796</v>
      </c>
      <c r="AA54" s="776" t="n">
        <v>45803</v>
      </c>
      <c r="AB54" s="776" t="n">
        <v>45810</v>
      </c>
      <c r="AC54" s="776" t="n">
        <v>45817</v>
      </c>
      <c r="AD54" s="776" t="n">
        <v>45824</v>
      </c>
      <c r="AE54" s="776" t="n">
        <v>45831</v>
      </c>
      <c r="AF54" s="776" t="n">
        <v>45838</v>
      </c>
      <c r="AG54" s="776" t="n">
        <v>45845</v>
      </c>
      <c r="AH54" s="776" t="n">
        <v>45852</v>
      </c>
      <c r="AI54" s="776" t="n">
        <v>45859</v>
      </c>
      <c r="AJ54" s="776" t="n">
        <v>45866</v>
      </c>
      <c r="AK54" s="776" t="n">
        <v>45873</v>
      </c>
      <c r="AL54" s="776" t="n">
        <v>45880</v>
      </c>
      <c r="AM54" s="776" t="n">
        <v>45887</v>
      </c>
      <c r="AN54" s="776" t="n">
        <v>45894</v>
      </c>
      <c r="AO54" s="776" t="n">
        <v>45901</v>
      </c>
      <c r="AP54" s="776" t="n">
        <v>45908</v>
      </c>
      <c r="AQ54" s="776" t="n">
        <v>45915</v>
      </c>
      <c r="AR54" s="776" t="n">
        <v>45922</v>
      </c>
      <c r="AS54" s="776" t="n">
        <v>45929</v>
      </c>
      <c r="AT54" s="776" t="n">
        <v>45936</v>
      </c>
      <c r="AU54" s="776" t="n">
        <v>45943</v>
      </c>
      <c r="AV54" s="776" t="n">
        <v>45950</v>
      </c>
      <c r="AW54" s="776" t="n">
        <v>45957</v>
      </c>
      <c r="AX54" s="776" t="n">
        <v>45964</v>
      </c>
      <c r="AY54" s="776" t="n">
        <v>45971</v>
      </c>
      <c r="AZ54" s="776" t="n">
        <v>45978</v>
      </c>
      <c r="BA54" s="776" t="n">
        <v>45985</v>
      </c>
      <c r="BB54" s="776" t="n">
        <v>45992</v>
      </c>
      <c r="BC54" s="776" t="n">
        <v>45999</v>
      </c>
      <c r="BD54" s="776" t="n">
        <v>46006</v>
      </c>
      <c r="BE54" s="776" t="n">
        <v>46013</v>
      </c>
      <c r="BF54" s="776" t="n">
        <v>46020</v>
      </c>
      <c r="BG54" s="776" t="n">
        <v>46027</v>
      </c>
      <c r="BH54" s="776" t="n">
        <v>46034</v>
      </c>
      <c r="BI54" s="776" t="n">
        <v>46041</v>
      </c>
      <c r="BJ54" s="776" t="n">
        <v>46048</v>
      </c>
      <c r="BK54" s="776" t="n">
        <v>46055</v>
      </c>
      <c r="BL54" s="776" t="n">
        <v>46062</v>
      </c>
      <c r="BM54" s="776" t="n">
        <v>46069</v>
      </c>
      <c r="BN54" s="776" t="n">
        <v>46076</v>
      </c>
      <c r="BO54" s="776" t="n">
        <v>46083</v>
      </c>
      <c r="BP54" s="776" t="n">
        <v>46090</v>
      </c>
      <c r="BQ54" s="776" t="n">
        <v>46097</v>
      </c>
      <c r="BR54" s="776" t="n">
        <v>46104</v>
      </c>
      <c r="BS54" s="776" t="n">
        <v>46111</v>
      </c>
      <c r="BT54" s="776" t="n">
        <v>46118</v>
      </c>
      <c r="BU54" s="776" t="n">
        <v>46125</v>
      </c>
      <c r="BV54" s="776" t="n">
        <v>46132</v>
      </c>
      <c r="BW54" s="776" t="n">
        <v>46139</v>
      </c>
      <c r="BX54" s="776" t="n">
        <v>46146</v>
      </c>
      <c r="BY54" s="776" t="n">
        <v>46154</v>
      </c>
      <c r="CB54" s="573" t="n"/>
      <c r="CF54" s="59" t="n"/>
      <c r="CG54" s="59" t="n"/>
      <c r="CH54" s="59" t="n"/>
      <c r="CI54" s="59" t="n"/>
      <c r="CK54" s="59" t="n"/>
      <c r="CL54" s="59" t="n"/>
      <c r="CM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73" t="n"/>
      <c r="DC54" s="59" t="n"/>
      <c r="DD54" s="59" t="n"/>
      <c r="DE54" s="59" t="n"/>
      <c r="DF54" s="59" t="n"/>
      <c r="DG54" s="59" t="n"/>
      <c r="DH54" s="59" t="n"/>
      <c r="DI54" s="174" t="n"/>
      <c r="DJ54" s="174" t="n"/>
      <c r="DK54" s="59" t="n"/>
      <c r="DL54" s="174" t="n"/>
      <c r="DM54" s="573" t="n"/>
      <c r="DO54" s="573" t="n"/>
      <c r="DP54" s="573" t="n"/>
      <c r="DQ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C54" s="573" t="n"/>
      <c r="ED54" s="573" t="n"/>
      <c r="EL54" s="327" t="n"/>
      <c r="EN54" s="327" t="n"/>
      <c r="EQ54" s="573" t="n"/>
      <c r="ET54" s="573" t="n"/>
      <c r="EX54" s="573" t="n"/>
    </row>
    <row r="55">
      <c r="A55" s="781" t="inlineStr">
        <is>
          <t>ARBO ATLANTICA</t>
        </is>
      </c>
      <c r="B55" s="731" t="n"/>
      <c r="C55" s="731" t="n"/>
      <c r="D55" s="775" t="n"/>
      <c r="S55" s="697" t="n">
        <v>0</v>
      </c>
      <c r="T55" s="697" t="n">
        <v>95</v>
      </c>
      <c r="U55" s="697" t="n">
        <v>95</v>
      </c>
      <c r="V55" s="697" t="n">
        <v>95</v>
      </c>
      <c r="W55" s="697" t="n">
        <v>95</v>
      </c>
      <c r="X55" s="697" t="n">
        <v>95</v>
      </c>
      <c r="Y55" s="697" t="n">
        <v>95</v>
      </c>
      <c r="Z55" s="697" t="n">
        <v>50</v>
      </c>
      <c r="AA55" s="697" t="n">
        <v>56</v>
      </c>
      <c r="AB55" s="697" t="n">
        <v>45</v>
      </c>
      <c r="AC55" s="697" t="n">
        <v>0</v>
      </c>
      <c r="AD55" s="697" t="n">
        <v>0</v>
      </c>
      <c r="AE55" s="697" t="n">
        <v>0</v>
      </c>
      <c r="AF55" s="697" t="n">
        <v>0</v>
      </c>
      <c r="AG55" s="697" t="n">
        <v>0</v>
      </c>
      <c r="AH55" s="697" t="n">
        <v>0</v>
      </c>
      <c r="AI55" s="697" t="n"/>
      <c r="AJ55" s="697" t="n"/>
      <c r="AK55" s="697" t="n"/>
      <c r="AL55" s="697" t="n"/>
      <c r="AM55" s="697" t="n"/>
      <c r="AN55" s="697" t="n"/>
      <c r="AO55" s="697" t="n"/>
      <c r="AP55" s="697" t="n"/>
      <c r="AQ55" s="697" t="n"/>
      <c r="AR55" s="697" t="n"/>
      <c r="AS55" s="697" t="n"/>
      <c r="AT55" s="697" t="n"/>
      <c r="AU55" s="697" t="n"/>
      <c r="AV55" s="697" t="n"/>
      <c r="AW55" s="697" t="n"/>
      <c r="AX55" s="697" t="n"/>
      <c r="AY55" s="697" t="n"/>
      <c r="AZ55" s="697" t="n"/>
      <c r="BA55" s="697" t="n"/>
      <c r="BB55" s="697" t="n"/>
      <c r="BC55" s="697" t="n"/>
      <c r="BD55" s="697" t="n"/>
      <c r="BE55" s="697" t="n"/>
      <c r="BF55" s="697" t="n"/>
      <c r="BG55" s="697" t="n">
        <v>0</v>
      </c>
      <c r="BH55" s="697" t="n">
        <v>0</v>
      </c>
      <c r="BI55" s="697" t="n">
        <v>0</v>
      </c>
      <c r="BJ55" s="697" t="n">
        <v>0</v>
      </c>
      <c r="BK55" s="697" t="n">
        <v>0</v>
      </c>
      <c r="BL55" s="697" t="n">
        <v>0</v>
      </c>
      <c r="BM55" s="697" t="n">
        <v>0</v>
      </c>
      <c r="BN55" s="697" t="n">
        <v>0</v>
      </c>
      <c r="BO55" s="697" t="n">
        <v>0</v>
      </c>
      <c r="BP55" s="697" t="n">
        <v>0</v>
      </c>
      <c r="BQ55" s="697" t="n">
        <v>0</v>
      </c>
      <c r="BR55" s="697" t="n">
        <v>0</v>
      </c>
      <c r="BS55" s="697" t="n">
        <v>0</v>
      </c>
      <c r="BT55" s="697" t="n">
        <v>0</v>
      </c>
      <c r="BU55" s="697" t="n">
        <v>0</v>
      </c>
      <c r="BV55" s="697" t="n">
        <v>0</v>
      </c>
      <c r="BW55" s="697" t="n">
        <v>0</v>
      </c>
      <c r="BX55" s="697" t="n">
        <v>0</v>
      </c>
      <c r="BY55" s="697" t="n">
        <v>0</v>
      </c>
      <c r="CF55" s="573" t="n"/>
      <c r="CG55" s="573" t="n"/>
      <c r="CH55" s="573" t="n"/>
      <c r="CI55" s="573" t="n"/>
      <c r="CK55" s="573" t="n"/>
      <c r="CL55" s="573" t="n"/>
      <c r="CM55" s="573" t="n"/>
    </row>
    <row r="56">
      <c r="A56" s="781" t="inlineStr">
        <is>
          <t>EGEO DOLCE ILUSION</t>
        </is>
      </c>
      <c r="B56" s="731" t="n"/>
      <c r="C56" s="731" t="n"/>
      <c r="D56" s="775" t="n"/>
      <c r="AP56" s="697" t="n"/>
      <c r="AQ56" s="697" t="n"/>
      <c r="AR56" s="697" t="n"/>
      <c r="AS56" s="697" t="n"/>
      <c r="AT56" s="697" t="n"/>
      <c r="AU56" s="697" t="n"/>
      <c r="AV56" s="697" t="n"/>
      <c r="AW56" s="697" t="n"/>
      <c r="AX56" s="697" t="n"/>
      <c r="AY56" s="697" t="n"/>
      <c r="AZ56" s="697" t="n">
        <v>0</v>
      </c>
      <c r="BA56" s="697" t="n">
        <v>225</v>
      </c>
      <c r="BB56" s="697" t="n">
        <v>206</v>
      </c>
      <c r="BC56" s="697" t="n">
        <v>186</v>
      </c>
      <c r="BD56" s="697" t="n">
        <v>178</v>
      </c>
      <c r="BE56" s="697" t="n">
        <v>150</v>
      </c>
      <c r="BF56" s="697" t="n">
        <v>80</v>
      </c>
      <c r="BG56" s="697" t="n">
        <v>70</v>
      </c>
      <c r="BH56" s="697" t="n">
        <v>70</v>
      </c>
      <c r="BI56" s="697" t="n">
        <v>184</v>
      </c>
      <c r="BJ56" s="697" t="n">
        <v>184</v>
      </c>
      <c r="BK56" s="697" t="n">
        <v>184</v>
      </c>
      <c r="BL56" s="697" t="n">
        <v>179</v>
      </c>
      <c r="BM56" s="697" t="n">
        <v>170</v>
      </c>
      <c r="BN56" s="697" t="n">
        <v>170</v>
      </c>
      <c r="BO56" s="697" t="n">
        <v>160</v>
      </c>
      <c r="BP56" s="697" t="n">
        <v>50</v>
      </c>
      <c r="BQ56" s="697" t="n">
        <v>20</v>
      </c>
      <c r="BR56" s="697" t="n">
        <v>121</v>
      </c>
      <c r="BS56" s="697" t="n">
        <v>121</v>
      </c>
      <c r="BT56" s="697" t="n">
        <v>0</v>
      </c>
      <c r="BU56" s="697" t="n">
        <v>0</v>
      </c>
      <c r="BV56" s="697" t="n">
        <v>0</v>
      </c>
      <c r="BW56" s="697" t="n">
        <v>0</v>
      </c>
      <c r="BX56" s="697" t="n">
        <v>0</v>
      </c>
      <c r="BY56" s="697" t="n">
        <v>0</v>
      </c>
      <c r="CF56" s="573" t="n"/>
      <c r="CG56" s="573" t="n"/>
      <c r="CH56" s="573" t="n"/>
      <c r="CI56" s="573" t="n"/>
      <c r="CK56" s="573" t="n"/>
      <c r="CL56" s="573" t="n"/>
      <c r="CM56" s="573" t="n"/>
    </row>
    <row r="57">
      <c r="A57" s="781" t="inlineStr">
        <is>
          <t>HADYA</t>
        </is>
      </c>
      <c r="B57" s="731" t="n"/>
      <c r="C57" s="731" t="n"/>
      <c r="D57" s="775" t="n"/>
      <c r="AZ57" s="697" t="n">
        <v>0</v>
      </c>
      <c r="BA57" s="697" t="n">
        <v>93</v>
      </c>
      <c r="BB57" s="697" t="n">
        <v>59</v>
      </c>
      <c r="BC57" s="697" t="n">
        <v>39</v>
      </c>
      <c r="BD57" s="697" t="n">
        <v>25</v>
      </c>
      <c r="BE57" s="697" t="n">
        <v>20</v>
      </c>
      <c r="BF57" s="697" t="n">
        <v>0</v>
      </c>
      <c r="BG57" s="697" t="n">
        <v>0</v>
      </c>
      <c r="BH57" s="697" t="n">
        <v>0</v>
      </c>
      <c r="BI57" s="697" t="n">
        <v>15</v>
      </c>
      <c r="BJ57" s="697" t="n">
        <v>15</v>
      </c>
      <c r="BK57" s="697" t="n">
        <v>15</v>
      </c>
      <c r="BL57" s="697" t="n">
        <v>15</v>
      </c>
      <c r="BM57" s="697" t="n">
        <v>10</v>
      </c>
      <c r="BN57" s="697" t="n">
        <v>10</v>
      </c>
      <c r="BO57" s="697" t="n">
        <v>0</v>
      </c>
      <c r="BP57" s="697" t="n">
        <v>0</v>
      </c>
      <c r="BQ57" s="697" t="n">
        <v>0</v>
      </c>
      <c r="BR57" s="697" t="n">
        <v>7</v>
      </c>
      <c r="BS57" s="697" t="n">
        <v>7</v>
      </c>
      <c r="BT57" s="697" t="n">
        <v>0</v>
      </c>
      <c r="BU57" s="697" t="n">
        <v>0</v>
      </c>
      <c r="BV57" s="697" t="n">
        <v>0</v>
      </c>
      <c r="BW57" s="697" t="n">
        <v>0</v>
      </c>
      <c r="BX57" s="697" t="n">
        <v>0</v>
      </c>
      <c r="BY57" s="697" t="n">
        <v>0</v>
      </c>
    </row>
    <row r="58">
      <c r="A58" s="781" t="inlineStr">
        <is>
          <t>CLASH</t>
        </is>
      </c>
      <c r="B58" s="731" t="n"/>
      <c r="C58" s="731" t="n"/>
      <c r="D58" s="775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>
        <v>0</v>
      </c>
      <c r="BL58" s="697" t="n">
        <v>25</v>
      </c>
      <c r="BM58" s="697" t="n">
        <v>25</v>
      </c>
      <c r="BN58" s="697" t="n">
        <v>25</v>
      </c>
      <c r="BO58" s="697" t="n">
        <v>15</v>
      </c>
      <c r="BP58" s="697" t="n">
        <v>10</v>
      </c>
      <c r="BQ58" s="697" t="n">
        <v>10</v>
      </c>
      <c r="BR58" s="697" t="n">
        <v>10</v>
      </c>
      <c r="BS58" s="697" t="n">
        <v>10</v>
      </c>
      <c r="BT58" s="697" t="n">
        <v>0</v>
      </c>
      <c r="BU58" s="697" t="n">
        <v>0</v>
      </c>
      <c r="BV58" s="697" t="n">
        <v>0</v>
      </c>
      <c r="BW58" s="697" t="n">
        <v>0</v>
      </c>
      <c r="BX58" s="697" t="n">
        <v>0</v>
      </c>
      <c r="BY58" s="697" t="n">
        <v>0</v>
      </c>
    </row>
    <row r="59">
      <c r="A59" s="781" t="inlineStr">
        <is>
          <t>cereja de fases</t>
        </is>
      </c>
      <c r="B59" s="731" t="n"/>
      <c r="C59" s="731" t="n"/>
      <c r="D59" s="775" t="n"/>
      <c r="BM59" s="697" t="n">
        <v>0</v>
      </c>
      <c r="BN59" s="697" t="n">
        <v>0</v>
      </c>
      <c r="BO59" s="697" t="n">
        <v>0</v>
      </c>
      <c r="BP59" s="697" t="n">
        <v>0</v>
      </c>
      <c r="BQ59" s="697" t="n">
        <v>0</v>
      </c>
      <c r="BR59" s="697" t="n">
        <v>68</v>
      </c>
      <c r="BS59" s="697" t="n">
        <v>68</v>
      </c>
      <c r="BT59" s="697" t="n">
        <v>0</v>
      </c>
      <c r="BU59" s="697" t="n">
        <v>32</v>
      </c>
      <c r="BV59" s="697" t="n">
        <v>32</v>
      </c>
      <c r="BW59" s="697" t="n">
        <v>32</v>
      </c>
      <c r="BX59" s="697" t="n">
        <v>32</v>
      </c>
      <c r="BY59" s="697" t="n">
        <v>32</v>
      </c>
    </row>
    <row r="60">
      <c r="A60" s="781" t="inlineStr">
        <is>
          <t>botik</t>
        </is>
      </c>
      <c r="B60" s="731" t="n"/>
      <c r="C60" s="731" t="n"/>
      <c r="D60" s="775" t="n"/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115</v>
      </c>
      <c r="BS60" s="697" t="n">
        <v>115</v>
      </c>
      <c r="BT60" s="697" t="n">
        <v>110</v>
      </c>
      <c r="BU60" s="697" t="n">
        <v>110</v>
      </c>
      <c r="BV60" s="697" t="n">
        <v>110</v>
      </c>
      <c r="BW60" s="697" t="n">
        <v>110</v>
      </c>
      <c r="BX60" s="697" t="n">
        <v>100</v>
      </c>
      <c r="BY60" s="697" t="n">
        <v>100</v>
      </c>
    </row>
    <row r="61">
      <c r="A61" s="781" t="inlineStr">
        <is>
          <t>RESVERATROL+SILICIO</t>
        </is>
      </c>
      <c r="B61" s="731" t="n"/>
      <c r="C61" s="731" t="n"/>
      <c r="D61" s="775" t="n"/>
      <c r="BM61" s="697" t="n"/>
      <c r="BN61" s="697" t="n"/>
      <c r="BO61" s="697" t="n"/>
      <c r="BP61" s="697" t="n"/>
      <c r="BQ61" s="697" t="n">
        <v>0</v>
      </c>
      <c r="BR61" s="697" t="n">
        <v>0</v>
      </c>
      <c r="BS61" s="697" t="n">
        <v>0</v>
      </c>
      <c r="BT61" s="697" t="n">
        <v>0</v>
      </c>
      <c r="BU61" s="697" t="n">
        <v>10</v>
      </c>
      <c r="BV61" s="697" t="n">
        <v>10</v>
      </c>
      <c r="BW61" s="697" t="n">
        <v>10</v>
      </c>
      <c r="BX61" s="697" t="n">
        <v>0</v>
      </c>
      <c r="BY61" s="697" t="n">
        <v>0</v>
      </c>
    </row>
    <row r="62">
      <c r="A62" s="781" t="n"/>
      <c r="B62" s="731" t="n"/>
      <c r="C62" s="731" t="n"/>
      <c r="D62" s="775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</row>
  </sheetData>
  <mergeCells count="18">
    <mergeCell ref="A5:A6"/>
    <mergeCell ref="A56:D56"/>
    <mergeCell ref="B3:D3"/>
    <mergeCell ref="A61:D61"/>
    <mergeCell ref="A58:D58"/>
    <mergeCell ref="F5:BZ5"/>
    <mergeCell ref="A62:D62"/>
    <mergeCell ref="A54:D54"/>
    <mergeCell ref="A55:D55"/>
    <mergeCell ref="A59:D59"/>
    <mergeCell ref="C5:C6"/>
    <mergeCell ref="A57:D57"/>
    <mergeCell ref="A1:CA1"/>
    <mergeCell ref="FB7:FJ7"/>
    <mergeCell ref="A60:D60"/>
    <mergeCell ref="B5:B6"/>
    <mergeCell ref="B2:D2"/>
    <mergeCell ref="D5:D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Planilha5">
    <tabColor theme="9"/>
    <outlinePr summaryBelow="1" summaryRight="1"/>
    <pageSetUpPr/>
  </sheetPr>
  <dimension ref="A1:LB150"/>
  <sheetViews>
    <sheetView showGridLines="0" zoomScale="80" zoomScaleNormal="80" workbookViewId="0">
      <selection activeCell="CE6" sqref="CE6"/>
    </sheetView>
  </sheetViews>
  <sheetFormatPr baseColWidth="8" defaultColWidth="9.140625" defaultRowHeight="18.75"/>
  <cols>
    <col width="30.28515625" customWidth="1" min="1" max="1"/>
    <col width="9.7109375" customWidth="1" min="2" max="2"/>
    <col width="14.42578125" customWidth="1" min="3" max="3"/>
    <col width="1.2851562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9.7109375" customWidth="1" min="73" max="73"/>
    <col hidden="1" width="8.28515625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width="13" customWidth="1" min="79" max="79"/>
    <col width="13" customWidth="1" min="80" max="80"/>
    <col width="9.5703125" customWidth="1" min="81" max="81"/>
    <col width="1.28515625" customWidth="1" min="82" max="82"/>
    <col width="15.42578125" customWidth="1" min="83" max="83"/>
    <col width="0.85546875" customWidth="1" min="84" max="84"/>
    <col width="16.42578125" customWidth="1" min="85" max="85"/>
    <col width="1.140625" customWidth="1" min="86" max="86"/>
    <col width="9.28515625" customWidth="1" min="87" max="87"/>
    <col width="13" customWidth="1" min="88" max="88"/>
    <col hidden="1" width="13" customWidth="1" min="89" max="89"/>
    <col hidden="1" width="8.7109375" customWidth="1" min="90" max="90"/>
    <col hidden="1" width="9.28515625" customWidth="1" min="91" max="91"/>
    <col hidden="1" width="9.28515625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2.85546875" customWidth="1" min="101" max="101"/>
    <col hidden="1" width="9.28515625" customWidth="1" min="102" max="102"/>
    <col hidden="1" width="8.7109375" customWidth="1" min="103" max="103"/>
    <col hidden="1" width="12.85546875" customWidth="1" min="104" max="104"/>
    <col hidden="1" width="13" customWidth="1" min="105" max="105"/>
    <col hidden="1" width="9.28515625" customWidth="1" min="106" max="106"/>
    <col hidden="1" width="13" customWidth="1" min="107" max="107"/>
    <col hidden="1" width="12.7109375" customWidth="1" min="108" max="108"/>
    <col hidden="1" width="9.28515625" customWidth="1" min="109" max="109"/>
    <col hidden="1" width="14.42578125" customWidth="1" min="110" max="110"/>
    <col hidden="1" width="9.28515625" customWidth="1" min="111" max="111"/>
    <col hidden="1" width="14.42578125" customWidth="1" min="112" max="112"/>
    <col hidden="1" width="9.28515625" customWidth="1" min="113" max="113"/>
    <col hidden="1" width="12.85546875" customWidth="1" min="114" max="114"/>
    <col hidden="1" width="8.140625" customWidth="1" min="115" max="115"/>
    <col hidden="1" width="9.28515625" customWidth="1" min="116" max="116"/>
    <col hidden="1" width="13" customWidth="1" min="117" max="117"/>
    <col hidden="1" width="9.28515625" customWidth="1" min="118" max="118"/>
    <col hidden="1" width="13" customWidth="1" min="119" max="119"/>
    <col hidden="1" width="12.42578125" customWidth="1" min="120" max="120"/>
    <col hidden="1" width="14.7109375" customWidth="1" min="121" max="121"/>
    <col hidden="1" width="9.28515625" customWidth="1" min="122" max="122"/>
    <col hidden="1" width="17.5703125" customWidth="1" min="123" max="123"/>
    <col hidden="1" width="11.5703125" customWidth="1" min="124" max="124"/>
    <col hidden="1" width="8.7109375" customWidth="1" min="125" max="125"/>
    <col hidden="1" width="9.28515625" customWidth="1" min="126" max="126"/>
    <col hidden="1" width="13" customWidth="1" min="127" max="127"/>
    <col hidden="1" width="13" customWidth="1" min="128" max="128"/>
    <col hidden="1" width="14.7109375" customWidth="1" min="129" max="129"/>
    <col hidden="1" width="14.28515625" customWidth="1" min="130" max="130"/>
    <col hidden="1" width="13" customWidth="1" min="131" max="131"/>
    <col hidden="1" width="13.5703125" customWidth="1" min="132" max="132"/>
    <col hidden="1" width="9.28515625" customWidth="1" min="133" max="133"/>
    <col hidden="1" width="9.7109375" customWidth="1" min="134" max="134"/>
    <col hidden="1" width="9.28515625" customWidth="1" min="135" max="135"/>
    <col hidden="1" width="14.42578125" customWidth="1" min="136" max="136"/>
    <col hidden="1" width="9.28515625" customWidth="1" min="137" max="137"/>
    <col hidden="1" width="13" customWidth="1" min="138" max="138"/>
    <col hidden="1" width="12" customWidth="1" min="139" max="139"/>
    <col hidden="1" width="13.42578125" customWidth="1" min="140" max="140"/>
    <col hidden="1" width="9.28515625" customWidth="1" min="141" max="141"/>
    <col hidden="1" width="13" customWidth="1" min="142" max="142"/>
    <col hidden="1" width="13" customWidth="1" min="143" max="143"/>
    <col hidden="1" width="13" customWidth="1" min="144" max="144"/>
    <col hidden="1" width="26.140625" customWidth="1" min="145" max="145"/>
    <col hidden="1" width="21" customWidth="1" min="146" max="146"/>
    <col hidden="1" width="9.28515625" customWidth="1" min="147" max="147"/>
    <col hidden="1" width="13" customWidth="1" min="148" max="148"/>
    <col hidden="1" width="13" customWidth="1" min="149" max="149"/>
    <col width="3.28515625" customWidth="1" min="150" max="150"/>
    <col width="21.85546875" customWidth="1" min="151" max="151"/>
    <col width="9.140625" customWidth="1" min="152" max="152"/>
    <col hidden="1" width="13" customWidth="1" min="153" max="153"/>
    <col hidden="1" width="13" customWidth="1" min="154" max="154"/>
    <col hidden="1" width="13" customWidth="1" min="155" max="155"/>
    <col hidden="1" width="13" customWidth="1" min="156" max="156"/>
    <col hidden="1" width="13" customWidth="1" min="157" max="157"/>
    <col hidden="1" width="9.140625" customWidth="1" min="158" max="158"/>
    <col hidden="1" width="13" customWidth="1" min="159" max="159"/>
    <col width="13" customWidth="1" min="160" max="160"/>
    <col width="13" customWidth="1" min="161" max="161"/>
  </cols>
  <sheetData>
    <row r="1" ht="23.25" customHeight="1">
      <c r="A1" s="509" t="inlineStr">
        <is>
          <t>Controle de Contagem Semanal - Antilhas</t>
        </is>
      </c>
      <c r="CC1" s="509" t="n"/>
      <c r="CD1" s="132" t="n"/>
      <c r="CE1" s="132" t="n"/>
      <c r="CF1" s="149" t="n"/>
      <c r="CG1" s="149" t="n"/>
      <c r="CH1" s="132" t="n"/>
      <c r="CI1" s="132" t="n"/>
      <c r="CJ1" s="132" t="n"/>
      <c r="CK1" s="132" t="n"/>
      <c r="CL1" s="149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49" t="n"/>
      <c r="CZ1" s="132" t="n"/>
      <c r="DA1" s="132" t="n"/>
      <c r="DB1" s="132" t="n"/>
      <c r="DC1" s="132" t="n"/>
      <c r="DD1" s="132" t="n"/>
      <c r="DE1" s="132" t="n"/>
      <c r="DF1" s="149" t="n"/>
      <c r="DG1" s="132" t="n"/>
      <c r="DH1" s="149" t="n"/>
      <c r="DI1" s="132" t="n"/>
      <c r="DJ1" s="132" t="n"/>
      <c r="DK1" s="132" t="n"/>
      <c r="DL1" s="132" t="n"/>
      <c r="DM1" s="132" t="n"/>
      <c r="DN1" s="132" t="n"/>
      <c r="DO1" s="132" t="n"/>
      <c r="DP1" s="132" t="n"/>
      <c r="DQ1" s="488" t="n"/>
      <c r="DR1" s="132" t="n"/>
      <c r="DS1" s="149" t="n"/>
      <c r="DT1" s="149" t="n"/>
      <c r="DU1" s="149" t="n"/>
      <c r="DV1" s="132" t="n"/>
      <c r="DW1" s="132" t="n"/>
      <c r="DX1" s="132" t="n"/>
      <c r="DY1" s="488" t="n"/>
      <c r="DZ1" s="132" t="n"/>
      <c r="EA1" s="132" t="n"/>
      <c r="EB1" s="149" t="n"/>
      <c r="EC1" s="149" t="n"/>
      <c r="ED1" s="149" t="n"/>
      <c r="EE1" s="149" t="n"/>
      <c r="EF1" s="488" t="n"/>
      <c r="EG1" s="149" t="n"/>
      <c r="EH1" s="149" t="n"/>
      <c r="EI1" s="488" t="n"/>
      <c r="EJ1" s="149" t="n"/>
      <c r="EK1" s="149" t="n"/>
      <c r="EL1" s="149" t="n"/>
      <c r="EM1" s="149" t="n"/>
      <c r="EN1" s="149" t="n"/>
      <c r="EO1" s="149" t="n"/>
      <c r="EP1" s="132" t="n"/>
      <c r="EQ1" s="132" t="n"/>
      <c r="ER1" s="132" t="n"/>
      <c r="ES1" s="132" t="n"/>
    </row>
    <row r="2">
      <c r="A2" s="67" t="inlineStr">
        <is>
          <t>LOJA:</t>
        </is>
      </c>
      <c r="B2" s="722" t="inlineStr">
        <is>
          <t>QUADRA 2</t>
        </is>
      </c>
      <c r="C2" s="723" t="n"/>
      <c r="D2" s="724" t="n"/>
      <c r="CD2" s="5" t="n"/>
      <c r="CE2" s="5" t="n"/>
      <c r="CG2" s="5" t="n"/>
      <c r="DF2" s="5" t="n"/>
      <c r="DH2" s="5" t="n"/>
      <c r="EB2" s="5" t="n"/>
      <c r="ED2" s="5" t="n"/>
    </row>
    <row r="3">
      <c r="A3" s="67" t="inlineStr">
        <is>
          <t>Responsável:</t>
        </is>
      </c>
      <c r="B3" s="725" t="inlineStr">
        <is>
          <t>KAYLLANNE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V3" s="726" t="n"/>
      <c r="BW3" s="726" t="n"/>
      <c r="BX3" s="726" t="n"/>
      <c r="BY3" s="726" t="n"/>
      <c r="BZ3" s="726" t="n"/>
      <c r="CA3" s="727" t="n"/>
      <c r="CB3" s="727" t="n"/>
      <c r="CC3" s="726" t="n"/>
      <c r="CD3" s="726" t="n"/>
      <c r="CE3" s="5" t="n"/>
      <c r="CF3" s="726" t="n"/>
      <c r="DF3" s="726" t="n"/>
      <c r="DH3" s="726" t="n"/>
      <c r="EB3" s="726" t="n"/>
      <c r="ED3" s="726" t="n"/>
    </row>
    <row r="4">
      <c r="CD4" s="133" t="n"/>
      <c r="CG4" s="5" t="n"/>
      <c r="CL4" s="249" t="n"/>
      <c r="CY4" s="249" t="n"/>
      <c r="DF4" s="5" t="n"/>
      <c r="DH4" s="5" t="n"/>
      <c r="DQ4" s="324" t="n"/>
      <c r="DS4" s="249" t="n"/>
      <c r="DT4" s="249" t="n"/>
      <c r="DU4" s="249" t="n"/>
      <c r="DY4" s="324" t="n"/>
      <c r="EB4" s="5" t="n"/>
      <c r="ED4" s="5" t="n"/>
      <c r="EF4" s="324" t="n"/>
      <c r="EI4" s="324" t="n"/>
      <c r="EO4" s="249" t="n"/>
    </row>
    <row r="5" ht="18.75" customHeight="1">
      <c r="A5" s="788" t="inlineStr">
        <is>
          <t>Descrição</t>
        </is>
      </c>
      <c r="B5" s="729" t="inlineStr">
        <is>
          <t>Quant. Por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D5" s="60" t="n"/>
      <c r="CE5" s="44" t="inlineStr">
        <is>
          <t>Pendências</t>
        </is>
      </c>
      <c r="CG5" s="12" t="inlineStr">
        <is>
          <t>Novo Pedido</t>
        </is>
      </c>
      <c r="CH5" s="733" t="n">
        <v>46161.480894714</v>
      </c>
      <c r="CI5" s="734" t="n">
        <v>46149</v>
      </c>
      <c r="CJ5" s="734" t="n">
        <v>46114</v>
      </c>
      <c r="CK5" s="734" t="n">
        <v>46107</v>
      </c>
      <c r="CL5" s="735" t="n">
        <v>46065</v>
      </c>
      <c r="CM5" s="734" t="n">
        <v>46092</v>
      </c>
      <c r="CN5" s="734" t="n">
        <v>46071</v>
      </c>
      <c r="CO5" s="734" t="n">
        <v>46043</v>
      </c>
      <c r="CP5" s="734" t="n">
        <v>46035</v>
      </c>
      <c r="CQ5" s="734" t="n">
        <v>46029</v>
      </c>
      <c r="CR5" s="734" t="n">
        <v>46024</v>
      </c>
      <c r="CS5" s="734" t="n">
        <v>46017</v>
      </c>
      <c r="CT5" s="734" t="n">
        <v>46001</v>
      </c>
      <c r="CU5" s="734" t="n">
        <v>45986</v>
      </c>
      <c r="CV5" s="734" t="n">
        <v>45973</v>
      </c>
      <c r="CW5" s="736" t="inlineStr">
        <is>
          <t>TRANSF.</t>
        </is>
      </c>
      <c r="CX5" s="734" t="n">
        <v>45951</v>
      </c>
      <c r="CY5" s="737" t="n">
        <v>45903</v>
      </c>
      <c r="CZ5" s="736" t="inlineStr">
        <is>
          <t>TRANSF.</t>
        </is>
      </c>
      <c r="DA5" s="736" t="inlineStr">
        <is>
          <t>TRANSF.</t>
        </is>
      </c>
      <c r="DB5" s="734" t="n">
        <v>45937</v>
      </c>
      <c r="DC5" s="734" t="n">
        <v>45931</v>
      </c>
      <c r="DD5" s="736" t="inlineStr">
        <is>
          <t>TRANSF.</t>
        </is>
      </c>
      <c r="DE5" s="734" t="n">
        <v>45923</v>
      </c>
      <c r="DF5" s="738" t="inlineStr">
        <is>
          <t>TRANSF.</t>
        </is>
      </c>
      <c r="DG5" s="734" t="n">
        <v>45915</v>
      </c>
      <c r="DH5" s="738" t="inlineStr">
        <is>
          <t>TRANSF.</t>
        </is>
      </c>
      <c r="DI5" s="734" t="n">
        <v>45915</v>
      </c>
      <c r="DJ5" s="736" t="inlineStr">
        <is>
          <t>TRANSF.</t>
        </is>
      </c>
      <c r="DK5" s="734" t="n">
        <v>45895</v>
      </c>
      <c r="DL5" s="734" t="n">
        <v>45881</v>
      </c>
      <c r="DM5" s="739" t="inlineStr">
        <is>
          <t>TRANSF.</t>
        </is>
      </c>
      <c r="DN5" s="734" t="n">
        <v>45874</v>
      </c>
      <c r="DO5" s="734" t="n">
        <v>45867</v>
      </c>
      <c r="DP5" s="739" t="inlineStr">
        <is>
          <t xml:space="preserve">TRANSF. </t>
        </is>
      </c>
      <c r="DQ5" s="740" t="inlineStr">
        <is>
          <t>TRANSF.</t>
        </is>
      </c>
      <c r="DR5" s="734" t="n">
        <v>45860</v>
      </c>
      <c r="DS5" s="739" t="inlineStr">
        <is>
          <t>AUTOMÁTICO</t>
        </is>
      </c>
      <c r="DT5" s="739" t="inlineStr">
        <is>
          <t>TRANSF.</t>
        </is>
      </c>
      <c r="DU5" s="739" t="n">
        <v>45791</v>
      </c>
      <c r="DV5" s="734" t="n">
        <v>45839</v>
      </c>
      <c r="DW5" s="734" t="n">
        <v>45825</v>
      </c>
      <c r="DX5" s="734" t="n">
        <v>45813</v>
      </c>
      <c r="DY5" s="740" t="inlineStr">
        <is>
          <t>TRANSF.</t>
        </is>
      </c>
      <c r="DZ5" s="736" t="inlineStr">
        <is>
          <t>TRANSF.</t>
        </is>
      </c>
      <c r="EA5" s="736" t="inlineStr">
        <is>
          <t>TRANSF.</t>
        </is>
      </c>
      <c r="EB5" s="742" t="inlineStr">
        <is>
          <t>TRANSF.</t>
        </is>
      </c>
      <c r="EC5" s="734" t="n">
        <v>45790</v>
      </c>
      <c r="ED5" s="742" t="n">
        <v>45735</v>
      </c>
      <c r="EE5" s="734" t="n">
        <v>45770</v>
      </c>
      <c r="EF5" s="740" t="inlineStr">
        <is>
          <t>TRANSF.</t>
        </is>
      </c>
      <c r="EG5" s="734" t="n">
        <v>45749</v>
      </c>
      <c r="EH5" s="734" t="n">
        <v>45734</v>
      </c>
      <c r="EI5" s="740" t="n">
        <v>45700</v>
      </c>
      <c r="EJ5" s="736" t="inlineStr">
        <is>
          <t>TRANSF.</t>
        </is>
      </c>
      <c r="EK5" s="734" t="n">
        <v>45728</v>
      </c>
      <c r="EL5" s="734" t="n">
        <v>45722</v>
      </c>
      <c r="EM5" s="734" t="n">
        <v>45714</v>
      </c>
      <c r="EN5" s="734" t="n">
        <v>45699</v>
      </c>
      <c r="EO5" s="744" t="inlineStr">
        <is>
          <t>TRANSF. NATAL/24</t>
        </is>
      </c>
      <c r="EP5" s="222" t="inlineStr">
        <is>
          <t>TRANSF. PAIS/24</t>
        </is>
      </c>
      <c r="EQ5" s="734" t="n">
        <v>45664</v>
      </c>
      <c r="ER5" s="734" t="n">
        <v>45660</v>
      </c>
      <c r="ES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45699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46161.48023899306</v>
      </c>
      <c r="CB6" s="747" t="n">
        <v>46161.48089707689</v>
      </c>
      <c r="CC6" s="748" t="inlineStr">
        <is>
          <t>USOU</t>
        </is>
      </c>
      <c r="CD6" s="749" t="n"/>
      <c r="CE6" s="750" t="n">
        <v>46149</v>
      </c>
      <c r="CF6" s="45" t="n"/>
      <c r="CG6" s="752" t="n"/>
      <c r="CH6" s="734" t="n"/>
      <c r="CI6" s="734" t="n"/>
      <c r="CJ6" s="734" t="n">
        <v>46122</v>
      </c>
      <c r="CK6" s="734" t="n">
        <v>46126</v>
      </c>
      <c r="CL6" s="735" t="n">
        <v>46111</v>
      </c>
      <c r="CM6" s="734" t="n">
        <v>46099</v>
      </c>
      <c r="CN6" s="734" t="n">
        <v>46076</v>
      </c>
      <c r="CO6" s="734" t="n">
        <v>46048</v>
      </c>
      <c r="CP6" s="734" t="n">
        <v>46041</v>
      </c>
      <c r="CQ6" s="734" t="n">
        <v>46036</v>
      </c>
      <c r="CR6" s="734" t="n">
        <v>46035</v>
      </c>
      <c r="CS6" s="734" t="n">
        <v>46029</v>
      </c>
      <c r="CT6" s="734" t="n">
        <v>46009</v>
      </c>
      <c r="CU6" s="734" t="n">
        <v>45995</v>
      </c>
      <c r="CV6" s="734" t="n">
        <v>45980</v>
      </c>
      <c r="CW6" s="736" t="n">
        <v>45962</v>
      </c>
      <c r="CX6" s="734" t="n">
        <v>45958</v>
      </c>
      <c r="CY6" s="753" t="n">
        <v>45958</v>
      </c>
      <c r="CZ6" s="736" t="n">
        <v>45955</v>
      </c>
      <c r="DA6" s="736" t="n">
        <v>45945</v>
      </c>
      <c r="DB6" s="734" t="n">
        <v>45944</v>
      </c>
      <c r="DC6" s="734" t="n">
        <v>45938</v>
      </c>
      <c r="DD6" s="736" t="n">
        <v>45937</v>
      </c>
      <c r="DE6" s="734" t="n">
        <v>45929</v>
      </c>
      <c r="DF6" s="754" t="n">
        <v>45925</v>
      </c>
      <c r="DG6" s="734" t="n">
        <v>45924</v>
      </c>
      <c r="DH6" s="754" t="n">
        <v>45923</v>
      </c>
      <c r="DI6" s="734" t="n">
        <v>45919</v>
      </c>
      <c r="DJ6" s="736" t="n">
        <v>45902</v>
      </c>
      <c r="DK6" s="734" t="n">
        <v>45898</v>
      </c>
      <c r="DL6" s="734" t="n">
        <v>45888</v>
      </c>
      <c r="DM6" s="739" t="n">
        <v>45884</v>
      </c>
      <c r="DN6" s="734" t="n">
        <v>45881</v>
      </c>
      <c r="DO6" s="734" t="n">
        <v>45874</v>
      </c>
      <c r="DP6" s="739" t="n">
        <v>45863</v>
      </c>
      <c r="DQ6" s="740" t="n">
        <v>45863</v>
      </c>
      <c r="DR6" s="734" t="n">
        <v>45862</v>
      </c>
      <c r="DS6" s="739" t="n">
        <v>45852</v>
      </c>
      <c r="DT6" s="739" t="n">
        <v>45847</v>
      </c>
      <c r="DU6" s="739" t="n">
        <v>45841</v>
      </c>
      <c r="DV6" s="734" t="n">
        <v>45841</v>
      </c>
      <c r="DW6" s="734" t="n">
        <v>45828</v>
      </c>
      <c r="DX6" s="734" t="n">
        <v>45819</v>
      </c>
      <c r="DY6" s="740" t="n">
        <v>45810</v>
      </c>
      <c r="DZ6" s="736" t="n">
        <v>45806</v>
      </c>
      <c r="EA6" s="736" t="n">
        <v>45804</v>
      </c>
      <c r="EB6" s="755" t="n">
        <v>45799</v>
      </c>
      <c r="EC6" s="734" t="n">
        <v>45793</v>
      </c>
      <c r="ED6" s="755" t="n">
        <v>45793</v>
      </c>
      <c r="EE6" s="734" t="n">
        <v>45776</v>
      </c>
      <c r="EF6" s="740" t="n">
        <v>45759</v>
      </c>
      <c r="EG6" s="734" t="n">
        <v>45756</v>
      </c>
      <c r="EH6" s="734" t="n">
        <v>45743</v>
      </c>
      <c r="EI6" s="740" t="n">
        <v>45744</v>
      </c>
      <c r="EJ6" s="736" t="n">
        <v>45731</v>
      </c>
      <c r="EK6" s="734" t="n">
        <v>45733</v>
      </c>
      <c r="EL6" s="734" t="n">
        <v>45727</v>
      </c>
      <c r="EM6" s="734" t="n">
        <v>45721</v>
      </c>
      <c r="EN6" s="734" t="n">
        <v>45702</v>
      </c>
      <c r="EO6" s="744" t="n">
        <v>45698</v>
      </c>
      <c r="EP6" s="784" t="n">
        <v>45674</v>
      </c>
      <c r="EQ6" s="734" t="n">
        <v>45670</v>
      </c>
      <c r="ER6" s="734" t="n">
        <v>45665</v>
      </c>
      <c r="ES6" s="734" t="n">
        <v>46021</v>
      </c>
      <c r="EU6" s="5" t="n"/>
      <c r="EV6" s="5" t="n"/>
      <c r="EW6" s="5" t="n"/>
      <c r="EX6" s="5" t="n"/>
      <c r="EY6" s="5" t="n"/>
      <c r="EZ6" s="5" t="n"/>
      <c r="FA6" s="5" t="n"/>
      <c r="FB6" s="5" t="n"/>
      <c r="FC6" s="5" t="n"/>
      <c r="FD6" s="5" t="n"/>
      <c r="FE6" s="5" t="n"/>
      <c r="FF6" s="5" t="n"/>
    </row>
    <row r="7" ht="21.75" customFormat="1" customHeight="1" s="3">
      <c r="A7" s="7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9" t="n"/>
      <c r="CE7" s="13" t="n"/>
      <c r="CF7" s="5" t="n"/>
      <c r="CG7" s="13" t="n"/>
      <c r="CH7" s="13" t="n"/>
      <c r="CI7" s="13" t="n"/>
      <c r="CJ7" s="13" t="n"/>
      <c r="CK7" s="13" t="n"/>
      <c r="CL7" s="13" t="inlineStr">
        <is>
          <t>MÃES</t>
        </is>
      </c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inlineStr">
        <is>
          <t>PAIS/25</t>
        </is>
      </c>
      <c r="DN7" s="13" t="n"/>
      <c r="DO7" s="13" t="n"/>
      <c r="DP7" s="13" t="inlineStr">
        <is>
          <t>PAIS/25</t>
        </is>
      </c>
      <c r="DQ7" s="13" t="inlineStr">
        <is>
          <t>MÃES/25</t>
        </is>
      </c>
      <c r="DR7" s="13" t="n"/>
      <c r="DS7" s="13" t="n"/>
      <c r="DT7" s="13" t="inlineStr">
        <is>
          <t>PAIS/25</t>
        </is>
      </c>
      <c r="DU7" s="13" t="n"/>
      <c r="DV7" s="13" t="n"/>
      <c r="DW7" s="13" t="n"/>
      <c r="DX7" s="13" t="n"/>
      <c r="DY7" s="13" t="inlineStr">
        <is>
          <t>MÃES/25</t>
        </is>
      </c>
      <c r="DZ7" s="320" t="n"/>
      <c r="EA7" s="320" t="n"/>
      <c r="EB7" s="13" t="inlineStr">
        <is>
          <t>NAMO/25</t>
        </is>
      </c>
      <c r="EC7" s="13" t="n"/>
      <c r="ED7" s="320" t="n"/>
      <c r="EE7" s="13" t="n"/>
      <c r="EF7" s="13" t="inlineStr">
        <is>
          <t>MÃES/25</t>
        </is>
      </c>
      <c r="EG7" s="13" t="n"/>
      <c r="EH7" s="13" t="n"/>
      <c r="EI7" s="13" t="inlineStr">
        <is>
          <t>MÃES/25</t>
        </is>
      </c>
      <c r="EJ7" s="13" t="n"/>
      <c r="EK7" s="13" t="n"/>
      <c r="EL7" s="13" t="n"/>
      <c r="EM7" s="13" t="n"/>
      <c r="EN7" s="13" t="n"/>
      <c r="EO7" s="13" t="n"/>
      <c r="EP7" s="13" t="n"/>
      <c r="EQ7" s="13" t="n"/>
      <c r="ER7" s="13" t="n"/>
      <c r="ES7" s="13" t="n"/>
      <c r="ET7" s="782" t="n"/>
      <c r="EU7" s="782" t="n"/>
      <c r="EV7" s="782" t="n"/>
      <c r="EW7" s="782" t="n"/>
      <c r="EX7" s="782" t="n"/>
      <c r="EY7" s="782" t="n"/>
      <c r="EZ7" s="782" t="n"/>
      <c r="FA7" s="782" t="n"/>
      <c r="FB7" s="782" t="n"/>
      <c r="FC7" s="731" t="n"/>
      <c r="FD7" s="732" t="n"/>
      <c r="FE7" s="732" t="n"/>
      <c r="FF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250</v>
      </c>
      <c r="E8" s="5" t="n"/>
      <c r="F8" s="697" t="n">
        <v>600</v>
      </c>
      <c r="G8" s="697" t="n">
        <v>600</v>
      </c>
      <c r="H8" s="697" t="n">
        <v>540</v>
      </c>
      <c r="I8" s="697" t="n">
        <v>540</v>
      </c>
      <c r="J8" s="697" t="n">
        <v>460</v>
      </c>
      <c r="K8" s="697" t="n">
        <v>420</v>
      </c>
      <c r="L8" s="697" t="n">
        <v>420</v>
      </c>
      <c r="M8" s="697" t="n">
        <v>400</v>
      </c>
      <c r="N8" s="697" t="n">
        <v>400</v>
      </c>
      <c r="O8" s="697" t="n">
        <v>300</v>
      </c>
      <c r="P8" s="697" t="n">
        <v>200</v>
      </c>
      <c r="Q8" s="697" t="n">
        <v>160</v>
      </c>
      <c r="R8" s="697" t="n">
        <v>140</v>
      </c>
      <c r="S8" s="697" t="n">
        <v>80</v>
      </c>
      <c r="T8" s="697">
        <f>40+EE8</f>
        <v/>
      </c>
      <c r="U8" s="697" t="n">
        <v>260</v>
      </c>
      <c r="V8" s="697" t="n">
        <v>200</v>
      </c>
      <c r="W8" s="697" t="n">
        <v>160</v>
      </c>
      <c r="X8" s="697" t="n">
        <v>720</v>
      </c>
      <c r="Y8" s="697" t="n">
        <v>640</v>
      </c>
      <c r="Z8" s="697" t="n">
        <v>640</v>
      </c>
      <c r="AA8" s="697" t="n">
        <v>580</v>
      </c>
      <c r="AB8" s="697" t="n">
        <v>520</v>
      </c>
      <c r="AC8" s="697" t="n">
        <v>460</v>
      </c>
      <c r="AD8" s="697" t="n">
        <v>400</v>
      </c>
      <c r="AE8" s="697" t="n">
        <v>360</v>
      </c>
      <c r="AF8" s="697" t="n">
        <v>300</v>
      </c>
      <c r="AG8" s="697" t="n">
        <v>260</v>
      </c>
      <c r="AH8" s="697" t="n">
        <v>260</v>
      </c>
      <c r="AI8" s="697" t="n">
        <v>240</v>
      </c>
      <c r="AJ8" s="697" t="n">
        <v>140</v>
      </c>
      <c r="AK8" s="697">
        <f>120+DM8</f>
        <v/>
      </c>
      <c r="AL8" s="697" t="n">
        <v>320</v>
      </c>
      <c r="AM8" s="697" t="n">
        <v>300</v>
      </c>
      <c r="AN8" s="697" t="n">
        <v>240</v>
      </c>
      <c r="AO8" s="697" t="n">
        <v>240</v>
      </c>
      <c r="AP8" s="697" t="n">
        <v>220</v>
      </c>
      <c r="AQ8" s="697" t="n">
        <v>160</v>
      </c>
      <c r="AR8" s="697" t="n">
        <v>120</v>
      </c>
      <c r="AS8" s="697" t="n">
        <v>360</v>
      </c>
      <c r="AT8" s="697" t="n">
        <v>340</v>
      </c>
      <c r="AU8" s="697" t="n">
        <v>300</v>
      </c>
      <c r="AV8" s="697" t="n">
        <v>220</v>
      </c>
      <c r="AW8" s="697" t="n">
        <v>180</v>
      </c>
      <c r="AX8" s="697" t="n">
        <v>180</v>
      </c>
      <c r="AY8" s="697" t="n">
        <v>140</v>
      </c>
      <c r="AZ8" s="697">
        <f>100+CT8</f>
        <v/>
      </c>
      <c r="BA8" s="697" t="n">
        <v>20</v>
      </c>
      <c r="BB8" s="697">
        <f>12+CS8</f>
        <v/>
      </c>
      <c r="BC8" s="697" t="n">
        <v>880</v>
      </c>
      <c r="BD8" s="697" t="n">
        <v>820</v>
      </c>
      <c r="BE8" s="697" t="n">
        <v>740</v>
      </c>
      <c r="BF8" s="697" t="n">
        <v>620</v>
      </c>
      <c r="BG8" s="697" t="n">
        <v>620</v>
      </c>
      <c r="BH8" s="697" t="n">
        <v>600</v>
      </c>
      <c r="BI8" s="697" t="n">
        <v>560</v>
      </c>
      <c r="BJ8" s="697" t="n">
        <v>520</v>
      </c>
      <c r="BK8" s="697" t="n">
        <v>460</v>
      </c>
      <c r="BL8" s="697" t="n">
        <v>380</v>
      </c>
      <c r="BM8" s="697" t="n">
        <v>380</v>
      </c>
      <c r="BN8" s="697" t="n">
        <v>360</v>
      </c>
      <c r="BO8" s="697" t="n">
        <v>300</v>
      </c>
      <c r="BP8" s="697" t="n">
        <v>260</v>
      </c>
      <c r="BQ8" s="697">
        <f>220+CK8</f>
        <v/>
      </c>
      <c r="BR8" s="697" t="n">
        <v>500</v>
      </c>
      <c r="BS8" s="697" t="n">
        <v>440</v>
      </c>
      <c r="BT8" s="697" t="n">
        <v>400</v>
      </c>
      <c r="BU8" s="697" t="n">
        <v>360</v>
      </c>
      <c r="BV8" s="697" t="n">
        <v>300</v>
      </c>
      <c r="BW8" s="697" t="n">
        <v>260</v>
      </c>
      <c r="BX8" s="697" t="n">
        <v>200</v>
      </c>
      <c r="BY8" s="697" t="n">
        <v>160</v>
      </c>
      <c r="BZ8" s="697" t="n"/>
      <c r="CA8" s="699" t="n"/>
      <c r="CB8" s="699" t="n"/>
      <c r="CC8" s="192">
        <f>CA8+IF(NOT(ISBLANK(OFFSET(CC8,0,6))),N(OFFSET(CC8,0,6)),N(OFFSET(CC8,0,7)))-CB8</f>
        <v/>
      </c>
      <c r="CD8" s="129" t="n"/>
      <c r="CE8" s="22" t="n">
        <v>300</v>
      </c>
      <c r="CF8" s="5" t="n"/>
      <c r="CG8" s="49" t="n"/>
      <c r="CH8" s="757" t="n">
        <v>0</v>
      </c>
      <c r="CI8" s="23" t="n">
        <v>0</v>
      </c>
      <c r="CJ8" s="23" t="n"/>
      <c r="CK8" s="23" t="n"/>
      <c r="CL8" s="23" t="n"/>
      <c r="CM8" s="23" t="n">
        <v>300</v>
      </c>
      <c r="CN8" s="23" t="n"/>
      <c r="CO8" s="23" t="n"/>
      <c r="CP8" s="23" t="n"/>
      <c r="CQ8" s="23" t="n"/>
      <c r="CR8" s="23" t="n"/>
      <c r="CS8" s="23" t="n"/>
      <c r="CT8" s="23" t="n"/>
      <c r="CU8" s="23" t="n">
        <v>600</v>
      </c>
      <c r="CV8" s="23" t="n">
        <v>300</v>
      </c>
      <c r="CW8" s="23" t="n"/>
      <c r="CX8" s="23" t="n"/>
      <c r="CY8" s="219" t="n"/>
      <c r="CZ8" s="23" t="n"/>
      <c r="DA8" s="23" t="n"/>
      <c r="DB8" s="23" t="n"/>
      <c r="DC8" s="23" t="n"/>
      <c r="DD8" s="23" t="n"/>
      <c r="DE8" s="23" t="n"/>
      <c r="DF8" s="219" t="n"/>
      <c r="DG8" s="23" t="n">
        <v>300</v>
      </c>
      <c r="DH8" s="219" t="n"/>
      <c r="DI8" s="23" t="n"/>
      <c r="DJ8" s="23" t="n"/>
      <c r="DK8" s="23" t="n"/>
      <c r="DL8" s="23" t="n"/>
      <c r="DM8" s="23" t="n"/>
      <c r="DN8" s="23" t="n"/>
      <c r="DO8" s="23" t="n">
        <v>300</v>
      </c>
      <c r="DP8" s="23" t="n"/>
      <c r="DQ8" s="219" t="n"/>
      <c r="DR8" s="23" t="n"/>
      <c r="DS8" s="219" t="n"/>
      <c r="DT8" s="219" t="n"/>
      <c r="DU8" s="219" t="n"/>
      <c r="DV8" s="23" t="n"/>
      <c r="DW8" s="23" t="n"/>
      <c r="DX8" s="23" t="n"/>
      <c r="DY8" s="219" t="n"/>
      <c r="DZ8" s="23" t="n"/>
      <c r="EA8" s="23" t="n"/>
      <c r="EB8" s="219" t="n"/>
      <c r="EC8" s="23" t="n"/>
      <c r="ED8" s="219" t="n"/>
      <c r="EE8" s="23" t="n">
        <v>600</v>
      </c>
      <c r="EF8" s="219" t="n"/>
      <c r="EG8" s="23" t="n">
        <v>300</v>
      </c>
      <c r="EH8" s="23" t="n"/>
      <c r="EI8" s="219" t="n"/>
      <c r="EJ8" s="23" t="n"/>
      <c r="EK8" s="23" t="n"/>
      <c r="EL8" s="23" t="n"/>
      <c r="EM8" s="23" t="n"/>
      <c r="EN8" s="23" t="n"/>
      <c r="EO8" s="219" t="n"/>
      <c r="EP8" s="23" t="n"/>
      <c r="EQ8" s="23" t="n"/>
      <c r="ER8" s="23" t="n"/>
      <c r="ES8" s="23" t="n"/>
      <c r="EU8" s="304" t="inlineStr">
        <is>
          <t xml:space="preserve">SACOLAS </t>
        </is>
      </c>
      <c r="EV8" s="235" t="inlineStr">
        <is>
          <t>PCT</t>
        </is>
      </c>
      <c r="EW8" s="746" t="n">
        <v>46118</v>
      </c>
      <c r="EX8" s="746" t="n">
        <v>46125</v>
      </c>
      <c r="EY8" s="746" t="n">
        <v>46132</v>
      </c>
      <c r="EZ8" s="746" t="n">
        <v>46139</v>
      </c>
      <c r="FA8" s="746" t="n">
        <v>46146</v>
      </c>
      <c r="FB8" s="746" t="n">
        <v>46154</v>
      </c>
      <c r="FC8" s="746" t="n">
        <v>46160</v>
      </c>
      <c r="FD8" s="747" t="n">
        <v>46161.48023657408</v>
      </c>
      <c r="FE8" s="747" t="n">
        <v>46161.48089563264</v>
      </c>
      <c r="FF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500</v>
      </c>
      <c r="E9" s="5" t="n"/>
      <c r="F9" s="697">
        <f>380+EQ9</f>
        <v/>
      </c>
      <c r="G9" s="697">
        <f>660+EP9</f>
        <v/>
      </c>
      <c r="H9" s="697">
        <f>1380+EO9</f>
        <v/>
      </c>
      <c r="I9" s="697" t="n">
        <v>1480</v>
      </c>
      <c r="J9" s="697" t="n">
        <v>1340</v>
      </c>
      <c r="K9" s="697" t="n">
        <v>1200</v>
      </c>
      <c r="L9" s="697" t="n">
        <v>1080</v>
      </c>
      <c r="M9" s="697" t="n">
        <v>980</v>
      </c>
      <c r="N9" s="697" t="n">
        <v>840</v>
      </c>
      <c r="O9" s="697">
        <f>740+EK9</f>
        <v/>
      </c>
      <c r="P9" s="697">
        <f>740+EJ9</f>
        <v/>
      </c>
      <c r="Q9" s="697" t="n">
        <v>780</v>
      </c>
      <c r="R9" s="697" t="n">
        <v>660</v>
      </c>
      <c r="S9" s="697" t="n">
        <v>400</v>
      </c>
      <c r="T9" s="697">
        <f>460+EE9</f>
        <v/>
      </c>
      <c r="U9" s="697" t="n">
        <v>860</v>
      </c>
      <c r="V9" s="697" t="n">
        <v>860</v>
      </c>
      <c r="W9" s="697" t="n">
        <v>860</v>
      </c>
      <c r="X9" s="697" t="n">
        <v>860</v>
      </c>
      <c r="Y9" s="697" t="n">
        <v>760</v>
      </c>
      <c r="Z9" s="697" t="n">
        <v>740</v>
      </c>
      <c r="AA9" s="697">
        <f>620+200-200</f>
        <v/>
      </c>
      <c r="AB9" s="697" t="n">
        <v>520</v>
      </c>
      <c r="AC9" s="697">
        <f>400+DV9</f>
        <v/>
      </c>
      <c r="AD9" s="697" t="n">
        <v>420</v>
      </c>
      <c r="AE9" s="697" t="n">
        <v>520</v>
      </c>
      <c r="AF9" s="697" t="n">
        <v>480</v>
      </c>
      <c r="AG9" s="697" t="n">
        <v>520</v>
      </c>
      <c r="AH9" s="697" t="n">
        <v>440</v>
      </c>
      <c r="AI9" s="697" t="n">
        <v>340</v>
      </c>
      <c r="AJ9" s="697" t="n">
        <v>640</v>
      </c>
      <c r="AK9" s="697" t="n">
        <v>540</v>
      </c>
      <c r="AL9" s="697">
        <f>300+DL9</f>
        <v/>
      </c>
      <c r="AM9" s="697" t="n">
        <v>420</v>
      </c>
      <c r="AN9" s="697" t="n">
        <v>360</v>
      </c>
      <c r="AO9" s="697" t="n">
        <v>480</v>
      </c>
      <c r="AP9" s="697" t="n">
        <v>320</v>
      </c>
      <c r="AQ9" s="697" t="n">
        <v>140</v>
      </c>
      <c r="AR9" s="697" t="n">
        <v>680</v>
      </c>
      <c r="AS9" s="697" t="n">
        <v>480</v>
      </c>
      <c r="AT9" s="697">
        <f>400+DA9</f>
        <v/>
      </c>
      <c r="AU9" s="697" t="n">
        <v>660</v>
      </c>
      <c r="AV9" s="697" t="n">
        <v>540</v>
      </c>
      <c r="AW9" s="697">
        <f>400+CV9</f>
        <v/>
      </c>
      <c r="AX9" s="697" t="n">
        <v>480</v>
      </c>
      <c r="AY9" s="697" t="n">
        <v>680</v>
      </c>
      <c r="AZ9" s="697" t="n">
        <v>680</v>
      </c>
      <c r="BA9" s="697" t="n">
        <v>680</v>
      </c>
      <c r="BB9" s="697" t="n">
        <v>680</v>
      </c>
      <c r="BC9" s="697" t="n">
        <v>460</v>
      </c>
      <c r="BD9" s="697" t="n">
        <v>460</v>
      </c>
      <c r="BE9" s="697" t="n">
        <v>240</v>
      </c>
      <c r="BF9" s="697" t="n">
        <v>80</v>
      </c>
      <c r="BG9" s="697" t="n">
        <v>0</v>
      </c>
      <c r="BH9" s="697">
        <f>400+CP9+CO9</f>
        <v/>
      </c>
      <c r="BI9" s="697">
        <f>700+CN9</f>
        <v/>
      </c>
      <c r="BJ9" s="697">
        <f>780+CM9</f>
        <v/>
      </c>
      <c r="BK9" s="697" t="n">
        <v>900</v>
      </c>
      <c r="BL9" s="697" t="n">
        <v>800</v>
      </c>
      <c r="BM9" s="697" t="n">
        <v>640</v>
      </c>
      <c r="BN9" s="697">
        <f>520+CL9</f>
        <v/>
      </c>
      <c r="BO9" s="697" t="n">
        <v>800</v>
      </c>
      <c r="BP9" s="697" t="n">
        <v>640</v>
      </c>
      <c r="BQ9" s="697" t="n">
        <v>540</v>
      </c>
      <c r="BR9" s="697" t="n">
        <v>400</v>
      </c>
      <c r="BS9" s="697" t="n">
        <v>280</v>
      </c>
      <c r="BT9" s="697" t="n">
        <v>200</v>
      </c>
      <c r="BU9" s="697">
        <f>180+CI9</f>
        <v/>
      </c>
      <c r="BV9" s="697" t="n">
        <v>380</v>
      </c>
      <c r="BW9" s="697" t="n">
        <v>380</v>
      </c>
      <c r="BX9" s="697" t="n">
        <v>360</v>
      </c>
      <c r="BY9" s="697" t="n">
        <v>360</v>
      </c>
      <c r="BZ9" s="697" t="n"/>
      <c r="CA9" s="699" t="n"/>
      <c r="CB9" s="699" t="n"/>
      <c r="CC9" s="192">
        <f>CA9+IF(NOT(ISBLANK(OFFSET(CC9,0,6))),N(OFFSET(CC9,0,6)),N(OFFSET(CC9,0,7)))-CB9</f>
        <v/>
      </c>
      <c r="CD9" s="129" t="n"/>
      <c r="CE9" s="22" t="n"/>
      <c r="CF9" s="5" t="n"/>
      <c r="CG9" s="49" t="n"/>
      <c r="CH9" s="757" t="n">
        <v>0</v>
      </c>
      <c r="CI9" s="23" t="n">
        <v>0</v>
      </c>
      <c r="CJ9" s="23" t="n"/>
      <c r="CK9" s="23" t="n">
        <v>200</v>
      </c>
      <c r="CL9" s="219" t="n">
        <v>800</v>
      </c>
      <c r="CM9" s="23" t="n"/>
      <c r="CN9" s="23" t="n">
        <v>400</v>
      </c>
      <c r="CO9" s="23" t="n">
        <v>200</v>
      </c>
      <c r="CP9" s="23" t="n">
        <v>200</v>
      </c>
      <c r="CQ9" s="23" t="n">
        <v>200</v>
      </c>
      <c r="CR9" s="23" t="n">
        <v>200</v>
      </c>
      <c r="CS9" s="23" t="n">
        <v>600</v>
      </c>
      <c r="CT9" s="23" t="n">
        <v>600</v>
      </c>
      <c r="CU9" s="23" t="n"/>
      <c r="CV9" s="23" t="n"/>
      <c r="CW9" s="23" t="n"/>
      <c r="CX9" s="23" t="n">
        <v>200</v>
      </c>
      <c r="CY9" s="219" t="n">
        <v>1000</v>
      </c>
      <c r="CZ9" s="23" t="n"/>
      <c r="DA9" s="23" t="n"/>
      <c r="DB9" s="23" t="n"/>
      <c r="DC9" s="23" t="n">
        <v>400</v>
      </c>
      <c r="DD9" s="23" t="n"/>
      <c r="DE9" s="23" t="n"/>
      <c r="DF9" s="219" t="n"/>
      <c r="DG9" s="23" t="n"/>
      <c r="DH9" s="219" t="n"/>
      <c r="DI9" s="23" t="n">
        <v>600</v>
      </c>
      <c r="DJ9" s="23" t="n"/>
      <c r="DK9" s="23" t="n">
        <v>200</v>
      </c>
      <c r="DL9" s="23" t="n"/>
      <c r="DM9" s="23" t="n"/>
      <c r="DN9" s="23" t="n">
        <v>200</v>
      </c>
      <c r="DO9" s="23" t="n"/>
      <c r="DP9" s="23" t="n"/>
      <c r="DQ9" s="219" t="n"/>
      <c r="DR9" s="23" t="n">
        <v>400</v>
      </c>
      <c r="DS9" s="219" t="n"/>
      <c r="DT9" s="219" t="n"/>
      <c r="DU9" s="219" t="n"/>
      <c r="DV9" s="23" t="n">
        <v>200</v>
      </c>
      <c r="DW9" s="23" t="n">
        <v>200</v>
      </c>
      <c r="DX9" s="23" t="n">
        <v>200</v>
      </c>
      <c r="DY9" s="219" t="n"/>
      <c r="DZ9" s="282" t="inlineStr">
        <is>
          <t>200 DE CD</t>
        </is>
      </c>
      <c r="EA9" s="282" t="inlineStr">
        <is>
          <t>200 P/ TTR</t>
        </is>
      </c>
      <c r="EB9" s="219" t="n"/>
      <c r="EC9" s="23" t="n"/>
      <c r="ED9" s="219" t="n"/>
      <c r="EE9" s="23" t="n"/>
      <c r="EF9" s="219" t="n"/>
      <c r="EG9" s="23" t="n">
        <v>400</v>
      </c>
      <c r="EH9" s="23" t="n"/>
      <c r="EI9" s="219" t="n">
        <v>800</v>
      </c>
      <c r="EJ9" s="23" t="n"/>
      <c r="EK9" s="23" t="n"/>
      <c r="EL9" s="23" t="n">
        <v>200</v>
      </c>
      <c r="EM9" s="23" t="n">
        <v>200</v>
      </c>
      <c r="EN9" s="23" t="n"/>
      <c r="EO9" s="219" t="n"/>
      <c r="EP9" s="23" t="n"/>
      <c r="EQ9" s="23" t="n">
        <v>200</v>
      </c>
      <c r="ER9" s="23" t="n">
        <v>800</v>
      </c>
      <c r="ES9" s="23" t="n">
        <v>400</v>
      </c>
      <c r="EU9" s="300" t="inlineStr">
        <is>
          <t xml:space="preserve">SACOLA P </t>
        </is>
      </c>
      <c r="EV9" s="162" t="n">
        <v>200</v>
      </c>
      <c r="EW9" s="697">
        <f>CJ9</f>
        <v/>
      </c>
      <c r="EX9" s="697" t="n">
        <v>640</v>
      </c>
      <c r="EY9" s="697" t="n">
        <v>520</v>
      </c>
      <c r="EZ9" s="697" t="n">
        <v>460</v>
      </c>
      <c r="FA9" s="697" t="n">
        <v>340</v>
      </c>
      <c r="FB9" s="697" t="n">
        <v>80</v>
      </c>
      <c r="FC9" s="697" t="n"/>
      <c r="FD9" s="699" t="n"/>
      <c r="FE9" s="699" t="n"/>
      <c r="FF9" s="431">
        <f>FD9+IF(NOT(ISBLANK(OFFSET(FF9,0,6))),N(OFFSET(FF9,0,6)),N(OFFSET(FF9,0,7)))-FE9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>
        <f>480+EQ10</f>
        <v/>
      </c>
      <c r="G10" s="697">
        <f>580+EP10</f>
        <v/>
      </c>
      <c r="H10" s="697">
        <f>760+EO10</f>
        <v/>
      </c>
      <c r="I10" s="697" t="n">
        <v>920</v>
      </c>
      <c r="J10" s="697" t="n">
        <v>840</v>
      </c>
      <c r="K10" s="697" t="n">
        <v>820</v>
      </c>
      <c r="L10" s="697" t="n">
        <v>740</v>
      </c>
      <c r="M10" s="697" t="n">
        <v>720</v>
      </c>
      <c r="N10" s="697" t="n">
        <v>700</v>
      </c>
      <c r="O10" s="697" t="n">
        <v>680</v>
      </c>
      <c r="P10" s="697" t="n">
        <v>560</v>
      </c>
      <c r="Q10" s="697" t="n">
        <v>500</v>
      </c>
      <c r="R10" s="697" t="n">
        <v>460</v>
      </c>
      <c r="S10" s="697" t="n">
        <v>400</v>
      </c>
      <c r="T10" s="697" t="n">
        <v>430</v>
      </c>
      <c r="U10" s="697" t="n">
        <v>420</v>
      </c>
      <c r="V10" s="697" t="n">
        <v>420</v>
      </c>
      <c r="W10" s="697" t="n">
        <v>420</v>
      </c>
      <c r="X10" s="697" t="n">
        <v>420</v>
      </c>
      <c r="Y10" s="697" t="n">
        <v>240</v>
      </c>
      <c r="Z10" s="697" t="n">
        <v>380</v>
      </c>
      <c r="AA10" s="697" t="n">
        <v>360</v>
      </c>
      <c r="AB10" s="697" t="n">
        <v>360</v>
      </c>
      <c r="AC10" s="697" t="n">
        <v>360</v>
      </c>
      <c r="AD10" s="697" t="n">
        <v>360</v>
      </c>
      <c r="AE10" s="697" t="n">
        <v>340</v>
      </c>
      <c r="AF10" s="697" t="n">
        <v>340</v>
      </c>
      <c r="AG10" s="697" t="n">
        <v>340</v>
      </c>
      <c r="AH10" s="697" t="n">
        <v>340</v>
      </c>
      <c r="AI10" s="697" t="n">
        <v>340</v>
      </c>
      <c r="AJ10" s="697" t="n">
        <v>340</v>
      </c>
      <c r="AK10" s="697" t="n">
        <v>340</v>
      </c>
      <c r="AL10" s="697" t="n">
        <v>340</v>
      </c>
      <c r="AM10" s="697" t="n">
        <v>300</v>
      </c>
      <c r="AN10" s="697" t="n">
        <v>260</v>
      </c>
      <c r="AO10" s="697" t="n">
        <v>400</v>
      </c>
      <c r="AP10" s="697" t="n">
        <v>300</v>
      </c>
      <c r="AQ10" s="697" t="n">
        <v>200</v>
      </c>
      <c r="AR10" s="697" t="n">
        <v>180</v>
      </c>
      <c r="AS10" s="697">
        <f>120+DC10</f>
        <v/>
      </c>
      <c r="AT10" s="697" t="n">
        <v>240</v>
      </c>
      <c r="AU10" s="697">
        <f>200+CZ10</f>
        <v/>
      </c>
      <c r="AV10" s="697" t="n">
        <v>360</v>
      </c>
      <c r="AW10" s="697" t="n">
        <v>460</v>
      </c>
      <c r="AX10" s="697" t="n">
        <v>460</v>
      </c>
      <c r="AY10" s="697" t="n">
        <v>460</v>
      </c>
      <c r="AZ10" s="697" t="n">
        <v>330</v>
      </c>
      <c r="BA10" s="697" t="n">
        <v>330</v>
      </c>
      <c r="BB10" s="697" t="n">
        <v>310</v>
      </c>
      <c r="BC10" s="697" t="n">
        <v>340</v>
      </c>
      <c r="BD10" s="697" t="n">
        <v>340</v>
      </c>
      <c r="BE10" s="697" t="n">
        <v>700</v>
      </c>
      <c r="BF10" s="697" t="n">
        <v>520</v>
      </c>
      <c r="BG10" s="697" t="n">
        <v>400</v>
      </c>
      <c r="BH10" s="697">
        <f>320+CO10</f>
        <v/>
      </c>
      <c r="BI10" s="697" t="n">
        <v>520</v>
      </c>
      <c r="BJ10" s="697" t="n">
        <v>480</v>
      </c>
      <c r="BK10" s="697" t="n">
        <v>460</v>
      </c>
      <c r="BL10" s="697" t="n">
        <v>400</v>
      </c>
      <c r="BM10" s="697" t="n">
        <v>380</v>
      </c>
      <c r="BN10" s="697" t="n">
        <v>340</v>
      </c>
      <c r="BO10" s="697" t="n">
        <v>300</v>
      </c>
      <c r="BP10" s="697" t="n">
        <v>200</v>
      </c>
      <c r="BQ10" s="697">
        <f>160+CK10</f>
        <v/>
      </c>
      <c r="BR10" s="697" t="n">
        <v>340</v>
      </c>
      <c r="BS10" s="697" t="n">
        <v>260</v>
      </c>
      <c r="BT10" s="697" t="n">
        <v>400</v>
      </c>
      <c r="BU10" s="697" t="n">
        <v>300</v>
      </c>
      <c r="BV10" s="697" t="n">
        <v>300</v>
      </c>
      <c r="BW10" s="697" t="n">
        <v>280</v>
      </c>
      <c r="BX10" s="697" t="n">
        <v>280</v>
      </c>
      <c r="BY10" s="697" t="n">
        <v>277</v>
      </c>
      <c r="BZ10" s="697" t="n"/>
      <c r="CA10" s="699" t="n"/>
      <c r="CB10" s="699" t="n"/>
      <c r="CC10" s="192">
        <f>CA10+IF(NOT(ISBLANK(OFFSET(CC10,0,6))),N(OFFSET(CC10,0,6)),N(OFFSET(CC10,0,7)))-CB10</f>
        <v/>
      </c>
      <c r="CD10" s="129" t="n"/>
      <c r="CE10" s="22" t="n"/>
      <c r="CF10" s="5" t="n"/>
      <c r="CG10" s="49" t="n"/>
      <c r="CH10" s="757" t="n">
        <v>0</v>
      </c>
      <c r="CI10" s="23" t="n">
        <v>0</v>
      </c>
      <c r="CJ10" s="23" t="n"/>
      <c r="CK10" s="23" t="n"/>
      <c r="CL10" s="219" t="n">
        <v>600</v>
      </c>
      <c r="CM10" s="23" t="n">
        <v>200</v>
      </c>
      <c r="CN10" s="23" t="n"/>
      <c r="CO10" s="23" t="n"/>
      <c r="CP10" s="23" t="n"/>
      <c r="CQ10" s="23" t="n">
        <v>200</v>
      </c>
      <c r="CR10" s="23" t="n"/>
      <c r="CS10" s="23" t="n"/>
      <c r="CT10" s="23" t="n">
        <v>400</v>
      </c>
      <c r="CU10" s="23" t="n"/>
      <c r="CV10" s="23" t="n"/>
      <c r="CW10" s="23" t="n"/>
      <c r="CX10" s="23" t="n"/>
      <c r="CY10" s="219" t="n">
        <v>800</v>
      </c>
      <c r="CZ10" s="23" t="n"/>
      <c r="DA10" s="23" t="n"/>
      <c r="DB10" s="23" t="n">
        <v>200</v>
      </c>
      <c r="DC10" s="23" t="n"/>
      <c r="DD10" s="23" t="n"/>
      <c r="DE10" s="23" t="n">
        <v>200</v>
      </c>
      <c r="DF10" s="437" t="inlineStr">
        <is>
          <t>100 DE Q7</t>
        </is>
      </c>
      <c r="DG10" s="23" t="n"/>
      <c r="DH10" s="219" t="n"/>
      <c r="DI10" s="23" t="n"/>
      <c r="DJ10" s="23" t="n"/>
      <c r="DK10" s="23" t="n">
        <v>200</v>
      </c>
      <c r="DL10" s="23" t="n"/>
      <c r="DM10" s="419" t="inlineStr">
        <is>
          <t>160 P/ GV</t>
        </is>
      </c>
      <c r="DN10" s="23" t="n"/>
      <c r="DO10" s="23" t="n"/>
      <c r="DP10" s="23" t="n"/>
      <c r="DQ10" s="219" t="n"/>
      <c r="DR10" s="23" t="n"/>
      <c r="DS10" s="219" t="n"/>
      <c r="DT10" s="219" t="n"/>
      <c r="DU10" s="219" t="n">
        <v>400</v>
      </c>
      <c r="DV10" s="23" t="n"/>
      <c r="DW10" s="23" t="n"/>
      <c r="DX10" s="23" t="n"/>
      <c r="DY10" s="219" t="n"/>
      <c r="DZ10" s="23" t="n"/>
      <c r="EA10" s="23" t="n"/>
      <c r="EB10" s="219" t="n"/>
      <c r="EC10" s="23" t="n">
        <v>200</v>
      </c>
      <c r="ED10" s="219" t="n">
        <v>600</v>
      </c>
      <c r="EE10" s="23" t="n"/>
      <c r="EF10" s="219" t="n"/>
      <c r="EG10" s="23" t="n"/>
      <c r="EH10" s="23" t="n"/>
      <c r="EI10" s="219" t="n">
        <v>400</v>
      </c>
      <c r="EJ10" s="23" t="n"/>
      <c r="EK10" s="23" t="n"/>
      <c r="EL10" s="23" t="n"/>
      <c r="EM10" s="23" t="n"/>
      <c r="EN10" s="23" t="n"/>
      <c r="EO10" s="219" t="n"/>
      <c r="EP10" s="23" t="n"/>
      <c r="EQ10" s="23" t="n">
        <v>200</v>
      </c>
      <c r="ER10" s="23" t="n">
        <v>200</v>
      </c>
      <c r="ES10" s="23" t="n">
        <v>200</v>
      </c>
      <c r="EU10" s="65" t="inlineStr">
        <is>
          <t xml:space="preserve">SACOLA M </t>
        </is>
      </c>
      <c r="EV10" s="699" t="n">
        <v>200</v>
      </c>
      <c r="EW10" s="697">
        <f>CJ10</f>
        <v/>
      </c>
      <c r="EX10" s="697" t="n">
        <v>520</v>
      </c>
      <c r="EY10" s="697" t="n">
        <v>460</v>
      </c>
      <c r="EZ10" s="697" t="n">
        <v>440</v>
      </c>
      <c r="FA10" s="697" t="n">
        <v>400</v>
      </c>
      <c r="FB10" s="697" t="n">
        <v>240</v>
      </c>
      <c r="FC10" s="697" t="n"/>
      <c r="FD10" s="699" t="n"/>
      <c r="FE10" s="699" t="n"/>
      <c r="FF10" s="431">
        <f>FD10+IF(NOT(ISBLANK(OFFSET(FF10,0,6))),N(OFFSET(FF10,0,6)),N(OFFSET(FF10,0,7)))-FE10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100</v>
      </c>
      <c r="AB11" s="697" t="n">
        <v>100</v>
      </c>
      <c r="AC11" s="697" t="n">
        <v>100</v>
      </c>
      <c r="AD11" s="697" t="n">
        <v>40</v>
      </c>
      <c r="AE11" s="697" t="n">
        <v>40</v>
      </c>
      <c r="AF11" s="697" t="n">
        <v>40</v>
      </c>
      <c r="AG11" s="697" t="n">
        <v>40</v>
      </c>
      <c r="AH11" s="697" t="n">
        <v>20</v>
      </c>
      <c r="AI11" s="697" t="n">
        <v>20</v>
      </c>
      <c r="AJ11" s="697" t="n">
        <v>20</v>
      </c>
      <c r="AK11" s="697" t="n">
        <v>0</v>
      </c>
      <c r="AL11" s="697" t="n">
        <v>0</v>
      </c>
      <c r="AM11" s="697" t="n">
        <v>0</v>
      </c>
      <c r="AN11" s="697" t="n">
        <v>0</v>
      </c>
      <c r="AO11" s="697">
        <f>0+100</f>
        <v/>
      </c>
      <c r="AP11" s="697" t="n">
        <v>100</v>
      </c>
      <c r="AQ11" s="697" t="n">
        <v>80</v>
      </c>
      <c r="AR11" s="697" t="n">
        <v>80</v>
      </c>
      <c r="AS11" s="697" t="n">
        <v>80</v>
      </c>
      <c r="AT11" s="697" t="n">
        <v>80</v>
      </c>
      <c r="AU11" s="697" t="n">
        <v>80</v>
      </c>
      <c r="AV11" s="697">
        <f>80-20</f>
        <v/>
      </c>
      <c r="AW11" s="697" t="n">
        <v>60</v>
      </c>
      <c r="AX11" s="697" t="n">
        <v>60</v>
      </c>
      <c r="AY11" s="697" t="n">
        <v>80</v>
      </c>
      <c r="AZ11" s="697" t="n">
        <v>80</v>
      </c>
      <c r="BA11" s="697" t="n">
        <v>80</v>
      </c>
      <c r="BB11" s="697" t="n">
        <v>80</v>
      </c>
      <c r="BC11" s="697" t="n">
        <v>80</v>
      </c>
      <c r="BD11" s="697" t="n">
        <v>80</v>
      </c>
      <c r="BE11" s="697" t="n">
        <v>140</v>
      </c>
      <c r="BF11" s="697" t="n">
        <v>100</v>
      </c>
      <c r="BG11" s="697" t="n">
        <v>100</v>
      </c>
      <c r="BH11" s="697" t="n">
        <v>50</v>
      </c>
      <c r="BI11" s="697">
        <f>40+CN11</f>
        <v/>
      </c>
      <c r="BJ11" s="697" t="n">
        <v>140</v>
      </c>
      <c r="BK11" s="697" t="n">
        <v>140</v>
      </c>
      <c r="BL11" s="697" t="n">
        <v>140</v>
      </c>
      <c r="BM11" s="697" t="n">
        <v>140</v>
      </c>
      <c r="BN11" s="697" t="n">
        <v>140</v>
      </c>
      <c r="BO11" s="697" t="n">
        <v>140</v>
      </c>
      <c r="BP11" s="697" t="n">
        <v>140</v>
      </c>
      <c r="BQ11" s="697" t="n">
        <v>140</v>
      </c>
      <c r="BR11" s="697" t="n">
        <v>140</v>
      </c>
      <c r="BS11" s="697" t="n">
        <v>140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180</v>
      </c>
      <c r="BZ11" s="697" t="n"/>
      <c r="CA11" s="699" t="n"/>
      <c r="CB11" s="699" t="n"/>
      <c r="CC11" s="192">
        <f>CA11+IF(NOT(ISBLANK(OFFSET(CC11,0,6))),N(OFFSET(CC11,0,6)),N(OFFSET(CC11,0,7)))-CB11</f>
        <v/>
      </c>
      <c r="CD11" s="129" t="n"/>
      <c r="CE11" s="22" t="n"/>
      <c r="CF11" s="5" t="n"/>
      <c r="CG11" s="49" t="n"/>
      <c r="CH11" s="757" t="n">
        <v>0</v>
      </c>
      <c r="CI11" s="23" t="n">
        <v>0</v>
      </c>
      <c r="CJ11" s="23" t="n"/>
      <c r="CK11" s="23" t="n"/>
      <c r="CL11" s="219" t="n">
        <v>100</v>
      </c>
      <c r="CM11" s="23" t="n"/>
      <c r="CN11" s="23" t="n"/>
      <c r="CO11" s="23" t="n"/>
      <c r="CP11" s="23" t="n">
        <v>100</v>
      </c>
      <c r="CQ11" s="23" t="n"/>
      <c r="CR11" s="23" t="n"/>
      <c r="CS11" s="23" t="n"/>
      <c r="CT11" s="23" t="n">
        <v>100</v>
      </c>
      <c r="CU11" s="23" t="n"/>
      <c r="CV11" s="23" t="n"/>
      <c r="CW11" s="23" t="n"/>
      <c r="CX11" s="23" t="n"/>
      <c r="CY11" s="219" t="n">
        <v>100</v>
      </c>
      <c r="CZ11" s="192" t="inlineStr">
        <is>
          <t>20 P/ Q7</t>
        </is>
      </c>
      <c r="DA11" s="23" t="n"/>
      <c r="DB11" s="23" t="n"/>
      <c r="DC11" s="23" t="n"/>
      <c r="DD11" s="23" t="n"/>
      <c r="DE11" s="23" t="n"/>
      <c r="DF11" s="219" t="n"/>
      <c r="DG11" s="23" t="n"/>
      <c r="DH11" s="219" t="n"/>
      <c r="DI11" s="23" t="n"/>
      <c r="DJ11" s="192" t="inlineStr">
        <is>
          <t>100 DE BSH</t>
        </is>
      </c>
      <c r="DK11" s="23" t="n"/>
      <c r="DL11" s="23" t="n"/>
      <c r="DM11" s="23" t="n"/>
      <c r="DN11" s="23" t="n"/>
      <c r="DO11" s="23" t="n"/>
      <c r="DP11" s="23" t="n"/>
      <c r="DQ11" s="219" t="n"/>
      <c r="DR11" s="23" t="n"/>
      <c r="DS11" s="219" t="n"/>
      <c r="DT11" s="219" t="n"/>
      <c r="DU11" s="219" t="n"/>
      <c r="DV11" s="23" t="n"/>
      <c r="DW11" s="23" t="n"/>
      <c r="DX11" s="23" t="n"/>
      <c r="DY11" s="219" t="n"/>
      <c r="DZ11" s="23" t="n"/>
      <c r="EA11" s="23" t="n"/>
      <c r="EB11" s="219" t="n"/>
      <c r="EC11" s="23" t="n"/>
      <c r="ED11" s="219" t="n"/>
      <c r="EE11" s="23" t="n"/>
      <c r="EF11" s="219" t="n"/>
      <c r="EG11" s="23" t="n"/>
      <c r="EH11" s="23" t="n"/>
      <c r="EI11" s="219" t="n">
        <v>100</v>
      </c>
      <c r="EJ11" s="23" t="n"/>
      <c r="EK11" s="23" t="n"/>
      <c r="EL11" s="23" t="n"/>
      <c r="EM11" s="23" t="n"/>
      <c r="EN11" s="23" t="n"/>
      <c r="EO11" s="219" t="n"/>
      <c r="EP11" s="23" t="n"/>
      <c r="EQ11" s="23" t="n"/>
      <c r="ER11" s="23" t="n"/>
      <c r="ES11" s="23" t="n"/>
      <c r="EU11" s="66" t="inlineStr">
        <is>
          <t xml:space="preserve">SACOLA G </t>
        </is>
      </c>
      <c r="EV11" s="699" t="n">
        <v>100</v>
      </c>
      <c r="EW11" s="697">
        <f>CJ11</f>
        <v/>
      </c>
      <c r="EX11" s="697" t="n">
        <v>100</v>
      </c>
      <c r="EY11" s="697" t="n">
        <v>80</v>
      </c>
      <c r="EZ11" s="697" t="n">
        <v>80</v>
      </c>
      <c r="FA11" s="697" t="n">
        <v>0</v>
      </c>
      <c r="FB11" s="697" t="n">
        <v>0</v>
      </c>
      <c r="FC11" s="697" t="n"/>
      <c r="FD11" s="699" t="n"/>
      <c r="FE11" s="699" t="n"/>
      <c r="FF11" s="431">
        <f>FD11+IF(NOT(ISBLANK(OFFSET(FF11,0,6))),N(OFFSET(FF11,0,6)),N(OFFSET(FF11,0,7)))-FE11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E12" s="16" t="n"/>
      <c r="CF12" s="5" t="n"/>
      <c r="CG12" s="64" t="n"/>
      <c r="CL12" s="47" t="n"/>
      <c r="CY12" s="47" t="n"/>
      <c r="DF12" s="64" t="n"/>
      <c r="DH12" s="64" t="n"/>
      <c r="DQ12" s="308" t="n"/>
      <c r="DS12" s="47" t="n"/>
      <c r="DT12" s="47" t="n"/>
      <c r="DU12" s="47" t="n"/>
      <c r="DY12" s="308" t="n"/>
      <c r="EB12" s="64" t="n"/>
      <c r="ED12" s="64" t="n"/>
      <c r="EF12" s="308" t="n"/>
      <c r="EI12" s="308" t="n"/>
      <c r="EO12" s="47" t="n"/>
      <c r="EU12" s="35" t="n"/>
      <c r="EV12" s="2" t="n"/>
      <c r="EW12" s="4" t="n"/>
      <c r="EX12" s="4" t="n"/>
      <c r="EY12" s="4" t="n"/>
      <c r="EZ12" s="4" t="n"/>
      <c r="FA12" s="4" t="n"/>
      <c r="FB12" s="4" t="n"/>
      <c r="FC12" s="4" t="n"/>
      <c r="FD12" s="2" t="n"/>
      <c r="FE12" s="2" t="n"/>
    </row>
    <row r="13" ht="19.5" customFormat="1" customHeigh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45699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46161.48023899306</v>
      </c>
      <c r="CB13" s="747" t="n">
        <v>46161.48089707721</v>
      </c>
      <c r="CC13" s="748" t="inlineStr">
        <is>
          <t>USOU</t>
        </is>
      </c>
      <c r="CE13" s="44" t="inlineStr">
        <is>
          <t>Pendências</t>
        </is>
      </c>
      <c r="CF13" s="5" t="n"/>
      <c r="CG13" s="12" t="inlineStr">
        <is>
          <t>Novo Pedido</t>
        </is>
      </c>
      <c r="CH13" s="733" t="n">
        <v>46161.4808947145</v>
      </c>
      <c r="CI13" s="734" t="n">
        <v>46149</v>
      </c>
      <c r="CJ13" s="734" t="n">
        <v>46114</v>
      </c>
      <c r="CK13" s="734" t="n">
        <v>46107</v>
      </c>
      <c r="CL13" s="735" t="n">
        <v>46065</v>
      </c>
      <c r="CM13" s="734" t="n">
        <v>46092</v>
      </c>
      <c r="CN13" s="734" t="n">
        <v>46071</v>
      </c>
      <c r="CO13" s="734" t="n">
        <v>46043</v>
      </c>
      <c r="CP13" s="734" t="n">
        <v>46035</v>
      </c>
      <c r="CQ13" s="734" t="n">
        <v>46029</v>
      </c>
      <c r="CR13" s="734" t="n">
        <v>46024</v>
      </c>
      <c r="CS13" s="734" t="n">
        <v>46017</v>
      </c>
      <c r="CT13" s="734" t="n">
        <v>46001</v>
      </c>
      <c r="CU13" s="734" t="n">
        <v>45986</v>
      </c>
      <c r="CV13" s="734" t="n">
        <v>45973</v>
      </c>
      <c r="CW13" s="736" t="n">
        <v>45962</v>
      </c>
      <c r="CX13" s="734" t="n">
        <v>45951</v>
      </c>
      <c r="CY13" s="737" t="n">
        <v>45903</v>
      </c>
      <c r="CZ13" s="736" t="n">
        <v>45955</v>
      </c>
      <c r="DA13" s="736" t="n">
        <v>45945</v>
      </c>
      <c r="DB13" s="734" t="n">
        <v>45937</v>
      </c>
      <c r="DC13" s="734" t="n">
        <v>45931</v>
      </c>
      <c r="DD13" s="736" t="n">
        <v>45937</v>
      </c>
      <c r="DE13" s="734" t="n">
        <v>45923</v>
      </c>
      <c r="DF13" s="754" t="n">
        <v>45925</v>
      </c>
      <c r="DG13" s="734" t="n">
        <v>45915</v>
      </c>
      <c r="DH13" s="754" t="n">
        <v>45923</v>
      </c>
      <c r="DI13" s="734" t="n">
        <v>45915</v>
      </c>
      <c r="DJ13" s="736" t="n">
        <v>45902</v>
      </c>
      <c r="DK13" s="734" t="n">
        <v>45895</v>
      </c>
      <c r="DL13" s="734" t="n">
        <v>45881</v>
      </c>
      <c r="DM13" s="739" t="n">
        <v>45884</v>
      </c>
      <c r="DN13" s="734" t="n">
        <v>45874</v>
      </c>
      <c r="DO13" s="734" t="n">
        <v>45867</v>
      </c>
      <c r="DP13" s="739" t="n">
        <v>45863</v>
      </c>
      <c r="DQ13" s="740" t="n">
        <v>45863</v>
      </c>
      <c r="DR13" s="734" t="n">
        <v>45860</v>
      </c>
      <c r="DS13" s="739" t="n">
        <v>45852</v>
      </c>
      <c r="DT13" s="739" t="n">
        <v>45847</v>
      </c>
      <c r="DU13" s="739" t="n">
        <v>45791</v>
      </c>
      <c r="DV13" s="734" t="n">
        <v>45839</v>
      </c>
      <c r="DW13" s="734" t="n">
        <v>45825</v>
      </c>
      <c r="DX13" s="734" t="n">
        <v>45813</v>
      </c>
      <c r="DY13" s="740" t="n">
        <v>45810</v>
      </c>
      <c r="DZ13" s="736" t="n">
        <v>45806</v>
      </c>
      <c r="EA13" s="736" t="n">
        <v>45804</v>
      </c>
      <c r="EB13" s="755" t="n">
        <v>45798</v>
      </c>
      <c r="EC13" s="734" t="n">
        <v>45790</v>
      </c>
      <c r="ED13" s="742" t="n">
        <v>45735</v>
      </c>
      <c r="EE13" s="734" t="n">
        <v>45770</v>
      </c>
      <c r="EF13" s="740" t="n">
        <v>45759</v>
      </c>
      <c r="EG13" s="734" t="n">
        <v>45749</v>
      </c>
      <c r="EH13" s="734" t="n">
        <v>45734</v>
      </c>
      <c r="EI13" s="740" t="n">
        <v>45700</v>
      </c>
      <c r="EJ13" s="736" t="n">
        <v>45731</v>
      </c>
      <c r="EK13" s="734" t="n">
        <v>45728</v>
      </c>
      <c r="EL13" s="734" t="n">
        <v>45722</v>
      </c>
      <c r="EM13" s="734" t="n">
        <v>45714</v>
      </c>
      <c r="EN13" s="734" t="n">
        <v>45699</v>
      </c>
      <c r="EO13" s="744" t="n">
        <v>45698</v>
      </c>
      <c r="EP13" s="784" t="n">
        <v>45674</v>
      </c>
      <c r="EQ13" s="734" t="n">
        <v>45664</v>
      </c>
      <c r="ER13" s="734" t="n">
        <v>45660</v>
      </c>
      <c r="ES13" s="734" t="n">
        <v>45652</v>
      </c>
      <c r="EU13" s="304" t="inlineStr">
        <is>
          <t>DIVERSOS</t>
        </is>
      </c>
      <c r="EV13" s="235" t="inlineStr">
        <is>
          <t>PCT</t>
        </is>
      </c>
      <c r="EW13" s="746" t="n">
        <v>46118</v>
      </c>
      <c r="EX13" s="746" t="n">
        <v>46125</v>
      </c>
      <c r="EY13" s="746" t="n">
        <v>46132</v>
      </c>
      <c r="EZ13" s="746" t="n">
        <v>46139</v>
      </c>
      <c r="FA13" s="746" t="n">
        <v>46146</v>
      </c>
      <c r="FB13" s="746" t="n">
        <v>46154</v>
      </c>
      <c r="FC13" s="746" t="n">
        <v>46160</v>
      </c>
      <c r="FD13" s="747" t="n">
        <v>46161.48023657408</v>
      </c>
      <c r="FE13" s="747" t="n">
        <v>46161.48089563294</v>
      </c>
      <c r="FF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2</v>
      </c>
      <c r="E14" s="726" t="n"/>
      <c r="F14" s="136">
        <f>4+EQ14</f>
        <v/>
      </c>
      <c r="G14" s="136" t="n">
        <v>5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3</v>
      </c>
      <c r="M14" s="136" t="n">
        <v>3</v>
      </c>
      <c r="N14" s="136" t="n">
        <v>2</v>
      </c>
      <c r="O14" s="136">
        <f>2+EK14</f>
        <v/>
      </c>
      <c r="P14" s="136" t="n">
        <v>3</v>
      </c>
      <c r="Q14" s="136">
        <f>3+EI14</f>
        <v/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2</v>
      </c>
      <c r="Z14" s="136" t="n">
        <v>4</v>
      </c>
      <c r="AA14" s="136" t="n">
        <v>3</v>
      </c>
      <c r="AB14" s="136" t="n">
        <v>3</v>
      </c>
      <c r="AC14" s="136">
        <f>3+DV14</f>
        <v/>
      </c>
      <c r="AD14" s="136" t="n">
        <v>3</v>
      </c>
      <c r="AE14" s="136" t="n">
        <v>4</v>
      </c>
      <c r="AF14" s="136" t="n">
        <v>4</v>
      </c>
      <c r="AG14" s="136" t="n">
        <v>4</v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>
        <f>4+DL14</f>
        <v/>
      </c>
      <c r="AM14" s="136" t="n">
        <v>5</v>
      </c>
      <c r="AN14" s="136" t="n">
        <v>5</v>
      </c>
      <c r="AO14" s="136" t="n">
        <v>5</v>
      </c>
      <c r="AP14" s="136" t="n">
        <v>4</v>
      </c>
      <c r="AQ14" s="136" t="n">
        <v>4</v>
      </c>
      <c r="AR14" s="136" t="n">
        <v>4</v>
      </c>
      <c r="AS14" s="136">
        <f>4-2</f>
        <v/>
      </c>
      <c r="AT14" s="237" t="n">
        <v>1</v>
      </c>
      <c r="AU14" s="237">
        <f>1+CZ14</f>
        <v/>
      </c>
      <c r="AV14" s="237" t="n">
        <v>2</v>
      </c>
      <c r="AW14" s="237">
        <f>2+CV14</f>
        <v/>
      </c>
      <c r="AX14" s="237" t="n">
        <v>5</v>
      </c>
      <c r="AY14" s="237" t="n">
        <v>5</v>
      </c>
      <c r="AZ14" s="237" t="n">
        <v>5</v>
      </c>
      <c r="BA14" s="237" t="n">
        <v>5</v>
      </c>
      <c r="BB14" s="237" t="n">
        <v>5</v>
      </c>
      <c r="BC14" s="237" t="n">
        <v>5</v>
      </c>
      <c r="BD14" s="237" t="n">
        <v>5</v>
      </c>
      <c r="BE14" s="237" t="n">
        <v>5</v>
      </c>
      <c r="BF14" s="237" t="n">
        <v>1</v>
      </c>
      <c r="BG14" s="237" t="n">
        <v>0</v>
      </c>
      <c r="BH14" s="237">
        <f>0+CP14+CO14</f>
        <v/>
      </c>
      <c r="BI14" s="237">
        <f>9+CN14</f>
        <v/>
      </c>
      <c r="BJ14" s="237" t="n">
        <v>11</v>
      </c>
      <c r="BK14" s="237" t="n">
        <v>11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7</v>
      </c>
      <c r="BR14" s="237" t="n">
        <v>7</v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 t="n">
        <v>5</v>
      </c>
      <c r="BY14" s="237" t="n">
        <v>5</v>
      </c>
      <c r="BZ14" s="237" t="n"/>
      <c r="CA14" s="154" t="n"/>
      <c r="CB14" s="154" t="n"/>
      <c r="CC14" s="198">
        <f>CA14+IF(NOT(ISBLANK(OFFSET(CC14,0,6))),N(OFFSET(CC14,0,6)),N(OFFSET(CC14,0,7)))-CB14</f>
        <v/>
      </c>
      <c r="CE14" s="22" t="n"/>
      <c r="CF14" s="726" t="n"/>
      <c r="CG14" s="49" t="n"/>
      <c r="CH14" s="757" t="n">
        <v>0</v>
      </c>
      <c r="CI14" s="23" t="n">
        <v>0</v>
      </c>
      <c r="CJ14" s="23" t="n"/>
      <c r="CK14" s="23" t="n"/>
      <c r="CL14" s="219" t="n">
        <v>5</v>
      </c>
      <c r="CM14" s="23" t="n"/>
      <c r="CN14" s="23" t="n"/>
      <c r="CO14" s="23" t="n"/>
      <c r="CP14" s="23" t="n">
        <v>3</v>
      </c>
      <c r="CQ14" s="23" t="n">
        <v>3</v>
      </c>
      <c r="CR14" s="23" t="n">
        <v>6</v>
      </c>
      <c r="CS14" s="23" t="n"/>
      <c r="CT14" s="23" t="n"/>
      <c r="CU14" s="23" t="n"/>
      <c r="CV14" s="23" t="n"/>
      <c r="CW14" s="23" t="n"/>
      <c r="CX14" s="23" t="n">
        <v>3</v>
      </c>
      <c r="CY14" s="219" t="n">
        <v>10</v>
      </c>
      <c r="CZ14" s="23" t="n"/>
      <c r="DA14" s="23" t="n"/>
      <c r="DB14" s="23" t="n">
        <v>2</v>
      </c>
      <c r="DC14" s="23" t="n"/>
      <c r="DD14" s="192" t="inlineStr">
        <is>
          <t>02 P/ SHN</t>
        </is>
      </c>
      <c r="DE14" s="23" t="n"/>
      <c r="DF14" s="437" t="inlineStr">
        <is>
          <t>100 DE Q7</t>
        </is>
      </c>
      <c r="DG14" s="23" t="n"/>
      <c r="DH14" s="219" t="n"/>
      <c r="DI14" s="23" t="n"/>
      <c r="DJ14" s="23" t="n"/>
      <c r="DK14" s="23" t="n"/>
      <c r="DL14" s="23" t="n"/>
      <c r="DM14" s="23" t="n"/>
      <c r="DN14" s="23" t="n">
        <v>1</v>
      </c>
      <c r="DO14" s="23" t="n"/>
      <c r="DP14" s="23" t="n"/>
      <c r="DQ14" s="219" t="n"/>
      <c r="DR14" s="23" t="n"/>
      <c r="DS14" s="219" t="n"/>
      <c r="DT14" s="219" t="n"/>
      <c r="DU14" s="219" t="n">
        <v>3</v>
      </c>
      <c r="DV14" s="23" t="n"/>
      <c r="DW14" s="23" t="n">
        <v>1</v>
      </c>
      <c r="DX14" s="23" t="n">
        <v>1</v>
      </c>
      <c r="DY14" s="219" t="n"/>
      <c r="DZ14" s="23" t="n"/>
      <c r="EA14" s="23" t="n"/>
      <c r="EB14" s="219" t="n"/>
      <c r="EC14" s="23" t="n">
        <v>2</v>
      </c>
      <c r="ED14" s="219" t="n">
        <v>1</v>
      </c>
      <c r="EE14" s="23" t="n"/>
      <c r="EF14" s="219" t="n"/>
      <c r="EG14" s="23" t="n"/>
      <c r="EH14" s="23" t="n"/>
      <c r="EI14" s="219" t="n">
        <v>5</v>
      </c>
      <c r="EJ14" s="23" t="n"/>
      <c r="EK14" s="23" t="n">
        <v>1</v>
      </c>
      <c r="EL14" s="23" t="n"/>
      <c r="EM14" s="23" t="n">
        <v>2</v>
      </c>
      <c r="EN14" s="23" t="n"/>
      <c r="EO14" s="219" t="n"/>
      <c r="EP14" s="23" t="n"/>
      <c r="EQ14" s="23" t="n"/>
      <c r="ER14" s="23" t="n"/>
      <c r="ES14" s="23" t="n">
        <v>1</v>
      </c>
      <c r="EU14" s="300" t="inlineStr">
        <is>
          <t>PAPEL DE SEDA</t>
        </is>
      </c>
      <c r="EV14" s="162" t="n">
        <v>200</v>
      </c>
      <c r="EW14" s="697">
        <f>CJ14</f>
        <v/>
      </c>
      <c r="EX14" s="697" t="n">
        <v>4</v>
      </c>
      <c r="EY14" s="697" t="n">
        <v>4</v>
      </c>
      <c r="EZ14" s="697" t="n">
        <v>4</v>
      </c>
      <c r="FA14" s="697" t="n">
        <v>3</v>
      </c>
      <c r="FB14" s="697" t="n">
        <v>0</v>
      </c>
      <c r="FC14" s="697" t="n"/>
      <c r="FD14" s="699" t="n"/>
      <c r="FE14" s="699" t="n"/>
      <c r="FF14" s="431">
        <f>FD14+IF(NOT(ISBLANK(OFFSET(FF14,0,6))),N(OFFSET(FF14,0,6)),N(OFFSET(FF14,0,7)))-FE14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1</v>
      </c>
      <c r="G15" s="136">
        <f>1+EP15</f>
        <v/>
      </c>
      <c r="H15" s="136" t="n">
        <v>3</v>
      </c>
      <c r="I15" s="136" t="n">
        <v>3</v>
      </c>
      <c r="J15" s="136" t="n">
        <v>3</v>
      </c>
      <c r="K15" s="136" t="n">
        <v>3</v>
      </c>
      <c r="L15" s="136" t="n">
        <v>3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3</v>
      </c>
      <c r="R15" s="136" t="n">
        <v>3</v>
      </c>
      <c r="S15" s="136" t="n">
        <v>2</v>
      </c>
      <c r="T15" s="136" t="n">
        <v>2</v>
      </c>
      <c r="U15" s="136" t="n">
        <v>2</v>
      </c>
      <c r="V15" s="136" t="n">
        <v>2</v>
      </c>
      <c r="W15" s="136" t="n">
        <v>2</v>
      </c>
      <c r="X15" s="136" t="n">
        <v>2</v>
      </c>
      <c r="Y15" s="136" t="n">
        <v>2</v>
      </c>
      <c r="Z15" s="136" t="n">
        <v>2</v>
      </c>
      <c r="AA15" s="136" t="n">
        <v>2</v>
      </c>
      <c r="AB15" s="136" t="n">
        <v>2</v>
      </c>
      <c r="AC15" s="136" t="n">
        <v>2</v>
      </c>
      <c r="AD15" s="136" t="n">
        <v>2</v>
      </c>
      <c r="AE15" s="136" t="n">
        <v>2</v>
      </c>
      <c r="AF15" s="136" t="n">
        <v>2</v>
      </c>
      <c r="AG15" s="136" t="n">
        <v>2</v>
      </c>
      <c r="AH15" s="136" t="n">
        <v>2</v>
      </c>
      <c r="AI15" s="136" t="n">
        <v>2</v>
      </c>
      <c r="AJ15" s="136" t="n">
        <v>2</v>
      </c>
      <c r="AK15" s="136" t="n">
        <v>1</v>
      </c>
      <c r="AL15" s="136" t="n">
        <v>1</v>
      </c>
      <c r="AM15" s="136" t="n">
        <v>1</v>
      </c>
      <c r="AN15" s="136" t="n">
        <v>1</v>
      </c>
      <c r="AO15" s="136" t="n">
        <v>1</v>
      </c>
      <c r="AP15" s="136" t="n">
        <v>1</v>
      </c>
      <c r="AQ15" s="136" t="n">
        <v>1</v>
      </c>
      <c r="AR15" s="136" t="n">
        <v>1</v>
      </c>
      <c r="AS15" s="136" t="n">
        <v>1</v>
      </c>
      <c r="AT15" s="237" t="n">
        <v>1</v>
      </c>
      <c r="AU15" s="237" t="n">
        <v>1</v>
      </c>
      <c r="AV15" s="237" t="n">
        <v>1</v>
      </c>
      <c r="AW15" s="237" t="n">
        <v>1</v>
      </c>
      <c r="AX15" s="237" t="n">
        <v>1</v>
      </c>
      <c r="AY15" s="237" t="n">
        <v>1</v>
      </c>
      <c r="AZ15" s="237" t="n">
        <v>1</v>
      </c>
      <c r="BA15" s="237" t="n">
        <v>1</v>
      </c>
      <c r="BB15" s="237">
        <f>1+CS15</f>
        <v/>
      </c>
      <c r="BC15" s="237" t="n">
        <v>1</v>
      </c>
      <c r="BD15" s="237" t="n">
        <v>2</v>
      </c>
      <c r="BE15" s="237" t="n">
        <v>6</v>
      </c>
      <c r="BF15" s="237" t="n">
        <v>6</v>
      </c>
      <c r="BG15" s="237" t="n">
        <v>6</v>
      </c>
      <c r="BH15" s="237" t="n">
        <v>5</v>
      </c>
      <c r="BI15" s="237" t="n">
        <v>4</v>
      </c>
      <c r="BJ15" s="237" t="n">
        <v>5</v>
      </c>
      <c r="BK15" s="237" t="n">
        <v>5</v>
      </c>
      <c r="BL15" s="237" t="n">
        <v>4</v>
      </c>
      <c r="BM15" s="237" t="n">
        <v>4</v>
      </c>
      <c r="BN15" s="237" t="n">
        <v>4</v>
      </c>
      <c r="BO15" s="237" t="n">
        <v>4</v>
      </c>
      <c r="BP15" s="237" t="n">
        <v>3</v>
      </c>
      <c r="BQ15" s="237" t="n">
        <v>3</v>
      </c>
      <c r="BR15" s="237" t="n">
        <v>3</v>
      </c>
      <c r="BS15" s="237" t="n">
        <v>3</v>
      </c>
      <c r="BT15" s="237" t="n">
        <v>3</v>
      </c>
      <c r="BU15" s="237" t="n">
        <v>3</v>
      </c>
      <c r="BV15" s="237" t="n">
        <v>3</v>
      </c>
      <c r="BW15" s="237" t="n">
        <v>3</v>
      </c>
      <c r="BX15" s="237" t="n">
        <v>3</v>
      </c>
      <c r="BY15" s="237" t="n">
        <v>3</v>
      </c>
      <c r="BZ15" s="237" t="n"/>
      <c r="CA15" s="154" t="n"/>
      <c r="CB15" s="154" t="n"/>
      <c r="CC15" s="198">
        <f>CA15+IF(NOT(ISBLANK(OFFSET(CC15,0,6))),N(OFFSET(CC15,0,6)),N(OFFSET(CC15,0,7)))-CB15</f>
        <v/>
      </c>
      <c r="CE15" s="22" t="n"/>
      <c r="CF15" s="726" t="n"/>
      <c r="CG15" s="49" t="n"/>
      <c r="CH15" s="757" t="n">
        <v>0</v>
      </c>
      <c r="CI15" s="23" t="n">
        <v>0</v>
      </c>
      <c r="CJ15" s="23" t="n"/>
      <c r="CK15" s="23" t="n"/>
      <c r="CL15" s="219" t="n">
        <v>3</v>
      </c>
      <c r="CM15" s="23" t="n"/>
      <c r="CN15" s="23" t="n"/>
      <c r="CO15" s="23" t="n"/>
      <c r="CP15" s="23" t="n"/>
      <c r="CQ15" s="23" t="n"/>
      <c r="CR15" s="23" t="n"/>
      <c r="CS15" s="23" t="n"/>
      <c r="CT15" s="23" t="n">
        <v>4</v>
      </c>
      <c r="CU15" s="23" t="n">
        <v>2</v>
      </c>
      <c r="CV15" s="23" t="n"/>
      <c r="CW15" s="23" t="n"/>
      <c r="CX15" s="23" t="n"/>
      <c r="CY15" s="219" t="n">
        <v>7</v>
      </c>
      <c r="CZ15" s="23" t="n"/>
      <c r="DA15" s="23" t="n"/>
      <c r="DB15" s="23" t="n"/>
      <c r="DC15" s="23" t="n"/>
      <c r="DD15" s="23" t="n"/>
      <c r="DE15" s="23" t="n"/>
      <c r="DF15" s="437" t="inlineStr">
        <is>
          <t>100 DE Q7</t>
        </is>
      </c>
      <c r="DG15" s="23" t="n"/>
      <c r="DH15" s="219" t="n"/>
      <c r="DI15" s="23" t="n"/>
      <c r="DJ15" s="23" t="n"/>
      <c r="DK15" s="23" t="n"/>
      <c r="DL15" s="23" t="n"/>
      <c r="DM15" s="23" t="n"/>
      <c r="DN15" s="23" t="n"/>
      <c r="DO15" s="23" t="n"/>
      <c r="DP15" s="23" t="n"/>
      <c r="DQ15" s="219" t="n"/>
      <c r="DR15" s="23" t="n"/>
      <c r="DS15" s="219" t="n"/>
      <c r="DT15" s="219" t="n"/>
      <c r="DU15" s="219" t="n">
        <v>1</v>
      </c>
      <c r="DV15" s="23" t="n"/>
      <c r="DW15" s="23" t="n"/>
      <c r="DX15" s="23" t="n"/>
      <c r="DY15" s="219" t="n"/>
      <c r="DZ15" s="23" t="n"/>
      <c r="EA15" s="23" t="n"/>
      <c r="EB15" s="219" t="n"/>
      <c r="EC15" s="23" t="n"/>
      <c r="ED15" s="219" t="n">
        <v>2</v>
      </c>
      <c r="EE15" s="23" t="n"/>
      <c r="EF15" s="219" t="n"/>
      <c r="EG15" s="23" t="n"/>
      <c r="EH15" s="23" t="n"/>
      <c r="EI15" s="219" t="n"/>
      <c r="EJ15" s="219" t="n"/>
      <c r="EK15" s="23" t="n"/>
      <c r="EL15" s="23" t="n"/>
      <c r="EM15" s="23" t="n"/>
      <c r="EN15" s="23" t="n"/>
      <c r="EO15" s="219" t="n"/>
      <c r="EP15" s="23" t="n"/>
      <c r="EQ15" s="23" t="n"/>
      <c r="ER15" s="23" t="n">
        <v>2</v>
      </c>
      <c r="ES15" s="23" t="n"/>
      <c r="EU15" s="65" t="inlineStr">
        <is>
          <t>ADESIVOS</t>
        </is>
      </c>
      <c r="EV15" s="699" t="n">
        <v>200</v>
      </c>
      <c r="EW15" s="697">
        <f>CJ15</f>
        <v/>
      </c>
      <c r="EX15" s="697" t="n">
        <v>2</v>
      </c>
      <c r="EY15" s="697" t="n">
        <v>2</v>
      </c>
      <c r="EZ15" s="697" t="n">
        <v>2</v>
      </c>
      <c r="FA15" s="697" t="n">
        <v>2</v>
      </c>
      <c r="FB15" s="697" t="n">
        <v>1</v>
      </c>
      <c r="FC15" s="697" t="n"/>
      <c r="FD15" s="699" t="n"/>
      <c r="FE15" s="699" t="n"/>
      <c r="FF15" s="431">
        <f>FD15+IF(NOT(ISBLANK(OFFSET(FF15,0,6))),N(OFFSET(FF15,0,6)),N(OFFSET(FF15,0,7)))-FE15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3</v>
      </c>
      <c r="E16" s="2" t="n"/>
      <c r="F16" s="136">
        <f>2+EQ16</f>
        <v/>
      </c>
      <c r="G16" s="136" t="n">
        <v>5</v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>
        <f>1+EJ16</f>
        <v/>
      </c>
      <c r="Q16" s="136">
        <f>2+EI16</f>
        <v/>
      </c>
      <c r="R16" s="136">
        <f>5+EF16</f>
        <v/>
      </c>
      <c r="S16" s="136" t="n">
        <v>6</v>
      </c>
      <c r="T16" s="136" t="n">
        <v>6</v>
      </c>
      <c r="U16" s="136" t="n">
        <v>6</v>
      </c>
      <c r="V16" s="136" t="n">
        <v>5</v>
      </c>
      <c r="W16" s="136" t="n">
        <v>5</v>
      </c>
      <c r="X16" s="136" t="n">
        <v>4</v>
      </c>
      <c r="Y16" s="136" t="n">
        <v>4</v>
      </c>
      <c r="Z16" s="136" t="n">
        <v>3</v>
      </c>
      <c r="AA16" s="136" t="n">
        <v>3</v>
      </c>
      <c r="AB16" s="136" t="n">
        <v>2</v>
      </c>
      <c r="AC16" s="136">
        <f>2+DV16</f>
        <v/>
      </c>
      <c r="AD16" s="136" t="n">
        <v>4</v>
      </c>
      <c r="AE16" s="136" t="n">
        <v>4</v>
      </c>
      <c r="AF16" s="136" t="n">
        <v>3</v>
      </c>
      <c r="AG16" s="136" t="n">
        <v>4</v>
      </c>
      <c r="AH16" s="136" t="n">
        <v>3</v>
      </c>
      <c r="AI16" s="136" t="n">
        <v>3</v>
      </c>
      <c r="AJ16" s="136" t="n">
        <v>2</v>
      </c>
      <c r="AK16" s="136">
        <f>2+DM16</f>
        <v/>
      </c>
      <c r="AL16" s="136" t="n">
        <v>3</v>
      </c>
      <c r="AM16" s="136" t="n">
        <v>3</v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2</v>
      </c>
      <c r="AS16" s="136">
        <f>1+DC16</f>
        <v/>
      </c>
      <c r="AT16" s="237">
        <f>1+DA16</f>
        <v/>
      </c>
      <c r="AU16" s="237">
        <f>3+CZ16</f>
        <v/>
      </c>
      <c r="AV16" s="237" t="n">
        <v>4</v>
      </c>
      <c r="AW16" s="237" t="n">
        <v>3</v>
      </c>
      <c r="AX16" s="237" t="n">
        <v>3</v>
      </c>
      <c r="AY16" s="237" t="n">
        <v>3</v>
      </c>
      <c r="AZ16" s="237" t="n">
        <v>3</v>
      </c>
      <c r="BA16" s="237" t="n">
        <v>3</v>
      </c>
      <c r="BB16" s="237" t="n">
        <v>2</v>
      </c>
      <c r="BC16" s="237" t="n">
        <v>2</v>
      </c>
      <c r="BD16" s="237" t="n">
        <v>2</v>
      </c>
      <c r="BE16" s="237" t="n">
        <v>2</v>
      </c>
      <c r="BF16" s="237" t="n">
        <v>2</v>
      </c>
      <c r="BG16" s="237" t="n">
        <v>1</v>
      </c>
      <c r="BH16" s="237" t="n">
        <v>4</v>
      </c>
      <c r="BI16" s="237" t="n">
        <v>3</v>
      </c>
      <c r="BJ16" s="237">
        <f>3+CM16</f>
        <v/>
      </c>
      <c r="BK16" s="237" t="n">
        <v>5</v>
      </c>
      <c r="BL16" s="237" t="n">
        <v>4</v>
      </c>
      <c r="BM16" s="237" t="n">
        <v>4</v>
      </c>
      <c r="BN16" s="237" t="n">
        <v>4</v>
      </c>
      <c r="BO16" s="237" t="n">
        <v>4</v>
      </c>
      <c r="BP16" s="237" t="n">
        <v>3</v>
      </c>
      <c r="BQ16" s="237" t="n">
        <v>3</v>
      </c>
      <c r="BR16" s="237" t="n">
        <v>3</v>
      </c>
      <c r="BS16" s="237" t="n">
        <v>3</v>
      </c>
      <c r="BT16" s="237" t="n">
        <v>2</v>
      </c>
      <c r="BU16" s="237">
        <f>1+CI16</f>
        <v/>
      </c>
      <c r="BV16" s="237" t="n">
        <v>4</v>
      </c>
      <c r="BW16" s="237" t="n">
        <v>3</v>
      </c>
      <c r="BX16" s="237" t="n">
        <v>3</v>
      </c>
      <c r="BY16" s="237" t="n">
        <v>3</v>
      </c>
      <c r="BZ16" s="237" t="n"/>
      <c r="CA16" s="154" t="n"/>
      <c r="CB16" s="154" t="n"/>
      <c r="CC16" s="198">
        <f>CA16+IF(NOT(ISBLANK(OFFSET(CC16,0,6))),N(OFFSET(CC16,0,6)),N(OFFSET(CC16,0,7)))-CB16</f>
        <v/>
      </c>
      <c r="CE16" s="22" t="n">
        <v>2</v>
      </c>
      <c r="CF16" s="2" t="n"/>
      <c r="CG16" s="49" t="n"/>
      <c r="CH16" s="757" t="n">
        <v>0</v>
      </c>
      <c r="CI16" s="23" t="n">
        <v>0</v>
      </c>
      <c r="CJ16" s="23" t="n"/>
      <c r="CK16" s="23" t="n">
        <v>3</v>
      </c>
      <c r="CL16" s="23" t="n"/>
      <c r="CM16" s="23" t="n"/>
      <c r="CN16" s="23" t="n"/>
      <c r="CO16" s="23" t="n">
        <v>2</v>
      </c>
      <c r="CP16" s="23" t="n"/>
      <c r="CQ16" s="23" t="n"/>
      <c r="CR16" s="23" t="n"/>
      <c r="CS16" s="23" t="n">
        <v>3</v>
      </c>
      <c r="CT16" s="23" t="n">
        <v>2</v>
      </c>
      <c r="CU16" s="23" t="n"/>
      <c r="CV16" s="23" t="n"/>
      <c r="CW16" s="23" t="n"/>
      <c r="CX16" s="23" t="n"/>
      <c r="CY16" s="219" t="n"/>
      <c r="CZ16" s="23" t="n"/>
      <c r="DA16" s="23" t="n"/>
      <c r="DB16" s="23" t="n">
        <v>1</v>
      </c>
      <c r="DC16" s="23" t="n">
        <v>2</v>
      </c>
      <c r="DD16" s="23" t="n"/>
      <c r="DE16" s="23" t="n">
        <v>1</v>
      </c>
      <c r="DF16" s="219" t="n"/>
      <c r="DG16" s="23" t="n"/>
      <c r="DH16" s="219" t="n"/>
      <c r="DI16" s="23" t="n"/>
      <c r="DJ16" s="23" t="n"/>
      <c r="DK16" s="23" t="n">
        <v>1</v>
      </c>
      <c r="DL16" s="23" t="n"/>
      <c r="DM16" s="23" t="n"/>
      <c r="DN16" s="23" t="n"/>
      <c r="DO16" s="23" t="n">
        <v>1</v>
      </c>
      <c r="DP16" s="23" t="n"/>
      <c r="DQ16" s="219" t="n"/>
      <c r="DR16" s="23" t="n"/>
      <c r="DS16" s="219" t="n"/>
      <c r="DT16" s="219" t="n"/>
      <c r="DU16" s="219" t="n"/>
      <c r="DV16" s="23" t="n">
        <v>1</v>
      </c>
      <c r="DW16" s="23" t="n"/>
      <c r="DX16" s="23" t="n">
        <v>2</v>
      </c>
      <c r="DY16" s="219" t="n"/>
      <c r="DZ16" s="23" t="n"/>
      <c r="EA16" s="23" t="n"/>
      <c r="EB16" s="219" t="n"/>
      <c r="EC16" s="23" t="n"/>
      <c r="ED16" s="219" t="n"/>
      <c r="EE16" s="23" t="n"/>
      <c r="EF16" s="219" t="n"/>
      <c r="EG16" s="23" t="n"/>
      <c r="EH16" s="23" t="n">
        <v>2</v>
      </c>
      <c r="EI16" s="219" t="n">
        <v>2</v>
      </c>
      <c r="EJ16" s="23" t="n"/>
      <c r="EK16" s="23" t="n">
        <v>3</v>
      </c>
      <c r="EL16" s="23" t="n">
        <v>2</v>
      </c>
      <c r="EM16" s="23" t="n"/>
      <c r="EN16" s="23" t="n"/>
      <c r="EO16" s="219" t="n"/>
      <c r="EP16" s="23" t="n"/>
      <c r="EQ16" s="23" t="n"/>
      <c r="ER16" s="23" t="n"/>
      <c r="ES16" s="23" t="n">
        <v>3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136" t="n">
        <v>3</v>
      </c>
      <c r="G17" s="136">
        <f>3+EP17</f>
        <v/>
      </c>
      <c r="H17" s="136">
        <f>5+EO17</f>
        <v/>
      </c>
      <c r="I17" s="136" t="n">
        <v>5</v>
      </c>
      <c r="J17" s="136" t="n">
        <v>5</v>
      </c>
      <c r="K17" s="136" t="n">
        <v>5</v>
      </c>
      <c r="L17" s="136" t="n">
        <v>5</v>
      </c>
      <c r="M17" s="136" t="n">
        <v>4</v>
      </c>
      <c r="N17" s="136" t="n">
        <v>4</v>
      </c>
      <c r="O17" s="136" t="n">
        <v>4</v>
      </c>
      <c r="P17" s="136" t="n">
        <v>4</v>
      </c>
      <c r="Q17" s="136" t="n">
        <v>4</v>
      </c>
      <c r="R17" s="136" t="n">
        <v>4</v>
      </c>
      <c r="S17" s="136" t="n">
        <v>4</v>
      </c>
      <c r="T17" s="136" t="n">
        <v>4</v>
      </c>
      <c r="U17" s="136" t="n">
        <v>4</v>
      </c>
      <c r="V17" s="136" t="n">
        <v>4</v>
      </c>
      <c r="W17" s="136" t="n">
        <v>3</v>
      </c>
      <c r="X17" s="136" t="n">
        <v>3</v>
      </c>
      <c r="Y17" s="136" t="n">
        <v>3</v>
      </c>
      <c r="Z17" s="136" t="n">
        <v>3</v>
      </c>
      <c r="AA17" s="136" t="n">
        <v>2</v>
      </c>
      <c r="AB17" s="136" t="n">
        <v>2</v>
      </c>
      <c r="AC17" s="136" t="n">
        <v>2</v>
      </c>
      <c r="AD17" s="136" t="n">
        <v>2</v>
      </c>
      <c r="AE17" s="136" t="n">
        <v>2</v>
      </c>
      <c r="AF17" s="136" t="n">
        <v>1</v>
      </c>
      <c r="AG17" s="136" t="n">
        <v>2</v>
      </c>
      <c r="AH17" s="136" t="n">
        <v>2</v>
      </c>
      <c r="AI17" s="136" t="n">
        <v>2</v>
      </c>
      <c r="AJ17" s="136" t="n">
        <v>1</v>
      </c>
      <c r="AK17" s="136">
        <f>1+DM17</f>
        <v/>
      </c>
      <c r="AL17" s="136" t="n">
        <v>2</v>
      </c>
      <c r="AM17" s="136" t="n">
        <v>2</v>
      </c>
      <c r="AN17" s="136" t="n">
        <v>2</v>
      </c>
      <c r="AO17" s="136" t="n">
        <v>1</v>
      </c>
      <c r="AP17" s="136" t="n">
        <v>1</v>
      </c>
      <c r="AQ17" s="136" t="n">
        <v>1</v>
      </c>
      <c r="AR17" s="136" t="n">
        <v>0</v>
      </c>
      <c r="AS17" s="136">
        <f>0+DC17</f>
        <v/>
      </c>
      <c r="AT17" s="237" t="n">
        <v>1</v>
      </c>
      <c r="AU17" s="237">
        <f>1+CZ17</f>
        <v/>
      </c>
      <c r="AV17" s="237" t="n">
        <v>2</v>
      </c>
      <c r="AW17" s="237" t="n">
        <v>2</v>
      </c>
      <c r="AX17" s="237" t="n">
        <v>1</v>
      </c>
      <c r="AY17" s="237" t="n">
        <v>1</v>
      </c>
      <c r="AZ17" s="237">
        <f>1+CT17</f>
        <v/>
      </c>
      <c r="BA17" s="237" t="n">
        <v>1</v>
      </c>
      <c r="BB17" s="237">
        <f>1+CS17</f>
        <v/>
      </c>
      <c r="BC17" s="237" t="n">
        <v>3</v>
      </c>
      <c r="BD17" s="237" t="n">
        <v>3</v>
      </c>
      <c r="BE17" s="237" t="n">
        <v>3</v>
      </c>
      <c r="BF17" s="237" t="n">
        <v>3</v>
      </c>
      <c r="BG17" s="237" t="n">
        <v>3</v>
      </c>
      <c r="BH17" s="237" t="n">
        <v>2</v>
      </c>
      <c r="BI17" s="237">
        <f>2+CN17</f>
        <v/>
      </c>
      <c r="BJ17" s="237" t="n">
        <v>3</v>
      </c>
      <c r="BK17" s="237" t="n">
        <v>3</v>
      </c>
      <c r="BL17" s="237" t="n">
        <v>3</v>
      </c>
      <c r="BM17" s="237" t="n">
        <v>3</v>
      </c>
      <c r="BN17" s="237" t="n">
        <v>3</v>
      </c>
      <c r="BO17" s="237" t="n">
        <v>2</v>
      </c>
      <c r="BP17" s="237" t="n">
        <v>1</v>
      </c>
      <c r="BQ17" s="237">
        <f>1+CK17</f>
        <v/>
      </c>
      <c r="BR17" s="237" t="n">
        <v>2</v>
      </c>
      <c r="BS17" s="237" t="n">
        <v>2</v>
      </c>
      <c r="BT17" s="237" t="n">
        <v>2</v>
      </c>
      <c r="BU17" s="237" t="n">
        <v>2</v>
      </c>
      <c r="BV17" s="237" t="n">
        <v>2</v>
      </c>
      <c r="BW17" s="237" t="n">
        <v>2</v>
      </c>
      <c r="BX17" s="237" t="n">
        <v>2</v>
      </c>
      <c r="BY17" s="237" t="n">
        <v>1</v>
      </c>
      <c r="BZ17" s="237" t="n"/>
      <c r="CA17" s="154" t="n"/>
      <c r="CB17" s="154" t="n"/>
      <c r="CC17" s="198">
        <f>CA17+IF(NOT(ISBLANK(OFFSET(CC17,0,6))),N(OFFSET(CC17,0,6)),N(OFFSET(CC17,0,7)))-CB17</f>
        <v/>
      </c>
      <c r="CE17" s="22" t="n"/>
      <c r="CF17" s="2" t="n"/>
      <c r="CG17" s="49" t="n"/>
      <c r="CH17" s="757" t="n">
        <v>0</v>
      </c>
      <c r="CI17" s="23" t="n">
        <v>0</v>
      </c>
      <c r="CJ17" s="23" t="n"/>
      <c r="CK17" s="23" t="n"/>
      <c r="CL17" s="23" t="n"/>
      <c r="CM17" s="23" t="n">
        <v>1</v>
      </c>
      <c r="CN17" s="23" t="n"/>
      <c r="CO17" s="23" t="n"/>
      <c r="CP17" s="23" t="n">
        <v>1</v>
      </c>
      <c r="CQ17" s="23" t="n"/>
      <c r="CR17" s="23" t="n"/>
      <c r="CS17" s="23" t="n"/>
      <c r="CT17" s="23" t="n">
        <v>1</v>
      </c>
      <c r="CU17" s="23" t="n">
        <v>2</v>
      </c>
      <c r="CV17" s="23" t="n">
        <v>1</v>
      </c>
      <c r="CW17" s="23" t="n"/>
      <c r="CX17" s="23" t="n"/>
      <c r="CY17" s="219" t="n"/>
      <c r="CZ17" s="23" t="n"/>
      <c r="DA17" s="23" t="n"/>
      <c r="DB17" s="23" t="n">
        <v>1</v>
      </c>
      <c r="DC17" s="23" t="n"/>
      <c r="DD17" s="23" t="n"/>
      <c r="DE17" s="23" t="n">
        <v>1</v>
      </c>
      <c r="DF17" s="219" t="n"/>
      <c r="DG17" s="23" t="n"/>
      <c r="DH17" s="219" t="n"/>
      <c r="DI17" s="23" t="n"/>
      <c r="DJ17" s="23" t="n"/>
      <c r="DK17" s="23" t="n"/>
      <c r="DL17" s="23" t="n"/>
      <c r="DM17" s="23" t="n"/>
      <c r="DN17" s="23" t="n"/>
      <c r="DO17" s="23" t="n">
        <v>1</v>
      </c>
      <c r="DP17" s="23" t="n"/>
      <c r="DQ17" s="219" t="n"/>
      <c r="DR17" s="23" t="n"/>
      <c r="DS17" s="219" t="n"/>
      <c r="DT17" s="219" t="n"/>
      <c r="DU17" s="219" t="n"/>
      <c r="DV17" s="23" t="n">
        <v>1</v>
      </c>
      <c r="DW17" s="23" t="n"/>
      <c r="DX17" s="23" t="n"/>
      <c r="DY17" s="219" t="n"/>
      <c r="DZ17" s="23" t="n"/>
      <c r="EA17" s="23" t="n"/>
      <c r="EB17" s="219" t="n"/>
      <c r="EC17" s="23" t="n"/>
      <c r="ED17" s="219" t="n"/>
      <c r="EE17" s="23" t="n"/>
      <c r="EF17" s="219" t="n"/>
      <c r="EG17" s="23" t="n"/>
      <c r="EH17" s="23" t="n"/>
      <c r="EI17" s="219" t="n"/>
      <c r="EJ17" s="219" t="n"/>
      <c r="EK17" s="23" t="n"/>
      <c r="EL17" s="23" t="n"/>
      <c r="EM17" s="23" t="n"/>
      <c r="EN17" s="23" t="n"/>
      <c r="EO17" s="219" t="n"/>
      <c r="EP17" s="23" t="n"/>
      <c r="EQ17" s="23" t="n">
        <v>1</v>
      </c>
      <c r="ER17" s="23" t="n">
        <v>2</v>
      </c>
      <c r="ES17" s="23" t="n"/>
    </row>
    <row r="18" ht="14.25" customFormat="1" customHeight="1" s="3">
      <c r="C18" s="763" t="n"/>
      <c r="D18" s="450" t="n"/>
      <c r="CE18" s="48" t="n"/>
      <c r="CG18" s="61" t="n"/>
      <c r="CL18" s="250" t="n"/>
      <c r="DF18" s="372" t="n"/>
      <c r="DH18" s="372" t="n"/>
      <c r="DQ18" s="19" t="n"/>
      <c r="DS18" s="250" t="n"/>
      <c r="DT18" s="250" t="n"/>
      <c r="DU18" s="250" t="n"/>
      <c r="DY18" s="19" t="n"/>
      <c r="EB18" s="372" t="n"/>
      <c r="ED18" s="372" t="n"/>
      <c r="EF18" s="19" t="n"/>
      <c r="EI18" s="19" t="n"/>
      <c r="EO18" s="250" t="n"/>
    </row>
    <row r="19" customFormat="1" s="3">
      <c r="A19" s="13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45699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46161.48023899306</v>
      </c>
      <c r="CB19" s="747" t="n">
        <v>46161.48089707736</v>
      </c>
      <c r="CC19" s="748" t="inlineStr">
        <is>
          <t>USOU</t>
        </is>
      </c>
      <c r="CE19" s="44" t="inlineStr">
        <is>
          <t>Pendências</t>
        </is>
      </c>
      <c r="CF19" s="5" t="n"/>
      <c r="CG19" s="12" t="inlineStr">
        <is>
          <t>Novo Pedido</t>
        </is>
      </c>
      <c r="CH19" s="733" t="n">
        <v>46161.48089471479</v>
      </c>
      <c r="CI19" s="734" t="n">
        <v>46149</v>
      </c>
      <c r="CJ19" s="734" t="n">
        <v>46114</v>
      </c>
      <c r="CK19" s="734" t="n">
        <v>46107</v>
      </c>
      <c r="CL19" s="735" t="n">
        <v>46065</v>
      </c>
      <c r="CM19" s="734" t="n">
        <v>46092</v>
      </c>
      <c r="CN19" s="734" t="n">
        <v>46071</v>
      </c>
      <c r="CO19" s="734" t="n">
        <v>46043</v>
      </c>
      <c r="CP19" s="734" t="n">
        <v>46035</v>
      </c>
      <c r="CQ19" s="734" t="n">
        <v>46029</v>
      </c>
      <c r="CR19" s="734" t="n">
        <v>46024</v>
      </c>
      <c r="CS19" s="734" t="n">
        <v>46017</v>
      </c>
      <c r="CT19" s="734" t="n">
        <v>46001</v>
      </c>
      <c r="CU19" s="734" t="n">
        <v>45986</v>
      </c>
      <c r="CV19" s="734" t="n">
        <v>45973</v>
      </c>
      <c r="CW19" s="736" t="n">
        <v>45962</v>
      </c>
      <c r="CX19" s="734" t="n">
        <v>45951</v>
      </c>
      <c r="CY19" s="737" t="n">
        <v>45903</v>
      </c>
      <c r="CZ19" s="736" t="n">
        <v>45955</v>
      </c>
      <c r="DA19" s="736" t="n">
        <v>45945</v>
      </c>
      <c r="DB19" s="734" t="n">
        <v>45937</v>
      </c>
      <c r="DC19" s="734" t="n">
        <v>45931</v>
      </c>
      <c r="DD19" s="736" t="n">
        <v>45937</v>
      </c>
      <c r="DE19" s="734" t="n">
        <v>45923</v>
      </c>
      <c r="DF19" s="754" t="n">
        <v>45925</v>
      </c>
      <c r="DG19" s="734" t="n">
        <v>45915</v>
      </c>
      <c r="DH19" s="754" t="n">
        <v>45923</v>
      </c>
      <c r="DI19" s="734" t="n">
        <v>45915</v>
      </c>
      <c r="DJ19" s="736" t="n">
        <v>45902</v>
      </c>
      <c r="DK19" s="734" t="n">
        <v>45895</v>
      </c>
      <c r="DL19" s="734" t="n">
        <v>45881</v>
      </c>
      <c r="DM19" s="739" t="n">
        <v>45884</v>
      </c>
      <c r="DN19" s="734" t="n">
        <v>45874</v>
      </c>
      <c r="DO19" s="734" t="n">
        <v>45867</v>
      </c>
      <c r="DP19" s="739" t="n">
        <v>45863</v>
      </c>
      <c r="DQ19" s="740" t="n">
        <v>45863</v>
      </c>
      <c r="DR19" s="734" t="n">
        <v>45860</v>
      </c>
      <c r="DS19" s="739" t="n">
        <v>45852</v>
      </c>
      <c r="DT19" s="739" t="n">
        <v>45847</v>
      </c>
      <c r="DU19" s="739" t="n">
        <v>45791</v>
      </c>
      <c r="DV19" s="734" t="n">
        <v>45839</v>
      </c>
      <c r="DW19" s="734" t="n">
        <v>45825</v>
      </c>
      <c r="DX19" s="734" t="n">
        <v>45813</v>
      </c>
      <c r="DY19" s="740" t="n">
        <v>45810</v>
      </c>
      <c r="DZ19" s="736" t="n">
        <v>45806</v>
      </c>
      <c r="EA19" s="736" t="n">
        <v>45804</v>
      </c>
      <c r="EB19" s="755" t="n">
        <v>45798</v>
      </c>
      <c r="EC19" s="734" t="n">
        <v>45790</v>
      </c>
      <c r="ED19" s="742" t="n">
        <v>45735</v>
      </c>
      <c r="EE19" s="734" t="n">
        <v>45770</v>
      </c>
      <c r="EF19" s="740" t="n">
        <v>45759</v>
      </c>
      <c r="EG19" s="734" t="n">
        <v>45749</v>
      </c>
      <c r="EH19" s="734" t="n">
        <v>45734</v>
      </c>
      <c r="EI19" s="740" t="n">
        <v>45700</v>
      </c>
      <c r="EJ19" s="736" t="n">
        <v>45731</v>
      </c>
      <c r="EK19" s="734" t="n">
        <v>45728</v>
      </c>
      <c r="EL19" s="734" t="n">
        <v>45722</v>
      </c>
      <c r="EM19" s="734" t="n">
        <v>45714</v>
      </c>
      <c r="EN19" s="734" t="n">
        <v>45699</v>
      </c>
      <c r="EO19" s="744" t="n">
        <v>45698</v>
      </c>
      <c r="EP19" s="784" t="n">
        <v>45674</v>
      </c>
      <c r="EQ19" s="734" t="n">
        <v>45664</v>
      </c>
      <c r="ER19" s="734" t="n">
        <v>45660</v>
      </c>
      <c r="ES19" s="734" t="n">
        <v>45652</v>
      </c>
      <c r="EU19" s="304" t="inlineStr">
        <is>
          <t>CAIXAS</t>
        </is>
      </c>
      <c r="EV19" s="235" t="inlineStr">
        <is>
          <t>PCT</t>
        </is>
      </c>
      <c r="EW19" s="746" t="n">
        <v>46118</v>
      </c>
      <c r="EX19" s="746" t="n">
        <v>46125</v>
      </c>
      <c r="EY19" s="746" t="n">
        <v>46132</v>
      </c>
      <c r="EZ19" s="746" t="n">
        <v>46139</v>
      </c>
      <c r="FA19" s="746" t="n">
        <v>46146</v>
      </c>
      <c r="FB19" s="746" t="n">
        <v>46154</v>
      </c>
      <c r="FC19" s="746" t="n">
        <v>46160</v>
      </c>
      <c r="FD19" s="747" t="n">
        <v>46161.48023657408</v>
      </c>
      <c r="FE19" s="747" t="n">
        <v>46161.48089563308</v>
      </c>
      <c r="FF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172</v>
      </c>
      <c r="G20" s="697" t="n">
        <v>167</v>
      </c>
      <c r="H20" s="697" t="n">
        <v>167</v>
      </c>
      <c r="I20" s="697" t="n">
        <v>167</v>
      </c>
      <c r="J20" s="697" t="n">
        <v>167</v>
      </c>
      <c r="K20" s="697" t="n">
        <v>167</v>
      </c>
      <c r="L20" s="697" t="n">
        <v>150</v>
      </c>
      <c r="M20" s="697" t="n">
        <v>138</v>
      </c>
      <c r="N20" s="697" t="n">
        <v>122</v>
      </c>
      <c r="O20" s="697" t="n">
        <v>100</v>
      </c>
      <c r="P20" s="697">
        <f>68+EJ20</f>
        <v/>
      </c>
      <c r="Q20" s="697">
        <f>200+EI20</f>
        <v/>
      </c>
      <c r="R20" s="697" t="n">
        <v>332</v>
      </c>
      <c r="S20" s="697" t="n">
        <v>307</v>
      </c>
      <c r="T20" s="697" t="n">
        <v>288</v>
      </c>
      <c r="U20" s="697" t="n">
        <v>265</v>
      </c>
      <c r="V20" s="697" t="n">
        <v>267</v>
      </c>
      <c r="W20" s="697" t="n">
        <v>267</v>
      </c>
      <c r="X20" s="697" t="n">
        <v>267</v>
      </c>
      <c r="Y20" s="697" t="n">
        <v>264</v>
      </c>
      <c r="Z20" s="697" t="n">
        <v>260</v>
      </c>
      <c r="AA20" s="697" t="n">
        <v>255</v>
      </c>
      <c r="AB20" s="697" t="n">
        <v>252</v>
      </c>
      <c r="AC20" s="697" t="n">
        <v>249</v>
      </c>
      <c r="AD20" s="697" t="n">
        <v>225</v>
      </c>
      <c r="AE20" s="697" t="n">
        <v>218</v>
      </c>
      <c r="AF20" s="697" t="n">
        <v>205</v>
      </c>
      <c r="AG20" s="697" t="n">
        <v>193</v>
      </c>
      <c r="AH20" s="697" t="n">
        <v>177</v>
      </c>
      <c r="AI20" s="697" t="n">
        <v>160</v>
      </c>
      <c r="AJ20" s="697" t="n">
        <v>150</v>
      </c>
      <c r="AK20" s="697" t="n">
        <v>133</v>
      </c>
      <c r="AL20" s="697" t="n">
        <v>60</v>
      </c>
      <c r="AM20" s="697">
        <f>42+DJ20</f>
        <v/>
      </c>
      <c r="AN20" s="697" t="n">
        <v>181</v>
      </c>
      <c r="AO20" s="697" t="n">
        <v>167</v>
      </c>
      <c r="AP20" s="697" t="n">
        <v>146</v>
      </c>
      <c r="AQ20" s="697" t="n">
        <v>120</v>
      </c>
      <c r="AR20" s="697" t="n">
        <v>97</v>
      </c>
      <c r="AS20" s="697">
        <f>77+DC20</f>
        <v/>
      </c>
      <c r="AT20" s="697" t="n">
        <v>205</v>
      </c>
      <c r="AU20" s="697" t="n">
        <v>176</v>
      </c>
      <c r="AV20" s="697" t="n">
        <v>164</v>
      </c>
      <c r="AW20" s="697" t="n">
        <v>149</v>
      </c>
      <c r="AX20" s="697" t="n">
        <v>134</v>
      </c>
      <c r="AY20" s="697" t="n">
        <v>126</v>
      </c>
      <c r="AZ20" s="697" t="n">
        <v>116</v>
      </c>
      <c r="BA20" s="697" t="n">
        <v>113</v>
      </c>
      <c r="BB20" s="697" t="n">
        <v>110</v>
      </c>
      <c r="BC20" s="697" t="n">
        <v>110</v>
      </c>
      <c r="BD20" s="697" t="n">
        <v>109</v>
      </c>
      <c r="BE20" s="697" t="n">
        <v>109</v>
      </c>
      <c r="BF20" s="697" t="n">
        <v>109</v>
      </c>
      <c r="BG20" s="697" t="n">
        <v>108</v>
      </c>
      <c r="BH20" s="697" t="n">
        <v>107</v>
      </c>
      <c r="BI20" s="697" t="n">
        <v>107</v>
      </c>
      <c r="BJ20" s="697" t="n">
        <v>98</v>
      </c>
      <c r="BK20" s="697" t="n">
        <v>87</v>
      </c>
      <c r="BL20" s="697" t="n">
        <v>73</v>
      </c>
      <c r="BM20" s="697" t="n">
        <v>70</v>
      </c>
      <c r="BN20" s="697">
        <f>60+CL20</f>
        <v/>
      </c>
      <c r="BO20" s="697" t="n">
        <v>196</v>
      </c>
      <c r="BP20" s="314" t="n">
        <v>314</v>
      </c>
      <c r="BQ20" s="697" t="n">
        <v>302</v>
      </c>
      <c r="BR20" s="314" t="n">
        <v>145</v>
      </c>
      <c r="BS20" s="697" t="n">
        <v>143</v>
      </c>
      <c r="BT20" s="697" t="n"/>
      <c r="BU20" s="697" t="n"/>
      <c r="BV20" s="697" t="n"/>
      <c r="BW20" s="697" t="n">
        <v>125</v>
      </c>
      <c r="BX20" s="697" t="n">
        <v>123</v>
      </c>
      <c r="BY20" s="697" t="n">
        <v>122</v>
      </c>
      <c r="BZ20" s="697" t="n">
        <v>122</v>
      </c>
      <c r="CA20" s="699" t="n">
        <v>122</v>
      </c>
      <c r="CB20" s="699" t="n">
        <v>122</v>
      </c>
      <c r="CC20" s="192">
        <f>CA20+IF(NOT(ISBLANK(OFFSET(CC20,0,6))),N(OFFSET(CC20,0,6)),N(OFFSET(CC20,0,7)))-CB20</f>
        <v/>
      </c>
      <c r="CE20" s="22" t="n"/>
      <c r="CF20" s="2" t="n"/>
      <c r="CG20" s="49" t="n"/>
      <c r="CH20" s="757" t="n">
        <v>0</v>
      </c>
      <c r="CI20" s="23" t="n">
        <v>0</v>
      </c>
      <c r="CJ20" s="23" t="n"/>
      <c r="CK20" s="23" t="n"/>
      <c r="CL20" s="219" t="n"/>
      <c r="CM20" s="23" t="n"/>
      <c r="CN20" s="23" t="n">
        <v>150</v>
      </c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19" t="n">
        <v>300</v>
      </c>
      <c r="CZ20" s="23" t="n"/>
      <c r="DA20" s="23" t="n"/>
      <c r="DB20" s="23" t="n"/>
      <c r="DC20" s="23" t="n"/>
      <c r="DD20" s="23" t="n"/>
      <c r="DE20" s="23" t="n">
        <v>150</v>
      </c>
      <c r="DF20" s="219" t="n"/>
      <c r="DG20" s="23" t="n"/>
      <c r="DH20" s="219" t="n"/>
      <c r="DI20" s="23" t="n"/>
      <c r="DJ20" s="23" t="n"/>
      <c r="DK20" s="23" t="n"/>
      <c r="DL20" s="23" t="n">
        <v>150</v>
      </c>
      <c r="DM20" s="23" t="n"/>
      <c r="DN20" s="23" t="n"/>
      <c r="DO20" s="23" t="n"/>
      <c r="DP20" s="23" t="n"/>
      <c r="DQ20" s="219" t="n"/>
      <c r="DR20" s="23" t="n"/>
      <c r="DS20" s="219" t="n"/>
      <c r="DT20" s="219" t="n"/>
      <c r="DU20" s="219" t="n"/>
      <c r="DV20" s="23" t="n"/>
      <c r="DW20" s="23" t="n"/>
      <c r="DX20" s="23" t="n"/>
      <c r="DY20" s="292" t="inlineStr">
        <is>
          <t>49 P/ SHN</t>
        </is>
      </c>
      <c r="DZ20" s="23" t="n"/>
      <c r="EA20" s="23" t="n"/>
      <c r="EB20" s="219" t="n"/>
      <c r="EC20" s="23" t="n"/>
      <c r="ED20" s="219" t="n"/>
      <c r="EE20" s="23" t="n"/>
      <c r="EF20" s="292" t="inlineStr">
        <is>
          <t>100 DE BSH</t>
        </is>
      </c>
      <c r="EG20" s="23" t="n"/>
      <c r="EH20" s="23" t="n"/>
      <c r="EI20" s="219" t="n"/>
      <c r="EJ20" s="23" t="n"/>
      <c r="EK20" s="23" t="n">
        <v>150</v>
      </c>
      <c r="EL20" s="23" t="n">
        <v>150</v>
      </c>
      <c r="EM20" s="23" t="n"/>
      <c r="EN20" s="23" t="n"/>
      <c r="EO20" s="219" t="n"/>
      <c r="EP20" s="23" t="n"/>
      <c r="EQ20" s="23" t="n"/>
      <c r="ER20" s="23" t="n"/>
      <c r="ES20" s="23" t="n"/>
      <c r="EU20" s="300" t="inlineStr">
        <is>
          <t>CAIXA P</t>
        </is>
      </c>
      <c r="EV20" s="162" t="n">
        <v>150</v>
      </c>
      <c r="EW20" s="697" t="n">
        <v>0</v>
      </c>
      <c r="EX20" s="697" t="n"/>
      <c r="EY20" s="697" t="n"/>
      <c r="EZ20" s="697" t="n">
        <v>17</v>
      </c>
      <c r="FA20" s="697" t="n">
        <v>16</v>
      </c>
      <c r="FB20" s="697" t="n">
        <v>1</v>
      </c>
      <c r="FC20" s="697" t="n">
        <v>1</v>
      </c>
      <c r="FD20" s="699" t="n"/>
      <c r="FE20" s="699" t="n"/>
      <c r="FF20" s="431">
        <f>FD20+IF(NOT(ISBLANK(OFFSET(FF20,0,6))),N(OFFSET(FF20,0,6)),N(OFFSET(FF20,0,7)))-FE20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133</v>
      </c>
      <c r="G21" s="697" t="n">
        <v>129</v>
      </c>
      <c r="H21" s="697" t="n">
        <v>129</v>
      </c>
      <c r="I21" s="697" t="n">
        <v>128</v>
      </c>
      <c r="J21" s="697" t="n">
        <v>127</v>
      </c>
      <c r="K21" s="697" t="n">
        <v>125</v>
      </c>
      <c r="L21" s="697" t="n">
        <v>115</v>
      </c>
      <c r="M21" s="697" t="n">
        <v>211</v>
      </c>
      <c r="N21" s="697" t="n">
        <v>208</v>
      </c>
      <c r="O21" s="697" t="n">
        <v>185</v>
      </c>
      <c r="P21" s="697">
        <f>162+EJ21</f>
        <v/>
      </c>
      <c r="Q21" s="697" t="n">
        <v>191</v>
      </c>
      <c r="R21" s="697">
        <f>167+EF21</f>
        <v/>
      </c>
      <c r="S21" s="697" t="n">
        <v>253</v>
      </c>
      <c r="T21" s="697" t="n">
        <v>243</v>
      </c>
      <c r="U21" s="697" t="n">
        <v>231</v>
      </c>
      <c r="V21" s="697" t="n">
        <v>225</v>
      </c>
      <c r="W21" s="697" t="n">
        <v>224</v>
      </c>
      <c r="X21" s="697" t="n">
        <v>224</v>
      </c>
      <c r="Y21" s="697" t="n">
        <v>215</v>
      </c>
      <c r="Z21" s="697" t="n">
        <v>210</v>
      </c>
      <c r="AA21" s="697" t="n">
        <v>199</v>
      </c>
      <c r="AB21" s="697" t="n">
        <v>194</v>
      </c>
      <c r="AC21" s="697" t="n">
        <v>190</v>
      </c>
      <c r="AD21" s="697" t="n">
        <v>173</v>
      </c>
      <c r="AE21" s="697" t="n">
        <v>164</v>
      </c>
      <c r="AF21" s="697" t="n">
        <v>153</v>
      </c>
      <c r="AG21" s="697" t="n">
        <v>140</v>
      </c>
      <c r="AH21" s="697" t="n">
        <v>126</v>
      </c>
      <c r="AI21" s="697" t="n">
        <v>103</v>
      </c>
      <c r="AJ21" s="697" t="n">
        <v>92</v>
      </c>
      <c r="AK21" s="697" t="n">
        <v>85</v>
      </c>
      <c r="AL21" s="697" t="n">
        <v>60</v>
      </c>
      <c r="AM21" s="697">
        <f>56+DJ21</f>
        <v/>
      </c>
      <c r="AN21" s="697" t="n">
        <v>142</v>
      </c>
      <c r="AO21" s="697" t="n">
        <v>124</v>
      </c>
      <c r="AP21" s="697" t="n">
        <v>107</v>
      </c>
      <c r="AQ21" s="697" t="n">
        <v>113</v>
      </c>
      <c r="AR21" s="697" t="n">
        <v>204</v>
      </c>
      <c r="AS21" s="697" t="n">
        <v>193</v>
      </c>
      <c r="AT21" s="697" t="n">
        <v>147</v>
      </c>
      <c r="AU21" s="697">
        <f>118+CZ21-30</f>
        <v/>
      </c>
      <c r="AV21" s="697" t="n">
        <v>203</v>
      </c>
      <c r="AW21" s="697">
        <f>178-50</f>
        <v/>
      </c>
      <c r="AX21" s="697" t="n">
        <v>79</v>
      </c>
      <c r="AY21" s="697" t="n">
        <v>73</v>
      </c>
      <c r="AZ21" s="697" t="n">
        <v>74</v>
      </c>
      <c r="BA21" s="697" t="n">
        <v>70</v>
      </c>
      <c r="BB21" s="697" t="n">
        <v>69</v>
      </c>
      <c r="BC21" s="697" t="n">
        <v>69</v>
      </c>
      <c r="BD21" s="697" t="n">
        <v>67</v>
      </c>
      <c r="BE21" s="697" t="n">
        <v>162</v>
      </c>
      <c r="BF21" s="697" t="n">
        <v>162</v>
      </c>
      <c r="BG21" s="697" t="n">
        <v>159</v>
      </c>
      <c r="BH21" s="697" t="n">
        <v>121</v>
      </c>
      <c r="BI21" s="697" t="n">
        <v>120</v>
      </c>
      <c r="BJ21" s="697" t="n">
        <v>117</v>
      </c>
      <c r="BK21" s="697" t="n">
        <v>115</v>
      </c>
      <c r="BL21" s="697" t="n">
        <v>103</v>
      </c>
      <c r="BM21" s="697" t="n">
        <v>101</v>
      </c>
      <c r="BN21" s="697">
        <f>95+CL21</f>
        <v/>
      </c>
      <c r="BO21" s="697" t="n">
        <v>184</v>
      </c>
      <c r="BP21" s="697" t="n">
        <v>266</v>
      </c>
      <c r="BQ21" s="697" t="n">
        <v>259</v>
      </c>
      <c r="BR21" s="697" t="n">
        <v>180</v>
      </c>
      <c r="BS21" s="697" t="n">
        <v>176</v>
      </c>
      <c r="BT21" s="697" t="n"/>
      <c r="BU21" s="697" t="n"/>
      <c r="BV21" s="697" t="n"/>
      <c r="BW21" s="697" t="n">
        <v>236</v>
      </c>
      <c r="BX21" s="697" t="n">
        <v>236</v>
      </c>
      <c r="BY21" s="697" t="n">
        <v>235</v>
      </c>
      <c r="BZ21" s="697" t="n">
        <v>235</v>
      </c>
      <c r="CA21" s="699" t="n">
        <v>235</v>
      </c>
      <c r="CB21" s="699" t="n">
        <v>235</v>
      </c>
      <c r="CC21" s="192">
        <f>CA21+IF(NOT(ISBLANK(OFFSET(CC21,0,6))),N(OFFSET(CC21,0,6)),N(OFFSET(CC21,0,7)))-CB21</f>
        <v/>
      </c>
      <c r="CD21" s="50" t="n"/>
      <c r="CE21" s="210" t="n"/>
      <c r="CF21" s="2" t="n"/>
      <c r="CG21" s="49" t="n"/>
      <c r="CH21" s="757" t="n">
        <v>0</v>
      </c>
      <c r="CI21" s="23" t="n">
        <v>0</v>
      </c>
      <c r="CJ21" s="23" t="n">
        <v>100</v>
      </c>
      <c r="CK21" s="23" t="n"/>
      <c r="CL21" s="219" t="n"/>
      <c r="CM21" s="23" t="n"/>
      <c r="CN21" s="23" t="n">
        <v>100</v>
      </c>
      <c r="CO21" s="23" t="n"/>
      <c r="CP21" s="23" t="n"/>
      <c r="CQ21" s="23" t="n"/>
      <c r="CR21" s="23" t="n"/>
      <c r="CS21" s="23" t="n"/>
      <c r="CT21" s="23" t="n">
        <v>100</v>
      </c>
      <c r="CU21" s="23" t="n"/>
      <c r="CV21" s="23" t="n"/>
      <c r="CW21" s="192" t="inlineStr">
        <is>
          <t>50 P/ Q7</t>
        </is>
      </c>
      <c r="CX21" s="23" t="n"/>
      <c r="CY21" s="219" t="n">
        <v>100</v>
      </c>
      <c r="CZ21" s="23" t="n"/>
      <c r="DA21" s="192" t="inlineStr">
        <is>
          <t>30 P/ Q7</t>
        </is>
      </c>
      <c r="DB21" s="23" t="n">
        <v>100</v>
      </c>
      <c r="DC21" s="23" t="n"/>
      <c r="DD21" s="23" t="n"/>
      <c r="DE21" s="23" t="n"/>
      <c r="DF21" s="219" t="n"/>
      <c r="DG21" s="23" t="n"/>
      <c r="DH21" s="437" t="inlineStr">
        <is>
          <t>10 DE SHN</t>
        </is>
      </c>
      <c r="DI21" s="23" t="n">
        <v>100</v>
      </c>
      <c r="DJ21" s="23" t="n"/>
      <c r="DK21" s="23" t="n"/>
      <c r="DL21" s="23" t="n">
        <v>100</v>
      </c>
      <c r="DM21" s="23" t="n"/>
      <c r="DN21" s="23" t="n"/>
      <c r="DO21" s="23" t="n"/>
      <c r="DP21" s="23" t="n"/>
      <c r="DQ21" s="219" t="n"/>
      <c r="DR21" s="23" t="n"/>
      <c r="DS21" s="219" t="n"/>
      <c r="DT21" s="292" t="inlineStr">
        <is>
          <t>30 DE Q7</t>
        </is>
      </c>
      <c r="DU21" s="219" t="n"/>
      <c r="DV21" s="23" t="n"/>
      <c r="DW21" s="23" t="n"/>
      <c r="DX21" s="23" t="n"/>
      <c r="DY21" s="292" t="inlineStr">
        <is>
          <t>35 P/ SHN</t>
        </is>
      </c>
      <c r="DZ21" s="23" t="n"/>
      <c r="EA21" s="23" t="n"/>
      <c r="EB21" s="376" t="inlineStr">
        <is>
          <t>30 DE Q7</t>
        </is>
      </c>
      <c r="EC21" s="23" t="n"/>
      <c r="ED21" s="219" t="n"/>
      <c r="EE21" s="23" t="n"/>
      <c r="EF21" s="219" t="n"/>
      <c r="EG21" s="23" t="n"/>
      <c r="EH21" s="23" t="n">
        <v>100</v>
      </c>
      <c r="EI21" s="219" t="n">
        <v>100</v>
      </c>
      <c r="EJ21" s="282" t="inlineStr">
        <is>
          <t>60 P. BSH</t>
        </is>
      </c>
      <c r="EK21" s="23" t="n"/>
      <c r="EL21" s="23" t="n">
        <v>100</v>
      </c>
      <c r="EM21" s="23" t="n"/>
      <c r="EN21" s="23" t="n">
        <v>100</v>
      </c>
      <c r="EO21" s="260" t="inlineStr">
        <is>
          <t>20 P/ BSH</t>
        </is>
      </c>
      <c r="EP21" s="292" t="inlineStr">
        <is>
          <t>21 P/ SHN</t>
        </is>
      </c>
      <c r="EQ21" s="23" t="n"/>
      <c r="ER21" s="23" t="n"/>
      <c r="ES21" s="23" t="n"/>
      <c r="EU21" s="65" t="inlineStr">
        <is>
          <t>CAIXA M</t>
        </is>
      </c>
      <c r="EV21" s="699" t="n">
        <v>100</v>
      </c>
      <c r="EW21" s="697" t="n">
        <v>0</v>
      </c>
      <c r="EX21" s="697" t="n"/>
      <c r="EY21" s="697" t="n"/>
      <c r="EZ21" s="697" t="n">
        <v>42</v>
      </c>
      <c r="FA21" s="697" t="n">
        <v>38</v>
      </c>
      <c r="FB21" s="697" t="n">
        <v>4</v>
      </c>
      <c r="FC21" s="697" t="n">
        <v>3</v>
      </c>
      <c r="FD21" s="699" t="n"/>
      <c r="FE21" s="699" t="n"/>
      <c r="FF21" s="431">
        <f>FD21+IF(NOT(ISBLANK(OFFSET(FF21,0,6))),N(OFFSET(FF21,0,6)),N(OFFSET(FF21,0,7)))-FE21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11</v>
      </c>
      <c r="G22" s="697" t="n">
        <v>15</v>
      </c>
      <c r="H22" s="697" t="n">
        <v>15</v>
      </c>
      <c r="I22" s="697" t="n">
        <v>15</v>
      </c>
      <c r="J22" s="697" t="n">
        <v>15</v>
      </c>
      <c r="K22" s="697" t="n">
        <v>13</v>
      </c>
      <c r="L22" s="697" t="n">
        <v>13</v>
      </c>
      <c r="M22" s="697" t="n">
        <v>13</v>
      </c>
      <c r="N22" s="697" t="n">
        <v>13</v>
      </c>
      <c r="O22" s="697" t="n">
        <v>13</v>
      </c>
      <c r="P22" s="697" t="n">
        <v>13</v>
      </c>
      <c r="Q22" s="697" t="n">
        <v>12</v>
      </c>
      <c r="R22" s="697" t="n">
        <v>12</v>
      </c>
      <c r="S22" s="697" t="n">
        <v>12</v>
      </c>
      <c r="T22" s="697" t="n">
        <v>12</v>
      </c>
      <c r="U22" s="697" t="n">
        <v>12</v>
      </c>
      <c r="V22" s="697" t="n">
        <v>12</v>
      </c>
      <c r="W22" s="697" t="n">
        <v>12</v>
      </c>
      <c r="X22" s="697" t="n">
        <v>12</v>
      </c>
      <c r="Y22" s="697" t="n">
        <v>12</v>
      </c>
      <c r="Z22" s="697" t="n">
        <v>10</v>
      </c>
      <c r="AA22" s="697" t="n">
        <v>10</v>
      </c>
      <c r="AB22" s="697" t="n">
        <v>10</v>
      </c>
      <c r="AC22" s="697" t="n">
        <v>10</v>
      </c>
      <c r="AD22" s="697" t="n">
        <v>8</v>
      </c>
      <c r="AE22" s="697" t="n">
        <v>6</v>
      </c>
      <c r="AF22" s="697" t="n">
        <v>6</v>
      </c>
      <c r="AG22" s="697" t="n">
        <v>5</v>
      </c>
      <c r="AH22" s="697" t="n">
        <v>5</v>
      </c>
      <c r="AI22" s="697" t="n">
        <v>4</v>
      </c>
      <c r="AJ22" s="697" t="n">
        <v>4</v>
      </c>
      <c r="AK22" s="697" t="n">
        <v>4</v>
      </c>
      <c r="AL22" s="697" t="n">
        <v>4</v>
      </c>
      <c r="AM22" s="697" t="n">
        <v>3</v>
      </c>
      <c r="AN22" s="697" t="n">
        <v>2</v>
      </c>
      <c r="AO22" s="697">
        <f>1+20</f>
        <v/>
      </c>
      <c r="AP22" s="697" t="n">
        <v>20</v>
      </c>
      <c r="AQ22" s="697" t="n">
        <v>19</v>
      </c>
      <c r="AR22" s="697" t="n">
        <v>19</v>
      </c>
      <c r="AS22" s="697" t="n">
        <v>19</v>
      </c>
      <c r="AT22" s="697" t="n">
        <v>19</v>
      </c>
      <c r="AU22" s="697" t="n">
        <v>19</v>
      </c>
      <c r="AV22" s="697" t="n">
        <v>19</v>
      </c>
      <c r="AW22" s="697" t="n">
        <v>19</v>
      </c>
      <c r="AX22" s="697" t="n">
        <v>19</v>
      </c>
      <c r="AY22" s="697" t="n">
        <v>19</v>
      </c>
      <c r="AZ22" s="697" t="n">
        <v>19</v>
      </c>
      <c r="BA22" s="697" t="n">
        <v>19</v>
      </c>
      <c r="BB22" s="697" t="n">
        <v>18</v>
      </c>
      <c r="BC22" s="697" t="n">
        <v>18</v>
      </c>
      <c r="BD22" s="697" t="n">
        <v>18</v>
      </c>
      <c r="BE22" s="697" t="n">
        <v>18</v>
      </c>
      <c r="BF22" s="697" t="n">
        <v>17</v>
      </c>
      <c r="BG22" s="697" t="n">
        <v>17</v>
      </c>
      <c r="BH22" s="697" t="n">
        <v>17</v>
      </c>
      <c r="BI22" s="697" t="n">
        <v>16</v>
      </c>
      <c r="BJ22" s="697" t="n">
        <v>16</v>
      </c>
      <c r="BK22" s="697" t="n">
        <v>16</v>
      </c>
      <c r="BL22" s="697" t="n">
        <v>16</v>
      </c>
      <c r="BM22" s="697" t="n">
        <v>16</v>
      </c>
      <c r="BN22" s="697" t="n">
        <v>16</v>
      </c>
      <c r="BO22" s="697" t="n">
        <v>16</v>
      </c>
      <c r="BP22" s="697" t="n">
        <v>16</v>
      </c>
      <c r="BQ22" s="697" t="n">
        <v>15</v>
      </c>
      <c r="BR22" s="697" t="n">
        <v>15</v>
      </c>
      <c r="BS22" s="697" t="n">
        <v>15</v>
      </c>
      <c r="BT22" s="697" t="n">
        <v>15</v>
      </c>
      <c r="BU22" s="697" t="n">
        <v>15</v>
      </c>
      <c r="BV22" s="697" t="n">
        <v>15</v>
      </c>
      <c r="BW22" s="697" t="n">
        <v>15</v>
      </c>
      <c r="BX22" s="697" t="n">
        <v>15</v>
      </c>
      <c r="BY22" s="697" t="n">
        <v>12</v>
      </c>
      <c r="BZ22" s="697" t="n">
        <v>11</v>
      </c>
      <c r="CA22" s="699" t="n">
        <v>11</v>
      </c>
      <c r="CB22" s="699" t="n">
        <v>11</v>
      </c>
      <c r="CC22" s="192">
        <f>CA22+IF(NOT(ISBLANK(OFFSET(CC22,0,6))),N(OFFSET(CC22,0,6)),N(OFFSET(CC22,0,7)))-CB22</f>
        <v/>
      </c>
      <c r="CD22" s="50" t="n"/>
      <c r="CE22" s="210" t="n"/>
      <c r="CF22" s="726" t="n"/>
      <c r="CG22" s="49" t="n"/>
      <c r="CH22" s="757" t="n">
        <v>0</v>
      </c>
      <c r="CI22" s="23" t="n">
        <v>0</v>
      </c>
      <c r="CJ22" s="23" t="n"/>
      <c r="CK22" s="23" t="n"/>
      <c r="CL22" s="219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443" t="n">
        <v>200</v>
      </c>
      <c r="CZ22" s="23" t="n"/>
      <c r="DA22" s="23" t="n"/>
      <c r="DB22" s="23" t="n"/>
      <c r="DC22" s="23" t="n"/>
      <c r="DD22" s="23" t="n"/>
      <c r="DE22" s="23" t="n"/>
      <c r="DF22" s="219" t="n"/>
      <c r="DG22" s="23" t="n"/>
      <c r="DH22" s="219" t="n"/>
      <c r="DI22" s="23" t="n"/>
      <c r="DJ22" s="192" t="inlineStr">
        <is>
          <t>20 DE BSH</t>
        </is>
      </c>
      <c r="DK22" s="23" t="n"/>
      <c r="DL22" s="23" t="n"/>
      <c r="DM22" s="23" t="n"/>
      <c r="DN22" s="23" t="n"/>
      <c r="DO22" s="23" t="n"/>
      <c r="DP22" s="23" t="n"/>
      <c r="DQ22" s="219" t="n"/>
      <c r="DR22" s="23" t="n"/>
      <c r="DS22" s="219" t="n"/>
      <c r="DT22" s="219" t="n"/>
      <c r="DU22" s="219" t="n"/>
      <c r="DV22" s="23" t="n"/>
      <c r="DW22" s="23" t="n"/>
      <c r="DX22" s="23" t="n"/>
      <c r="DY22" s="219" t="n"/>
      <c r="DZ22" s="23" t="n"/>
      <c r="EA22" s="23" t="n"/>
      <c r="EB22" s="376" t="inlineStr">
        <is>
          <t>50 DE Q7</t>
        </is>
      </c>
      <c r="EC22" s="23" t="n"/>
      <c r="ED22" s="219" t="n"/>
      <c r="EE22" s="23" t="n"/>
      <c r="EF22" s="219" t="n"/>
      <c r="EG22" s="23" t="n"/>
      <c r="EH22" s="23" t="n"/>
      <c r="EI22" s="219" t="n"/>
      <c r="EJ22" s="23" t="n"/>
      <c r="EK22" s="23" t="n"/>
      <c r="EL22" s="23" t="n"/>
      <c r="EM22" s="23" t="n"/>
      <c r="EN22" s="23" t="n"/>
      <c r="EO22" s="219" t="n"/>
      <c r="EP22" s="23" t="n"/>
      <c r="EQ22" s="23" t="n"/>
      <c r="ER22" s="23" t="n"/>
      <c r="ES22" s="23" t="n"/>
      <c r="EU22" s="66" t="inlineStr">
        <is>
          <t>CARTUCHO P</t>
        </is>
      </c>
      <c r="EV22" s="699" t="n">
        <v>200</v>
      </c>
      <c r="EW22" s="697" t="n">
        <v>0</v>
      </c>
      <c r="EX22" s="697" t="n"/>
      <c r="EY22" s="697" t="n"/>
      <c r="EZ22" s="697" t="n">
        <v>0</v>
      </c>
      <c r="FA22" s="697" t="n">
        <v>0</v>
      </c>
      <c r="FB22" s="697" t="n">
        <v>0</v>
      </c>
      <c r="FC22" s="697" t="n">
        <v>0</v>
      </c>
      <c r="FD22" s="699" t="n"/>
      <c r="FE22" s="699" t="n"/>
      <c r="FF22" s="431">
        <f>FD22+IF(NOT(ISBLANK(OFFSET(FF22,0,6))),N(OFFSET(FF22,0,6)),N(OFFSET(FF22,0,7)))-FE22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 t="n">
        <v>0</v>
      </c>
      <c r="BE23" s="697" t="n">
        <v>150</v>
      </c>
      <c r="BF23" s="697" t="n">
        <v>150</v>
      </c>
      <c r="BG23" s="697" t="n">
        <v>150</v>
      </c>
      <c r="BH23" s="697" t="n">
        <v>100</v>
      </c>
      <c r="BI23" s="697" t="n">
        <v>100</v>
      </c>
      <c r="BJ23" s="697" t="n">
        <v>97</v>
      </c>
      <c r="BK23" s="697" t="n">
        <v>90</v>
      </c>
      <c r="BL23" s="697" t="n">
        <v>86</v>
      </c>
      <c r="BM23" s="697" t="n">
        <v>81</v>
      </c>
      <c r="BN23" s="697" t="n">
        <v>78</v>
      </c>
      <c r="BO23" s="697" t="n">
        <v>78</v>
      </c>
      <c r="BP23" s="697" t="n">
        <v>6</v>
      </c>
      <c r="BQ23" s="697">
        <f>4+CK23</f>
        <v/>
      </c>
      <c r="BR23" s="697" t="n">
        <v>151</v>
      </c>
      <c r="BS23" s="697" t="n">
        <v>142</v>
      </c>
      <c r="BT23" s="697" t="n"/>
      <c r="BU23" s="697" t="n"/>
      <c r="BV23" s="697" t="n"/>
      <c r="BW23" s="697" t="n">
        <v>179</v>
      </c>
      <c r="BX23" s="697" t="n">
        <v>178</v>
      </c>
      <c r="BY23" s="697" t="n">
        <v>177</v>
      </c>
      <c r="BZ23" s="697" t="n">
        <v>175</v>
      </c>
      <c r="CA23" s="699" t="n">
        <v>175</v>
      </c>
      <c r="CB23" s="699" t="n">
        <v>175</v>
      </c>
      <c r="CC23" s="192">
        <f>CA23+IF(NOT(ISBLANK(OFFSET(CC23,0,6))),N(OFFSET(CC23,0,6)),N(OFFSET(CC23,0,7)))-CB23</f>
        <v/>
      </c>
      <c r="CD23" s="50" t="n"/>
      <c r="CE23" s="210" t="n"/>
      <c r="CG23" s="49" t="n"/>
      <c r="CH23" s="757" t="n">
        <v>0</v>
      </c>
      <c r="CI23" s="23" t="n">
        <v>0</v>
      </c>
      <c r="CJ23" s="23" t="n"/>
      <c r="CK23" s="23" t="n"/>
      <c r="CL23" s="219" t="n">
        <v>150</v>
      </c>
      <c r="CM23" s="23" t="n">
        <v>150</v>
      </c>
      <c r="CN23" s="23" t="n"/>
      <c r="CO23" s="23" t="n"/>
      <c r="CP23" s="23" t="n"/>
      <c r="CQ23" s="23" t="n"/>
      <c r="CR23" s="23" t="n"/>
      <c r="CS23" s="23" t="n"/>
      <c r="CT23" s="23" t="n">
        <v>150</v>
      </c>
      <c r="CU23" s="330" t="n"/>
      <c r="CV23" s="330" t="n"/>
      <c r="CW23" s="330" t="n"/>
      <c r="CX23" s="330" t="n"/>
      <c r="CY23" s="326" t="n">
        <v>150</v>
      </c>
      <c r="DF23" s="5" t="n"/>
      <c r="DH23" s="5" t="n"/>
      <c r="DP23" s="417" t="inlineStr">
        <is>
          <t>15 P/ SHN</t>
        </is>
      </c>
      <c r="DQ23" s="292" t="inlineStr">
        <is>
          <t>46 P/ BSH</t>
        </is>
      </c>
      <c r="DS23" s="219" t="n">
        <v>25</v>
      </c>
      <c r="DT23" s="5" t="n"/>
      <c r="DU23" s="5" t="n"/>
      <c r="EB23" s="5" t="n"/>
      <c r="ED23" s="5" t="n"/>
      <c r="EI23" s="326" t="n">
        <v>200</v>
      </c>
      <c r="EU23" s="66" t="inlineStr">
        <is>
          <t>CARTUCHO M</t>
        </is>
      </c>
      <c r="EV23" s="699" t="n">
        <v>150</v>
      </c>
      <c r="EW23" s="697">
        <f>CJ23</f>
        <v/>
      </c>
      <c r="EX23" s="697" t="n"/>
      <c r="EY23" s="697" t="n"/>
      <c r="EZ23" s="697" t="n">
        <v>126</v>
      </c>
      <c r="FA23" s="697" t="n">
        <v>113</v>
      </c>
      <c r="FB23" s="697" t="n">
        <v>24</v>
      </c>
      <c r="FC23" s="697" t="n">
        <v>5</v>
      </c>
      <c r="FD23" s="699" t="n"/>
      <c r="FE23" s="699" t="n"/>
      <c r="FF23" s="431">
        <f>FD23+IF(NOT(ISBLANK(OFFSET(FF23,0,6))),N(OFFSET(FF23,0,6)),N(OFFSET(FF23,0,7)))-FE23</f>
        <v/>
      </c>
    </row>
    <row r="24">
      <c r="CD24" s="50" t="n"/>
      <c r="CL24" s="5" t="n"/>
      <c r="CY24" s="5" t="n"/>
      <c r="DF24" s="5" t="n"/>
      <c r="DH24" s="5" t="n"/>
      <c r="DP24" s="417" t="inlineStr">
        <is>
          <t>15 P/ SHN</t>
        </is>
      </c>
      <c r="DS24" s="219" t="n">
        <v>25</v>
      </c>
      <c r="DT24" s="5" t="n"/>
      <c r="DU24" s="5" t="n"/>
      <c r="EB24" s="5" t="n"/>
      <c r="ED24" s="5" t="n"/>
      <c r="EI24" s="326" t="n">
        <v>150</v>
      </c>
    </row>
    <row r="25" ht="18.75" customHeight="1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45699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46161.48023899306</v>
      </c>
      <c r="CB25" s="747" t="n">
        <v>46161.48089707761</v>
      </c>
      <c r="CC25" s="758" t="inlineStr">
        <is>
          <t>USOU</t>
        </is>
      </c>
      <c r="CD25" s="50" t="n"/>
      <c r="CL25" s="5" t="n"/>
      <c r="CY25" s="5" t="n"/>
      <c r="DF25" s="5" t="n"/>
      <c r="DH25" s="5" t="n"/>
      <c r="DP25" s="417" t="inlineStr">
        <is>
          <t>15 P/ SHN</t>
        </is>
      </c>
      <c r="DQ25" s="327" t="n"/>
      <c r="DS25" s="219" t="n">
        <v>25</v>
      </c>
      <c r="DT25" s="5" t="n"/>
      <c r="DU25" s="5" t="n"/>
      <c r="DY25" s="327" t="n"/>
      <c r="EB25" s="5" t="n"/>
      <c r="ED25" s="5" t="n"/>
      <c r="EF25" s="327" t="n"/>
      <c r="EI25" s="327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21</v>
      </c>
      <c r="G26" s="697" t="n">
        <v>21</v>
      </c>
      <c r="H26" s="697">
        <f>21-21</f>
        <v/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192">
        <f>CA26+IF(NOT(ISBLANK(OFFSET(CC26,0,6))),N(OFFSET(CC26,0,6)),N(OFFSET(CC26,0,7)))-CB26</f>
        <v/>
      </c>
      <c r="CD26" s="50" t="n"/>
      <c r="CL26" s="5" t="n"/>
      <c r="CY26" s="5" t="n"/>
      <c r="DF26" s="5" t="n"/>
      <c r="DH26" s="5" t="n"/>
      <c r="DQ26" s="327" t="n"/>
      <c r="DS26" s="5" t="n"/>
      <c r="DT26" s="5" t="n"/>
      <c r="DU26" s="5" t="n"/>
      <c r="DY26" s="327" t="n"/>
      <c r="EB26" s="5" t="n"/>
      <c r="ED26" s="5" t="n"/>
      <c r="EF26" s="327" t="n"/>
      <c r="EI26" s="327" t="n"/>
    </row>
    <row r="27" ht="18.75" customHeight="1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174</v>
      </c>
      <c r="G27" s="697" t="n">
        <v>174</v>
      </c>
      <c r="H27" s="697" t="n">
        <v>169</v>
      </c>
      <c r="I27" s="697" t="n">
        <v>169</v>
      </c>
      <c r="J27" s="697" t="n">
        <v>169</v>
      </c>
      <c r="K27" s="697" t="n">
        <v>169</v>
      </c>
      <c r="L27" s="697" t="n">
        <v>169</v>
      </c>
      <c r="M27" s="697" t="n">
        <v>169</v>
      </c>
      <c r="N27" s="697" t="n">
        <v>168</v>
      </c>
      <c r="O27" s="697" t="n">
        <v>169</v>
      </c>
      <c r="P27" s="697" t="n">
        <v>169</v>
      </c>
      <c r="Q27" s="697" t="n">
        <v>169</v>
      </c>
      <c r="R27" s="697" t="n">
        <v>168</v>
      </c>
      <c r="S27" s="697" t="n">
        <v>168</v>
      </c>
      <c r="T27" s="697" t="n">
        <v>167</v>
      </c>
      <c r="U27" s="697" t="n">
        <v>164</v>
      </c>
      <c r="V27" s="697" t="n">
        <v>164</v>
      </c>
      <c r="W27" s="697" t="n">
        <v>163</v>
      </c>
      <c r="X27" s="697" t="n">
        <v>161</v>
      </c>
      <c r="Y27" s="697" t="n">
        <v>161</v>
      </c>
      <c r="Z27" s="697" t="n">
        <v>157</v>
      </c>
      <c r="AA27" s="697" t="n">
        <v>157</v>
      </c>
      <c r="AB27" s="697" t="n">
        <v>156</v>
      </c>
      <c r="AC27" s="697" t="n">
        <v>155</v>
      </c>
      <c r="AD27" s="697" t="n">
        <v>154</v>
      </c>
      <c r="AE27" s="697" t="n">
        <v>152</v>
      </c>
      <c r="AF27" s="697" t="n">
        <v>154</v>
      </c>
      <c r="AG27" s="697" t="n">
        <v>154</v>
      </c>
      <c r="AH27" s="697" t="n">
        <v>154</v>
      </c>
      <c r="AI27" s="697" t="n">
        <v>150</v>
      </c>
      <c r="AJ27" s="697" t="n">
        <v>147</v>
      </c>
      <c r="AK27" s="697" t="n">
        <v>147</v>
      </c>
      <c r="AL27" s="697" t="n">
        <v>146</v>
      </c>
      <c r="AM27" s="697" t="n">
        <v>146</v>
      </c>
      <c r="AN27" s="697" t="n">
        <v>145</v>
      </c>
      <c r="AO27" s="697" t="n">
        <v>145</v>
      </c>
      <c r="AP27" s="697" t="n">
        <v>145</v>
      </c>
      <c r="AQ27" s="697" t="n">
        <v>142</v>
      </c>
      <c r="AR27" s="697" t="n">
        <v>142</v>
      </c>
      <c r="AS27" s="697" t="n">
        <v>143</v>
      </c>
      <c r="AT27" s="697" t="n">
        <v>143</v>
      </c>
      <c r="AU27" s="697" t="n">
        <v>141</v>
      </c>
      <c r="AV27" s="697" t="n">
        <v>140</v>
      </c>
      <c r="AW27" s="697" t="n">
        <v>138</v>
      </c>
      <c r="AX27" s="697" t="n">
        <v>136</v>
      </c>
      <c r="AY27" s="697" t="n">
        <v>136</v>
      </c>
      <c r="AZ27" s="697" t="n">
        <v>136</v>
      </c>
      <c r="BA27" s="697" t="n">
        <v>136</v>
      </c>
      <c r="BB27" s="697" t="n">
        <v>136</v>
      </c>
      <c r="BC27" s="697" t="n">
        <v>134</v>
      </c>
      <c r="BD27" s="697" t="n">
        <v>132</v>
      </c>
      <c r="BE27" s="697" t="n">
        <v>123</v>
      </c>
      <c r="BF27" s="697" t="n">
        <v>94</v>
      </c>
      <c r="BG27" s="697" t="n">
        <v>94</v>
      </c>
      <c r="BH27" s="697" t="n">
        <v>94</v>
      </c>
      <c r="BI27" s="697" t="n">
        <v>94</v>
      </c>
      <c r="BJ27" s="697" t="n">
        <v>93</v>
      </c>
      <c r="BK27" s="697" t="n">
        <v>93</v>
      </c>
      <c r="BL27" s="697" t="n">
        <v>93</v>
      </c>
      <c r="BM27" s="697" t="n">
        <v>92</v>
      </c>
      <c r="BN27" s="697" t="n">
        <v>92</v>
      </c>
      <c r="BO27" s="697" t="n">
        <v>91</v>
      </c>
      <c r="BP27" s="697" t="n">
        <v>91</v>
      </c>
      <c r="BQ27" s="697" t="n">
        <v>91</v>
      </c>
      <c r="BR27" s="697" t="n">
        <v>91</v>
      </c>
      <c r="BS27" s="697" t="n">
        <v>91</v>
      </c>
      <c r="BT27" s="697" t="n">
        <v>91</v>
      </c>
      <c r="BU27" s="697" t="n">
        <v>91</v>
      </c>
      <c r="BV27" s="697" t="n">
        <v>91</v>
      </c>
      <c r="BW27" s="697" t="n">
        <v>91</v>
      </c>
      <c r="BX27" s="697" t="n">
        <v>90</v>
      </c>
      <c r="BY27" s="697" t="n">
        <v>91</v>
      </c>
      <c r="BZ27" s="697" t="n">
        <v>91</v>
      </c>
      <c r="CA27" s="699" t="n">
        <v>91</v>
      </c>
      <c r="CB27" s="699" t="n">
        <v>91</v>
      </c>
      <c r="CC27" s="192">
        <f>CA27+IF(NOT(ISBLANK(OFFSET(CC27,0,6))),N(OFFSET(CC27,0,6)),N(OFFSET(CC27,0,7)))-CB27</f>
        <v/>
      </c>
      <c r="CD27" s="50" t="n"/>
      <c r="CL27" s="5" t="n"/>
      <c r="CY27" s="5" t="n"/>
      <c r="DF27" s="5" t="n"/>
      <c r="DH27" s="5" t="n"/>
      <c r="DQ27" s="327" t="n"/>
      <c r="DS27" s="5" t="n"/>
      <c r="DT27" s="5" t="n"/>
      <c r="DU27" s="5" t="n"/>
      <c r="DY27" s="327" t="n"/>
      <c r="EB27" s="5" t="n"/>
      <c r="ED27" s="5" t="n"/>
      <c r="EF27" s="327" t="n"/>
      <c r="EI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59</v>
      </c>
      <c r="G28" s="699" t="n">
        <v>49</v>
      </c>
      <c r="H28" s="697" t="n">
        <v>33</v>
      </c>
      <c r="I28" s="697" t="n">
        <v>20</v>
      </c>
      <c r="J28" s="697" t="n">
        <v>12</v>
      </c>
      <c r="K28" s="697" t="n">
        <v>3</v>
      </c>
      <c r="L28" s="697" t="n">
        <v>2</v>
      </c>
      <c r="M28" s="697" t="n">
        <v>2</v>
      </c>
      <c r="N28" s="697" t="n">
        <v>1</v>
      </c>
      <c r="O28" s="697" t="n">
        <v>1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192">
        <f>CA28+IF(NOT(ISBLANK(OFFSET(CC28,0,6))),N(OFFSET(CC28,0,6)),N(OFFSET(CC28,0,7)))-CB28</f>
        <v/>
      </c>
      <c r="CD28" s="50" t="n"/>
      <c r="CL28" s="5" t="n"/>
      <c r="CY28" s="5" t="n"/>
      <c r="DF28" s="5" t="n"/>
      <c r="DH28" s="5" t="n"/>
      <c r="DQ28" s="327" t="n"/>
      <c r="DS28" s="5" t="n"/>
      <c r="DT28" s="5" t="n"/>
      <c r="DU28" s="5" t="n"/>
      <c r="DY28" s="327" t="n"/>
      <c r="EB28" s="5" t="n"/>
      <c r="ED28" s="5" t="n"/>
      <c r="EF28" s="327" t="n"/>
      <c r="EI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137</v>
      </c>
      <c r="G29" s="699" t="n">
        <v>128</v>
      </c>
      <c r="H29" s="697" t="n">
        <v>104</v>
      </c>
      <c r="I29" s="697" t="n">
        <v>94</v>
      </c>
      <c r="J29" s="697" t="n">
        <v>82</v>
      </c>
      <c r="K29" s="697">
        <f>72-20</f>
        <v/>
      </c>
      <c r="L29" s="697" t="n">
        <v>43</v>
      </c>
      <c r="M29" s="697" t="n">
        <v>35</v>
      </c>
      <c r="N29" s="697" t="n">
        <v>28</v>
      </c>
      <c r="O29" s="697" t="n">
        <v>23</v>
      </c>
      <c r="P29" s="697" t="n">
        <v>7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192">
        <f>CA29+IF(NOT(ISBLANK(OFFSET(CC29,0,6))),N(OFFSET(CC29,0,6)),N(OFFSET(CC29,0,7)))-CB29</f>
        <v/>
      </c>
      <c r="CD29" s="50" t="n"/>
      <c r="CL29" s="5" t="n"/>
      <c r="CY29" s="5" t="n"/>
      <c r="DQ29" s="327" t="n"/>
      <c r="DS29" s="5" t="n"/>
      <c r="DT29" s="5" t="n"/>
      <c r="DU29" s="5" t="n"/>
      <c r="DY29" s="327" t="n"/>
      <c r="EF29" s="327" t="n"/>
      <c r="EI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192">
        <f>CA30+IF(NOT(ISBLANK(OFFSET(CC30,0,6))),N(OFFSET(CC30,0,6)),N(OFFSET(CC30,0,7)))-CB30</f>
        <v/>
      </c>
      <c r="CD30" s="50" t="n"/>
      <c r="CL30" s="5" t="n"/>
      <c r="CY30" s="5" t="n"/>
      <c r="DQ30" s="327" t="n"/>
      <c r="DS30" s="5" t="n"/>
      <c r="DT30" s="5" t="n"/>
      <c r="DU30" s="5" t="n"/>
      <c r="DY30" s="327" t="n"/>
      <c r="EF30" s="327" t="n"/>
      <c r="EI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1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192">
        <f>CA31+IF(NOT(ISBLANK(OFFSET(CC31,0,6))),N(OFFSET(CC31,0,6)),N(OFFSET(CC31,0,7)))-CB31</f>
        <v/>
      </c>
      <c r="CD31" s="50" t="n"/>
      <c r="CL31" s="5" t="n"/>
      <c r="CY31" s="5" t="n"/>
      <c r="DQ31" s="327" t="n"/>
      <c r="DS31" s="5" t="n"/>
      <c r="DT31" s="5" t="n"/>
      <c r="DU31" s="5" t="n"/>
      <c r="DY31" s="327" t="n"/>
      <c r="EF31" s="327" t="n"/>
      <c r="EI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6</v>
      </c>
      <c r="G32" s="699" t="n">
        <v>4</v>
      </c>
      <c r="H32" s="697" t="n">
        <v>1</v>
      </c>
      <c r="I32" s="697" t="n">
        <v>1</v>
      </c>
      <c r="J32" s="697" t="n">
        <v>1</v>
      </c>
      <c r="K32" s="697" t="n">
        <v>1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192">
        <f>CA32+IF(NOT(ISBLANK(OFFSET(CC32,0,6))),N(OFFSET(CC32,0,6)),N(OFFSET(CC32,0,7)))-CB32</f>
        <v/>
      </c>
      <c r="CD32" s="50" t="n"/>
      <c r="CL32" s="5" t="n"/>
      <c r="CY32" s="5" t="n"/>
      <c r="DQ32" s="327" t="n"/>
      <c r="DS32" s="5" t="n"/>
      <c r="DT32" s="5" t="n"/>
      <c r="DU32" s="5" t="n"/>
      <c r="DY32" s="327" t="n"/>
      <c r="EF32" s="327" t="n"/>
      <c r="EI32" s="327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>
        <v>0</v>
      </c>
      <c r="BA33" s="314" t="n">
        <v>17</v>
      </c>
      <c r="BB33" s="697" t="n">
        <v>17</v>
      </c>
      <c r="BC33" s="697" t="n">
        <v>17</v>
      </c>
      <c r="BD33" s="697" t="n">
        <v>10</v>
      </c>
      <c r="BE33" s="697" t="n">
        <v>7</v>
      </c>
      <c r="BF33" s="697" t="n">
        <v>2</v>
      </c>
      <c r="BG33" s="697" t="n">
        <v>2</v>
      </c>
      <c r="BH33" s="697" t="n">
        <v>2</v>
      </c>
      <c r="BI33" s="697" t="n">
        <v>2</v>
      </c>
      <c r="BJ33" s="697" t="n">
        <v>2</v>
      </c>
      <c r="BK33" s="697" t="n">
        <v>2</v>
      </c>
      <c r="BL33" s="697" t="n">
        <v>2</v>
      </c>
      <c r="BM33" s="697" t="n">
        <v>2</v>
      </c>
      <c r="BN33" s="697" t="n">
        <v>2</v>
      </c>
      <c r="BO33" s="697" t="n">
        <v>2</v>
      </c>
      <c r="BP33" s="697" t="n">
        <v>2</v>
      </c>
      <c r="BQ33" s="697" t="n">
        <v>2</v>
      </c>
      <c r="BR33" s="697" t="n">
        <v>2</v>
      </c>
      <c r="BS33" s="697" t="n">
        <v>2</v>
      </c>
      <c r="BT33" s="697" t="n">
        <v>2</v>
      </c>
      <c r="BU33" s="697" t="n">
        <v>2</v>
      </c>
      <c r="BV33" s="697" t="n">
        <v>2</v>
      </c>
      <c r="BW33" s="697" t="n">
        <v>2</v>
      </c>
      <c r="BX33" s="697" t="n">
        <v>2</v>
      </c>
      <c r="BY33" s="697" t="n">
        <v>2</v>
      </c>
      <c r="BZ33" s="697" t="n">
        <v>2</v>
      </c>
      <c r="CA33" s="699" t="n">
        <v>2</v>
      </c>
      <c r="CB33" s="699" t="n">
        <v>2</v>
      </c>
      <c r="CC33" s="192">
        <f>CA33+IF(NOT(ISBLANK(OFFSET(CC33,0,6))),N(OFFSET(CC33,0,6)),N(OFFSET(CC33,0,7)))-CB33</f>
        <v/>
      </c>
      <c r="CD33" s="50" t="n"/>
      <c r="CL33" s="5" t="n"/>
      <c r="CY33" s="5" t="n"/>
      <c r="DQ33" s="327" t="n"/>
      <c r="DS33" s="5" t="n"/>
      <c r="DT33" s="5" t="n"/>
      <c r="DU33" s="5" t="n"/>
      <c r="DY33" s="327" t="n"/>
      <c r="EF33" s="327" t="n"/>
      <c r="EI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1</v>
      </c>
      <c r="I34" s="697" t="n">
        <v>1</v>
      </c>
      <c r="J34" s="697" t="n">
        <v>1</v>
      </c>
      <c r="K34" s="697" t="n">
        <v>1</v>
      </c>
      <c r="L34" s="697" t="n">
        <v>1</v>
      </c>
      <c r="M34" s="697" t="n">
        <v>1</v>
      </c>
      <c r="N34" s="697" t="n">
        <v>1</v>
      </c>
      <c r="O34" s="697" t="n">
        <v>1</v>
      </c>
      <c r="P34" s="697" t="n">
        <v>1</v>
      </c>
      <c r="Q34" s="697" t="n">
        <v>1</v>
      </c>
      <c r="R34" s="697" t="n">
        <v>1</v>
      </c>
      <c r="S34" s="697" t="n">
        <v>1</v>
      </c>
      <c r="T34" s="697" t="n">
        <v>1</v>
      </c>
      <c r="U34" s="697" t="n">
        <v>1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>
        <v>0</v>
      </c>
      <c r="BA34" s="314" t="n">
        <v>30</v>
      </c>
      <c r="BB34" s="697" t="n">
        <v>30</v>
      </c>
      <c r="BC34" s="697" t="n">
        <v>30</v>
      </c>
      <c r="BD34" s="697" t="n">
        <v>10</v>
      </c>
      <c r="BE34" s="697" t="n">
        <v>4</v>
      </c>
      <c r="BF34" s="697" t="n">
        <v>1</v>
      </c>
      <c r="BG34" s="697" t="n">
        <v>1</v>
      </c>
      <c r="BH34" s="697" t="n">
        <v>1</v>
      </c>
      <c r="BI34" s="697" t="n">
        <v>1</v>
      </c>
      <c r="BJ34" s="697" t="n">
        <v>1</v>
      </c>
      <c r="BK34" s="697" t="n">
        <v>1</v>
      </c>
      <c r="BL34" s="697" t="n">
        <v>1</v>
      </c>
      <c r="BM34" s="697" t="n">
        <v>1</v>
      </c>
      <c r="BN34" s="697" t="n">
        <v>1</v>
      </c>
      <c r="BO34" s="697" t="n">
        <v>1</v>
      </c>
      <c r="BP34" s="697" t="n">
        <v>1</v>
      </c>
      <c r="BQ34" s="697" t="n">
        <v>1</v>
      </c>
      <c r="BR34" s="697" t="n">
        <v>1</v>
      </c>
      <c r="BS34" s="697" t="n">
        <v>1</v>
      </c>
      <c r="BT34" s="697" t="n">
        <v>1</v>
      </c>
      <c r="BU34" s="697" t="n">
        <v>1</v>
      </c>
      <c r="BV34" s="697" t="n">
        <v>1</v>
      </c>
      <c r="BW34" s="697" t="n">
        <v>1</v>
      </c>
      <c r="BX34" s="697" t="n">
        <v>1</v>
      </c>
      <c r="BY34" s="697" t="n">
        <v>1</v>
      </c>
      <c r="BZ34" s="697" t="n">
        <v>1</v>
      </c>
      <c r="CA34" s="699" t="n">
        <v>1</v>
      </c>
      <c r="CB34" s="699" t="n">
        <v>1</v>
      </c>
      <c r="CC34" s="192">
        <f>CA34+IF(NOT(ISBLANK(OFFSET(CC34,0,6))),N(OFFSET(CC34,0,6)),N(OFFSET(CC34,0,7)))-CB34</f>
        <v/>
      </c>
      <c r="CD34" s="50" t="n"/>
      <c r="CL34" s="5" t="n"/>
      <c r="CY34" s="5" t="n"/>
      <c r="DQ34" s="327" t="n"/>
      <c r="DS34" s="5" t="n"/>
      <c r="DT34" s="5" t="n"/>
      <c r="DU34" s="5" t="n"/>
      <c r="DY34" s="327" t="n"/>
      <c r="EF34" s="327" t="n"/>
      <c r="EI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67-49</f>
        <v/>
      </c>
      <c r="AB35" s="699" t="n">
        <v>16</v>
      </c>
      <c r="AC35" s="699" t="n">
        <v>15</v>
      </c>
      <c r="AD35" s="699" t="n">
        <v>6</v>
      </c>
      <c r="AE35" s="699" t="n">
        <v>3</v>
      </c>
      <c r="AF35" s="699" t="n">
        <v>2</v>
      </c>
      <c r="AG35" s="699" t="n">
        <v>2</v>
      </c>
      <c r="AH35" s="699" t="n">
        <v>0</v>
      </c>
      <c r="AI35" s="699" t="n">
        <v>0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192">
        <f>CA35+IF(NOT(ISBLANK(OFFSET(CC35,0,6))),N(OFFSET(CC35,0,6)),N(OFFSET(CC35,0,7)))-CB35</f>
        <v/>
      </c>
      <c r="CD35" s="50" t="n"/>
      <c r="CL35" s="5" t="n"/>
      <c r="CY35" s="5" t="n"/>
      <c r="DQ35" s="327" t="n"/>
      <c r="DS35" s="5" t="n"/>
      <c r="DT35" s="5" t="n"/>
      <c r="DU35" s="5" t="n"/>
      <c r="DY35" s="327" t="n"/>
      <c r="EF35" s="327" t="n"/>
      <c r="EI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41</v>
      </c>
      <c r="AA36" s="699">
        <f>39-35</f>
        <v/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>
        <v>0</v>
      </c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192">
        <f>CA36+IF(NOT(ISBLANK(OFFSET(CC36,0,6))),N(OFFSET(CC36,0,6)),N(OFFSET(CC36,0,7)))-CB36</f>
        <v/>
      </c>
      <c r="CD36" s="50" t="n"/>
      <c r="CL36" s="5" t="n"/>
      <c r="CY36" s="5" t="n"/>
      <c r="DQ36" s="327" t="n"/>
      <c r="DS36" s="5" t="n"/>
      <c r="DT36" s="5" t="n"/>
      <c r="DU36" s="5" t="n"/>
      <c r="DY36" s="327" t="n"/>
      <c r="EF36" s="327" t="n"/>
      <c r="EI36" s="327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192">
        <f>CA37+IF(NOT(ISBLANK(OFFSET(CC37,0,6))),N(OFFSET(CC37,0,6)),N(OFFSET(CC37,0,7)))-CB37</f>
        <v/>
      </c>
      <c r="CD37" s="50" t="n"/>
      <c r="CL37" s="5" t="n"/>
      <c r="CY37" s="5" t="n"/>
      <c r="DQ37" s="327" t="n"/>
      <c r="DS37" s="5" t="n"/>
      <c r="DT37" s="5" t="n"/>
      <c r="DU37" s="5" t="n"/>
      <c r="DY37" s="327" t="n"/>
      <c r="EF37" s="327" t="n"/>
      <c r="EI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109</v>
      </c>
      <c r="AA38" s="699" t="n">
        <v>100</v>
      </c>
      <c r="AB38" s="699" t="n">
        <v>92</v>
      </c>
      <c r="AC38" s="699" t="n">
        <v>88</v>
      </c>
      <c r="AD38" s="699" t="n">
        <v>78</v>
      </c>
      <c r="AE38" s="699" t="n">
        <v>67</v>
      </c>
      <c r="AF38" s="699" t="n">
        <v>65</v>
      </c>
      <c r="AG38" s="699" t="n">
        <v>64</v>
      </c>
      <c r="AH38" s="699" t="n">
        <v>59</v>
      </c>
      <c r="AI38" s="699">
        <f>57-46</f>
        <v/>
      </c>
      <c r="AJ38" s="699" t="n">
        <v>10</v>
      </c>
      <c r="AK38" s="699" t="n">
        <v>10</v>
      </c>
      <c r="AL38" s="699" t="n">
        <v>9</v>
      </c>
      <c r="AM38" s="699" t="n">
        <v>2</v>
      </c>
      <c r="AN38" s="699" t="n">
        <v>2</v>
      </c>
      <c r="AO38" s="699" t="n">
        <v>2</v>
      </c>
      <c r="AP38" s="699" t="n">
        <v>0</v>
      </c>
      <c r="AQ38" s="699" t="n">
        <v>0</v>
      </c>
      <c r="AR38" s="699" t="n">
        <v>0</v>
      </c>
      <c r="AS38" s="699" t="n">
        <v>0</v>
      </c>
      <c r="AT38" s="699" t="n">
        <v>0</v>
      </c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192">
        <f>CA38+IF(NOT(ISBLANK(OFFSET(CC38,0,6))),N(OFFSET(CC38,0,6)),N(OFFSET(CC38,0,7)))-CB38</f>
        <v/>
      </c>
      <c r="CD38" s="50" t="n"/>
      <c r="CL38" s="5" t="n"/>
      <c r="CY38" s="5" t="n"/>
      <c r="DQ38" s="327" t="n"/>
      <c r="DS38" s="5" t="n"/>
      <c r="DT38" s="5" t="n"/>
      <c r="DU38" s="5" t="n"/>
      <c r="DY38" s="327" t="n"/>
      <c r="EF38" s="327" t="n"/>
      <c r="EI38" s="327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2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192">
        <f>CA39+IF(NOT(ISBLANK(OFFSET(CC39,0,6))),N(OFFSET(CC39,0,6)),N(OFFSET(CC39,0,7)))-CB39</f>
        <v/>
      </c>
      <c r="CD39" s="50" t="n"/>
      <c r="CL39" s="51" t="n"/>
      <c r="CY39" s="5" t="n"/>
      <c r="DQ39" s="327" t="n"/>
      <c r="DS39" s="5" t="n"/>
      <c r="DT39" s="5" t="n"/>
      <c r="DU39" s="5" t="n"/>
      <c r="DY39" s="327" t="n"/>
      <c r="EF39" s="327" t="n"/>
      <c r="EI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2</v>
      </c>
      <c r="AA40" s="699" t="n">
        <v>0</v>
      </c>
      <c r="AB40" s="699" t="n">
        <v>0</v>
      </c>
      <c r="AC40" s="699" t="n">
        <v>0</v>
      </c>
      <c r="AD40" s="699" t="n">
        <v>0</v>
      </c>
      <c r="AE40" s="699" t="n">
        <v>0</v>
      </c>
      <c r="AF40" s="699" t="n">
        <v>5</v>
      </c>
      <c r="AG40" s="699" t="n">
        <v>5</v>
      </c>
      <c r="AH40" s="699" t="n">
        <v>4</v>
      </c>
      <c r="AI40" s="699" t="n">
        <v>2</v>
      </c>
      <c r="AJ40" s="699" t="n">
        <v>2</v>
      </c>
      <c r="AK40" s="699" t="n">
        <v>1</v>
      </c>
      <c r="AL40" s="699" t="n">
        <v>0</v>
      </c>
      <c r="AM40" s="699" t="n">
        <v>0</v>
      </c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192">
        <f>CA40+IF(NOT(ISBLANK(OFFSET(CC40,0,6))),N(OFFSET(CC40,0,6)),N(OFFSET(CC40,0,7)))-CB40</f>
        <v/>
      </c>
      <c r="CD40" s="50" t="n"/>
      <c r="CL40" s="51" t="n"/>
      <c r="CY40" s="5" t="n"/>
      <c r="DQ40" s="327" t="n"/>
      <c r="DS40" s="5" t="n"/>
      <c r="DT40" s="5" t="n"/>
      <c r="DU40" s="5" t="n"/>
      <c r="DY40" s="327" t="n"/>
      <c r="EF40" s="327" t="n"/>
      <c r="EI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3</v>
      </c>
      <c r="AP41" s="699" t="n">
        <v>4</v>
      </c>
      <c r="AQ41" s="699" t="n">
        <v>4</v>
      </c>
      <c r="AR41" s="699" t="n">
        <v>4</v>
      </c>
      <c r="AS41" s="699" t="n">
        <v>4</v>
      </c>
      <c r="AT41" s="699" t="n">
        <v>4</v>
      </c>
      <c r="AU41" s="699" t="n">
        <v>4</v>
      </c>
      <c r="AV41" s="699" t="n">
        <v>4</v>
      </c>
      <c r="AW41" s="699" t="n">
        <v>2</v>
      </c>
      <c r="AX41" s="699" t="n">
        <v>2</v>
      </c>
      <c r="AY41" s="699" t="n">
        <v>1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1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192">
        <f>CA41+IF(NOT(ISBLANK(OFFSET(CC41,0,6))),N(OFFSET(CC41,0,6)),N(OFFSET(CC41,0,7)))-CB41</f>
        <v/>
      </c>
      <c r="CD41" s="50" t="n"/>
      <c r="CL41" s="573" t="n"/>
      <c r="CY41" s="5" t="n"/>
      <c r="DQ41" s="327" t="n"/>
      <c r="DS41" s="5" t="n"/>
      <c r="DT41" s="5" t="n"/>
      <c r="DU41" s="5" t="n"/>
      <c r="DY41" s="327" t="n"/>
      <c r="EF41" s="327" t="n"/>
      <c r="EI41" s="327" t="n"/>
      <c r="EU41" s="573" t="n"/>
      <c r="EV41" s="573" t="n"/>
      <c r="EW41" s="573" t="n"/>
      <c r="EX41" s="573" t="n"/>
      <c r="EY41" s="573" t="n"/>
      <c r="EZ41" s="573" t="n"/>
      <c r="FA41" s="573" t="n"/>
      <c r="FB41" s="573" t="n"/>
      <c r="FC41" s="573" t="n"/>
      <c r="FD41" s="573" t="n"/>
      <c r="FE41" s="573" t="n"/>
      <c r="FF41" s="573" t="n"/>
    </row>
    <row r="42" hidden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</v>
      </c>
      <c r="AP42" s="699" t="n">
        <v>0</v>
      </c>
      <c r="AQ42" s="699" t="n">
        <v>0</v>
      </c>
      <c r="AR42" s="699" t="n">
        <v>0</v>
      </c>
      <c r="AS42" s="699" t="n">
        <v>0</v>
      </c>
      <c r="AT42" s="699" t="n">
        <v>0</v>
      </c>
      <c r="AU42" s="699" t="n"/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192">
        <f>CA42+IF(NOT(ISBLANK(OFFSET(CC42,0,6))),N(OFFSET(CC42,0,6)),N(OFFSET(CC42,0,7)))-CB42</f>
        <v/>
      </c>
      <c r="CD42" s="50" t="n"/>
      <c r="CL42" s="573" t="n"/>
      <c r="CY42" s="5" t="n"/>
      <c r="DQ42" s="327" t="n"/>
      <c r="DS42" s="5" t="n"/>
      <c r="DT42" s="5" t="n"/>
      <c r="DU42" s="5" t="n"/>
      <c r="DY42" s="327" t="n"/>
      <c r="EF42" s="327" t="n"/>
      <c r="EI42" s="327" t="n"/>
      <c r="EU42" s="573" t="n"/>
      <c r="EV42" s="573" t="n"/>
      <c r="EW42" s="573" t="n"/>
      <c r="EX42" s="573" t="n"/>
      <c r="EY42" s="573" t="n"/>
      <c r="EZ42" s="573" t="n"/>
      <c r="FA42" s="573" t="n"/>
      <c r="FB42" s="573" t="n"/>
      <c r="FC42" s="573" t="n"/>
      <c r="FD42" s="573" t="n"/>
      <c r="FE42" s="573" t="n"/>
      <c r="FF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-1</v>
      </c>
      <c r="AQ43" s="699" t="n">
        <v>-1</v>
      </c>
      <c r="AR43" s="699" t="n">
        <v>-1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192">
        <f>CA43+IF(NOT(ISBLANK(OFFSET(CC43,0,6))),N(OFFSET(CC43,0,6)),N(OFFSET(CC43,0,7)))-CB43</f>
        <v/>
      </c>
      <c r="CD43" s="50" t="n"/>
      <c r="CF43" s="29" t="n"/>
      <c r="CL43" s="573" t="n"/>
      <c r="CY43" s="5" t="n"/>
      <c r="DQ43" s="327" t="n"/>
      <c r="DS43" s="51" t="n"/>
      <c r="DT43" s="5" t="n"/>
      <c r="DU43" s="5" t="n"/>
      <c r="DY43" s="327" t="n"/>
      <c r="EB43" s="173" t="n"/>
      <c r="ED43" s="173" t="n"/>
      <c r="EF43" s="327" t="n"/>
      <c r="EI43" s="327" t="n"/>
      <c r="EU43" s="573" t="n"/>
      <c r="EV43" s="573" t="n"/>
      <c r="EW43" s="573" t="n"/>
      <c r="EX43" s="573" t="n"/>
      <c r="EY43" s="573" t="n"/>
      <c r="EZ43" s="573" t="n"/>
      <c r="FA43" s="573" t="n"/>
      <c r="FB43" s="573" t="n"/>
      <c r="FC43" s="573" t="n"/>
      <c r="FD43" s="573" t="n"/>
      <c r="FE43" s="573" t="n"/>
      <c r="FF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9" t="n">
        <v>82</v>
      </c>
      <c r="BE44" s="699" t="n">
        <v>77</v>
      </c>
      <c r="BF44" s="699" t="n">
        <v>45</v>
      </c>
      <c r="BG44" s="699" t="n">
        <v>38</v>
      </c>
      <c r="BH44" s="699" t="n">
        <v>2</v>
      </c>
      <c r="BI44" s="699" t="n">
        <v>0</v>
      </c>
      <c r="BJ44" s="699" t="n">
        <v>0</v>
      </c>
      <c r="BK44" s="699" t="n">
        <v>-1</v>
      </c>
      <c r="BL44" s="699" t="n">
        <v>-1</v>
      </c>
      <c r="BM44" s="699" t="n">
        <v>0</v>
      </c>
      <c r="BN44" s="699" t="n">
        <v>0</v>
      </c>
      <c r="BO44" s="699" t="n">
        <v>0</v>
      </c>
      <c r="BP44" s="699" t="n">
        <v>0</v>
      </c>
      <c r="BQ44" s="699" t="n">
        <v>0</v>
      </c>
      <c r="BR44" s="699" t="n">
        <v>0</v>
      </c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192">
        <f>CA44+IF(NOT(ISBLANK(OFFSET(CC44,0,6))),N(OFFSET(CC44,0,6)),N(OFFSET(CC44,0,7)))-CB44</f>
        <v/>
      </c>
      <c r="CD44" s="50" t="n"/>
      <c r="CF44" s="29" t="n"/>
      <c r="CL44" s="573" t="n"/>
      <c r="CY44" s="51" t="n"/>
      <c r="DQ44" s="327" t="n"/>
      <c r="DS44" s="51" t="n"/>
      <c r="DT44" s="51" t="n"/>
      <c r="DU44" s="51" t="n"/>
      <c r="DY44" s="327" t="n"/>
      <c r="EB44" s="174" t="n"/>
      <c r="ED44" s="174" t="n"/>
      <c r="EF44" s="327" t="n"/>
      <c r="EI44" s="327" t="n"/>
      <c r="EU44" s="573" t="n"/>
      <c r="EV44" s="573" t="n"/>
      <c r="EW44" s="573" t="n"/>
      <c r="EX44" s="573" t="n"/>
      <c r="EY44" s="573" t="n"/>
      <c r="EZ44" s="573" t="n"/>
      <c r="FA44" s="573" t="n"/>
      <c r="FB44" s="573" t="n"/>
      <c r="FC44" s="573" t="n"/>
      <c r="FD44" s="573" t="n"/>
      <c r="FE44" s="573" t="n"/>
      <c r="FF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9" t="n">
        <v>65</v>
      </c>
      <c r="BE45" s="699" t="n">
        <v>95</v>
      </c>
      <c r="BF45" s="699" t="n">
        <v>51</v>
      </c>
      <c r="BG45" s="699" t="n">
        <v>45</v>
      </c>
      <c r="BH45" s="699" t="n">
        <v>30</v>
      </c>
      <c r="BI45" s="699" t="n">
        <v>29</v>
      </c>
      <c r="BJ45" s="699" t="n">
        <v>27</v>
      </c>
      <c r="BK45" s="699" t="n">
        <v>25</v>
      </c>
      <c r="BL45" s="699" t="n">
        <v>19</v>
      </c>
      <c r="BM45" s="699" t="n">
        <v>16</v>
      </c>
      <c r="BN45" s="699" t="n">
        <v>14</v>
      </c>
      <c r="BO45" s="699" t="n">
        <v>10</v>
      </c>
      <c r="BP45" s="699" t="n">
        <v>8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192">
        <f>CA45+IF(NOT(ISBLANK(OFFSET(CC45,0,6))),N(OFFSET(CC45,0,6)),N(OFFSET(CC45,0,7)))-CB45</f>
        <v/>
      </c>
      <c r="CD45" s="50" t="n"/>
      <c r="CF45" s="29" t="n"/>
      <c r="CY45" s="51" t="n"/>
      <c r="DQ45" s="327" t="n"/>
      <c r="DS45" s="51" t="n"/>
      <c r="DT45" s="51" t="n"/>
      <c r="DU45" s="51" t="n"/>
      <c r="DY45" s="327" t="n"/>
      <c r="EB45" s="174" t="n"/>
      <c r="ED45" s="174" t="n"/>
      <c r="EF45" s="327" t="n"/>
      <c r="EI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9" t="n">
        <v>127</v>
      </c>
      <c r="BE46" s="699" t="n">
        <v>35</v>
      </c>
      <c r="BF46" s="699" t="n">
        <v>-5</v>
      </c>
      <c r="BG46" s="699" t="n">
        <v>-6</v>
      </c>
      <c r="BH46" s="699" t="n">
        <v>-6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192">
        <f>CA46+IF(NOT(ISBLANK(OFFSET(CC46,0,6))),N(OFFSET(CC46,0,6)),N(OFFSET(CC46,0,7)))-CB46</f>
        <v/>
      </c>
      <c r="CD46" s="50" t="n"/>
      <c r="CF46" s="29" t="n"/>
      <c r="CY46" s="51" t="n"/>
      <c r="DQ46" s="327" t="n"/>
      <c r="DS46" s="51" t="n"/>
      <c r="DT46" s="51" t="n"/>
      <c r="DU46" s="51" t="n"/>
      <c r="DY46" s="327" t="n"/>
      <c r="EB46" s="174" t="n"/>
      <c r="ED46" s="174" t="n"/>
      <c r="EF46" s="327" t="n"/>
      <c r="EI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9" t="n">
        <v>51</v>
      </c>
      <c r="BE47" s="699" t="n">
        <v>1</v>
      </c>
      <c r="BF47" s="699" t="n">
        <v>0</v>
      </c>
      <c r="BG47" s="699" t="n">
        <v>0</v>
      </c>
      <c r="BH47" s="699" t="n">
        <v>0</v>
      </c>
      <c r="BI47" s="699" t="n">
        <v>1</v>
      </c>
      <c r="BJ47" s="699" t="n">
        <v>1</v>
      </c>
      <c r="BK47" s="699" t="n">
        <v>1</v>
      </c>
      <c r="BL47" s="699" t="n">
        <v>1</v>
      </c>
      <c r="BM47" s="699" t="n">
        <v>1</v>
      </c>
      <c r="BN47" s="699" t="n">
        <v>1</v>
      </c>
      <c r="BO47" s="699" t="n">
        <v>1</v>
      </c>
      <c r="BP47" s="699" t="n">
        <v>1</v>
      </c>
      <c r="BQ47" s="699" t="n">
        <v>1</v>
      </c>
      <c r="BR47" s="699" t="n">
        <v>1</v>
      </c>
      <c r="BS47" s="699" t="n">
        <v>0</v>
      </c>
      <c r="BT47" s="699" t="n"/>
      <c r="BU47" s="699" t="n"/>
      <c r="BV47" s="699" t="n"/>
      <c r="BW47" s="699" t="n"/>
      <c r="BX47" s="699" t="n"/>
      <c r="BY47" s="699" t="n"/>
      <c r="BZ47" s="699" t="n">
        <v>1</v>
      </c>
      <c r="CA47" s="699" t="n">
        <v>1</v>
      </c>
      <c r="CB47" s="699" t="n">
        <v>1</v>
      </c>
      <c r="CC47" s="192">
        <f>CA47+IF(NOT(ISBLANK(OFFSET(CC47,0,6))),N(OFFSET(CC47,0,6)),N(OFFSET(CC47,0,7)))-CB47</f>
        <v/>
      </c>
      <c r="CD47" s="50" t="n"/>
      <c r="CF47" s="29" t="n"/>
      <c r="CL47" s="5" t="n"/>
      <c r="CY47" s="51" t="n"/>
      <c r="DQ47" s="327" t="n"/>
      <c r="DS47" s="51" t="n"/>
      <c r="DT47" s="51" t="n"/>
      <c r="DU47" s="51" t="n"/>
      <c r="DY47" s="327" t="n"/>
      <c r="EB47" s="174" t="n"/>
      <c r="ED47" s="174" t="n"/>
      <c r="EF47" s="327" t="n"/>
      <c r="EI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9" t="n"/>
      <c r="BE48" s="699" t="n"/>
      <c r="BF48" s="699" t="n">
        <v>4</v>
      </c>
      <c r="BG48" s="699" t="n">
        <v>4</v>
      </c>
      <c r="BH48" s="699" t="n">
        <v>4</v>
      </c>
      <c r="BI48" s="699" t="n">
        <v>6</v>
      </c>
      <c r="BJ48" s="699" t="n">
        <v>6</v>
      </c>
      <c r="BK48" s="699" t="n">
        <v>6</v>
      </c>
      <c r="BL48" s="699" t="n">
        <v>6</v>
      </c>
      <c r="BM48" s="699" t="n">
        <v>6</v>
      </c>
      <c r="BN48" s="699" t="n">
        <v>6</v>
      </c>
      <c r="BO48" s="699" t="n">
        <v>6</v>
      </c>
      <c r="BP48" s="699" t="n">
        <v>6</v>
      </c>
      <c r="BQ48" s="699" t="n">
        <v>6</v>
      </c>
      <c r="BR48" s="699" t="n">
        <v>6</v>
      </c>
      <c r="BS48" s="699" t="n">
        <v>6</v>
      </c>
      <c r="BT48" s="699" t="n">
        <v>6</v>
      </c>
      <c r="BU48" s="699" t="n">
        <v>6</v>
      </c>
      <c r="BV48" s="699" t="n">
        <v>6</v>
      </c>
      <c r="BW48" s="699" t="n">
        <v>6</v>
      </c>
      <c r="BX48" s="699" t="n">
        <v>6</v>
      </c>
      <c r="BY48" s="699" t="n">
        <v>6</v>
      </c>
      <c r="BZ48" s="699" t="n">
        <v>6</v>
      </c>
      <c r="CA48" s="699" t="n">
        <v>6</v>
      </c>
      <c r="CB48" s="699" t="n">
        <v>6</v>
      </c>
      <c r="CC48" s="192">
        <f>CA48+IF(NOT(ISBLANK(OFFSET(CC48,0,6))),N(OFFSET(CC48,0,6)),N(OFFSET(CC48,0,7)))-CB48</f>
        <v/>
      </c>
      <c r="CD48" s="50" t="n"/>
      <c r="CF48" s="29" t="n"/>
      <c r="CY48" s="51" t="n"/>
      <c r="DQ48" s="327" t="n"/>
      <c r="DS48" s="51" t="n"/>
      <c r="DT48" s="51" t="n"/>
      <c r="DU48" s="51" t="n"/>
      <c r="DY48" s="327" t="n"/>
      <c r="EB48" s="174" t="n"/>
      <c r="ED48" s="174" t="n"/>
      <c r="EF48" s="327" t="n"/>
      <c r="EI48" s="327" t="n"/>
    </row>
    <row r="49">
      <c r="CD49" s="50" t="n"/>
      <c r="CF49" s="29" t="n"/>
      <c r="CY49" s="51" t="n"/>
      <c r="DQ49" s="327" t="n"/>
      <c r="DS49" s="51" t="n"/>
      <c r="DT49" s="51" t="n"/>
      <c r="DU49" s="51" t="n"/>
      <c r="DY49" s="327" t="n"/>
      <c r="EB49" s="174" t="n"/>
      <c r="ED49" s="174" t="n"/>
      <c r="EF49" s="327" t="n"/>
      <c r="EI49" s="327" t="n"/>
    </row>
    <row r="50">
      <c r="CD50" s="50" t="n"/>
      <c r="CF50" s="29" t="n"/>
      <c r="CY50" s="51" t="n"/>
      <c r="DQ50" s="327" t="n"/>
      <c r="DS50" s="51" t="n"/>
      <c r="DT50" s="51" t="n"/>
      <c r="DU50" s="51" t="n"/>
      <c r="DY50" s="327" t="n"/>
      <c r="EB50" s="174" t="n"/>
      <c r="ED50" s="174" t="n"/>
      <c r="EF50" s="327" t="n"/>
      <c r="EI50" s="327" t="n"/>
    </row>
    <row r="51">
      <c r="CD51" s="50" t="n"/>
      <c r="CF51" s="29" t="n"/>
      <c r="CY51" s="51" t="n"/>
      <c r="DQ51" s="327" t="n"/>
      <c r="DS51" s="51" t="n"/>
      <c r="DT51" s="51" t="n"/>
      <c r="DU51" s="51" t="n"/>
      <c r="DY51" s="327" t="n"/>
      <c r="EB51" s="174" t="n"/>
      <c r="ED51" s="174" t="n"/>
      <c r="EF51" s="327" t="n"/>
      <c r="EI51" s="327" t="n"/>
    </row>
    <row r="52" ht="21" customHeight="1">
      <c r="A52" s="380" t="inlineStr">
        <is>
          <t>SOBRAS DATAS COMEMORATIVAS</t>
        </is>
      </c>
      <c r="B52" s="380" t="n"/>
      <c r="C52" s="380" t="n"/>
      <c r="CD52" s="50" t="n"/>
      <c r="CF52" s="29" t="n"/>
      <c r="CY52" s="51" t="n"/>
      <c r="DK52" s="59" t="n"/>
      <c r="DL52" s="59" t="n"/>
      <c r="DM52" s="59" t="n"/>
      <c r="DN52" s="59" t="n"/>
      <c r="DO52" s="59" t="n"/>
      <c r="DP52" s="59" t="n"/>
      <c r="DQ52" s="327" t="n"/>
      <c r="DR52" s="59" t="n"/>
      <c r="DS52" s="573" t="n"/>
      <c r="DT52" s="51" t="n"/>
      <c r="DU52" s="51" t="n"/>
      <c r="DW52" s="59" t="n"/>
      <c r="DX52" s="59" t="n"/>
      <c r="DY52" s="327" t="n"/>
      <c r="EB52" s="174" t="n"/>
      <c r="EC52" s="59" t="n"/>
      <c r="ED52" s="174" t="n"/>
      <c r="EE52" s="59" t="n"/>
      <c r="EF52" s="327" t="n"/>
      <c r="EG52" s="59" t="n"/>
      <c r="EH52" s="59" t="n"/>
      <c r="EI52" s="327" t="n"/>
      <c r="EK52" s="59" t="n"/>
      <c r="EL52" s="59" t="n"/>
      <c r="EM52" s="59" t="n"/>
      <c r="EN52" s="59" t="n"/>
      <c r="EP52" s="59" t="n"/>
      <c r="EQ52" s="59" t="n"/>
      <c r="ER52" s="59" t="n"/>
      <c r="ES52" s="59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D53" s="50" t="n"/>
      <c r="CF53" s="573" t="n"/>
      <c r="CG53" s="573" t="n"/>
      <c r="CY53" s="573" t="n"/>
      <c r="DF53" s="173" t="n"/>
      <c r="DH53" s="173" t="n"/>
      <c r="DK53" s="573" t="n"/>
      <c r="DL53" s="573" t="n"/>
      <c r="DM53" s="573" t="n"/>
      <c r="DN53" s="573" t="n"/>
      <c r="DO53" s="573" t="n"/>
      <c r="DP53" s="573" t="n"/>
      <c r="DQ53" s="327" t="n"/>
      <c r="DR53" s="573" t="n"/>
      <c r="DS53" s="573" t="n"/>
      <c r="DT53" s="573" t="n"/>
      <c r="DU53" s="573" t="n"/>
      <c r="DV53" s="59" t="n"/>
      <c r="DW53" s="573" t="n"/>
      <c r="DX53" s="573" t="n"/>
      <c r="DY53" s="327" t="n"/>
      <c r="DZ53" s="59" t="n"/>
      <c r="EA53" s="59" t="n"/>
      <c r="EC53" s="573" t="n"/>
      <c r="EE53" s="573" t="n"/>
      <c r="EF53" s="327" t="n"/>
      <c r="EG53" s="573" t="n"/>
      <c r="EH53" s="573" t="n"/>
      <c r="EI53" s="327" t="n"/>
      <c r="EJ53" s="59" t="n"/>
      <c r="EK53" s="573" t="n"/>
      <c r="EL53" s="573" t="n"/>
      <c r="EM53" s="573" t="n"/>
      <c r="EN53" s="573" t="n"/>
      <c r="EP53" s="573" t="n"/>
      <c r="EQ53" s="573" t="n"/>
      <c r="ER53" s="573" t="n"/>
      <c r="ES53" s="573" t="n"/>
      <c r="ET53" s="573" t="n"/>
      <c r="FG53" s="2" t="n"/>
      <c r="FH53" s="2" t="n"/>
      <c r="FI53" s="2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50" t="n"/>
      <c r="HO53" s="50" t="n"/>
      <c r="HP53" s="50" t="n"/>
      <c r="HQ53" s="50" t="n"/>
      <c r="HR53" s="50" t="n"/>
      <c r="HS53" s="50" t="n"/>
      <c r="HT53" s="50" t="n"/>
      <c r="HU53" s="29" t="n"/>
      <c r="HV53" s="29" t="n"/>
      <c r="HW53" s="29" t="n"/>
      <c r="HX53" s="50" t="n"/>
      <c r="HY53" s="50" t="n"/>
      <c r="HZ53" s="50" t="n"/>
      <c r="IA53" s="50" t="n"/>
      <c r="IB53" s="50" t="n"/>
      <c r="IC53" s="50" t="n"/>
      <c r="ID53" s="50" t="n"/>
      <c r="IE53" s="50" t="n"/>
      <c r="IF53" s="50" t="n"/>
      <c r="IG53" s="50" t="n"/>
      <c r="IH53" s="50" t="n"/>
      <c r="II53" s="152" t="n"/>
      <c r="IJ53" s="29" t="n"/>
      <c r="IK53" s="29" t="n"/>
      <c r="IL53" s="29" t="n"/>
      <c r="IM53" s="573" t="n"/>
      <c r="IN53" s="29" t="n"/>
      <c r="IO53" s="573" t="n"/>
      <c r="IP53" s="68" t="n"/>
      <c r="IQ53" s="173" t="n"/>
      <c r="IR53" s="68" t="n"/>
      <c r="IS53" s="173" t="n"/>
      <c r="IT53" s="173" t="n"/>
      <c r="IU53" s="68" t="n"/>
      <c r="IV53" s="51" t="n"/>
      <c r="IW53" s="173" t="n"/>
      <c r="IX53" s="68" t="n"/>
      <c r="IY53" s="173" t="n"/>
      <c r="IZ53" s="51" t="n"/>
      <c r="JA53" s="68" t="n"/>
      <c r="JB53" s="138" t="n"/>
      <c r="JC53" s="68" t="n"/>
      <c r="JD53" s="173" t="n"/>
      <c r="JE53" s="68" t="n"/>
      <c r="JF53" s="68" t="n"/>
      <c r="JG53" s="68" t="n"/>
      <c r="JH53" s="68" t="n"/>
      <c r="JI53" s="68" t="n"/>
      <c r="JJ53" s="68" t="n"/>
      <c r="JK53" s="68" t="n"/>
      <c r="JL53" s="68" t="n"/>
      <c r="JM53" s="68" t="n"/>
      <c r="JN53" s="68" t="n"/>
      <c r="JO53" s="68" t="n"/>
      <c r="JP53" s="71" t="n"/>
      <c r="JQ53" s="68" t="n"/>
      <c r="JR53" s="68" t="n"/>
      <c r="JS53" s="68" t="n"/>
      <c r="JT53" s="68" t="n"/>
      <c r="JU53" s="68" t="n"/>
      <c r="JV53" s="68" t="n"/>
      <c r="JW53" s="68" t="n"/>
      <c r="JX53" s="68" t="n"/>
      <c r="JY53" s="68" t="n"/>
      <c r="JZ53" s="68" t="n"/>
      <c r="KA53" s="68" t="n"/>
      <c r="KB53" s="68" t="n"/>
      <c r="KC53" s="68" t="n"/>
      <c r="KD53" s="68" t="n"/>
      <c r="KE53" s="68" t="n"/>
      <c r="KF53" s="68" t="n"/>
      <c r="KG53" s="68" t="n"/>
      <c r="KH53" s="68" t="n"/>
      <c r="KI53" s="68" t="n"/>
      <c r="KJ53" s="68" t="n"/>
      <c r="KK53" s="68" t="n"/>
      <c r="KL53" s="68" t="n"/>
      <c r="KM53" s="68" t="n"/>
      <c r="KN53" s="68" t="n"/>
      <c r="KO53" s="68" t="n"/>
      <c r="KP53" s="68" t="n"/>
      <c r="KQ53" s="68" t="n"/>
      <c r="KR53" s="68" t="n"/>
      <c r="KS53" s="68" t="n"/>
      <c r="KT53" s="68" t="n"/>
      <c r="KU53" s="68" t="n"/>
      <c r="KV53" s="68" t="n"/>
      <c r="KW53" s="68" t="n"/>
      <c r="KX53" s="68" t="n"/>
      <c r="KY53" s="68" t="n"/>
      <c r="KZ53" s="68" t="n"/>
      <c r="LA53" s="68" t="n"/>
      <c r="LB53" s="68" t="n"/>
    </row>
    <row r="54" customFormat="1" s="29">
      <c r="A54" s="183" t="n"/>
      <c r="B54" s="184" t="n"/>
      <c r="C54" s="185" t="n"/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F54" s="573" t="n"/>
      <c r="CG54" s="573" t="n"/>
      <c r="CH54" s="573" t="n"/>
      <c r="CI54" s="59" t="n"/>
      <c r="CJ54" s="59" t="n"/>
      <c r="CK54" s="59" t="n"/>
      <c r="CL54" s="59" t="n"/>
      <c r="CM54" s="59" t="n"/>
      <c r="CN54" s="59" t="n"/>
      <c r="CY54" s="573" t="n"/>
      <c r="DF54" s="174" t="n"/>
      <c r="DH54" s="174" t="n"/>
      <c r="DK54" s="573" t="n"/>
      <c r="DL54" s="573" t="n"/>
      <c r="DM54" s="573" t="n"/>
      <c r="DN54" s="573" t="n"/>
      <c r="DO54" s="573" t="n"/>
      <c r="DP54" s="573" t="n"/>
      <c r="DQ54" s="327" t="n"/>
      <c r="DR54" s="573" t="n"/>
      <c r="DS54" s="573" t="n"/>
      <c r="DT54" s="573" t="n"/>
      <c r="DU54" s="573" t="n"/>
      <c r="DV54" s="573" t="n"/>
      <c r="DW54" s="573" t="n"/>
      <c r="DX54" s="573" t="n"/>
      <c r="DY54" s="327" t="n"/>
      <c r="DZ54" s="573" t="n"/>
      <c r="EA54" s="573" t="n"/>
      <c r="EC54" s="573" t="n"/>
      <c r="EE54" s="573" t="n"/>
      <c r="EF54" s="327" t="n"/>
      <c r="EG54" s="573" t="n"/>
      <c r="EH54" s="573" t="n"/>
      <c r="EI54" s="327" t="n"/>
      <c r="EJ54" s="573" t="n"/>
      <c r="EK54" s="573" t="n"/>
      <c r="EL54" s="573" t="n"/>
      <c r="EM54" s="573" t="n"/>
      <c r="EN54" s="573" t="n"/>
      <c r="EO54" s="573" t="n"/>
      <c r="EP54" s="573" t="n"/>
      <c r="EQ54" s="573" t="n"/>
      <c r="ER54" s="573" t="n"/>
      <c r="ES54" s="573" t="n"/>
      <c r="ET54" s="573" t="n"/>
      <c r="EU54" s="5" t="n"/>
      <c r="EV54" s="5" t="n"/>
      <c r="EW54" s="5" t="n"/>
      <c r="EX54" s="5" t="n"/>
      <c r="EY54" s="5" t="n"/>
      <c r="EZ54" s="5" t="n"/>
      <c r="FA54" s="5" t="n"/>
      <c r="FB54" s="5" t="n"/>
      <c r="FC54" s="5" t="n"/>
      <c r="FD54" s="5" t="n"/>
      <c r="FE54" s="5" t="n"/>
      <c r="FF54" s="5" t="n"/>
      <c r="FG54" s="2" t="n"/>
      <c r="FH54" s="2" t="n"/>
      <c r="FI54" s="2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IM54" s="573" t="n"/>
      <c r="IO54" s="573" t="n"/>
      <c r="IP54" s="68" t="n"/>
      <c r="IQ54" s="174" t="n"/>
      <c r="IR54" s="68" t="n"/>
      <c r="IS54" s="174" t="n"/>
      <c r="IT54" s="174" t="n"/>
      <c r="IU54" s="68" t="n"/>
      <c r="IW54" s="174" t="n"/>
      <c r="IX54" s="68" t="n"/>
      <c r="IY54" s="174" t="n"/>
      <c r="JA54" s="68" t="n"/>
      <c r="JB54" s="71" t="n"/>
      <c r="JC54" s="68" t="n"/>
      <c r="JD54" s="174" t="n"/>
      <c r="JE54" s="68" t="n"/>
      <c r="JF54" s="68" t="n"/>
      <c r="JG54" s="68" t="n"/>
      <c r="JH54" s="68" t="n"/>
      <c r="JI54" s="68" t="n"/>
      <c r="JJ54" s="68" t="n"/>
      <c r="JK54" s="68" t="n"/>
      <c r="JL54" s="68" t="n"/>
      <c r="JM54" s="68" t="n"/>
      <c r="JN54" s="68" t="n"/>
      <c r="JO54" s="68" t="n"/>
      <c r="JP54" s="71" t="n"/>
      <c r="JQ54" s="68" t="n"/>
      <c r="JR54" s="68" t="n"/>
      <c r="JS54" s="68" t="n"/>
      <c r="JT54" s="68" t="n"/>
      <c r="JU54" s="68" t="n"/>
      <c r="JV54" s="68" t="n"/>
      <c r="JW54" s="68" t="n"/>
      <c r="JX54" s="68" t="n"/>
      <c r="JY54" s="68" t="n"/>
      <c r="JZ54" s="68" t="n"/>
      <c r="KA54" s="68" t="n"/>
      <c r="KB54" s="68" t="n"/>
      <c r="KC54" s="68" t="n"/>
      <c r="KD54" s="68" t="n"/>
      <c r="KE54" s="68" t="n"/>
      <c r="KF54" s="68" t="n"/>
      <c r="KG54" s="68" t="n"/>
      <c r="KH54" s="68" t="n"/>
      <c r="KI54" s="68" t="n"/>
      <c r="KJ54" s="68" t="n"/>
      <c r="KK54" s="68" t="n"/>
      <c r="KL54" s="68" t="n"/>
      <c r="KM54" s="68" t="n"/>
      <c r="KN54" s="68" t="n"/>
      <c r="KO54" s="68" t="n"/>
      <c r="KP54" s="68" t="n"/>
      <c r="KQ54" s="68" t="n"/>
      <c r="KR54" s="68" t="n"/>
      <c r="KS54" s="68" t="n"/>
      <c r="KT54" s="68" t="n"/>
      <c r="KU54" s="68" t="n"/>
      <c r="KV54" s="68" t="n"/>
      <c r="KW54" s="68" t="n"/>
      <c r="KX54" s="68" t="n"/>
      <c r="KY54" s="68" t="n"/>
      <c r="KZ54" s="68" t="n"/>
      <c r="LA54" s="68" t="n"/>
      <c r="LB54" s="68" t="n"/>
    </row>
    <row r="55" customFormat="1" s="29">
      <c r="A55" s="186" t="inlineStr">
        <is>
          <t>TAG NAMORADOS/2023</t>
        </is>
      </c>
      <c r="B55" s="187" t="n"/>
      <c r="C55" s="188" t="n">
        <v>237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F55" s="573" t="n"/>
      <c r="CG55" s="573" t="n"/>
      <c r="CH55" s="573" t="n"/>
      <c r="CI55" s="573" t="n"/>
      <c r="CJ55" s="573" t="n"/>
      <c r="CK55" s="573" t="n"/>
      <c r="CL55" s="59" t="n"/>
      <c r="CM55" s="573" t="n"/>
      <c r="CN55" s="573" t="n"/>
      <c r="CT55" s="59" t="n"/>
      <c r="CU55" s="59" t="n"/>
      <c r="CV55" s="59" t="n"/>
      <c r="CW55" s="59" t="n"/>
      <c r="CX55" s="59" t="n"/>
      <c r="CY55" s="573" t="n"/>
      <c r="CZ55" s="59" t="n"/>
      <c r="DA55" s="59" t="n"/>
      <c r="DB55" s="59" t="n"/>
      <c r="DC55" s="59" t="n"/>
      <c r="DD55" s="59" t="n"/>
      <c r="DE55" s="59" t="n"/>
      <c r="DF55" s="174" t="n"/>
      <c r="DG55" s="59" t="n"/>
      <c r="DH55" s="174" t="n"/>
      <c r="DI55" s="59" t="n"/>
      <c r="DQ55" s="327" t="n"/>
      <c r="DS55" s="573" t="n"/>
      <c r="DT55" s="573" t="n"/>
      <c r="DU55" s="573" t="n"/>
      <c r="DV55" s="573" t="n"/>
      <c r="DY55" s="327" t="n"/>
      <c r="DZ55" s="573" t="n"/>
      <c r="EA55" s="573" t="n"/>
      <c r="EC55" s="573" t="n"/>
      <c r="EE55" s="573" t="n"/>
      <c r="EF55" s="327" t="n"/>
      <c r="EG55" s="573" t="n"/>
      <c r="EH55" s="573" t="n"/>
      <c r="EI55" s="327" t="n"/>
      <c r="EJ55" s="573" t="n"/>
      <c r="EK55" s="573" t="n"/>
      <c r="EL55" s="573" t="n"/>
      <c r="EM55" s="573" t="n"/>
      <c r="EN55" s="573" t="n"/>
      <c r="EO55" s="573" t="n"/>
      <c r="EP55" s="573" t="n"/>
      <c r="EQ55" s="573" t="n"/>
      <c r="ER55" s="573" t="n"/>
      <c r="ES55" s="573" t="n"/>
      <c r="ET55" s="573" t="n"/>
      <c r="EU55" s="5" t="n"/>
      <c r="EV55" s="5" t="n"/>
      <c r="EW55" s="5" t="n"/>
      <c r="EX55" s="5" t="n"/>
      <c r="EY55" s="5" t="n"/>
      <c r="EZ55" s="5" t="n"/>
      <c r="FA55" s="5" t="n"/>
      <c r="FB55" s="5" t="n"/>
      <c r="FC55" s="5" t="n"/>
      <c r="FD55" s="5" t="n"/>
      <c r="FE55" s="5" t="n"/>
      <c r="FF55" s="5" t="n"/>
      <c r="FG55" s="2" t="n"/>
      <c r="FH55" s="2" t="n"/>
      <c r="FI55" s="2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IM55" s="573" t="n"/>
      <c r="IO55" s="573" t="n"/>
      <c r="IP55" s="68" t="n"/>
      <c r="IQ55" s="176" t="n"/>
      <c r="IR55" s="68" t="n"/>
      <c r="IS55" s="176" t="n"/>
      <c r="IT55" s="176" t="n"/>
      <c r="IU55" s="68" t="n"/>
      <c r="IW55" s="176" t="n"/>
      <c r="IX55" s="68" t="n"/>
      <c r="IY55" s="176" t="n"/>
      <c r="JA55" s="68" t="n"/>
      <c r="JB55" s="71" t="n"/>
      <c r="JC55" s="68" t="n"/>
      <c r="JD55" s="176" t="n"/>
      <c r="JE55" s="68" t="n"/>
      <c r="JF55" s="68" t="n"/>
      <c r="JG55" s="68" t="n"/>
      <c r="JH55" s="68" t="n"/>
      <c r="JI55" s="68" t="n"/>
      <c r="JJ55" s="68" t="n"/>
      <c r="JK55" s="68" t="n"/>
      <c r="JL55" s="68" t="n"/>
      <c r="JM55" s="68" t="n"/>
      <c r="JN55" s="68" t="n"/>
      <c r="JO55" s="68" t="n"/>
      <c r="JP55" s="71" t="n"/>
      <c r="JQ55" s="68" t="n"/>
      <c r="JR55" s="68" t="n"/>
      <c r="JS55" s="68" t="n"/>
      <c r="JT55" s="68" t="n"/>
      <c r="JU55" s="68" t="n"/>
      <c r="JV55" s="68" t="n"/>
      <c r="JW55" s="68" t="n"/>
      <c r="JX55" s="68" t="n"/>
      <c r="JY55" s="68" t="n"/>
      <c r="JZ55" s="68" t="n"/>
      <c r="KA55" s="68" t="n"/>
      <c r="KB55" s="68" t="n"/>
      <c r="KC55" s="68" t="n"/>
      <c r="KD55" s="68" t="n"/>
      <c r="KE55" s="68" t="n"/>
      <c r="KF55" s="68" t="n"/>
      <c r="KG55" s="68" t="n"/>
      <c r="KH55" s="68" t="n"/>
      <c r="KI55" s="68" t="n"/>
      <c r="KJ55" s="68" t="n"/>
      <c r="KK55" s="68" t="n"/>
      <c r="KL55" s="68" t="n"/>
      <c r="KM55" s="68" t="n"/>
      <c r="KN55" s="68" t="n"/>
      <c r="KO55" s="68" t="n"/>
      <c r="KP55" s="68" t="n"/>
      <c r="KQ55" s="68" t="n"/>
      <c r="KR55" s="68" t="n"/>
      <c r="KS55" s="68" t="n"/>
      <c r="KT55" s="68" t="n"/>
      <c r="KU55" s="68" t="n"/>
      <c r="KV55" s="68" t="n"/>
      <c r="KW55" s="68" t="n"/>
      <c r="KX55" s="68" t="n"/>
      <c r="KY55" s="68" t="n"/>
      <c r="KZ55" s="68" t="n"/>
      <c r="LA55" s="68" t="n"/>
      <c r="LB55" s="68" t="n"/>
    </row>
    <row r="56" customFormat="1" s="29">
      <c r="A56" s="183" t="n"/>
      <c r="B56" s="184" t="n"/>
      <c r="C56" s="185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H56" s="573" t="n"/>
      <c r="CI56" s="573" t="n"/>
      <c r="CJ56" s="573" t="n"/>
      <c r="CK56" s="573" t="n"/>
      <c r="CL56" s="59" t="n"/>
      <c r="CM56" s="573" t="n"/>
      <c r="CN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G56" s="573" t="n"/>
      <c r="DI56" s="573" t="n"/>
      <c r="DQ56" s="327" t="n"/>
      <c r="DS56" s="573" t="n"/>
      <c r="DT56" s="573" t="n"/>
      <c r="DU56" s="573" t="n"/>
      <c r="DY56" s="327" t="n"/>
      <c r="DZ56" s="573" t="n"/>
      <c r="EA56" s="573" t="n"/>
      <c r="EF56" s="327" t="n"/>
      <c r="EI56" s="327" t="n"/>
      <c r="EJ56" s="573" t="n"/>
      <c r="EO56" s="573" t="n"/>
      <c r="EU56" s="5" t="n"/>
      <c r="EV56" s="5" t="n"/>
      <c r="EW56" s="5" t="n"/>
      <c r="EX56" s="5" t="n"/>
      <c r="EY56" s="5" t="n"/>
      <c r="EZ56" s="5" t="n"/>
      <c r="FA56" s="5" t="n"/>
      <c r="FB56" s="5" t="n"/>
      <c r="FC56" s="5" t="n"/>
      <c r="FD56" s="5" t="n"/>
      <c r="FE56" s="5" t="n"/>
      <c r="FF56" s="5" t="n"/>
    </row>
    <row r="57" customFormat="1" s="29">
      <c r="A57" s="224" t="inlineStr">
        <is>
          <t>CARTUCHO M MÃES/24</t>
        </is>
      </c>
      <c r="B57" s="180" t="n"/>
      <c r="C57" s="136" t="n">
        <v>5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E57" s="51" t="n"/>
      <c r="CF57" s="573" t="n"/>
      <c r="CL57" s="59" t="n"/>
      <c r="CT57" s="573" t="n"/>
      <c r="CU57" s="573" t="n"/>
      <c r="CV57" s="573" t="n"/>
      <c r="CW57" s="573" t="n"/>
      <c r="CX57" s="573" t="n"/>
      <c r="CY57" s="573" t="n"/>
      <c r="CZ57" s="573" t="n"/>
      <c r="DA57" s="573" t="n"/>
      <c r="DB57" s="573" t="n"/>
      <c r="DC57" s="573" t="n"/>
      <c r="DD57" s="573" t="n"/>
      <c r="DE57" s="573" t="n"/>
      <c r="DG57" s="573" t="n"/>
      <c r="DI57" s="573" t="n"/>
      <c r="DQ57" s="327" t="n"/>
      <c r="DS57" s="573" t="n"/>
      <c r="DT57" s="573" t="n"/>
      <c r="DU57" s="573" t="n"/>
      <c r="DY57" s="327" t="n"/>
      <c r="DZ57" s="573" t="n"/>
      <c r="EA57" s="573" t="n"/>
      <c r="EB57" s="5" t="n"/>
      <c r="ED57" s="5" t="n"/>
      <c r="EF57" s="327" t="n"/>
      <c r="EI57" s="327" t="n"/>
      <c r="EO57" s="573" t="n"/>
      <c r="EU57" s="5" t="n"/>
      <c r="EV57" s="5" t="n"/>
      <c r="EW57" s="5" t="n"/>
      <c r="EX57" s="5" t="n"/>
      <c r="EY57" s="5" t="n"/>
      <c r="EZ57" s="5" t="n"/>
      <c r="FA57" s="5" t="n"/>
      <c r="FB57" s="5" t="n"/>
      <c r="FC57" s="5" t="n"/>
      <c r="FD57" s="5" t="n"/>
      <c r="FE57" s="5" t="n"/>
      <c r="FF57" s="5" t="n"/>
    </row>
    <row r="58"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29" t="n"/>
      <c r="CE58" s="29" t="n"/>
      <c r="CH58" s="5" t="n"/>
      <c r="CI58" s="29" t="n"/>
      <c r="CJ58" s="29" t="n"/>
      <c r="CK58" s="29" t="n"/>
      <c r="CL58" s="5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5" t="n"/>
      <c r="CZ58" s="29" t="n"/>
      <c r="DA58" s="29" t="n"/>
      <c r="DB58" s="29" t="n"/>
      <c r="DC58" s="29" t="n"/>
      <c r="DD58" s="29" t="n"/>
      <c r="DE58" s="29" t="n"/>
      <c r="DG58" s="29" t="n"/>
      <c r="DI58" s="29" t="n"/>
      <c r="DJ58" s="59" t="n"/>
      <c r="DK58" s="29" t="n"/>
      <c r="DL58" s="29" t="n"/>
      <c r="DM58" s="29" t="n"/>
      <c r="DN58" s="29" t="n"/>
      <c r="DO58" s="29" t="n"/>
      <c r="DP58" s="29" t="n"/>
      <c r="DQ58" s="327" t="n"/>
      <c r="DR58" s="29" t="n"/>
      <c r="DS58" s="573" t="n"/>
      <c r="DT58" s="573" t="n"/>
      <c r="DU58" s="573" t="n"/>
      <c r="DV58" s="29" t="n"/>
      <c r="DW58" s="29" t="n"/>
      <c r="DX58" s="29" t="n"/>
      <c r="DY58" s="327" t="n"/>
      <c r="DZ58" s="29" t="n"/>
      <c r="EA58" s="29" t="n"/>
      <c r="EB58" s="5" t="n"/>
      <c r="EC58" s="29" t="n"/>
      <c r="ED58" s="5" t="n"/>
      <c r="EE58" s="29" t="n"/>
      <c r="EF58" s="327" t="n"/>
      <c r="EG58" s="29" t="n"/>
      <c r="EH58" s="29" t="n"/>
      <c r="EI58" s="327" t="n"/>
      <c r="EJ58" s="29" t="n"/>
      <c r="EK58" s="29" t="n"/>
      <c r="EL58" s="29" t="n"/>
      <c r="EM58" s="29" t="n"/>
      <c r="EN58" s="29" t="n"/>
      <c r="EO58" s="573" t="n"/>
      <c r="EP58" s="29" t="n"/>
      <c r="EQ58" s="29" t="n"/>
      <c r="ER58" s="29" t="n"/>
      <c r="ES58" s="29" t="n"/>
      <c r="EU58" s="5" t="n"/>
      <c r="EV58" s="5" t="n"/>
      <c r="EW58" s="5" t="n"/>
      <c r="EX58" s="5" t="n"/>
      <c r="EY58" s="5" t="n"/>
      <c r="EZ58" s="5" t="n"/>
      <c r="FA58" s="5" t="n"/>
      <c r="FB58" s="5" t="n"/>
      <c r="FC58" s="5" t="n"/>
      <c r="FD58" s="5" t="n"/>
      <c r="FE58" s="5" t="n"/>
      <c r="FF58" s="5" t="n"/>
    </row>
    <row r="59" customFormat="1" s="29">
      <c r="CF59" s="573" t="n"/>
      <c r="CL59" s="59" t="n"/>
      <c r="CY59" s="41" t="n"/>
      <c r="DJ59" s="573" t="n"/>
      <c r="DQ59" s="327" t="n"/>
      <c r="DS59" s="573" t="n"/>
      <c r="DT59" s="573" t="n"/>
      <c r="DU59" s="573" t="n"/>
      <c r="DY59" s="327" t="n"/>
      <c r="EB59" s="5" t="n"/>
      <c r="ED59" s="5" t="n"/>
      <c r="EF59" s="327" t="n"/>
      <c r="EI59" s="327" t="n"/>
      <c r="EO59" s="573" t="n"/>
      <c r="EU59" s="5" t="n"/>
      <c r="EV59" s="5" t="n"/>
      <c r="EW59" s="5" t="n"/>
      <c r="EX59" s="5" t="n"/>
      <c r="EY59" s="5" t="n"/>
      <c r="EZ59" s="5" t="n"/>
      <c r="FA59" s="5" t="n"/>
      <c r="FB59" s="5" t="n"/>
      <c r="FC59" s="5" t="n"/>
      <c r="FD59" s="5" t="n"/>
      <c r="FE59" s="5" t="n"/>
      <c r="FF59" s="5" t="n"/>
    </row>
    <row r="60"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Y60" s="41" t="n"/>
      <c r="DF60" s="5" t="n"/>
      <c r="DH60" s="5" t="n"/>
      <c r="DJ60" s="573" t="n"/>
      <c r="DQ60" s="327" t="n"/>
      <c r="DS60" s="5" t="n"/>
      <c r="DT60" s="573" t="n"/>
      <c r="DU60" s="573" t="n"/>
      <c r="DY60" s="327" t="n"/>
      <c r="EB60" s="5" t="n"/>
      <c r="ED60" s="5" t="n"/>
      <c r="EF60" s="327" t="n"/>
      <c r="EI60" s="327" t="n"/>
      <c r="EO60" s="573" t="n"/>
    </row>
    <row r="61" ht="18.75" customHeight="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45824</v>
      </c>
      <c r="AE61" s="776" t="n">
        <v>45831</v>
      </c>
      <c r="AF61" s="776" t="n">
        <v>45838</v>
      </c>
      <c r="AG61" s="776" t="n">
        <v>45845</v>
      </c>
      <c r="AH61" s="776" t="n">
        <v>45852</v>
      </c>
      <c r="AI61" s="776" t="n">
        <v>45859</v>
      </c>
      <c r="AJ61" s="776" t="n">
        <v>45866</v>
      </c>
      <c r="AK61" s="776" t="n">
        <v>45873</v>
      </c>
      <c r="AL61" s="776" t="n">
        <v>45880</v>
      </c>
      <c r="AM61" s="776" t="n">
        <v>45887</v>
      </c>
      <c r="AN61" s="776" t="n">
        <v>45894</v>
      </c>
      <c r="AO61" s="776" t="n">
        <v>45901</v>
      </c>
      <c r="AP61" s="776" t="n">
        <v>45908</v>
      </c>
      <c r="AQ61" s="776" t="n">
        <v>45915</v>
      </c>
      <c r="AR61" s="776" t="n">
        <v>45922</v>
      </c>
      <c r="AS61" s="776" t="n">
        <v>45929</v>
      </c>
      <c r="AT61" s="776" t="n">
        <v>45936</v>
      </c>
      <c r="AU61" s="776" t="n">
        <v>45943</v>
      </c>
      <c r="AV61" s="776" t="n">
        <v>45950</v>
      </c>
      <c r="AW61" s="776" t="n">
        <v>45957</v>
      </c>
      <c r="AX61" s="776" t="n">
        <v>45964</v>
      </c>
      <c r="AY61" s="776" t="n">
        <v>45971</v>
      </c>
      <c r="AZ61" s="776" t="n">
        <v>45978</v>
      </c>
      <c r="BA61" s="776" t="n">
        <v>45985</v>
      </c>
      <c r="BB61" s="776" t="n">
        <v>45992</v>
      </c>
      <c r="BC61" s="776" t="n">
        <v>45999</v>
      </c>
      <c r="BD61" s="776" t="n">
        <v>46006</v>
      </c>
      <c r="BE61" s="776" t="n">
        <v>46013</v>
      </c>
      <c r="BF61" s="776" t="n">
        <v>46020</v>
      </c>
      <c r="BG61" s="776" t="n">
        <v>46027</v>
      </c>
      <c r="BH61" s="776" t="n">
        <v>46034</v>
      </c>
      <c r="BI61" s="776" t="n">
        <v>46041</v>
      </c>
      <c r="BJ61" s="776" t="n">
        <v>46048</v>
      </c>
      <c r="BK61" s="776" t="n">
        <v>46055</v>
      </c>
      <c r="BL61" s="776" t="n">
        <v>46062</v>
      </c>
      <c r="BM61" s="776" t="n">
        <v>46069</v>
      </c>
      <c r="BN61" s="776" t="n">
        <v>46076</v>
      </c>
      <c r="BO61" s="776" t="n">
        <v>46083</v>
      </c>
      <c r="BP61" s="776" t="n">
        <v>46090</v>
      </c>
      <c r="BQ61" s="776" t="n">
        <v>46097</v>
      </c>
      <c r="BR61" s="776" t="n">
        <v>46104</v>
      </c>
      <c r="BS61" s="776" t="n">
        <v>46111</v>
      </c>
      <c r="BT61" s="776" t="n">
        <v>46118</v>
      </c>
      <c r="BU61" s="776" t="n">
        <v>46125</v>
      </c>
      <c r="BV61" s="776" t="n">
        <v>46132</v>
      </c>
      <c r="BW61" s="776" t="n">
        <v>46139</v>
      </c>
      <c r="BX61" s="776" t="n">
        <v>46146</v>
      </c>
      <c r="BY61" s="776" t="n">
        <v>46154</v>
      </c>
      <c r="BZ61" s="776" t="n">
        <v>46160</v>
      </c>
      <c r="CA61" s="779" t="n">
        <v>46161.48023899306</v>
      </c>
      <c r="CB61" s="779" t="n">
        <v>46161.48089707815</v>
      </c>
      <c r="CD61" s="50" t="n"/>
      <c r="CE61" s="5" t="n"/>
      <c r="DF61" s="5" t="n"/>
      <c r="DH61" s="5" t="n"/>
      <c r="DQ61" s="327" t="n"/>
      <c r="DS61" s="5" t="n"/>
      <c r="DT61" s="5" t="n"/>
      <c r="DU61" s="5" t="n"/>
      <c r="DY61" s="327" t="n"/>
      <c r="EB61" s="5" t="n"/>
      <c r="ED61" s="5" t="n"/>
      <c r="EF61" s="327" t="n"/>
      <c r="EI61" s="327" t="n"/>
      <c r="EO61" s="5" t="n"/>
    </row>
    <row r="62" hidden="1" ht="18.75" customHeight="1">
      <c r="A62" s="781" t="inlineStr">
        <is>
          <t>ZAAD ARTIC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BZ62" s="141" t="n"/>
      <c r="CA62" s="208" t="n"/>
      <c r="CB62" s="208" t="n"/>
      <c r="CD62" s="50" t="n"/>
      <c r="CE62" s="5" t="n"/>
      <c r="DF62" s="5" t="n"/>
      <c r="DH62" s="5" t="n"/>
      <c r="DQ62" s="327" t="n"/>
      <c r="DS62" s="41" t="n"/>
      <c r="DT62" s="5" t="n"/>
      <c r="DU62" s="5" t="n"/>
      <c r="DY62" s="327" t="n"/>
      <c r="EB62" s="5" t="n"/>
      <c r="ED62" s="5" t="n"/>
      <c r="EF62" s="327" t="n"/>
      <c r="EI62" s="327" t="n"/>
      <c r="EO62" s="5" t="n"/>
    </row>
    <row r="63" hidden="1" ht="18.75" customHeight="1">
      <c r="A63" s="781" t="inlineStr">
        <is>
          <t>COFFEE WOMAN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141" t="n"/>
      <c r="CA63" s="208" t="n"/>
      <c r="CB63" s="208" t="n"/>
      <c r="CD63" s="50" t="n"/>
      <c r="CE63" s="5" t="n"/>
      <c r="DF63" s="5" t="n"/>
      <c r="DH63" s="5" t="n"/>
      <c r="DQ63" s="327" t="n"/>
      <c r="DS63" s="41" t="n"/>
      <c r="DT63" s="41" t="n"/>
      <c r="DU63" s="41" t="n"/>
      <c r="DY63" s="327" t="n"/>
      <c r="EB63" s="5" t="n"/>
      <c r="ED63" s="5" t="n"/>
      <c r="EF63" s="327" t="n"/>
      <c r="EI63" s="327" t="n"/>
      <c r="EO63" s="41" t="n"/>
    </row>
    <row r="64" hidden="1" ht="18.75" customFormat="1" customHeight="1" s="29">
      <c r="A64" s="781" t="inlineStr">
        <is>
          <t>COFFEE MAN</t>
        </is>
      </c>
      <c r="B64" s="731" t="n"/>
      <c r="C64" s="731" t="n"/>
      <c r="D64" s="775" t="n"/>
      <c r="E64" s="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141" t="n"/>
      <c r="CA64" s="208" t="n"/>
      <c r="CB64" s="208" t="n"/>
      <c r="CC64" s="5" t="n"/>
      <c r="CD64" s="50" t="n"/>
      <c r="CF64" s="573" t="n"/>
      <c r="CL64" s="59" t="n"/>
      <c r="DF64" s="5" t="n"/>
      <c r="DH64" s="5" t="n"/>
      <c r="DQ64" s="328" t="n"/>
      <c r="DS64" s="41" t="n"/>
      <c r="DT64" s="41" t="n"/>
      <c r="DU64" s="41" t="n"/>
      <c r="DY64" s="328" t="n"/>
      <c r="EB64" s="5" t="n"/>
      <c r="ED64" s="5" t="n"/>
      <c r="EF64" s="328" t="n"/>
      <c r="EI64" s="328" t="n"/>
      <c r="EO64" s="41" t="n"/>
      <c r="EU64" s="5" t="n"/>
      <c r="EV64" s="5" t="n"/>
      <c r="EW64" s="5" t="n"/>
      <c r="EX64" s="5" t="n"/>
      <c r="EY64" s="5" t="n"/>
      <c r="EZ64" s="5" t="n"/>
      <c r="FA64" s="5" t="n"/>
      <c r="FB64" s="5" t="n"/>
      <c r="FC64" s="5" t="n"/>
      <c r="FD64" s="5" t="n"/>
      <c r="FE64" s="5" t="n"/>
      <c r="FF64" s="5" t="n"/>
    </row>
    <row r="65" hidden="1" ht="18.75" customFormat="1" customHeight="1" s="29">
      <c r="A65" s="781" t="inlineStr">
        <is>
          <t>CELEBRE AGORA MAS</t>
        </is>
      </c>
      <c r="B65" s="731" t="n"/>
      <c r="C65" s="731" t="n"/>
      <c r="D65" s="775" t="n"/>
      <c r="E65" s="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141" t="n"/>
      <c r="CA65" s="208" t="n"/>
      <c r="CB65" s="208" t="n"/>
      <c r="CC65" s="573" t="n"/>
      <c r="CF65" s="573" t="n"/>
      <c r="CL65" s="59" t="n"/>
      <c r="CY65" s="5" t="n"/>
      <c r="DF65" s="5" t="n"/>
      <c r="DH65" s="5" t="n"/>
      <c r="DQ65" s="328" t="n"/>
      <c r="DT65" s="41" t="n"/>
      <c r="DU65" s="41" t="n"/>
      <c r="DY65" s="328" t="n"/>
      <c r="EB65" s="5" t="n"/>
      <c r="ED65" s="5" t="n"/>
      <c r="EF65" s="328" t="n"/>
      <c r="EI65" s="328" t="n"/>
      <c r="EU65" s="5" t="n"/>
      <c r="EV65" s="5" t="n"/>
      <c r="EW65" s="5" t="n"/>
      <c r="EX65" s="5" t="n"/>
      <c r="EY65" s="5" t="n"/>
      <c r="EZ65" s="5" t="n"/>
      <c r="FA65" s="5" t="n"/>
      <c r="FB65" s="5" t="n"/>
      <c r="FC65" s="5" t="n"/>
      <c r="FD65" s="5" t="n"/>
      <c r="FE65" s="5" t="n"/>
      <c r="FF65" s="5" t="n"/>
    </row>
    <row r="66" hidden="1" ht="18.75" customFormat="1" customHeight="1" s="29">
      <c r="A66" s="781" t="inlineStr">
        <is>
          <t>CELEBRE AGORA FEM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141" t="n"/>
      <c r="CA66" s="208" t="n"/>
      <c r="CB66" s="208" t="n"/>
      <c r="CC66" s="573" t="n"/>
      <c r="CF66" s="5" t="n"/>
      <c r="CL66" s="59" t="n"/>
      <c r="CY66" s="5" t="n"/>
      <c r="DF66" s="5" t="n"/>
      <c r="DH66" s="5" t="n"/>
      <c r="DQ66" s="329" t="n"/>
      <c r="DY66" s="329" t="n"/>
      <c r="EF66" s="329" t="n"/>
      <c r="EI66" s="329" t="n"/>
      <c r="EU66" s="5" t="n"/>
      <c r="EV66" s="5" t="n"/>
      <c r="EW66" s="5" t="n"/>
      <c r="EX66" s="5" t="n"/>
      <c r="EY66" s="5" t="n"/>
      <c r="EZ66" s="5" t="n"/>
      <c r="FA66" s="5" t="n"/>
      <c r="FB66" s="5" t="n"/>
      <c r="FC66" s="5" t="n"/>
      <c r="FD66" s="5" t="n"/>
      <c r="FE66" s="5" t="n"/>
      <c r="FF66" s="5" t="n"/>
    </row>
    <row r="67" hidden="1" ht="18.75" customHeight="1">
      <c r="A67" s="781" t="inlineStr">
        <is>
          <t>MALBEC ELEGANT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141" t="n"/>
      <c r="CA67" s="208" t="n"/>
      <c r="CB67" s="208" t="n"/>
      <c r="CC67" s="573" t="n"/>
      <c r="CY67" s="5" t="n"/>
      <c r="DF67" s="5" t="n"/>
      <c r="DH67" s="5" t="n"/>
      <c r="DQ67" s="329" t="n"/>
      <c r="DY67" s="329" t="n"/>
      <c r="EB67" s="5" t="n"/>
      <c r="ED67" s="5" t="n"/>
      <c r="EF67" s="329" t="n"/>
      <c r="EI67" s="329" t="n"/>
    </row>
    <row r="68" hidden="1" ht="18.75" customHeight="1">
      <c r="A68" s="781" t="inlineStr">
        <is>
          <t>GLAMOUR MIDNIGHT</t>
        </is>
      </c>
      <c r="B68" s="731" t="n"/>
      <c r="C68" s="731" t="n"/>
      <c r="D68" s="775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141" t="n"/>
      <c r="CA68" s="208" t="n"/>
      <c r="CB68" s="208" t="n"/>
      <c r="DF68" s="5" t="n"/>
      <c r="DH68" s="5" t="n"/>
      <c r="DQ68" s="329" t="n"/>
      <c r="DY68" s="329" t="n"/>
      <c r="EF68" s="329" t="n"/>
      <c r="EI68" s="329" t="n"/>
    </row>
    <row r="69" hidden="1" ht="18.75" customHeight="1">
      <c r="A69" s="781" t="inlineStr">
        <is>
          <t>LIZ INTENSO</t>
        </is>
      </c>
      <c r="B69" s="731" t="n"/>
      <c r="C69" s="731" t="n"/>
      <c r="D69" s="775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141" t="n"/>
      <c r="CA69" s="208" t="n"/>
      <c r="CB69" s="208" t="n"/>
      <c r="DF69" s="5" t="n"/>
      <c r="DH69" s="5" t="n"/>
      <c r="DQ69" s="329" t="n"/>
      <c r="DY69" s="329" t="n"/>
      <c r="EF69" s="329" t="n"/>
      <c r="EI69" s="329" t="n"/>
    </row>
    <row r="70" hidden="1" ht="18.75" customHeight="1">
      <c r="A70" s="781" t="inlineStr">
        <is>
          <t>SHOW DE BANHO</t>
        </is>
      </c>
      <c r="B70" s="731" t="n"/>
      <c r="C70" s="731" t="n"/>
      <c r="D70" s="775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141" t="n"/>
      <c r="CA70" s="208" t="n"/>
      <c r="CB70" s="208" t="n"/>
      <c r="DF70" s="5" t="n"/>
      <c r="DH70" s="5" t="n"/>
      <c r="DQ70" s="329" t="n"/>
      <c r="DY70" s="329" t="n"/>
      <c r="EB70" s="173" t="n"/>
      <c r="ED70" s="173" t="n"/>
      <c r="EF70" s="329" t="n"/>
      <c r="EI70" s="329" t="n"/>
    </row>
    <row r="71" hidden="1" ht="18.75" customHeight="1">
      <c r="A71" s="781" t="inlineStr">
        <is>
          <t>MEN BRHAMA</t>
        </is>
      </c>
      <c r="B71" s="731" t="n"/>
      <c r="C71" s="731" t="n"/>
      <c r="D71" s="775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141" t="n"/>
      <c r="CA71" s="208" t="n"/>
      <c r="CB71" s="208" t="n"/>
      <c r="DQ71" s="329" t="n"/>
      <c r="DS71" s="5" t="n"/>
      <c r="DY71" s="329" t="n"/>
      <c r="EB71" s="173" t="n"/>
      <c r="ED71" s="173" t="n"/>
      <c r="EF71" s="329" t="n"/>
      <c r="EI71" s="329" t="n"/>
      <c r="EO71" s="5" t="n"/>
    </row>
    <row r="72" hidden="1" ht="18.75" customHeight="1">
      <c r="A72" s="781" t="inlineStr">
        <is>
          <t>VITAMINA C</t>
        </is>
      </c>
      <c r="B72" s="731" t="n"/>
      <c r="C72" s="731" t="n"/>
      <c r="D72" s="775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141" t="n"/>
      <c r="CA72" s="208" t="n"/>
      <c r="CB72" s="208" t="n"/>
      <c r="DF72" s="5" t="n"/>
      <c r="DH72" s="5" t="n"/>
      <c r="DQ72" s="327" t="n"/>
      <c r="DS72" s="5" t="n"/>
      <c r="DT72" s="5" t="n"/>
      <c r="DU72" s="5" t="n"/>
      <c r="DY72" s="327" t="n"/>
      <c r="EB72" s="173" t="n"/>
      <c r="ED72" s="173" t="n"/>
      <c r="EF72" s="327" t="n"/>
      <c r="EI72" s="327" t="n"/>
      <c r="EO72" s="5" t="n"/>
    </row>
    <row r="73" hidden="1" ht="18.75" customHeight="1">
      <c r="A73" s="781" t="inlineStr">
        <is>
          <t>OUI</t>
        </is>
      </c>
      <c r="B73" s="731" t="n"/>
      <c r="C73" s="731" t="n"/>
      <c r="D73" s="775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141" t="n"/>
      <c r="CA73" s="208" t="n"/>
      <c r="CB73" s="208" t="n"/>
      <c r="DQ73" s="327" t="n"/>
      <c r="DS73" s="5" t="n"/>
      <c r="DT73" s="5" t="n"/>
      <c r="DU73" s="5" t="n"/>
      <c r="DY73" s="327" t="n"/>
      <c r="EF73" s="327" t="n"/>
      <c r="EI73" s="327" t="n"/>
      <c r="EO73" s="5" t="n"/>
    </row>
    <row r="74" hidden="1" ht="18.75" customHeight="1">
      <c r="A74" s="781" t="inlineStr">
        <is>
          <t>EGEO FIRE</t>
        </is>
      </c>
      <c r="B74" s="731" t="n"/>
      <c r="C74" s="731" t="n"/>
      <c r="D74" s="775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141" t="n"/>
      <c r="CA74" s="208" t="n"/>
      <c r="CB74" s="208" t="n"/>
      <c r="DQ74" s="327" t="n"/>
      <c r="DT74" s="5" t="n"/>
      <c r="DU74" s="5" t="n"/>
      <c r="DY74" s="327" t="n"/>
      <c r="EF74" s="327" t="n"/>
      <c r="EI74" s="327" t="n"/>
    </row>
    <row r="75" hidden="1" ht="18.75" customHeight="1">
      <c r="A75" s="781" t="inlineStr">
        <is>
          <t>FIJI FEMININO</t>
        </is>
      </c>
      <c r="B75" s="731" t="n"/>
      <c r="C75" s="731" t="n"/>
      <c r="D75" s="775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141" t="n"/>
      <c r="CA75" s="208" t="n"/>
      <c r="CB75" s="208" t="n"/>
      <c r="DF75" s="173" t="n"/>
      <c r="DH75" s="173" t="n"/>
    </row>
    <row r="76" hidden="1" ht="18.75" customHeight="1">
      <c r="A76" s="781" t="inlineStr">
        <is>
          <t>FIJI MASCULINO</t>
        </is>
      </c>
      <c r="B76" s="731" t="n"/>
      <c r="C76" s="731" t="n"/>
      <c r="D76" s="775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BZ76" s="141" t="n"/>
      <c r="CA76" s="208" t="n"/>
      <c r="CB76" s="208" t="n"/>
      <c r="DF76" s="173" t="n"/>
      <c r="DH76" s="173" t="n"/>
    </row>
    <row r="77" hidden="1" ht="18.75" customHeight="1">
      <c r="A77" s="781" t="inlineStr">
        <is>
          <t>HER CODE</t>
        </is>
      </c>
      <c r="B77" s="731" t="n"/>
      <c r="C77" s="731" t="n"/>
      <c r="D77" s="775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BZ77" s="141" t="n"/>
      <c r="CA77" s="208" t="n"/>
      <c r="CB77" s="208" t="n"/>
      <c r="DF77" s="173" t="n"/>
      <c r="DH77" s="173" t="n"/>
    </row>
    <row r="78" hidden="1" ht="18.75" customHeight="1">
      <c r="A78" s="781" t="inlineStr">
        <is>
          <t>antiqueda</t>
        </is>
      </c>
      <c r="B78" s="731" t="n"/>
      <c r="C78" s="731" t="n"/>
      <c r="D78" s="775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  <c r="BZ78" s="141" t="n"/>
      <c r="CA78" s="208" t="n"/>
      <c r="CB78" s="208" t="n"/>
    </row>
    <row r="79" hidden="1" ht="18.75" customHeight="1">
      <c r="A79" s="781" t="inlineStr">
        <is>
          <t>firmador</t>
        </is>
      </c>
      <c r="B79" s="731" t="n"/>
      <c r="C79" s="731" t="n"/>
      <c r="D79" s="775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BZ79" s="141" t="n"/>
      <c r="CA79" s="208" t="n"/>
      <c r="CB79" s="208" t="n"/>
    </row>
    <row r="80" hidden="1" ht="18.75" customHeight="1">
      <c r="A80" s="781" t="inlineStr">
        <is>
          <t>antissinais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BZ80" s="141" t="n"/>
      <c r="CA80" s="208" t="n"/>
      <c r="CB80" s="208" t="n"/>
    </row>
    <row r="81" hidden="1" ht="18.75" customHeight="1">
      <c r="A81" s="781" t="inlineStr">
        <is>
          <t>ANTICASPAS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BZ81" s="141" t="n"/>
      <c r="CA81" s="208" t="n"/>
      <c r="CB81" s="208" t="n"/>
    </row>
    <row r="82" hidden="1" ht="18.75" customHeight="1">
      <c r="A82" s="781" t="inlineStr">
        <is>
          <t>PORTINARI ABSOLUTO</t>
        </is>
      </c>
      <c r="B82" s="731" t="n"/>
      <c r="C82" s="731" t="n"/>
      <c r="D82" s="775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  <c r="BZ82" s="141" t="n"/>
      <c r="CA82" s="208" t="n"/>
      <c r="CB82" s="208" t="n"/>
    </row>
    <row r="83" hidden="1" ht="18.75" customHeight="1">
      <c r="A83" s="781" t="inlineStr">
        <is>
          <t>LILY SOLEYL</t>
        </is>
      </c>
      <c r="B83" s="731" t="n"/>
      <c r="C83" s="731" t="n"/>
      <c r="D83" s="775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  <c r="BZ83" s="141" t="n"/>
      <c r="CA83" s="208" t="n"/>
      <c r="CB83" s="208" t="n"/>
    </row>
    <row r="84" hidden="1" ht="18.75" customHeight="1">
      <c r="A84" s="781" t="inlineStr">
        <is>
          <t>quasar vision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  <c r="BZ84" s="141" t="n"/>
      <c r="CA84" s="208" t="n"/>
      <c r="CB84" s="208" t="n"/>
    </row>
    <row r="85" hidden="1" ht="18.75" customHeight="1">
      <c r="A85" s="781" t="inlineStr">
        <is>
          <t>mate salicylic 120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  <c r="BZ85" s="141" t="n"/>
      <c r="CA85" s="208" t="n"/>
      <c r="CB85" s="208" t="n"/>
    </row>
    <row r="86" hidden="1" ht="18.75" customHeight="1">
      <c r="A86" s="781" t="inlineStr">
        <is>
          <t>mate salicylic 200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  <c r="BZ86" s="141" t="n"/>
      <c r="CA86" s="208" t="n"/>
      <c r="CB86" s="208" t="n"/>
    </row>
    <row r="87" hidden="1" ht="18.75" customHeight="1">
      <c r="A87" s="781" t="inlineStr">
        <is>
          <t>mate salicylic 330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  <c r="BZ87" s="141" t="n"/>
      <c r="CA87" s="208" t="n"/>
      <c r="CB87" s="208" t="n"/>
    </row>
    <row r="88" hidden="1" ht="18.75" customHeight="1">
      <c r="A88" s="781" t="inlineStr">
        <is>
          <t>boti sun fps 70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  <c r="BZ88" s="141" t="n"/>
      <c r="CA88" s="208" t="n"/>
      <c r="CB88" s="208" t="n"/>
    </row>
    <row r="89" hidden="1" ht="18.75" customHeight="1">
      <c r="A89" s="781" t="inlineStr">
        <is>
          <t>boti sun fps 50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  <c r="BZ89" s="141" t="n"/>
      <c r="CA89" s="208" t="n"/>
      <c r="CB89" s="208" t="n"/>
    </row>
    <row r="90" hidden="1" ht="18.75" customHeight="1">
      <c r="A90" s="781" t="inlineStr">
        <is>
          <t xml:space="preserve">Intense batom 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  <c r="BZ90" s="141" t="n"/>
      <c r="CA90" s="208" t="n"/>
      <c r="CB90" s="208" t="n"/>
    </row>
    <row r="91" hidden="1" ht="18.75" customHeight="1">
      <c r="A91" s="781" t="inlineStr">
        <is>
          <t>FLORATA ROMANCE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  <c r="BZ91" s="141" t="n"/>
      <c r="CA91" s="208" t="n"/>
      <c r="CB91" s="208" t="n"/>
    </row>
    <row r="92" hidden="1" ht="18.75" customHeight="1">
      <c r="A92" s="781" t="inlineStr">
        <is>
          <t>ARBO PURO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BZ92" s="141" t="n"/>
      <c r="CA92" s="208" t="n"/>
      <c r="CB92" s="208" t="n"/>
      <c r="CO92" s="59" t="n"/>
      <c r="CP92" s="59" t="n"/>
      <c r="CQ92" s="59" t="n"/>
      <c r="CR92" s="59" t="n"/>
      <c r="CS92" s="59" t="n"/>
    </row>
    <row r="93" hidden="1" ht="18.75" customHeight="1">
      <c r="A93" s="781" t="inlineStr">
        <is>
          <t>HIDRATANTE MAÇA VERDE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BZ93" s="141" t="n"/>
      <c r="CA93" s="208" t="n"/>
      <c r="CB93" s="208" t="n"/>
      <c r="CO93" s="573" t="n"/>
      <c r="CP93" s="573" t="n"/>
      <c r="CQ93" s="573" t="n"/>
      <c r="CR93" s="573" t="n"/>
      <c r="CS93" s="573" t="n"/>
    </row>
    <row r="94" hidden="1" ht="18.75" customHeight="1">
      <c r="A94" s="781" t="inlineStr">
        <is>
          <t>HIDRATANTE FRAMBOESA</t>
        </is>
      </c>
      <c r="B94" s="731" t="n"/>
      <c r="C94" s="731" t="n"/>
      <c r="D94" s="775" t="n"/>
      <c r="F94" s="141" t="n"/>
      <c r="G94" s="141" t="n"/>
      <c r="H94" s="141" t="n"/>
      <c r="I94" s="141" t="n"/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BZ94" s="141" t="n"/>
      <c r="CA94" s="208" t="n"/>
      <c r="CB94" s="208" t="n"/>
      <c r="CO94" s="573" t="n"/>
      <c r="CP94" s="573" t="n"/>
      <c r="CQ94" s="573" t="n"/>
      <c r="CR94" s="573" t="n"/>
      <c r="CS94" s="573" t="n"/>
    </row>
    <row r="95" hidden="1" ht="18.75" customHeight="1">
      <c r="A95" s="781" t="inlineStr">
        <is>
          <t>HIDRATANTE BANANA</t>
        </is>
      </c>
      <c r="B95" s="731" t="n"/>
      <c r="C95" s="731" t="n"/>
      <c r="D95" s="775" t="n"/>
      <c r="F95" s="141" t="n"/>
      <c r="G95" s="141" t="n"/>
      <c r="H95" s="141" t="n"/>
      <c r="I95" s="141" t="n"/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  <c r="BZ95" s="141" t="n"/>
      <c r="CA95" s="208" t="n"/>
      <c r="CB95" s="208" t="n"/>
    </row>
    <row r="96" hidden="1" ht="18.75" customHeight="1">
      <c r="A96" s="781" t="inlineStr">
        <is>
          <t>quasar blue</t>
        </is>
      </c>
      <c r="B96" s="731" t="n"/>
      <c r="C96" s="731" t="n"/>
      <c r="D96" s="775" t="n"/>
      <c r="F96" s="141" t="n"/>
      <c r="G96" s="141" t="n"/>
      <c r="H96" s="141" t="n"/>
      <c r="I96" s="141" t="n"/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  <c r="BZ96" s="141" t="n"/>
      <c r="CA96" s="208" t="n"/>
      <c r="CB96" s="208" t="n"/>
    </row>
    <row r="97" hidden="1" ht="18.75" customHeight="1">
      <c r="A97" s="781" t="inlineStr">
        <is>
          <t>framboesa</t>
        </is>
      </c>
      <c r="B97" s="731" t="n"/>
      <c r="C97" s="731" t="n"/>
      <c r="D97" s="775" t="n"/>
      <c r="F97" s="141" t="n"/>
      <c r="G97" s="141" t="n"/>
      <c r="H97" s="141" t="n"/>
      <c r="I97" s="141" t="n"/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  <c r="BZ97" s="141" t="n"/>
      <c r="CA97" s="208" t="n"/>
      <c r="CB97" s="208" t="n"/>
    </row>
    <row r="98" hidden="1" ht="18.75" customHeight="1">
      <c r="A98" s="781" t="inlineStr">
        <is>
          <t>banana</t>
        </is>
      </c>
      <c r="B98" s="731" t="n"/>
      <c r="C98" s="731" t="n"/>
      <c r="D98" s="775" t="n"/>
      <c r="F98" s="141" t="n"/>
      <c r="G98" s="141" t="n"/>
      <c r="H98" s="141" t="n"/>
      <c r="I98" s="141" t="n"/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  <c r="BZ98" s="141" t="n"/>
      <c r="CA98" s="208" t="n"/>
      <c r="CB98" s="208" t="n"/>
    </row>
    <row r="99" hidden="1" ht="18.75" customHeight="1">
      <c r="A99" s="781" t="inlineStr">
        <is>
          <t>maça verde</t>
        </is>
      </c>
      <c r="B99" s="731" t="n"/>
      <c r="C99" s="731" t="n"/>
      <c r="D99" s="775" t="n"/>
      <c r="F99" s="141" t="n"/>
      <c r="G99" s="141" t="n"/>
      <c r="H99" s="141" t="n"/>
      <c r="I99" s="141" t="n"/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  <c r="BZ99" s="141" t="n"/>
      <c r="CA99" s="208" t="n"/>
      <c r="CB99" s="208" t="n"/>
    </row>
    <row r="100" hidden="1" ht="18.75" customHeight="1">
      <c r="A100" s="781" t="inlineStr">
        <is>
          <t>HIDRATANTE NUVEM</t>
        </is>
      </c>
      <c r="B100" s="731" t="n"/>
      <c r="C100" s="731" t="n"/>
      <c r="D100" s="775" t="n"/>
      <c r="F100" s="141" t="n"/>
      <c r="G100" s="141" t="n"/>
      <c r="H100" s="141" t="n"/>
      <c r="I100" s="141" t="n"/>
      <c r="J100" s="141" t="n"/>
      <c r="K100" s="141" t="n"/>
      <c r="L100" s="141" t="n"/>
      <c r="M100" s="141" t="n"/>
      <c r="N100" s="141" t="n"/>
      <c r="O100" s="141" t="n"/>
      <c r="P100" s="141" t="n"/>
      <c r="Q100" s="141" t="n"/>
      <c r="R100" s="141" t="n"/>
      <c r="S100" s="141" t="n"/>
      <c r="T100" s="141" t="n"/>
      <c r="U100" s="141" t="n"/>
      <c r="V100" s="141" t="n"/>
      <c r="W100" s="141" t="n"/>
      <c r="X100" s="141" t="n"/>
      <c r="Y100" s="141" t="n"/>
      <c r="Z100" s="141" t="n"/>
      <c r="AA100" s="141" t="n"/>
      <c r="AB100" s="141" t="n"/>
      <c r="AC100" s="141" t="n"/>
      <c r="AD100" s="141" t="n"/>
      <c r="AE100" s="141" t="n"/>
      <c r="AF100" s="141" t="n"/>
      <c r="AG100" s="141" t="n"/>
      <c r="AH100" s="141" t="n"/>
      <c r="AI100" s="141" t="n"/>
      <c r="AJ100" s="141" t="n"/>
      <c r="AK100" s="141" t="n"/>
      <c r="AL100" s="141" t="n"/>
      <c r="AM100" s="141" t="n"/>
      <c r="AN100" s="141" t="n"/>
      <c r="AO100" s="141" t="n"/>
      <c r="AP100" s="141" t="n"/>
      <c r="AQ100" s="141" t="n"/>
      <c r="AR100" s="141" t="n"/>
      <c r="AS100" s="141" t="n"/>
      <c r="AT100" s="141" t="n"/>
      <c r="AU100" s="141" t="n"/>
      <c r="AV100" s="141" t="n"/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  <c r="BZ100" s="141" t="n"/>
      <c r="CA100" s="208" t="n"/>
      <c r="CB100" s="208" t="n"/>
    </row>
    <row r="101" hidden="1" ht="18.75" customHeight="1">
      <c r="A101" s="781" t="inlineStr">
        <is>
          <t>HIDRATANTE DELEITE</t>
        </is>
      </c>
      <c r="B101" s="731" t="n"/>
      <c r="C101" s="731" t="n"/>
      <c r="D101" s="775" t="n"/>
      <c r="F101" s="141" t="n"/>
      <c r="G101" s="141" t="n"/>
      <c r="H101" s="141" t="n"/>
      <c r="I101" s="141" t="n"/>
      <c r="J101" s="141" t="n"/>
      <c r="K101" s="141" t="n"/>
      <c r="L101" s="141" t="n"/>
      <c r="M101" s="141" t="n"/>
      <c r="N101" s="141" t="n"/>
      <c r="O101" s="141" t="n"/>
      <c r="P101" s="141" t="n"/>
      <c r="Q101" s="141" t="n"/>
      <c r="R101" s="141" t="n"/>
      <c r="S101" s="141" t="n"/>
      <c r="T101" s="141" t="n"/>
      <c r="U101" s="141" t="n"/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  <c r="BZ101" s="141" t="n"/>
      <c r="CA101" s="208" t="n"/>
      <c r="CB101" s="208" t="n"/>
    </row>
    <row r="102" hidden="1" ht="18.75" customHeight="1">
      <c r="A102" s="781" t="inlineStr">
        <is>
          <t>HIDRATANTE ROSA E ALGODÃO</t>
        </is>
      </c>
      <c r="B102" s="731" t="n"/>
      <c r="C102" s="731" t="n"/>
      <c r="D102" s="775" t="n"/>
      <c r="F102" s="141" t="n"/>
      <c r="G102" s="141" t="n"/>
      <c r="H102" s="141" t="n"/>
      <c r="I102" s="141" t="n"/>
      <c r="J102" s="141" t="n"/>
      <c r="K102" s="141" t="n"/>
      <c r="L102" s="141" t="n"/>
      <c r="M102" s="141" t="n"/>
      <c r="N102" s="141" t="n"/>
      <c r="O102" s="141" t="n"/>
      <c r="P102" s="141" t="n"/>
      <c r="Q102" s="141" t="n"/>
      <c r="R102" s="141" t="n"/>
      <c r="S102" s="141" t="n"/>
      <c r="T102" s="141" t="n"/>
      <c r="U102" s="141" t="n"/>
      <c r="V102" s="141" t="n"/>
      <c r="W102" s="141" t="n"/>
      <c r="X102" s="141" t="n"/>
      <c r="Y102" s="141" t="n"/>
      <c r="Z102" s="141" t="n"/>
      <c r="AA102" s="141" t="n"/>
      <c r="AB102" s="141" t="n"/>
      <c r="AC102" s="141" t="n"/>
      <c r="AD102" s="141" t="n"/>
      <c r="AE102" s="141" t="n"/>
      <c r="AF102" s="141" t="n"/>
      <c r="AG102" s="141" t="n"/>
      <c r="AH102" s="141" t="n"/>
      <c r="AI102" s="141" t="n"/>
      <c r="AJ102" s="141" t="n"/>
      <c r="AK102" s="141" t="n"/>
      <c r="AL102" s="141" t="n"/>
      <c r="AM102" s="141" t="n"/>
      <c r="AN102" s="141" t="n"/>
      <c r="AO102" s="141" t="n"/>
      <c r="AP102" s="141" t="n"/>
      <c r="AQ102" s="141" t="n"/>
      <c r="AR102" s="141" t="n"/>
      <c r="AS102" s="141" t="n"/>
      <c r="AT102" s="141" t="n"/>
      <c r="AU102" s="141" t="n"/>
      <c r="AV102" s="141" t="n"/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  <c r="BZ102" s="141" t="n"/>
      <c r="CA102" s="208" t="n"/>
      <c r="CB102" s="208" t="n"/>
    </row>
    <row r="103" hidden="1" ht="18.75" customHeight="1">
      <c r="A103" s="781" t="inlineStr">
        <is>
          <t xml:space="preserve">LIZ </t>
        </is>
      </c>
      <c r="B103" s="731" t="n"/>
      <c r="C103" s="731" t="n"/>
      <c r="D103" s="775" t="n"/>
      <c r="F103" s="141" t="n"/>
      <c r="G103" s="141" t="n"/>
      <c r="H103" s="141" t="n"/>
      <c r="I103" s="141" t="n"/>
      <c r="J103" s="141" t="n"/>
      <c r="K103" s="141" t="n"/>
      <c r="L103" s="141" t="n"/>
      <c r="M103" s="141" t="n"/>
      <c r="N103" s="141" t="n"/>
      <c r="O103" s="141" t="n"/>
      <c r="P103" s="141" t="n"/>
      <c r="Q103" s="141" t="n"/>
      <c r="R103" s="141" t="n"/>
      <c r="S103" s="141" t="n"/>
      <c r="T103" s="141" t="n"/>
      <c r="U103" s="141" t="n"/>
      <c r="V103" s="141" t="n"/>
      <c r="W103" s="141" t="n"/>
      <c r="X103" s="141" t="n"/>
      <c r="Y103" s="141" t="n"/>
      <c r="Z103" s="141" t="n"/>
      <c r="AA103" s="141" t="n"/>
      <c r="AB103" s="141" t="n"/>
      <c r="AC103" s="141" t="n"/>
      <c r="AD103" s="141" t="n"/>
      <c r="AE103" s="141" t="n"/>
      <c r="AF103" s="141" t="n"/>
      <c r="AG103" s="141" t="n"/>
      <c r="AH103" s="141" t="n"/>
      <c r="AI103" s="141" t="n"/>
      <c r="AJ103" s="141" t="n"/>
      <c r="AK103" s="141" t="n"/>
      <c r="AL103" s="141" t="n"/>
      <c r="AM103" s="141" t="n"/>
      <c r="AN103" s="141" t="n"/>
      <c r="AO103" s="141" t="n"/>
      <c r="AP103" s="141" t="n"/>
      <c r="AQ103" s="141" t="n"/>
      <c r="AR103" s="141" t="n"/>
      <c r="AS103" s="141" t="n"/>
      <c r="AT103" s="141" t="n"/>
      <c r="AU103" s="141" t="n"/>
      <c r="AV103" s="141" t="n"/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  <c r="BZ103" s="141" t="n"/>
      <c r="CA103" s="208" t="n"/>
      <c r="CB103" s="208" t="n"/>
    </row>
    <row r="104" hidden="1" ht="18.75" customHeight="1">
      <c r="A104" s="781" t="inlineStr">
        <is>
          <t>LILAC HIDRATANTE</t>
        </is>
      </c>
      <c r="B104" s="731" t="n"/>
      <c r="C104" s="731" t="n"/>
      <c r="D104" s="775" t="n"/>
      <c r="F104" s="141" t="n"/>
      <c r="G104" s="141" t="n"/>
      <c r="H104" s="141" t="n"/>
      <c r="I104" s="141" t="n"/>
      <c r="J104" s="141" t="n"/>
      <c r="K104" s="141" t="n"/>
      <c r="L104" s="141" t="n"/>
      <c r="M104" s="141" t="n"/>
      <c r="N104" s="141" t="n"/>
      <c r="O104" s="141" t="n"/>
      <c r="P104" s="141" t="n"/>
      <c r="Q104" s="141" t="n"/>
      <c r="R104" s="141" t="n"/>
      <c r="S104" s="141" t="n"/>
      <c r="T104" s="141" t="n"/>
      <c r="U104" s="141" t="n"/>
      <c r="V104" s="141" t="n"/>
      <c r="W104" s="141" t="n"/>
      <c r="X104" s="141" t="n"/>
      <c r="Y104" s="141" t="n"/>
      <c r="Z104" s="141" t="n"/>
      <c r="AA104" s="141" t="n"/>
      <c r="AB104" s="141" t="n"/>
      <c r="AC104" s="141" t="n"/>
      <c r="AD104" s="141" t="n"/>
      <c r="AE104" s="141" t="n"/>
      <c r="AF104" s="141" t="n"/>
      <c r="AG104" s="141" t="n"/>
      <c r="AH104" s="141" t="n"/>
      <c r="AI104" s="141" t="n"/>
      <c r="AJ104" s="141" t="n"/>
      <c r="AK104" s="141" t="n"/>
      <c r="AL104" s="141" t="n"/>
      <c r="AM104" s="141" t="n"/>
      <c r="AN104" s="141" t="n"/>
      <c r="AO104" s="141" t="n"/>
      <c r="AP104" s="141" t="n"/>
      <c r="AQ104" s="141" t="n"/>
      <c r="AR104" s="141" t="n"/>
      <c r="AS104" s="141" t="n"/>
      <c r="AT104" s="141" t="n"/>
      <c r="AU104" s="141" t="n"/>
      <c r="AV104" s="141" t="n"/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141" t="n"/>
      <c r="BW104" s="141" t="n"/>
      <c r="BX104" s="141" t="n"/>
      <c r="BY104" s="141" t="n"/>
      <c r="BZ104" s="141" t="n"/>
      <c r="CA104" s="208" t="n"/>
      <c r="CB104" s="208" t="n"/>
    </row>
    <row r="105" hidden="1" ht="18.75" customHeight="1">
      <c r="A105" s="781" t="inlineStr">
        <is>
          <t>BOA NOITE LOÇÃO HIDRATANTE</t>
        </is>
      </c>
      <c r="B105" s="731" t="n"/>
      <c r="C105" s="731" t="n"/>
      <c r="D105" s="775" t="n"/>
      <c r="F105" s="141" t="n"/>
      <c r="G105" s="141" t="n"/>
      <c r="H105" s="141" t="n"/>
      <c r="I105" s="141" t="n"/>
      <c r="J105" s="141" t="n"/>
      <c r="K105" s="141" t="n"/>
      <c r="L105" s="141" t="n"/>
      <c r="M105" s="141" t="n"/>
      <c r="N105" s="141" t="n"/>
      <c r="O105" s="141" t="n"/>
      <c r="P105" s="141" t="n"/>
      <c r="Q105" s="141" t="n"/>
      <c r="R105" s="141" t="n"/>
      <c r="S105" s="141" t="n"/>
      <c r="T105" s="141" t="n"/>
      <c r="U105" s="141" t="n"/>
      <c r="V105" s="141" t="n"/>
      <c r="W105" s="141" t="n"/>
      <c r="X105" s="141" t="n"/>
      <c r="Y105" s="141" t="n"/>
      <c r="Z105" s="141" t="n"/>
      <c r="AA105" s="141" t="n"/>
      <c r="AB105" s="141" t="n"/>
      <c r="AC105" s="141" t="n"/>
      <c r="AD105" s="141" t="n"/>
      <c r="AE105" s="141" t="n"/>
      <c r="AF105" s="141" t="n"/>
      <c r="AG105" s="141" t="n"/>
      <c r="AH105" s="141" t="n"/>
      <c r="AI105" s="141" t="n"/>
      <c r="AJ105" s="141" t="n"/>
      <c r="AK105" s="141" t="n"/>
      <c r="AL105" s="141" t="n"/>
      <c r="AM105" s="141" t="n"/>
      <c r="AN105" s="141" t="n"/>
      <c r="AO105" s="141" t="n"/>
      <c r="AP105" s="141" t="n"/>
      <c r="AQ105" s="141" t="n"/>
      <c r="AR105" s="141" t="n"/>
      <c r="AS105" s="141" t="n"/>
      <c r="AT105" s="141" t="n"/>
      <c r="AU105" s="141" t="n"/>
      <c r="AV105" s="141" t="n"/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141" t="n"/>
      <c r="BW105" s="141" t="n"/>
      <c r="BX105" s="141" t="n"/>
      <c r="BY105" s="141" t="n"/>
      <c r="BZ105" s="141" t="n"/>
      <c r="CA105" s="208" t="n"/>
      <c r="CB105" s="208" t="n"/>
    </row>
    <row r="106" hidden="1" ht="18.75" customHeight="1">
      <c r="A106" s="781" t="inlineStr">
        <is>
          <t>Botik protetor solar acid. hil. fps 50</t>
        </is>
      </c>
      <c r="B106" s="731" t="n"/>
      <c r="C106" s="731" t="n"/>
      <c r="D106" s="775" t="n"/>
      <c r="F106" s="141" t="n"/>
      <c r="G106" s="141" t="n"/>
      <c r="H106" s="141" t="n"/>
      <c r="I106" s="141" t="n"/>
      <c r="J106" s="141" t="n"/>
      <c r="K106" s="141" t="n"/>
      <c r="L106" s="141" t="n"/>
      <c r="M106" s="141" t="n"/>
      <c r="N106" s="141" t="n"/>
      <c r="O106" s="141" t="n"/>
      <c r="P106" s="141" t="n"/>
      <c r="Q106" s="141" t="n"/>
      <c r="R106" s="141" t="n"/>
      <c r="S106" s="141" t="n"/>
      <c r="T106" s="141" t="n"/>
      <c r="U106" s="141" t="n"/>
      <c r="V106" s="141" t="n"/>
      <c r="W106" s="141" t="n"/>
      <c r="X106" s="141" t="n"/>
      <c r="Y106" s="141" t="n"/>
      <c r="Z106" s="141" t="n"/>
      <c r="AA106" s="141" t="n"/>
      <c r="AB106" s="141" t="n"/>
      <c r="AC106" s="141" t="n"/>
      <c r="AD106" s="141" t="n"/>
      <c r="AE106" s="141" t="n"/>
      <c r="AF106" s="141" t="n"/>
      <c r="AG106" s="141" t="n"/>
      <c r="AH106" s="141" t="n"/>
      <c r="AI106" s="141" t="n"/>
      <c r="AJ106" s="141" t="n"/>
      <c r="AK106" s="141" t="n"/>
      <c r="AL106" s="141" t="n"/>
      <c r="AM106" s="141" t="n"/>
      <c r="AN106" s="141" t="n"/>
      <c r="AO106" s="141" t="n"/>
      <c r="AP106" s="141" t="n"/>
      <c r="AQ106" s="141" t="n"/>
      <c r="AR106" s="141" t="n"/>
      <c r="AS106" s="141" t="n"/>
      <c r="AT106" s="141" t="n"/>
      <c r="AU106" s="141" t="n"/>
      <c r="AV106" s="141" t="n"/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141" t="n"/>
      <c r="BW106" s="141" t="n"/>
      <c r="BX106" s="141" t="n"/>
      <c r="BY106" s="141" t="n"/>
      <c r="BZ106" s="141" t="n"/>
      <c r="CA106" s="208" t="n"/>
      <c r="CB106" s="208" t="n"/>
    </row>
    <row r="107" hidden="1" ht="18.75" customHeight="1">
      <c r="A107" s="781" t="inlineStr">
        <is>
          <t>Botik protetor solar acid. hil. fps 80</t>
        </is>
      </c>
      <c r="B107" s="731" t="n"/>
      <c r="C107" s="731" t="n"/>
      <c r="D107" s="775" t="n"/>
      <c r="F107" s="141" t="n"/>
      <c r="G107" s="141" t="n"/>
      <c r="H107" s="141" t="n"/>
      <c r="I107" s="141" t="n"/>
      <c r="J107" s="141" t="n"/>
      <c r="K107" s="141" t="n"/>
      <c r="L107" s="141" t="n"/>
      <c r="M107" s="141" t="n"/>
      <c r="N107" s="141" t="n"/>
      <c r="O107" s="141" t="n"/>
      <c r="P107" s="141" t="n"/>
      <c r="Q107" s="141" t="n"/>
      <c r="R107" s="141" t="n"/>
      <c r="S107" s="141" t="n"/>
      <c r="T107" s="141" t="n"/>
      <c r="U107" s="141" t="n"/>
      <c r="V107" s="141" t="n"/>
      <c r="W107" s="141" t="n"/>
      <c r="X107" s="141" t="n"/>
      <c r="Y107" s="141" t="n"/>
      <c r="Z107" s="141" t="n"/>
      <c r="AA107" s="141" t="n"/>
      <c r="AB107" s="141" t="n"/>
      <c r="AC107" s="141" t="n"/>
      <c r="AD107" s="141" t="n"/>
      <c r="AE107" s="141" t="n"/>
      <c r="AF107" s="141" t="n"/>
      <c r="AG107" s="141" t="n"/>
      <c r="AH107" s="141" t="n"/>
      <c r="AI107" s="141" t="n"/>
      <c r="AJ107" s="141" t="n"/>
      <c r="AK107" s="141" t="n"/>
      <c r="AL107" s="141" t="n"/>
      <c r="AM107" s="141" t="n"/>
      <c r="AN107" s="141" t="n"/>
      <c r="AO107" s="141" t="n"/>
      <c r="AP107" s="141" t="n"/>
      <c r="AQ107" s="141" t="n"/>
      <c r="AR107" s="141" t="n"/>
      <c r="AS107" s="141" t="n"/>
      <c r="AT107" s="141" t="n"/>
      <c r="AU107" s="141" t="n"/>
      <c r="AV107" s="141" t="n"/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  <c r="BZ107" s="141" t="n"/>
      <c r="CA107" s="208" t="n"/>
      <c r="CB107" s="208" t="n"/>
    </row>
    <row r="108" hidden="1" ht="18.75" customHeight="1">
      <c r="A108" s="781" t="inlineStr">
        <is>
          <t xml:space="preserve">Botica 214 African sunrise </t>
        </is>
      </c>
      <c r="B108" s="731" t="n"/>
      <c r="C108" s="731" t="n"/>
      <c r="D108" s="775" t="n"/>
      <c r="F108" s="141" t="n"/>
      <c r="G108" s="141" t="n"/>
      <c r="H108" s="141" t="n"/>
      <c r="I108" s="141" t="n"/>
      <c r="J108" s="141" t="n"/>
      <c r="K108" s="141" t="n"/>
      <c r="L108" s="141" t="n"/>
      <c r="M108" s="141" t="n"/>
      <c r="N108" s="141" t="n"/>
      <c r="O108" s="141" t="n"/>
      <c r="P108" s="141" t="n"/>
      <c r="Q108" s="141" t="n"/>
      <c r="R108" s="141" t="n"/>
      <c r="S108" s="141" t="n"/>
      <c r="T108" s="141" t="n"/>
      <c r="U108" s="141" t="n"/>
      <c r="V108" s="141" t="n"/>
      <c r="W108" s="141" t="n"/>
      <c r="X108" s="141" t="n"/>
      <c r="Y108" s="141" t="n"/>
      <c r="Z108" s="141" t="n"/>
      <c r="AA108" s="141" t="n"/>
      <c r="AB108" s="141" t="n"/>
      <c r="AC108" s="141" t="n"/>
      <c r="AD108" s="141" t="n"/>
      <c r="AE108" s="141" t="n"/>
      <c r="AF108" s="141" t="n"/>
      <c r="AG108" s="141" t="n"/>
      <c r="AH108" s="141" t="n"/>
      <c r="AI108" s="141" t="n"/>
      <c r="AJ108" s="141" t="n"/>
      <c r="AK108" s="141" t="n"/>
      <c r="AL108" s="141" t="n"/>
      <c r="AM108" s="141" t="n"/>
      <c r="AN108" s="141" t="n"/>
      <c r="AO108" s="141" t="n"/>
      <c r="AP108" s="141" t="n"/>
      <c r="AQ108" s="141" t="n"/>
      <c r="AR108" s="141" t="n"/>
      <c r="AS108" s="141" t="n"/>
      <c r="AT108" s="141" t="n"/>
      <c r="AU108" s="141" t="n"/>
      <c r="AV108" s="141" t="n"/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  <c r="BZ108" s="141" t="n"/>
      <c r="CA108" s="208" t="n"/>
      <c r="CB108" s="208" t="n"/>
    </row>
    <row r="109" hidden="1" ht="18.75" customHeight="1">
      <c r="A109" s="781" t="inlineStr">
        <is>
          <t>COFFEE ADDCITIVE</t>
        </is>
      </c>
      <c r="B109" s="731" t="n"/>
      <c r="C109" s="731" t="n"/>
      <c r="D109" s="775" t="n"/>
      <c r="F109" s="141" t="n"/>
      <c r="G109" s="141" t="n"/>
      <c r="H109" s="141" t="n"/>
      <c r="I109" s="141" t="n"/>
      <c r="J109" s="141" t="n"/>
      <c r="K109" s="141" t="n"/>
      <c r="L109" s="141" t="n"/>
      <c r="M109" s="141" t="n"/>
      <c r="N109" s="141" t="n"/>
      <c r="O109" s="141" t="n"/>
      <c r="P109" s="141" t="n"/>
      <c r="Q109" s="141" t="n"/>
      <c r="R109" s="141" t="n"/>
      <c r="S109" s="141" t="n"/>
      <c r="T109" s="141" t="n"/>
      <c r="U109" s="141" t="n"/>
      <c r="V109" s="141" t="n"/>
      <c r="W109" s="141" t="n"/>
      <c r="X109" s="141" t="n"/>
      <c r="Y109" s="141" t="n"/>
      <c r="Z109" s="141" t="n"/>
      <c r="AA109" s="141" t="n"/>
      <c r="AB109" s="141" t="n"/>
      <c r="AC109" s="141" t="n"/>
      <c r="AD109" s="141" t="n"/>
      <c r="AE109" s="141" t="n"/>
      <c r="AF109" s="141" t="n"/>
      <c r="AG109" s="141" t="n"/>
      <c r="AH109" s="141" t="n"/>
      <c r="AI109" s="141" t="n"/>
      <c r="AJ109" s="141" t="n"/>
      <c r="AK109" s="141" t="n"/>
      <c r="AL109" s="141" t="n"/>
      <c r="AM109" s="141" t="n"/>
      <c r="AN109" s="141" t="n"/>
      <c r="AO109" s="141" t="n"/>
      <c r="AP109" s="141" t="n"/>
      <c r="AQ109" s="141" t="n"/>
      <c r="AR109" s="141" t="n"/>
      <c r="AS109" s="141" t="n"/>
      <c r="AT109" s="141" t="n"/>
      <c r="AU109" s="141" t="n"/>
      <c r="AV109" s="141" t="n"/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  <c r="BZ109" s="141" t="n"/>
      <c r="CA109" s="208" t="n"/>
      <c r="CB109" s="208" t="n"/>
    </row>
    <row r="110" hidden="1" ht="18.75" customHeight="1">
      <c r="A110" s="781" t="inlineStr">
        <is>
          <t>SCIENCE RECONSTRUÇÃO</t>
        </is>
      </c>
      <c r="B110" s="731" t="n"/>
      <c r="C110" s="731" t="n"/>
      <c r="D110" s="775" t="n"/>
      <c r="F110" s="141" t="n"/>
      <c r="G110" s="141" t="n"/>
      <c r="H110" s="141" t="n"/>
      <c r="I110" s="141" t="n"/>
      <c r="J110" s="141" t="n"/>
      <c r="K110" s="141" t="n"/>
      <c r="L110" s="141" t="n"/>
      <c r="M110" s="141" t="n"/>
      <c r="N110" s="141" t="n"/>
      <c r="O110" s="141" t="n"/>
      <c r="P110" s="141" t="n"/>
      <c r="Q110" s="141" t="n"/>
      <c r="R110" s="141" t="n"/>
      <c r="S110" s="141" t="n"/>
      <c r="T110" s="141" t="n"/>
      <c r="U110" s="141" t="n"/>
      <c r="V110" s="141" t="n"/>
      <c r="W110" s="141" t="n"/>
      <c r="X110" s="141" t="n"/>
      <c r="Y110" s="141" t="n"/>
      <c r="Z110" s="141" t="n"/>
      <c r="AA110" s="141" t="n"/>
      <c r="AB110" s="141" t="n"/>
      <c r="AC110" s="141" t="n"/>
      <c r="AD110" s="141" t="n"/>
      <c r="AE110" s="141" t="n"/>
      <c r="AF110" s="141" t="n"/>
      <c r="AG110" s="141" t="n"/>
      <c r="AH110" s="141" t="n"/>
      <c r="AI110" s="141" t="n"/>
      <c r="AJ110" s="141" t="n"/>
      <c r="AK110" s="141" t="n"/>
      <c r="AL110" s="141" t="n"/>
      <c r="AM110" s="141" t="n"/>
      <c r="AN110" s="141" t="n"/>
      <c r="AO110" s="141" t="n"/>
      <c r="AP110" s="141" t="n"/>
      <c r="AQ110" s="141" t="n"/>
      <c r="AR110" s="141" t="n"/>
      <c r="AS110" s="141" t="n"/>
      <c r="AT110" s="141" t="n"/>
      <c r="AU110" s="141" t="n"/>
      <c r="AV110" s="141" t="n"/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  <c r="BZ110" s="141" t="n"/>
      <c r="CA110" s="208" t="n"/>
      <c r="CB110" s="208" t="n"/>
    </row>
    <row r="111" hidden="1" ht="18.75" customHeight="1">
      <c r="A111" s="781" t="inlineStr">
        <is>
          <t>DR BOTICA CRIATIVIDADE</t>
        </is>
      </c>
      <c r="B111" s="731" t="n"/>
      <c r="C111" s="731" t="n"/>
      <c r="D111" s="775" t="n"/>
      <c r="F111" s="141" t="n"/>
      <c r="G111" s="141" t="n"/>
      <c r="H111" s="141" t="n"/>
      <c r="I111" s="141" t="n"/>
      <c r="J111" s="141" t="n"/>
      <c r="K111" s="141" t="n"/>
      <c r="L111" s="141" t="n"/>
      <c r="M111" s="141" t="n"/>
      <c r="N111" s="141" t="n"/>
      <c r="O111" s="141" t="n"/>
      <c r="P111" s="141" t="n"/>
      <c r="Q111" s="141" t="n"/>
      <c r="R111" s="141" t="n"/>
      <c r="S111" s="141" t="n"/>
      <c r="T111" s="141" t="n"/>
      <c r="U111" s="141" t="n"/>
      <c r="V111" s="141" t="n"/>
      <c r="W111" s="141" t="n"/>
      <c r="X111" s="141" t="n"/>
      <c r="Y111" s="141" t="n"/>
      <c r="Z111" s="141" t="n"/>
      <c r="AA111" s="141" t="n"/>
      <c r="AB111" s="141" t="n"/>
      <c r="AC111" s="141" t="n"/>
      <c r="AD111" s="141" t="n"/>
      <c r="AE111" s="141" t="n"/>
      <c r="AF111" s="141" t="n"/>
      <c r="AG111" s="141" t="n"/>
      <c r="AH111" s="141" t="n"/>
      <c r="AI111" s="141" t="n"/>
      <c r="AJ111" s="141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/>
      <c r="AV111" s="141" t="n"/>
      <c r="AW111" s="141" t="n"/>
      <c r="AX111" s="141" t="n"/>
      <c r="AY111" s="141" t="n"/>
      <c r="AZ111" s="141" t="n"/>
      <c r="BA111" s="141" t="n"/>
      <c r="BB111" s="141" t="n"/>
      <c r="BC111" s="141" t="n"/>
      <c r="BD111" s="141" t="n"/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  <c r="BZ111" s="141" t="n"/>
      <c r="CA111" s="208" t="n"/>
      <c r="CB111" s="208" t="n"/>
    </row>
    <row r="112" hidden="1" ht="18.75" customHeight="1">
      <c r="A112" s="781" t="inlineStr">
        <is>
          <t>MEN 2 EM 1</t>
        </is>
      </c>
      <c r="B112" s="731" t="n"/>
      <c r="C112" s="731" t="n"/>
      <c r="D112" s="775" t="n"/>
      <c r="F112" s="141" t="n"/>
      <c r="G112" s="141" t="n"/>
      <c r="H112" s="141" t="n"/>
      <c r="I112" s="141" t="n"/>
      <c r="J112" s="141" t="n"/>
      <c r="K112" s="141" t="n"/>
      <c r="L112" s="141" t="n"/>
      <c r="M112" s="141" t="n"/>
      <c r="N112" s="141" t="n"/>
      <c r="O112" s="141" t="n"/>
      <c r="P112" s="141" t="n"/>
      <c r="Q112" s="141" t="n"/>
      <c r="R112" s="141" t="n"/>
      <c r="S112" s="141" t="n"/>
      <c r="T112" s="141" t="n"/>
      <c r="U112" s="141" t="n"/>
      <c r="V112" s="141" t="n"/>
      <c r="W112" s="141" t="n"/>
      <c r="X112" s="141" t="n"/>
      <c r="Y112" s="141" t="n"/>
      <c r="Z112" s="141" t="n"/>
      <c r="AA112" s="141" t="n"/>
      <c r="AB112" s="141" t="n"/>
      <c r="AC112" s="141" t="n"/>
      <c r="AD112" s="141" t="n"/>
      <c r="AE112" s="141" t="n"/>
      <c r="AF112" s="141" t="n"/>
      <c r="AG112" s="141" t="n"/>
      <c r="AH112" s="141" t="n"/>
      <c r="AI112" s="141" t="n"/>
      <c r="AJ112" s="141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/>
      <c r="AV112" s="141" t="n"/>
      <c r="AW112" s="141" t="n"/>
      <c r="AX112" s="141" t="n"/>
      <c r="AY112" s="141" t="n"/>
      <c r="AZ112" s="141" t="n"/>
      <c r="BA112" s="141" t="n"/>
      <c r="BB112" s="141" t="n"/>
      <c r="BC112" s="141" t="n"/>
      <c r="BD112" s="141" t="n"/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  <c r="BZ112" s="141" t="n"/>
      <c r="CA112" s="208" t="n"/>
      <c r="CB112" s="208" t="n"/>
    </row>
    <row r="113" hidden="1" ht="18.75" customHeight="1">
      <c r="A113" s="781" t="inlineStr">
        <is>
          <t>MALBEC ICON</t>
        </is>
      </c>
      <c r="B113" s="731" t="n"/>
      <c r="C113" s="731" t="n"/>
      <c r="D113" s="775" t="n"/>
      <c r="F113" s="141" t="n"/>
      <c r="G113" s="141" t="n"/>
      <c r="H113" s="141" t="n"/>
      <c r="I113" s="141" t="n"/>
      <c r="J113" s="141" t="n"/>
      <c r="K113" s="141" t="n"/>
      <c r="L113" s="141" t="n"/>
      <c r="M113" s="141" t="n"/>
      <c r="N113" s="141" t="n"/>
      <c r="O113" s="141" t="n"/>
      <c r="P113" s="141" t="n"/>
      <c r="Q113" s="141" t="n"/>
      <c r="R113" s="141" t="n"/>
      <c r="S113" s="141" t="n"/>
      <c r="T113" s="141" t="n"/>
      <c r="U113" s="141" t="n"/>
      <c r="V113" s="141" t="n"/>
      <c r="W113" s="141" t="n"/>
      <c r="X113" s="141" t="n"/>
      <c r="Y113" s="141" t="n"/>
      <c r="Z113" s="141" t="n"/>
      <c r="AA113" s="141" t="n"/>
      <c r="AB113" s="141" t="n"/>
      <c r="AC113" s="141" t="n"/>
      <c r="AD113" s="141" t="n"/>
      <c r="AE113" s="141" t="n"/>
      <c r="AF113" s="141" t="n"/>
      <c r="AG113" s="141" t="n"/>
      <c r="AH113" s="141" t="n"/>
      <c r="AI113" s="141" t="n"/>
      <c r="AJ113" s="141" t="n"/>
      <c r="AK113" s="141" t="n"/>
      <c r="AL113" s="141" t="n"/>
      <c r="AM113" s="141" t="n"/>
      <c r="AN113" s="141" t="n"/>
      <c r="AO113" s="141" t="n"/>
      <c r="AP113" s="141" t="n"/>
      <c r="AQ113" s="141" t="n"/>
      <c r="AR113" s="141" t="n"/>
      <c r="AS113" s="141" t="n"/>
      <c r="AT113" s="141" t="n"/>
      <c r="AU113" s="141" t="n"/>
      <c r="AV113" s="141" t="n"/>
      <c r="AW113" s="141" t="n"/>
      <c r="AX113" s="141" t="n"/>
      <c r="AY113" s="141" t="n"/>
      <c r="AZ113" s="141" t="n"/>
      <c r="BA113" s="141" t="n"/>
      <c r="BB113" s="141" t="n"/>
      <c r="BC113" s="141" t="n"/>
      <c r="BD113" s="141" t="n"/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  <c r="BZ113" s="141" t="n"/>
      <c r="CA113" s="208" t="n"/>
      <c r="CB113" s="208" t="n"/>
    </row>
    <row r="114" hidden="1" ht="18.75" customHeight="1">
      <c r="A114" s="781" t="inlineStr">
        <is>
          <t>BOTI BABY SABONETE + LOÇÃO</t>
        </is>
      </c>
      <c r="B114" s="731" t="n"/>
      <c r="C114" s="731" t="n"/>
      <c r="D114" s="775" t="n"/>
      <c r="F114" s="141" t="n"/>
      <c r="G114" s="141" t="n"/>
      <c r="H114" s="141" t="n"/>
      <c r="I114" s="141" t="n"/>
      <c r="J114" s="141" t="n"/>
      <c r="K114" s="141" t="n"/>
      <c r="L114" s="141" t="n"/>
      <c r="M114" s="141" t="n"/>
      <c r="N114" s="141" t="n"/>
      <c r="O114" s="141" t="n"/>
      <c r="P114" s="141" t="n"/>
      <c r="Q114" s="141" t="n"/>
      <c r="R114" s="141" t="n"/>
      <c r="S114" s="141" t="n"/>
      <c r="T114" s="141" t="n"/>
      <c r="U114" s="141" t="n"/>
      <c r="V114" s="141" t="n"/>
      <c r="W114" s="141" t="n"/>
      <c r="X114" s="141" t="n"/>
      <c r="Y114" s="141" t="n"/>
      <c r="Z114" s="141" t="n"/>
      <c r="AA114" s="141" t="n"/>
      <c r="AB114" s="141" t="n"/>
      <c r="AC114" s="141" t="n"/>
      <c r="AD114" s="141" t="n"/>
      <c r="AE114" s="141" t="n"/>
      <c r="AF114" s="141" t="n"/>
      <c r="AG114" s="141" t="n"/>
      <c r="AH114" s="141" t="n"/>
      <c r="AI114" s="141" t="n"/>
      <c r="AJ114" s="141" t="n"/>
      <c r="AK114" s="141" t="n"/>
      <c r="AL114" s="141" t="n"/>
      <c r="AM114" s="141" t="n"/>
      <c r="AN114" s="141" t="n"/>
      <c r="AO114" s="141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/>
      <c r="BA114" s="141" t="n"/>
      <c r="BB114" s="141" t="n"/>
      <c r="BC114" s="141" t="n"/>
      <c r="BD114" s="141" t="n"/>
      <c r="BE114" s="141" t="n"/>
      <c r="BF114" s="141" t="n"/>
      <c r="BG114" s="141" t="n"/>
      <c r="BH114" s="141" t="n"/>
      <c r="BI114" s="141" t="n"/>
      <c r="BJ114" s="141" t="n"/>
      <c r="BK114" s="141" t="n"/>
      <c r="BL114" s="141" t="n"/>
      <c r="BM114" s="141" t="n"/>
      <c r="BN114" s="141" t="n"/>
      <c r="BO114" s="141" t="n"/>
      <c r="BP114" s="141" t="n"/>
      <c r="BQ114" s="141" t="n"/>
      <c r="BR114" s="141" t="n"/>
      <c r="BS114" s="141" t="n"/>
      <c r="BT114" s="141" t="n"/>
      <c r="BU114" s="141" t="n"/>
      <c r="BV114" s="141" t="n"/>
      <c r="BW114" s="141" t="n"/>
      <c r="BX114" s="141" t="n"/>
      <c r="BY114" s="141" t="n"/>
      <c r="BZ114" s="141" t="n"/>
      <c r="CA114" s="208" t="n"/>
      <c r="CB114" s="208" t="n"/>
    </row>
    <row r="115" hidden="1" ht="18.75" customHeight="1">
      <c r="A115" s="781" t="inlineStr">
        <is>
          <t>GLAMOUR SECRETS</t>
        </is>
      </c>
      <c r="B115" s="731" t="n"/>
      <c r="C115" s="731" t="n"/>
      <c r="D115" s="775" t="n"/>
      <c r="F115" s="141" t="n"/>
      <c r="G115" s="141" t="n"/>
      <c r="H115" s="141" t="n"/>
      <c r="I115" s="141" t="n"/>
      <c r="J115" s="141" t="n"/>
      <c r="K115" s="141" t="n"/>
      <c r="L115" s="141" t="n"/>
      <c r="M115" s="141" t="n"/>
      <c r="N115" s="141" t="n"/>
      <c r="O115" s="141" t="n"/>
      <c r="P115" s="141" t="n"/>
      <c r="Q115" s="141" t="n"/>
      <c r="R115" s="141" t="n"/>
      <c r="S115" s="141" t="n"/>
      <c r="T115" s="141" t="n"/>
      <c r="U115" s="141" t="n"/>
      <c r="V115" s="141" t="n"/>
      <c r="W115" s="141" t="n"/>
      <c r="X115" s="141" t="n"/>
      <c r="Y115" s="141" t="n"/>
      <c r="Z115" s="141" t="n"/>
      <c r="AA115" s="141" t="n"/>
      <c r="AB115" s="141" t="n"/>
      <c r="AC115" s="141" t="n"/>
      <c r="AD115" s="141" t="n"/>
      <c r="AE115" s="141" t="n"/>
      <c r="AF115" s="141" t="n"/>
      <c r="AG115" s="141" t="n"/>
      <c r="AH115" s="141" t="n"/>
      <c r="AI115" s="141" t="n"/>
      <c r="AJ115" s="141" t="n"/>
      <c r="AK115" s="141" t="n"/>
      <c r="AL115" s="141" t="n"/>
      <c r="AM115" s="141" t="n"/>
      <c r="AN115" s="141" t="n"/>
      <c r="AO115" s="141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/>
      <c r="BA115" s="141" t="n"/>
      <c r="BB115" s="141" t="n"/>
      <c r="BC115" s="141" t="n"/>
      <c r="BD115" s="141" t="n"/>
      <c r="BE115" s="141" t="n"/>
      <c r="BF115" s="141" t="n"/>
      <c r="BG115" s="141" t="n"/>
      <c r="BH115" s="141" t="n"/>
      <c r="BI115" s="141" t="n"/>
      <c r="BJ115" s="141" t="n"/>
      <c r="BK115" s="141" t="n"/>
      <c r="BL115" s="141" t="n"/>
      <c r="BM115" s="141" t="n"/>
      <c r="BN115" s="141" t="n"/>
      <c r="BO115" s="141" t="n"/>
      <c r="BP115" s="141" t="n"/>
      <c r="BQ115" s="141" t="n"/>
      <c r="BR115" s="141" t="n"/>
      <c r="BS115" s="141" t="n"/>
      <c r="BT115" s="141" t="n"/>
      <c r="BU115" s="141" t="n"/>
      <c r="BV115" s="141" t="n"/>
      <c r="BW115" s="141" t="n"/>
      <c r="BX115" s="141" t="n"/>
      <c r="BY115" s="141" t="n"/>
      <c r="BZ115" s="141" t="n"/>
      <c r="CA115" s="208" t="n"/>
      <c r="CB115" s="208" t="n"/>
    </row>
    <row r="116" hidden="1" ht="18.75" customHeight="1">
      <c r="A116" s="781" t="inlineStr">
        <is>
          <t>UOMINI SPIRIT</t>
        </is>
      </c>
      <c r="B116" s="731" t="n"/>
      <c r="C116" s="731" t="n"/>
      <c r="D116" s="775" t="n"/>
      <c r="F116" s="141" t="n"/>
      <c r="G116" s="141" t="n"/>
      <c r="H116" s="141" t="n"/>
      <c r="I116" s="141" t="n"/>
      <c r="J116" s="141" t="n"/>
      <c r="K116" s="141" t="n"/>
      <c r="L116" s="141" t="n"/>
      <c r="M116" s="141" t="n"/>
      <c r="N116" s="141" t="n"/>
      <c r="O116" s="141" t="n"/>
      <c r="P116" s="141" t="n"/>
      <c r="Q116" s="141" t="n"/>
      <c r="R116" s="141" t="n"/>
      <c r="S116" s="141" t="n"/>
      <c r="T116" s="141" t="n"/>
      <c r="U116" s="141" t="n"/>
      <c r="V116" s="141" t="n"/>
      <c r="W116" s="141" t="n"/>
      <c r="X116" s="141" t="n"/>
      <c r="Y116" s="141" t="n"/>
      <c r="Z116" s="141" t="n"/>
      <c r="AA116" s="141" t="n"/>
      <c r="AB116" s="141" t="n"/>
      <c r="AC116" s="141" t="n"/>
      <c r="AD116" s="141" t="n"/>
      <c r="AE116" s="141" t="n"/>
      <c r="AF116" s="141" t="n"/>
      <c r="AG116" s="141" t="n"/>
      <c r="AH116" s="141" t="n"/>
      <c r="AI116" s="141" t="n"/>
      <c r="AJ116" s="141" t="n"/>
      <c r="AK116" s="141" t="n"/>
      <c r="AL116" s="141" t="n"/>
      <c r="AM116" s="141" t="n"/>
      <c r="AN116" s="141" t="n"/>
      <c r="AO116" s="141" t="n"/>
      <c r="AP116" s="141" t="n"/>
      <c r="AQ116" s="141" t="n"/>
      <c r="AR116" s="141" t="n"/>
      <c r="AS116" s="141" t="n"/>
      <c r="AT116" s="141" t="n"/>
      <c r="AU116" s="141" t="n"/>
      <c r="AV116" s="141" t="n"/>
      <c r="AW116" s="141" t="n"/>
      <c r="AX116" s="141" t="n"/>
      <c r="AY116" s="141" t="n"/>
      <c r="AZ116" s="141" t="n"/>
      <c r="BA116" s="141" t="n"/>
      <c r="BB116" s="141" t="n"/>
      <c r="BC116" s="141" t="n"/>
      <c r="BD116" s="141" t="n"/>
      <c r="BE116" s="141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141" t="n"/>
      <c r="BW116" s="141" t="n"/>
      <c r="BX116" s="141" t="n"/>
      <c r="BY116" s="141" t="n"/>
      <c r="BZ116" s="141" t="n"/>
      <c r="CA116" s="208" t="n"/>
      <c r="CB116" s="208" t="n"/>
    </row>
    <row r="117" hidden="1" ht="18.75" customHeight="1">
      <c r="A117" s="781" t="inlineStr">
        <is>
          <t>DIVERTIDAMENTE</t>
        </is>
      </c>
      <c r="B117" s="731" t="n"/>
      <c r="C117" s="731" t="n"/>
      <c r="D117" s="775" t="n"/>
      <c r="F117" s="141" t="n"/>
      <c r="G117" s="141" t="n"/>
      <c r="H117" s="141" t="n"/>
      <c r="I117" s="141" t="n"/>
      <c r="J117" s="141" t="n"/>
      <c r="K117" s="141" t="n"/>
      <c r="L117" s="141" t="n"/>
      <c r="M117" s="141" t="n"/>
      <c r="N117" s="141" t="n"/>
      <c r="O117" s="141" t="n"/>
      <c r="P117" s="141" t="n"/>
      <c r="Q117" s="141" t="n"/>
      <c r="R117" s="141" t="n"/>
      <c r="S117" s="141" t="n"/>
      <c r="T117" s="141" t="n"/>
      <c r="U117" s="141" t="n"/>
      <c r="V117" s="141" t="n"/>
      <c r="W117" s="141" t="n"/>
      <c r="X117" s="141" t="n"/>
      <c r="Y117" s="141" t="n"/>
      <c r="Z117" s="141" t="n"/>
      <c r="AA117" s="141" t="n"/>
      <c r="AB117" s="141" t="n"/>
      <c r="AC117" s="141" t="n"/>
      <c r="AD117" s="141" t="n"/>
      <c r="AE117" s="141" t="n"/>
      <c r="AF117" s="141" t="n"/>
      <c r="AG117" s="141" t="n"/>
      <c r="AH117" s="141" t="n"/>
      <c r="AI117" s="141" t="n"/>
      <c r="AJ117" s="141" t="n"/>
      <c r="AK117" s="141" t="n"/>
      <c r="AL117" s="141" t="n"/>
      <c r="AM117" s="141" t="n"/>
      <c r="AN117" s="141" t="n"/>
      <c r="AO117" s="141" t="n"/>
      <c r="AP117" s="141" t="n"/>
      <c r="AQ117" s="141" t="n"/>
      <c r="AR117" s="141" t="n"/>
      <c r="AS117" s="141" t="n"/>
      <c r="AT117" s="141" t="n"/>
      <c r="AU117" s="141" t="n"/>
      <c r="AV117" s="141" t="n"/>
      <c r="AW117" s="141" t="n"/>
      <c r="AX117" s="141" t="n"/>
      <c r="AY117" s="141" t="n"/>
      <c r="AZ117" s="141" t="n"/>
      <c r="BA117" s="141" t="n"/>
      <c r="BB117" s="141" t="n"/>
      <c r="BC117" s="141" t="n"/>
      <c r="BD117" s="141" t="n"/>
      <c r="BE117" s="141" t="n"/>
      <c r="BF117" s="141" t="n"/>
      <c r="BG117" s="141" t="n"/>
      <c r="BH117" s="141" t="n"/>
      <c r="BI117" s="141" t="n"/>
      <c r="BJ117" s="141" t="n"/>
      <c r="BK117" s="141" t="n"/>
      <c r="BL117" s="141" t="n"/>
      <c r="BM117" s="141" t="n"/>
      <c r="BN117" s="141" t="n"/>
      <c r="BO117" s="141" t="n"/>
      <c r="BP117" s="141" t="n"/>
      <c r="BQ117" s="141" t="n"/>
      <c r="BR117" s="141" t="n"/>
      <c r="BS117" s="141" t="n"/>
      <c r="BT117" s="141" t="n"/>
      <c r="BU117" s="141" t="n"/>
      <c r="BV117" s="141" t="n"/>
      <c r="BW117" s="141" t="n"/>
      <c r="BX117" s="141" t="n"/>
      <c r="BY117" s="141" t="n"/>
      <c r="BZ117" s="141" t="n"/>
      <c r="CA117" s="208" t="n"/>
      <c r="CB117" s="208" t="n"/>
    </row>
    <row r="118" hidden="1" ht="18.75" customHeight="1">
      <c r="A118" s="781" t="inlineStr">
        <is>
          <t>ZAAD VENTURE</t>
        </is>
      </c>
      <c r="B118" s="731" t="n"/>
      <c r="C118" s="731" t="n"/>
      <c r="D118" s="775" t="n"/>
      <c r="F118" s="141" t="n"/>
      <c r="G118" s="141" t="n"/>
      <c r="H118" s="141" t="n"/>
      <c r="I118" s="141" t="n"/>
      <c r="J118" s="141" t="n"/>
      <c r="K118" s="141" t="n"/>
      <c r="L118" s="141" t="n"/>
      <c r="M118" s="141" t="n"/>
      <c r="N118" s="141" t="n"/>
      <c r="O118" s="141" t="n"/>
      <c r="P118" s="141" t="n"/>
      <c r="Q118" s="141" t="n"/>
      <c r="R118" s="141" t="n"/>
      <c r="S118" s="141" t="n"/>
      <c r="T118" s="141" t="n"/>
      <c r="U118" s="141" t="n"/>
      <c r="V118" s="141" t="n"/>
      <c r="W118" s="141" t="n"/>
      <c r="X118" s="141" t="n"/>
      <c r="Y118" s="141" t="n"/>
      <c r="Z118" s="141" t="n"/>
      <c r="AA118" s="141" t="n"/>
      <c r="AB118" s="141" t="n"/>
      <c r="AC118" s="141" t="n"/>
      <c r="AD118" s="141" t="n"/>
      <c r="AE118" s="141" t="n"/>
      <c r="AF118" s="141" t="n"/>
      <c r="AG118" s="141" t="n"/>
      <c r="AH118" s="141" t="n"/>
      <c r="AI118" s="141" t="n"/>
      <c r="AJ118" s="141" t="n"/>
      <c r="AK118" s="141" t="n"/>
      <c r="AL118" s="141" t="n"/>
      <c r="AM118" s="141" t="n"/>
      <c r="AN118" s="141" t="n"/>
      <c r="AO118" s="141" t="n"/>
      <c r="AP118" s="141" t="n"/>
      <c r="AQ118" s="141" t="n"/>
      <c r="AR118" s="141" t="n"/>
      <c r="AS118" s="141" t="n"/>
      <c r="AT118" s="141" t="n"/>
      <c r="AU118" s="141" t="n"/>
      <c r="AV118" s="141" t="n"/>
      <c r="AW118" s="141" t="n"/>
      <c r="AX118" s="141" t="n"/>
      <c r="AY118" s="141" t="n"/>
      <c r="AZ118" s="141" t="n"/>
      <c r="BA118" s="141" t="n"/>
      <c r="BB118" s="141" t="n"/>
      <c r="BC118" s="141" t="n"/>
      <c r="BD118" s="141" t="n"/>
      <c r="BE118" s="141" t="n"/>
      <c r="BF118" s="141" t="n"/>
      <c r="BG118" s="141" t="n"/>
      <c r="BH118" s="141" t="n"/>
      <c r="BI118" s="141" t="n"/>
      <c r="BJ118" s="141" t="n"/>
      <c r="BK118" s="141" t="n"/>
      <c r="BL118" s="141" t="n"/>
      <c r="BM118" s="141" t="n"/>
      <c r="BN118" s="141" t="n"/>
      <c r="BO118" s="141" t="n"/>
      <c r="BP118" s="141" t="n"/>
      <c r="BQ118" s="141" t="n"/>
      <c r="BR118" s="141" t="n"/>
      <c r="BS118" s="141" t="n"/>
      <c r="BT118" s="141" t="n"/>
      <c r="BU118" s="141" t="n"/>
      <c r="BV118" s="141" t="n"/>
      <c r="BW118" s="141" t="n"/>
      <c r="BX118" s="141" t="n"/>
      <c r="BY118" s="141" t="n"/>
      <c r="BZ118" s="141" t="n"/>
      <c r="CA118" s="208" t="n"/>
      <c r="CB118" s="208" t="n"/>
    </row>
    <row r="119" hidden="1" ht="18.75" customHeight="1">
      <c r="A119" s="781" t="inlineStr">
        <is>
          <t>HER CODE TOUCH</t>
        </is>
      </c>
      <c r="B119" s="731" t="n"/>
      <c r="C119" s="731" t="n"/>
      <c r="D119" s="775" t="n"/>
      <c r="F119" s="141" t="n"/>
      <c r="G119" s="141" t="n"/>
      <c r="H119" s="141" t="n"/>
      <c r="I119" s="141" t="n"/>
      <c r="J119" s="141" t="n"/>
      <c r="K119" s="141" t="n"/>
      <c r="L119" s="141" t="n"/>
      <c r="M119" s="141" t="n"/>
      <c r="N119" s="141" t="n"/>
      <c r="O119" s="141" t="n"/>
      <c r="P119" s="141" t="n"/>
      <c r="Q119" s="141" t="n"/>
      <c r="R119" s="141" t="n"/>
      <c r="S119" s="141" t="n"/>
      <c r="T119" s="141" t="n"/>
      <c r="U119" s="141" t="n"/>
      <c r="V119" s="141" t="n"/>
      <c r="W119" s="141" t="n"/>
      <c r="X119" s="141" t="n"/>
      <c r="Y119" s="141" t="n"/>
      <c r="Z119" s="141" t="n"/>
      <c r="AA119" s="141" t="n"/>
      <c r="AB119" s="141" t="n"/>
      <c r="AC119" s="141" t="n"/>
      <c r="AD119" s="141" t="n"/>
      <c r="AE119" s="141" t="n"/>
      <c r="AF119" s="141" t="n"/>
      <c r="AG119" s="141" t="n"/>
      <c r="AH119" s="141" t="n"/>
      <c r="AI119" s="141" t="n"/>
      <c r="AJ119" s="141" t="n"/>
      <c r="AK119" s="141" t="n"/>
      <c r="AL119" s="141" t="n"/>
      <c r="AM119" s="141" t="n"/>
      <c r="AN119" s="141" t="n"/>
      <c r="AO119" s="141" t="n"/>
      <c r="AP119" s="141" t="n"/>
      <c r="AQ119" s="141" t="n"/>
      <c r="AR119" s="141" t="n"/>
      <c r="AS119" s="141" t="n"/>
      <c r="AT119" s="141" t="n"/>
      <c r="AU119" s="141" t="n"/>
      <c r="AV119" s="141" t="n"/>
      <c r="AW119" s="141" t="n"/>
      <c r="AX119" s="141" t="n"/>
      <c r="AY119" s="141" t="n"/>
      <c r="AZ119" s="141" t="n"/>
      <c r="BA119" s="141" t="n"/>
      <c r="BB119" s="141" t="n"/>
      <c r="BC119" s="141" t="n"/>
      <c r="BD119" s="141" t="n"/>
      <c r="BE119" s="141" t="n"/>
      <c r="BF119" s="141" t="n"/>
      <c r="BG119" s="141" t="n"/>
      <c r="BH119" s="141" t="n"/>
      <c r="BI119" s="141" t="n"/>
      <c r="BJ119" s="141" t="n"/>
      <c r="BK119" s="141" t="n"/>
      <c r="BL119" s="141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  <c r="BZ119" s="141" t="n"/>
      <c r="CA119" s="208" t="n"/>
      <c r="CB119" s="208" t="n"/>
    </row>
    <row r="120" hidden="1" ht="18.75" customHeight="1">
      <c r="A120" s="781" t="inlineStr">
        <is>
          <t>SERUM RESVERATROL</t>
        </is>
      </c>
      <c r="B120" s="731" t="n"/>
      <c r="C120" s="731" t="n"/>
      <c r="D120" s="775" t="n"/>
      <c r="F120" s="141" t="n">
        <v>0</v>
      </c>
      <c r="G120" s="141" t="n">
        <v>0</v>
      </c>
      <c r="H120" s="141" t="n">
        <v>0</v>
      </c>
      <c r="I120" s="141" t="n">
        <v>0</v>
      </c>
      <c r="J120" s="141" t="n">
        <v>0</v>
      </c>
      <c r="K120" s="141" t="n">
        <v>0</v>
      </c>
      <c r="L120" s="141" t="n"/>
      <c r="M120" s="141" t="n"/>
      <c r="N120" s="141" t="n"/>
      <c r="O120" s="141" t="n"/>
      <c r="P120" s="141" t="n"/>
      <c r="Q120" s="141" t="n"/>
      <c r="R120" s="141" t="n"/>
      <c r="S120" s="141" t="n"/>
      <c r="T120" s="141" t="n"/>
      <c r="U120" s="141" t="n"/>
      <c r="V120" s="141" t="n"/>
      <c r="W120" s="141" t="n"/>
      <c r="X120" s="141" t="n"/>
      <c r="Y120" s="141" t="n"/>
      <c r="Z120" s="141" t="n"/>
      <c r="AA120" s="141" t="n"/>
      <c r="AB120" s="141" t="n"/>
      <c r="AC120" s="141" t="n"/>
      <c r="AD120" s="141" t="n"/>
      <c r="AE120" s="141" t="n"/>
      <c r="AF120" s="141" t="n"/>
      <c r="AG120" s="141" t="n"/>
      <c r="AH120" s="141" t="n"/>
      <c r="AI120" s="141" t="n"/>
      <c r="AJ120" s="141" t="n"/>
      <c r="AK120" s="141" t="n"/>
      <c r="AL120" s="141" t="n"/>
      <c r="AM120" s="141" t="n"/>
      <c r="AN120" s="141" t="n"/>
      <c r="AO120" s="141" t="n"/>
      <c r="AP120" s="141" t="n"/>
      <c r="AQ120" s="141" t="n"/>
      <c r="AR120" s="141" t="n"/>
      <c r="AS120" s="141" t="n"/>
      <c r="AT120" s="141" t="n"/>
      <c r="AU120" s="141" t="n"/>
      <c r="AV120" s="141" t="n"/>
      <c r="AW120" s="141" t="n"/>
      <c r="AX120" s="141" t="n"/>
      <c r="AY120" s="141" t="n"/>
      <c r="AZ120" s="141" t="n"/>
      <c r="BA120" s="141" t="n"/>
      <c r="BB120" s="141" t="n"/>
      <c r="BC120" s="141" t="n"/>
      <c r="BD120" s="141" t="n"/>
      <c r="BE120" s="141" t="n"/>
      <c r="BF120" s="141" t="n"/>
      <c r="BG120" s="141" t="n"/>
      <c r="BH120" s="141" t="n"/>
      <c r="BI120" s="141" t="n"/>
      <c r="BJ120" s="141" t="n"/>
      <c r="BK120" s="141" t="n"/>
      <c r="BL120" s="141" t="n"/>
      <c r="BM120" s="141" t="n"/>
      <c r="BN120" s="141" t="n"/>
      <c r="BO120" s="141" t="n"/>
      <c r="BP120" s="141" t="n"/>
      <c r="BQ120" s="141" t="n"/>
      <c r="BR120" s="141" t="n"/>
      <c r="BS120" s="141" t="n"/>
      <c r="BT120" s="141" t="n"/>
      <c r="BU120" s="141" t="n"/>
      <c r="BV120" s="141" t="n"/>
      <c r="BW120" s="141" t="n"/>
      <c r="BX120" s="141" t="n"/>
      <c r="BY120" s="141" t="n"/>
      <c r="BZ120" s="141" t="n"/>
      <c r="CA120" s="208" t="n"/>
      <c r="CB120" s="208" t="n"/>
    </row>
    <row r="121" hidden="1" ht="18.75" customHeight="1">
      <c r="A121" s="781" t="inlineStr">
        <is>
          <t>NATIVA SPA CEREJA ROUGE</t>
        </is>
      </c>
      <c r="B121" s="731" t="n"/>
      <c r="C121" s="731" t="n"/>
      <c r="D121" s="775" t="n"/>
      <c r="F121" s="141" t="n">
        <v>0</v>
      </c>
      <c r="G121" s="141" t="n">
        <v>0</v>
      </c>
      <c r="H121" s="141" t="n">
        <v>0</v>
      </c>
      <c r="I121" s="141" t="n">
        <v>0</v>
      </c>
      <c r="J121" s="141" t="n">
        <v>0</v>
      </c>
      <c r="K121" s="141" t="n">
        <v>0</v>
      </c>
      <c r="L121" s="141" t="n"/>
      <c r="M121" s="141" t="n"/>
      <c r="N121" s="141" t="n"/>
      <c r="O121" s="141" t="n"/>
      <c r="P121" s="141" t="n"/>
      <c r="Q121" s="141" t="n"/>
      <c r="R121" s="141" t="n"/>
      <c r="S121" s="141" t="n"/>
      <c r="T121" s="141" t="n"/>
      <c r="U121" s="141" t="n"/>
      <c r="V121" s="141" t="n"/>
      <c r="W121" s="141" t="n"/>
      <c r="X121" s="141" t="n"/>
      <c r="Y121" s="141" t="n"/>
      <c r="Z121" s="141" t="n"/>
      <c r="AA121" s="141" t="n"/>
      <c r="AB121" s="141" t="n"/>
      <c r="AC121" s="141" t="n"/>
      <c r="AD121" s="141" t="n"/>
      <c r="AE121" s="141" t="n"/>
      <c r="AF121" s="141" t="n"/>
      <c r="AG121" s="141" t="n"/>
      <c r="AH121" s="141" t="n"/>
      <c r="AI121" s="141" t="n"/>
      <c r="AJ121" s="141" t="n"/>
      <c r="AK121" s="141" t="n"/>
      <c r="AL121" s="141" t="n"/>
      <c r="AM121" s="141" t="n"/>
      <c r="AN121" s="141" t="n"/>
      <c r="AO121" s="141" t="n"/>
      <c r="AP121" s="141" t="n"/>
      <c r="AQ121" s="141" t="n"/>
      <c r="AR121" s="141" t="n"/>
      <c r="AS121" s="141" t="n"/>
      <c r="AT121" s="141" t="n"/>
      <c r="AU121" s="141" t="n"/>
      <c r="AV121" s="141" t="n"/>
      <c r="AW121" s="141" t="n"/>
      <c r="AX121" s="141" t="n"/>
      <c r="AY121" s="141" t="n"/>
      <c r="AZ121" s="141" t="n"/>
      <c r="BA121" s="141" t="n"/>
      <c r="BB121" s="141" t="n"/>
      <c r="BC121" s="141" t="n"/>
      <c r="BD121" s="141" t="n"/>
      <c r="BE121" s="141" t="n"/>
      <c r="BF121" s="141" t="n"/>
      <c r="BG121" s="141" t="n"/>
      <c r="BH121" s="141" t="n"/>
      <c r="BI121" s="141" t="n"/>
      <c r="BJ121" s="141" t="n"/>
      <c r="BK121" s="141" t="n"/>
      <c r="BL121" s="141" t="n"/>
      <c r="BM121" s="141" t="n"/>
      <c r="BN121" s="141" t="n"/>
      <c r="BO121" s="141" t="n"/>
      <c r="BP121" s="141" t="n"/>
      <c r="BQ121" s="141" t="n"/>
      <c r="BR121" s="141" t="n"/>
      <c r="BS121" s="141" t="n"/>
      <c r="BT121" s="141" t="n"/>
      <c r="BU121" s="141" t="n"/>
      <c r="BV121" s="141" t="n"/>
      <c r="BW121" s="141" t="n"/>
      <c r="BX121" s="141" t="n"/>
      <c r="BY121" s="141" t="n"/>
      <c r="BZ121" s="141" t="n"/>
      <c r="CA121" s="208" t="n"/>
      <c r="CB121" s="208" t="n"/>
    </row>
    <row r="122" hidden="1" ht="18.75" customHeight="1">
      <c r="A122" s="781" t="inlineStr">
        <is>
          <t>LILLY GARDENIA</t>
        </is>
      </c>
      <c r="B122" s="731" t="n"/>
      <c r="C122" s="731" t="n"/>
      <c r="D122" s="775" t="n"/>
      <c r="F122" s="141" t="n">
        <v>0</v>
      </c>
      <c r="G122" s="141" t="n">
        <v>0</v>
      </c>
      <c r="H122" s="141" t="n">
        <v>0</v>
      </c>
      <c r="I122" s="141" t="n">
        <v>0</v>
      </c>
      <c r="J122" s="141" t="n">
        <v>0</v>
      </c>
      <c r="K122" s="141" t="n">
        <v>0</v>
      </c>
      <c r="L122" s="141" t="n"/>
      <c r="M122" s="141" t="n"/>
      <c r="N122" s="141" t="n"/>
      <c r="O122" s="141" t="n"/>
      <c r="P122" s="141" t="n"/>
      <c r="Q122" s="141" t="n"/>
      <c r="R122" s="141" t="n"/>
      <c r="S122" s="141" t="n"/>
      <c r="T122" s="141" t="n"/>
      <c r="U122" s="141" t="n"/>
      <c r="V122" s="141" t="n"/>
      <c r="W122" s="141" t="n"/>
      <c r="X122" s="141" t="n"/>
      <c r="Y122" s="141" t="n"/>
      <c r="Z122" s="141" t="n"/>
      <c r="AA122" s="141" t="n"/>
      <c r="AB122" s="141" t="n"/>
      <c r="AC122" s="141" t="n"/>
      <c r="AD122" s="141" t="n"/>
      <c r="AE122" s="141" t="n"/>
      <c r="AF122" s="141" t="n"/>
      <c r="AG122" s="141" t="n"/>
      <c r="AH122" s="141" t="n"/>
      <c r="AI122" s="141" t="n"/>
      <c r="AJ122" s="141" t="n"/>
      <c r="AK122" s="141" t="n"/>
      <c r="AL122" s="141" t="n"/>
      <c r="AM122" s="141" t="n"/>
      <c r="AN122" s="141" t="n"/>
      <c r="AO122" s="141" t="n"/>
      <c r="AP122" s="141" t="n"/>
      <c r="AQ122" s="141" t="n"/>
      <c r="AR122" s="141" t="n"/>
      <c r="AS122" s="141" t="n"/>
      <c r="AT122" s="141" t="n"/>
      <c r="AU122" s="141" t="n"/>
      <c r="AV122" s="141" t="n"/>
      <c r="AW122" s="141" t="n"/>
      <c r="AX122" s="141" t="n"/>
      <c r="AY122" s="141" t="n"/>
      <c r="AZ122" s="141" t="n"/>
      <c r="BA122" s="141" t="n"/>
      <c r="BB122" s="141" t="n"/>
      <c r="BC122" s="141" t="n"/>
      <c r="BD122" s="141" t="n"/>
      <c r="BE122" s="141" t="n"/>
      <c r="BF122" s="141" t="n"/>
      <c r="BG122" s="141" t="n"/>
      <c r="BH122" s="141" t="n"/>
      <c r="BI122" s="141" t="n"/>
      <c r="BJ122" s="141" t="n"/>
      <c r="BK122" s="141" t="n"/>
      <c r="BL122" s="141" t="n"/>
      <c r="BM122" s="141" t="n"/>
      <c r="BN122" s="141" t="n"/>
      <c r="BO122" s="141" t="n"/>
      <c r="BP122" s="141" t="n"/>
      <c r="BQ122" s="141" t="n"/>
      <c r="BR122" s="141" t="n"/>
      <c r="BS122" s="141" t="n"/>
      <c r="BT122" s="141" t="n"/>
      <c r="BU122" s="141" t="n"/>
      <c r="BV122" s="141" t="n"/>
      <c r="BW122" s="141" t="n"/>
      <c r="BX122" s="141" t="n"/>
      <c r="BY122" s="141" t="n"/>
      <c r="BZ122" s="141" t="n"/>
      <c r="CA122" s="208" t="n"/>
      <c r="CB122" s="208" t="n"/>
    </row>
    <row r="123" hidden="1" ht="18.75" customHeight="1">
      <c r="A123" s="781" t="inlineStr">
        <is>
          <t>MALBEC ICON</t>
        </is>
      </c>
      <c r="B123" s="731" t="n"/>
      <c r="C123" s="731" t="n"/>
      <c r="D123" s="775" t="n"/>
      <c r="F123" s="141" t="n">
        <v>49</v>
      </c>
      <c r="G123" s="141" t="n">
        <v>48</v>
      </c>
      <c r="H123" s="141" t="n">
        <v>44</v>
      </c>
      <c r="I123" s="141" t="n">
        <v>38</v>
      </c>
      <c r="J123" s="141" t="n">
        <v>38</v>
      </c>
      <c r="K123" s="141" t="n">
        <v>38</v>
      </c>
      <c r="L123" s="141" t="n">
        <v>35</v>
      </c>
      <c r="M123" s="141" t="n">
        <v>35</v>
      </c>
      <c r="N123" s="141" t="n">
        <v>33</v>
      </c>
      <c r="O123" s="141" t="n">
        <v>33</v>
      </c>
      <c r="P123" s="141" t="n">
        <v>25</v>
      </c>
      <c r="Q123" s="141" t="n">
        <v>24</v>
      </c>
      <c r="R123" s="141" t="n">
        <v>25</v>
      </c>
      <c r="S123" s="141" t="n">
        <v>23</v>
      </c>
      <c r="T123" s="141" t="n">
        <v>23</v>
      </c>
      <c r="U123" s="141" t="n">
        <v>20</v>
      </c>
      <c r="V123" s="141" t="n">
        <v>20</v>
      </c>
      <c r="W123" s="141" t="n">
        <v>20</v>
      </c>
      <c r="X123" s="141" t="n">
        <v>19</v>
      </c>
      <c r="Y123" s="141" t="n">
        <v>15</v>
      </c>
      <c r="Z123" s="141" t="n">
        <v>15</v>
      </c>
      <c r="AA123" s="141" t="n">
        <v>10</v>
      </c>
      <c r="AB123" s="141" t="n">
        <v>10</v>
      </c>
      <c r="AC123" s="141" t="n">
        <v>10</v>
      </c>
      <c r="AD123" s="141" t="n">
        <v>7</v>
      </c>
      <c r="AE123" s="141" t="n">
        <v>7</v>
      </c>
      <c r="AF123" s="141" t="n">
        <v>4</v>
      </c>
      <c r="AG123" s="141" t="n">
        <v>4</v>
      </c>
      <c r="AH123" s="141" t="n">
        <v>2</v>
      </c>
      <c r="AI123" s="141" t="n">
        <v>2</v>
      </c>
      <c r="AJ123" s="141" t="n">
        <v>1</v>
      </c>
      <c r="AK123" s="141" t="n">
        <v>1</v>
      </c>
      <c r="AL123" s="141" t="n">
        <v>0</v>
      </c>
      <c r="AM123" s="141" t="n">
        <v>0</v>
      </c>
      <c r="AN123" s="141" t="n">
        <v>0</v>
      </c>
      <c r="AO123" s="141" t="n">
        <v>0</v>
      </c>
      <c r="AP123" s="141" t="n">
        <v>0</v>
      </c>
      <c r="AQ123" s="141" t="n">
        <v>0</v>
      </c>
      <c r="AR123" s="141" t="n"/>
      <c r="AS123" s="141" t="n"/>
      <c r="AT123" s="141" t="n"/>
      <c r="AU123" s="141" t="n"/>
      <c r="AV123" s="141" t="n"/>
      <c r="AW123" s="141" t="n"/>
      <c r="AX123" s="141" t="n"/>
      <c r="AY123" s="141" t="n"/>
      <c r="AZ123" s="141" t="n"/>
      <c r="BA123" s="141" t="n"/>
      <c r="BB123" s="141" t="n"/>
      <c r="BC123" s="141" t="n"/>
      <c r="BD123" s="141" t="n"/>
      <c r="BE123" s="141" t="n"/>
      <c r="BF123" s="141" t="n"/>
      <c r="BG123" s="141" t="n"/>
      <c r="BH123" s="141" t="n"/>
      <c r="BI123" s="141" t="n"/>
      <c r="BJ123" s="141" t="n"/>
      <c r="BK123" s="141" t="n"/>
      <c r="BL123" s="141" t="n"/>
      <c r="BM123" s="141" t="n"/>
      <c r="BN123" s="141" t="n"/>
      <c r="BO123" s="141" t="n"/>
      <c r="BP123" s="141" t="n"/>
      <c r="BQ123" s="141" t="n"/>
      <c r="BR123" s="141" t="n"/>
      <c r="BS123" s="141" t="n"/>
      <c r="BT123" s="141" t="n"/>
      <c r="BU123" s="141" t="n"/>
      <c r="BV123" s="141" t="n"/>
      <c r="BW123" s="141" t="n"/>
      <c r="BX123" s="141" t="n"/>
      <c r="BY123" s="141" t="n"/>
      <c r="BZ123" s="141" t="n"/>
      <c r="CA123" s="208" t="n"/>
      <c r="CB123" s="208" t="n"/>
    </row>
    <row r="124" hidden="1" ht="18.75" customHeight="1">
      <c r="A124" s="781" t="inlineStr">
        <is>
          <t>EGEO CHOC HIGH</t>
        </is>
      </c>
      <c r="B124" s="731" t="n"/>
      <c r="C124" s="731" t="n"/>
      <c r="D124" s="775" t="n"/>
      <c r="F124" s="141" t="n">
        <v>1</v>
      </c>
      <c r="G124" s="141" t="n">
        <v>0</v>
      </c>
      <c r="H124" s="141" t="n">
        <v>0</v>
      </c>
      <c r="I124" s="141" t="n">
        <v>0</v>
      </c>
      <c r="J124" s="141" t="n">
        <v>0</v>
      </c>
      <c r="K124" s="141" t="n">
        <v>0</v>
      </c>
      <c r="L124" s="141" t="n">
        <v>0</v>
      </c>
      <c r="M124" s="141" t="n">
        <v>0</v>
      </c>
      <c r="N124" s="141" t="n">
        <v>0</v>
      </c>
      <c r="O124" s="141" t="n">
        <v>0</v>
      </c>
      <c r="P124" s="141" t="n">
        <v>0</v>
      </c>
      <c r="Q124" s="141" t="n">
        <v>0</v>
      </c>
      <c r="R124" s="141" t="n">
        <v>0</v>
      </c>
      <c r="S124" s="141" t="n">
        <v>0</v>
      </c>
      <c r="T124" s="141" t="n"/>
      <c r="U124" s="141" t="n"/>
      <c r="V124" s="141" t="n"/>
      <c r="W124" s="141" t="n"/>
      <c r="X124" s="141" t="n"/>
      <c r="Y124" s="141" t="n"/>
      <c r="Z124" s="141" t="n"/>
      <c r="AA124" s="141" t="n"/>
      <c r="AB124" s="141" t="n"/>
      <c r="AC124" s="141" t="n"/>
      <c r="AD124" s="141" t="n"/>
      <c r="AE124" s="141" t="n"/>
      <c r="AF124" s="141" t="n"/>
      <c r="AG124" s="141" t="n"/>
      <c r="AH124" s="141" t="n"/>
      <c r="AI124" s="141" t="n"/>
      <c r="AJ124" s="141" t="n"/>
      <c r="AK124" s="141" t="n"/>
      <c r="AL124" s="141" t="n"/>
      <c r="AM124" s="141" t="n"/>
      <c r="AN124" s="141" t="n"/>
      <c r="AO124" s="141" t="n"/>
      <c r="AP124" s="141" t="n"/>
      <c r="AQ124" s="141" t="n"/>
      <c r="AR124" s="141" t="n"/>
      <c r="AS124" s="141" t="n"/>
      <c r="AT124" s="141" t="n"/>
      <c r="AU124" s="141" t="n"/>
      <c r="AV124" s="141" t="n"/>
      <c r="AW124" s="141" t="n"/>
      <c r="AX124" s="141" t="n"/>
      <c r="AY124" s="141" t="n"/>
      <c r="AZ124" s="141" t="n"/>
      <c r="BA124" s="141" t="n"/>
      <c r="BB124" s="141" t="n"/>
      <c r="BC124" s="141" t="n"/>
      <c r="BD124" s="141" t="n"/>
      <c r="BE124" s="141" t="n"/>
      <c r="BF124" s="141" t="n"/>
      <c r="BG124" s="141" t="n"/>
      <c r="BH124" s="141" t="n"/>
      <c r="BI124" s="141" t="n"/>
      <c r="BJ124" s="141" t="n"/>
      <c r="BK124" s="141" t="n"/>
      <c r="BL124" s="141" t="n"/>
      <c r="BM124" s="141" t="n"/>
      <c r="BN124" s="141" t="n"/>
      <c r="BO124" s="141" t="n"/>
      <c r="BP124" s="141" t="n"/>
      <c r="BQ124" s="141" t="n"/>
      <c r="BR124" s="141" t="n"/>
      <c r="BS124" s="141" t="n"/>
      <c r="BT124" s="141" t="n"/>
      <c r="BU124" s="141" t="n"/>
      <c r="BV124" s="141" t="n"/>
      <c r="BW124" s="141" t="n"/>
      <c r="BX124" s="141" t="n"/>
      <c r="BY124" s="141" t="n"/>
      <c r="BZ124" s="141" t="n"/>
      <c r="CA124" s="208" t="n"/>
      <c r="CB124" s="208" t="n"/>
    </row>
    <row r="125" hidden="1" ht="18.75" customHeight="1">
      <c r="A125" s="781" t="inlineStr">
        <is>
          <t>FLORATTA RED PASSION</t>
        </is>
      </c>
      <c r="B125" s="731" t="n"/>
      <c r="C125" s="731" t="n"/>
      <c r="D125" s="775" t="n"/>
      <c r="G125" s="141" t="n">
        <v>0</v>
      </c>
      <c r="H125" s="141" t="n">
        <v>35</v>
      </c>
      <c r="I125" s="141" t="n">
        <v>27</v>
      </c>
      <c r="J125" s="141" t="n">
        <v>11</v>
      </c>
      <c r="K125" s="141" t="n">
        <v>11</v>
      </c>
      <c r="L125" s="141" t="n">
        <v>0</v>
      </c>
      <c r="M125" s="141" t="n">
        <v>0</v>
      </c>
      <c r="N125" s="141" t="n">
        <v>0</v>
      </c>
      <c r="O125" s="141" t="n">
        <v>0</v>
      </c>
      <c r="P125" s="141" t="n">
        <v>0</v>
      </c>
      <c r="Q125" s="141" t="n">
        <v>0</v>
      </c>
      <c r="R125" s="141" t="n">
        <v>0</v>
      </c>
      <c r="S125" s="141" t="n">
        <v>0</v>
      </c>
      <c r="T125" s="141" t="n"/>
      <c r="U125" s="141" t="n"/>
      <c r="V125" s="141" t="n"/>
      <c r="W125" s="141" t="n"/>
      <c r="X125" s="141" t="n"/>
      <c r="Y125" s="141" t="n"/>
      <c r="Z125" s="141" t="n"/>
      <c r="AA125" s="141" t="n"/>
      <c r="AB125" s="141" t="n"/>
      <c r="AC125" s="141" t="n"/>
      <c r="AD125" s="141" t="n"/>
      <c r="AE125" s="141" t="n"/>
      <c r="AF125" s="141" t="n"/>
      <c r="AG125" s="141" t="n"/>
      <c r="AH125" s="141" t="n"/>
      <c r="AI125" s="141" t="n"/>
      <c r="AJ125" s="141" t="n"/>
      <c r="AK125" s="141" t="n"/>
      <c r="AL125" s="141" t="n"/>
      <c r="AM125" s="141" t="n"/>
      <c r="AN125" s="141" t="n"/>
      <c r="AO125" s="141" t="n"/>
      <c r="AP125" s="141" t="n"/>
      <c r="AQ125" s="141" t="n"/>
      <c r="AR125" s="141" t="n"/>
      <c r="AS125" s="141" t="n"/>
      <c r="AT125" s="141" t="n"/>
      <c r="AU125" s="141" t="n"/>
      <c r="AV125" s="141" t="n"/>
      <c r="AW125" s="141" t="n"/>
      <c r="AX125" s="141" t="n"/>
      <c r="AY125" s="141" t="n"/>
      <c r="AZ125" s="141" t="n"/>
      <c r="BA125" s="141" t="n"/>
      <c r="BB125" s="141" t="n"/>
      <c r="BC125" s="141" t="n"/>
      <c r="BD125" s="141" t="n"/>
      <c r="BE125" s="141" t="n"/>
      <c r="BF125" s="141" t="n"/>
      <c r="BG125" s="141" t="n"/>
      <c r="BH125" s="141" t="n"/>
      <c r="BI125" s="141" t="n"/>
      <c r="BJ125" s="141" t="n"/>
      <c r="BK125" s="141" t="n"/>
      <c r="BL125" s="141" t="n"/>
      <c r="BM125" s="141" t="n"/>
      <c r="BN125" s="141" t="n"/>
      <c r="BO125" s="141" t="n"/>
      <c r="BP125" s="141" t="n"/>
      <c r="BQ125" s="141" t="n"/>
      <c r="BR125" s="141" t="n"/>
      <c r="BS125" s="141" t="n"/>
      <c r="BT125" s="141" t="n"/>
      <c r="BU125" s="141" t="n"/>
      <c r="BV125" s="141" t="n"/>
      <c r="BW125" s="141" t="n"/>
      <c r="BX125" s="141" t="n"/>
      <c r="BY125" s="141" t="n"/>
      <c r="BZ125" s="141" t="n"/>
      <c r="CA125" s="208" t="n"/>
      <c r="CB125" s="208" t="n"/>
    </row>
    <row r="126" hidden="1" ht="18.75" customHeight="1">
      <c r="A126" s="781" t="inlineStr">
        <is>
          <t>CBEM HIDR. DOCURA NA PESSEGURA</t>
        </is>
      </c>
      <c r="B126" s="731" t="n"/>
      <c r="C126" s="731" t="n"/>
      <c r="D126" s="775" t="n"/>
      <c r="J126" s="141" t="n">
        <v>0</v>
      </c>
      <c r="K126" s="141" t="n">
        <v>133</v>
      </c>
      <c r="L126" s="141" t="n">
        <v>133</v>
      </c>
      <c r="M126" s="141" t="n">
        <v>133</v>
      </c>
      <c r="N126" s="141" t="n">
        <v>123</v>
      </c>
      <c r="O126" s="141" t="n">
        <v>114</v>
      </c>
      <c r="P126" s="141" t="n">
        <v>87</v>
      </c>
      <c r="Q126" s="141" t="n">
        <v>78</v>
      </c>
      <c r="R126" s="141" t="n">
        <v>70</v>
      </c>
      <c r="S126" s="141" t="n">
        <v>58</v>
      </c>
      <c r="T126" s="141" t="n">
        <v>46</v>
      </c>
      <c r="U126" s="141" t="n">
        <v>40</v>
      </c>
      <c r="V126" s="141" t="n">
        <v>37</v>
      </c>
      <c r="W126" s="141" t="n">
        <v>36</v>
      </c>
      <c r="X126" s="141" t="n">
        <v>28</v>
      </c>
      <c r="Y126" s="141" t="n">
        <v>6</v>
      </c>
      <c r="Z126" s="141" t="n">
        <v>0</v>
      </c>
      <c r="AA126" s="141" t="n">
        <v>0</v>
      </c>
      <c r="AB126" s="141" t="n">
        <v>0</v>
      </c>
      <c r="AC126" s="141" t="n">
        <v>0</v>
      </c>
      <c r="AD126" s="141" t="n">
        <v>0</v>
      </c>
      <c r="AE126" s="141" t="n">
        <v>0</v>
      </c>
      <c r="AF126" s="141" t="n">
        <v>0</v>
      </c>
      <c r="AG126" s="141" t="n">
        <v>0</v>
      </c>
      <c r="AH126" s="141" t="n">
        <v>0</v>
      </c>
      <c r="AI126" s="141" t="n">
        <v>0</v>
      </c>
      <c r="AJ126" s="141" t="n">
        <v>0</v>
      </c>
      <c r="AK126" s="141" t="n">
        <v>0</v>
      </c>
      <c r="AL126" s="141" t="n">
        <v>0</v>
      </c>
      <c r="AM126" s="141" t="n">
        <v>0</v>
      </c>
      <c r="AN126" s="141" t="n">
        <v>0</v>
      </c>
      <c r="AO126" s="141" t="n">
        <v>0</v>
      </c>
      <c r="AP126" s="141" t="n">
        <v>0</v>
      </c>
      <c r="AQ126" s="141" t="n">
        <v>0</v>
      </c>
      <c r="AR126" s="141" t="n"/>
      <c r="AS126" s="141" t="n"/>
      <c r="AT126" s="141" t="n"/>
      <c r="AU126" s="141" t="n"/>
      <c r="AV126" s="141" t="n"/>
      <c r="AW126" s="141" t="n"/>
      <c r="AX126" s="141" t="n"/>
      <c r="AY126" s="141" t="n"/>
      <c r="AZ126" s="141" t="n"/>
      <c r="BA126" s="141" t="n"/>
      <c r="BB126" s="141" t="n"/>
      <c r="BC126" s="141" t="n"/>
      <c r="BD126" s="141" t="n"/>
      <c r="BE126" s="141" t="n"/>
      <c r="BF126" s="141" t="n"/>
      <c r="BG126" s="141" t="n"/>
      <c r="BH126" s="141" t="n"/>
      <c r="BI126" s="141" t="n"/>
      <c r="BJ126" s="141" t="n"/>
      <c r="BK126" s="141" t="n"/>
      <c r="BL126" s="141" t="n"/>
      <c r="BM126" s="141" t="n"/>
      <c r="BN126" s="141" t="n"/>
      <c r="BO126" s="141" t="n"/>
      <c r="BP126" s="141" t="n"/>
      <c r="BQ126" s="141" t="n"/>
      <c r="BR126" s="141" t="n"/>
      <c r="BS126" s="141" t="n"/>
      <c r="BT126" s="141" t="n"/>
      <c r="BU126" s="141" t="n"/>
      <c r="BV126" s="141" t="n"/>
      <c r="BW126" s="141" t="n"/>
      <c r="BX126" s="141" t="n"/>
      <c r="BY126" s="141" t="n"/>
      <c r="BZ126" s="141" t="n"/>
      <c r="CA126" s="208" t="n"/>
      <c r="CB126" s="208" t="n"/>
    </row>
    <row r="127" hidden="1" ht="18.75" customHeight="1">
      <c r="A127" s="781" t="inlineStr">
        <is>
          <t>LILY BLANCHE</t>
        </is>
      </c>
      <c r="B127" s="731" t="n"/>
      <c r="C127" s="731" t="n"/>
      <c r="D127" s="775" t="n"/>
      <c r="L127" s="141" t="n">
        <v>0</v>
      </c>
      <c r="M127" s="141" t="n">
        <v>53</v>
      </c>
      <c r="N127" s="141" t="n">
        <v>62</v>
      </c>
      <c r="O127" s="141" t="n">
        <v>57</v>
      </c>
      <c r="P127" s="141" t="n">
        <v>35</v>
      </c>
      <c r="Q127" s="141" t="n">
        <v>33</v>
      </c>
      <c r="R127" s="141" t="n">
        <v>25</v>
      </c>
      <c r="S127" s="141" t="n">
        <v>14</v>
      </c>
      <c r="T127" s="141" t="n">
        <v>6</v>
      </c>
      <c r="U127" s="141" t="n">
        <v>5</v>
      </c>
      <c r="V127" s="141" t="n">
        <v>4</v>
      </c>
      <c r="W127" s="141" t="n">
        <v>3</v>
      </c>
      <c r="X127" s="141" t="n">
        <v>2</v>
      </c>
      <c r="Y127" s="141" t="n">
        <v>0</v>
      </c>
      <c r="Z127" s="141" t="n">
        <v>0</v>
      </c>
      <c r="AA127" s="141" t="n">
        <v>0</v>
      </c>
      <c r="AB127" s="141" t="n">
        <v>0</v>
      </c>
      <c r="AC127" s="141" t="n">
        <v>0</v>
      </c>
      <c r="AD127" s="141" t="n">
        <v>0</v>
      </c>
      <c r="AE127" s="141" t="n">
        <v>0</v>
      </c>
      <c r="AF127" s="141" t="n">
        <v>0</v>
      </c>
      <c r="AG127" s="141" t="n">
        <v>0</v>
      </c>
      <c r="AH127" s="141" t="n">
        <v>0</v>
      </c>
      <c r="AI127" s="141" t="n">
        <v>0</v>
      </c>
      <c r="AJ127" s="141" t="n">
        <v>0</v>
      </c>
      <c r="AK127" s="141" t="n">
        <v>0</v>
      </c>
      <c r="AL127" s="141" t="n">
        <v>0</v>
      </c>
      <c r="AM127" s="141" t="n">
        <v>0</v>
      </c>
      <c r="AN127" s="141" t="n">
        <v>0</v>
      </c>
      <c r="AO127" s="141" t="n">
        <v>0</v>
      </c>
      <c r="AP127" s="141" t="n">
        <v>0</v>
      </c>
      <c r="AQ127" s="141" t="n">
        <v>0</v>
      </c>
      <c r="AR127" s="141" t="n"/>
      <c r="AS127" s="141" t="n"/>
      <c r="AT127" s="141" t="n"/>
      <c r="AU127" s="141" t="n"/>
      <c r="AV127" s="141" t="n"/>
      <c r="AW127" s="141" t="n"/>
      <c r="AX127" s="141" t="n"/>
      <c r="AY127" s="141" t="n"/>
      <c r="AZ127" s="141" t="n"/>
      <c r="BA127" s="141" t="n"/>
      <c r="BB127" s="141" t="n"/>
      <c r="BC127" s="141" t="n"/>
      <c r="BD127" s="141" t="n"/>
      <c r="BE127" s="141" t="n"/>
      <c r="BF127" s="141" t="n"/>
      <c r="BG127" s="141" t="n"/>
      <c r="BH127" s="141" t="n"/>
      <c r="BI127" s="141" t="n"/>
      <c r="BJ127" s="141" t="n"/>
      <c r="BK127" s="141" t="n"/>
      <c r="BL127" s="141" t="n"/>
      <c r="BM127" s="141" t="n"/>
      <c r="BN127" s="141" t="n"/>
      <c r="BO127" s="141" t="n"/>
      <c r="BP127" s="141" t="n"/>
      <c r="BQ127" s="141" t="n"/>
      <c r="BR127" s="141" t="n"/>
      <c r="BS127" s="141" t="n"/>
      <c r="BT127" s="141" t="n"/>
      <c r="BU127" s="141" t="n"/>
      <c r="BV127" s="141" t="n"/>
      <c r="BW127" s="141" t="n"/>
      <c r="BX127" s="141" t="n"/>
      <c r="BY127" s="141" t="n"/>
      <c r="BZ127" s="141" t="n"/>
      <c r="CA127" s="208" t="n"/>
      <c r="CB127" s="208" t="n"/>
    </row>
    <row r="128" hidden="1" ht="18.75" customHeight="1">
      <c r="A128" s="781" t="inlineStr">
        <is>
          <t>MEN NBA</t>
        </is>
      </c>
      <c r="B128" s="731" t="n"/>
      <c r="C128" s="731" t="n"/>
      <c r="D128" s="775" t="n"/>
      <c r="O128" s="141" t="n">
        <v>0</v>
      </c>
      <c r="P128" s="141" t="n">
        <v>89</v>
      </c>
      <c r="Q128" s="141" t="n">
        <v>100</v>
      </c>
      <c r="R128" s="141" t="n">
        <v>95</v>
      </c>
      <c r="S128" s="141" t="n">
        <v>90</v>
      </c>
      <c r="T128" s="141" t="n">
        <v>84</v>
      </c>
      <c r="U128" s="141" t="n">
        <v>79</v>
      </c>
      <c r="V128" s="141" t="n">
        <v>79</v>
      </c>
      <c r="W128" s="141" t="n">
        <v>79</v>
      </c>
      <c r="X128" s="141" t="n">
        <v>79</v>
      </c>
      <c r="Y128" s="141" t="n">
        <v>76</v>
      </c>
      <c r="Z128" s="141" t="n">
        <v>73</v>
      </c>
      <c r="AA128" s="141" t="n">
        <v>69</v>
      </c>
      <c r="AB128" s="141" t="n">
        <v>69</v>
      </c>
      <c r="AC128" s="141" t="n">
        <v>58</v>
      </c>
      <c r="AD128" s="141" t="n">
        <v>58</v>
      </c>
      <c r="AE128" s="141" t="n">
        <v>56</v>
      </c>
      <c r="AF128" s="141" t="n">
        <v>0</v>
      </c>
      <c r="AG128" s="141" t="n">
        <v>0</v>
      </c>
      <c r="AH128" s="141" t="n">
        <v>0</v>
      </c>
      <c r="AI128" s="141" t="n">
        <v>0</v>
      </c>
      <c r="AJ128" s="141" t="n">
        <v>0</v>
      </c>
      <c r="AK128" s="141" t="n">
        <v>0</v>
      </c>
      <c r="AL128" s="141" t="n">
        <v>0</v>
      </c>
      <c r="AM128" s="141" t="n">
        <v>0</v>
      </c>
      <c r="AN128" s="141" t="n">
        <v>0</v>
      </c>
      <c r="AO128" s="141" t="n">
        <v>0</v>
      </c>
      <c r="AP128" s="141" t="n">
        <v>0</v>
      </c>
      <c r="AQ128" s="141" t="n">
        <v>0</v>
      </c>
      <c r="AR128" s="141" t="n"/>
      <c r="AS128" s="141" t="n"/>
      <c r="AT128" s="141" t="n"/>
      <c r="AU128" s="141" t="n"/>
      <c r="AV128" s="141" t="n"/>
      <c r="AW128" s="141" t="n"/>
      <c r="AX128" s="141" t="n"/>
      <c r="AY128" s="141" t="n"/>
      <c r="AZ128" s="141" t="n"/>
      <c r="BA128" s="141" t="n"/>
      <c r="BB128" s="141" t="n"/>
      <c r="BC128" s="141" t="n"/>
      <c r="BD128" s="141" t="n"/>
      <c r="BE128" s="141" t="n"/>
      <c r="BF128" s="141" t="n"/>
      <c r="BG128" s="141" t="n"/>
      <c r="BH128" s="141" t="n"/>
      <c r="BI128" s="141" t="n"/>
      <c r="BJ128" s="141" t="n"/>
      <c r="BK128" s="141" t="n"/>
      <c r="BL128" s="141" t="n"/>
      <c r="BM128" s="141" t="n"/>
      <c r="BN128" s="141" t="n"/>
      <c r="BO128" s="141" t="n"/>
      <c r="BP128" s="141" t="n"/>
      <c r="BQ128" s="141" t="n"/>
      <c r="BR128" s="141" t="n"/>
      <c r="BS128" s="141" t="n"/>
      <c r="BT128" s="141" t="n"/>
      <c r="BU128" s="141" t="n"/>
      <c r="BV128" s="141" t="n"/>
      <c r="BW128" s="141" t="n"/>
      <c r="BX128" s="141" t="n"/>
      <c r="BY128" s="141" t="n"/>
      <c r="BZ128" s="141" t="n"/>
      <c r="CA128" s="208" t="n"/>
      <c r="CB128" s="208" t="n"/>
    </row>
    <row r="129">
      <c r="A129" s="781" t="inlineStr">
        <is>
          <t>QUASAR DEEP BLUE</t>
        </is>
      </c>
      <c r="B129" s="731" t="n"/>
      <c r="C129" s="731" t="n"/>
      <c r="D129" s="775" t="n"/>
      <c r="S129" s="141" t="n">
        <v>0</v>
      </c>
      <c r="T129" s="141" t="n">
        <v>68</v>
      </c>
      <c r="U129" s="141" t="n">
        <v>65</v>
      </c>
      <c r="V129" s="141" t="n">
        <v>65</v>
      </c>
      <c r="W129" s="141" t="n">
        <v>65</v>
      </c>
      <c r="X129" s="141" t="n">
        <v>65</v>
      </c>
      <c r="Y129" s="141" t="n">
        <v>60</v>
      </c>
      <c r="Z129" s="141" t="n">
        <v>59</v>
      </c>
      <c r="AA129" s="141" t="n">
        <v>58</v>
      </c>
      <c r="AB129" s="141" t="n">
        <v>57</v>
      </c>
      <c r="AC129" s="141" t="n">
        <v>55</v>
      </c>
      <c r="AD129" s="141" t="n">
        <v>45</v>
      </c>
      <c r="AE129" s="141" t="n">
        <v>45</v>
      </c>
      <c r="AF129" s="141" t="n">
        <v>45</v>
      </c>
      <c r="AG129" s="141" t="n">
        <v>42</v>
      </c>
      <c r="AH129" s="141" t="n">
        <v>42</v>
      </c>
      <c r="AI129" s="141" t="n">
        <v>40</v>
      </c>
      <c r="AJ129" s="141" t="n">
        <v>37</v>
      </c>
      <c r="AK129" s="141" t="n">
        <v>35</v>
      </c>
      <c r="AL129" s="141" t="n">
        <v>22</v>
      </c>
      <c r="AM129" s="141" t="n">
        <v>20</v>
      </c>
      <c r="AN129" s="141" t="n">
        <v>18</v>
      </c>
      <c r="AO129" s="141" t="n">
        <v>18</v>
      </c>
      <c r="AP129" s="141" t="n">
        <v>17</v>
      </c>
      <c r="AQ129" s="141" t="n">
        <v>17</v>
      </c>
      <c r="AR129" s="141" t="n">
        <v>17</v>
      </c>
      <c r="AS129" s="141" t="n">
        <v>17</v>
      </c>
      <c r="AT129" s="141" t="n">
        <v>15</v>
      </c>
      <c r="AU129" s="141" t="n">
        <v>10</v>
      </c>
      <c r="AV129" s="141" t="n">
        <v>8</v>
      </c>
      <c r="AW129" s="141" t="n">
        <v>8</v>
      </c>
      <c r="AX129" s="141" t="n">
        <v>8</v>
      </c>
      <c r="AY129" s="141" t="n">
        <v>7</v>
      </c>
      <c r="AZ129" s="141" t="n">
        <v>6</v>
      </c>
      <c r="BA129" s="141" t="n">
        <v>6</v>
      </c>
      <c r="BB129" s="141" t="n">
        <v>6</v>
      </c>
      <c r="BC129" s="141" t="n">
        <v>6</v>
      </c>
      <c r="BD129" s="141" t="n">
        <v>6</v>
      </c>
      <c r="BE129" s="141" t="n">
        <v>0</v>
      </c>
      <c r="BF129" s="141" t="n">
        <v>0</v>
      </c>
      <c r="BG129" s="141" t="n">
        <v>0</v>
      </c>
      <c r="BH129" s="141" t="n">
        <v>0</v>
      </c>
      <c r="BI129" s="141" t="n">
        <v>0</v>
      </c>
      <c r="BJ129" s="141" t="n">
        <v>0</v>
      </c>
      <c r="BK129" s="141" t="n">
        <v>0</v>
      </c>
      <c r="BL129" s="141" t="n">
        <v>0</v>
      </c>
      <c r="BM129" s="141" t="n">
        <v>0</v>
      </c>
      <c r="BN129" s="141" t="n">
        <v>0</v>
      </c>
      <c r="BO129" s="141" t="n">
        <v>0</v>
      </c>
      <c r="BP129" s="141" t="n">
        <v>0</v>
      </c>
      <c r="BQ129" s="141" t="n">
        <v>0</v>
      </c>
      <c r="BR129" s="141" t="n">
        <v>0</v>
      </c>
      <c r="BS129" s="141" t="n">
        <v>0</v>
      </c>
      <c r="BT129" s="141" t="n">
        <v>0</v>
      </c>
      <c r="BU129" s="141" t="n">
        <v>0</v>
      </c>
      <c r="BV129" s="141" t="n">
        <v>0</v>
      </c>
      <c r="BW129" s="141" t="n">
        <v>0</v>
      </c>
      <c r="BX129" s="141" t="n">
        <v>0</v>
      </c>
      <c r="BY129" s="141" t="n">
        <v>0</v>
      </c>
      <c r="BZ129" s="141" t="n"/>
      <c r="CA129" s="208" t="n"/>
      <c r="CB129" s="208" t="n"/>
    </row>
    <row r="130">
      <c r="A130" s="781" t="inlineStr">
        <is>
          <t>ARBO ATLANTICA</t>
        </is>
      </c>
      <c r="B130" s="731" t="n"/>
      <c r="C130" s="731" t="n"/>
      <c r="D130" s="775" t="n"/>
      <c r="S130" s="141" t="n">
        <v>0</v>
      </c>
      <c r="T130" s="141" t="n">
        <v>70</v>
      </c>
      <c r="U130" s="141" t="n">
        <v>70</v>
      </c>
      <c r="V130" s="141" t="n">
        <v>70</v>
      </c>
      <c r="W130" s="141" t="n">
        <v>69</v>
      </c>
      <c r="X130" s="141" t="n">
        <v>69</v>
      </c>
      <c r="Y130" s="141" t="n">
        <v>53</v>
      </c>
      <c r="Z130" s="141" t="n">
        <v>62</v>
      </c>
      <c r="AA130" s="141" t="n">
        <v>56</v>
      </c>
      <c r="AB130" s="141" t="n">
        <v>56</v>
      </c>
      <c r="AC130" s="141" t="n">
        <v>56</v>
      </c>
      <c r="AD130" s="141" t="n">
        <v>54</v>
      </c>
      <c r="AE130" s="141" t="n">
        <v>52</v>
      </c>
      <c r="AF130" s="141" t="n">
        <v>53</v>
      </c>
      <c r="AG130" s="141" t="n">
        <v>50</v>
      </c>
      <c r="AH130" s="141" t="n">
        <v>46</v>
      </c>
      <c r="AI130" s="141" t="n">
        <v>43</v>
      </c>
      <c r="AJ130" s="141" t="n">
        <v>43</v>
      </c>
      <c r="AK130" s="141" t="n">
        <v>40</v>
      </c>
      <c r="AL130" s="141" t="n">
        <v>28</v>
      </c>
      <c r="AM130" s="141" t="n">
        <v>27</v>
      </c>
      <c r="AN130" s="141" t="n">
        <v>22</v>
      </c>
      <c r="AO130" s="141" t="n">
        <v>21</v>
      </c>
      <c r="AP130" s="141" t="n">
        <v>21</v>
      </c>
      <c r="AQ130" s="141" t="n">
        <v>21</v>
      </c>
      <c r="AR130" s="141" t="n">
        <v>21</v>
      </c>
      <c r="AS130" s="141" t="n">
        <v>21</v>
      </c>
      <c r="AT130" s="141" t="n">
        <v>19</v>
      </c>
      <c r="AU130" s="141" t="n">
        <v>15</v>
      </c>
      <c r="AV130" s="141" t="n">
        <v>12</v>
      </c>
      <c r="AW130" s="141" t="n">
        <v>13</v>
      </c>
      <c r="AX130" s="141" t="n">
        <v>12</v>
      </c>
      <c r="AY130" s="141" t="n">
        <v>12</v>
      </c>
      <c r="AZ130" s="141" t="n">
        <v>11</v>
      </c>
      <c r="BA130" s="141" t="n">
        <v>9</v>
      </c>
      <c r="BB130" s="141" t="n">
        <v>9</v>
      </c>
      <c r="BC130" s="141" t="n">
        <v>9</v>
      </c>
      <c r="BD130" s="141" t="n">
        <v>9</v>
      </c>
      <c r="BE130" s="141" t="n">
        <v>8</v>
      </c>
      <c r="BF130" s="141" t="n">
        <v>8</v>
      </c>
      <c r="BG130" s="141" t="n">
        <v>8</v>
      </c>
      <c r="BH130" s="141" t="n">
        <v>5</v>
      </c>
      <c r="BI130" s="141" t="n">
        <v>3</v>
      </c>
      <c r="BJ130" s="141" t="n">
        <v>3</v>
      </c>
      <c r="BK130" s="141" t="n">
        <v>3</v>
      </c>
      <c r="BL130" s="141" t="n">
        <v>3</v>
      </c>
      <c r="BM130" s="141" t="n">
        <v>3</v>
      </c>
      <c r="BN130" s="141" t="n">
        <v>3</v>
      </c>
      <c r="BO130" s="141" t="n">
        <v>3</v>
      </c>
      <c r="BP130" s="141" t="n">
        <v>3</v>
      </c>
      <c r="BQ130" s="141" t="n">
        <v>3</v>
      </c>
      <c r="BR130" s="141" t="n">
        <v>0</v>
      </c>
      <c r="BS130" s="141" t="n">
        <v>0</v>
      </c>
      <c r="BT130" s="141" t="n">
        <v>0</v>
      </c>
      <c r="BU130" s="141" t="n">
        <v>0</v>
      </c>
      <c r="BV130" s="141" t="n">
        <v>0</v>
      </c>
      <c r="BW130" s="141" t="n">
        <v>0</v>
      </c>
      <c r="BX130" s="141" t="n">
        <v>0</v>
      </c>
      <c r="BY130" s="141" t="n">
        <v>0</v>
      </c>
      <c r="BZ130" s="141" t="n"/>
      <c r="CA130" s="208" t="n"/>
      <c r="CB130" s="208" t="n"/>
    </row>
    <row r="131" hidden="1" ht="18.75" customHeight="1">
      <c r="A131" s="781" t="inlineStr">
        <is>
          <t>BOTICA 214 SEVILLA DOURADA FEM</t>
        </is>
      </c>
      <c r="B131" s="731" t="n"/>
      <c r="C131" s="731" t="n"/>
      <c r="D131" s="775" t="n"/>
      <c r="V131" s="141" t="n">
        <v>0</v>
      </c>
      <c r="W131" s="141" t="n">
        <v>15</v>
      </c>
      <c r="X131" s="141" t="n">
        <v>9</v>
      </c>
      <c r="Y131" s="141" t="n">
        <v>1</v>
      </c>
      <c r="Z131" s="141" t="n">
        <v>0</v>
      </c>
      <c r="AA131" s="141" t="n">
        <v>0</v>
      </c>
      <c r="AB131" s="141" t="n">
        <v>0</v>
      </c>
      <c r="AC131" s="141" t="n">
        <v>0</v>
      </c>
      <c r="AD131" s="141" t="n">
        <v>0</v>
      </c>
      <c r="AE131" s="141" t="n">
        <v>0</v>
      </c>
      <c r="AF131" s="141" t="n">
        <v>0</v>
      </c>
      <c r="AG131" s="141" t="n">
        <v>0</v>
      </c>
      <c r="AH131" s="141" t="n">
        <v>0</v>
      </c>
      <c r="AI131" s="141" t="n">
        <v>0</v>
      </c>
      <c r="AJ131" s="141" t="n">
        <v>0</v>
      </c>
      <c r="AK131" s="141" t="n">
        <v>0</v>
      </c>
      <c r="AL131" s="141" t="n">
        <v>0</v>
      </c>
      <c r="AM131" s="141" t="n">
        <v>0</v>
      </c>
      <c r="AN131" s="141" t="n">
        <v>0</v>
      </c>
      <c r="AO131" s="141" t="n">
        <v>0</v>
      </c>
      <c r="AP131" s="141" t="n">
        <v>0</v>
      </c>
      <c r="AQ131" s="141" t="n">
        <v>0</v>
      </c>
      <c r="AR131" s="141" t="n"/>
      <c r="AS131" s="141" t="n"/>
      <c r="AT131" s="141" t="n"/>
      <c r="AU131" s="141" t="n"/>
      <c r="AV131" s="141" t="n"/>
      <c r="AW131" s="141" t="n"/>
      <c r="AX131" s="141" t="n"/>
      <c r="AY131" s="141" t="n"/>
      <c r="AZ131" s="141" t="n"/>
      <c r="BA131" s="141" t="n"/>
      <c r="BB131" s="141" t="n"/>
      <c r="BC131" s="141" t="n"/>
      <c r="BD131" s="141" t="n"/>
      <c r="BE131" s="141" t="n"/>
      <c r="BF131" s="141" t="n"/>
      <c r="BG131" s="141" t="n"/>
      <c r="BH131" s="141" t="n"/>
      <c r="BI131" s="141" t="n"/>
      <c r="BJ131" s="141" t="n"/>
      <c r="BK131" s="141" t="n"/>
      <c r="BL131" s="141" t="n"/>
      <c r="BM131" s="141" t="n"/>
      <c r="BN131" s="141" t="n"/>
      <c r="BO131" s="141" t="n"/>
      <c r="BP131" s="141" t="n"/>
      <c r="BQ131" s="141" t="n"/>
      <c r="BR131" s="141" t="n"/>
      <c r="BS131" s="141" t="n"/>
      <c r="BT131" s="141" t="n"/>
      <c r="BU131" s="141" t="n"/>
      <c r="BV131" s="141" t="n"/>
      <c r="BW131" s="141" t="n"/>
      <c r="BX131" s="141" t="n"/>
      <c r="BY131" s="141" t="n"/>
      <c r="BZ131" s="141" t="n"/>
      <c r="CA131" s="208" t="n"/>
      <c r="CB131" s="208" t="n"/>
    </row>
    <row r="132" hidden="1" ht="18.75" customHeight="1">
      <c r="A132" s="781" t="inlineStr">
        <is>
          <t>BOTICA 214 SEVILLA DOURADA MASC</t>
        </is>
      </c>
      <c r="B132" s="731" t="n"/>
      <c r="C132" s="731" t="n"/>
      <c r="D132" s="775" t="n"/>
      <c r="V132" s="141" t="n"/>
      <c r="W132" s="141" t="n"/>
      <c r="X132" s="141" t="n"/>
      <c r="Y132" s="141" t="n"/>
      <c r="Z132" s="141" t="n">
        <v>0</v>
      </c>
      <c r="AA132" s="141" t="n">
        <v>4</v>
      </c>
      <c r="AB132" s="141" t="n">
        <v>4</v>
      </c>
      <c r="AC132" s="141" t="n">
        <v>2</v>
      </c>
      <c r="AD132" s="141" t="n">
        <v>1</v>
      </c>
      <c r="AE132" s="141" t="n">
        <v>1</v>
      </c>
      <c r="AF132" s="141" t="n">
        <v>0</v>
      </c>
      <c r="AG132" s="141" t="n">
        <v>0</v>
      </c>
      <c r="AH132" s="141" t="n">
        <v>0</v>
      </c>
      <c r="AI132" s="141" t="n">
        <v>0</v>
      </c>
      <c r="AJ132" s="141" t="n">
        <v>0</v>
      </c>
      <c r="AK132" s="141" t="n">
        <v>0</v>
      </c>
      <c r="AL132" s="141" t="n">
        <v>0</v>
      </c>
      <c r="AM132" s="141" t="n">
        <v>0</v>
      </c>
      <c r="AN132" s="141" t="n">
        <v>0</v>
      </c>
      <c r="AO132" s="141" t="n">
        <v>0</v>
      </c>
      <c r="AP132" s="141" t="n">
        <v>0</v>
      </c>
      <c r="AQ132" s="141" t="n">
        <v>0</v>
      </c>
      <c r="AR132" s="141" t="n"/>
      <c r="AS132" s="141" t="n"/>
      <c r="AT132" s="141" t="n"/>
      <c r="AU132" s="141" t="n"/>
      <c r="AV132" s="141" t="n"/>
      <c r="AW132" s="141" t="n"/>
      <c r="AX132" s="141" t="n"/>
      <c r="AY132" s="141" t="n"/>
      <c r="AZ132" s="141" t="n"/>
      <c r="BA132" s="141" t="n"/>
      <c r="BB132" s="141" t="n"/>
      <c r="BC132" s="141" t="n"/>
      <c r="BD132" s="141" t="n"/>
      <c r="BE132" s="141" t="n"/>
      <c r="BF132" s="141" t="n"/>
      <c r="BG132" s="141" t="n"/>
      <c r="BH132" s="141" t="n"/>
      <c r="BI132" s="141" t="n"/>
      <c r="BJ132" s="141" t="n"/>
      <c r="BK132" s="141" t="n"/>
      <c r="BL132" s="141" t="n"/>
      <c r="BM132" s="141" t="n"/>
      <c r="BN132" s="141" t="n"/>
      <c r="BO132" s="141" t="n"/>
      <c r="BP132" s="141" t="n"/>
      <c r="BQ132" s="141" t="n"/>
      <c r="BR132" s="141" t="n"/>
      <c r="BS132" s="141" t="n"/>
      <c r="BT132" s="141" t="n"/>
      <c r="BU132" s="141" t="n"/>
      <c r="BV132" s="141" t="n"/>
      <c r="BW132" s="141" t="n"/>
      <c r="BX132" s="141" t="n"/>
      <c r="BY132" s="141" t="n"/>
      <c r="BZ132" s="141" t="n"/>
      <c r="CA132" s="208" t="n"/>
      <c r="CB132" s="208" t="n"/>
    </row>
    <row r="133" hidden="1" ht="18.75" customHeight="1">
      <c r="A133" s="781" t="inlineStr">
        <is>
          <t>COR 1.0</t>
        </is>
      </c>
      <c r="B133" s="731" t="n"/>
      <c r="C133" s="731" t="n"/>
      <c r="D133" s="775" t="n"/>
      <c r="Z133" s="414" t="n">
        <v>0</v>
      </c>
      <c r="AA133" s="141" t="n">
        <v>0</v>
      </c>
      <c r="AB133" s="141" t="n">
        <v>4</v>
      </c>
      <c r="AC133" s="141" t="n">
        <v>5</v>
      </c>
      <c r="AD133" s="141" t="n">
        <v>5</v>
      </c>
      <c r="AE133" s="141" t="n">
        <v>5</v>
      </c>
      <c r="AF133" s="141" t="n">
        <v>5</v>
      </c>
      <c r="AG133" s="141" t="n">
        <v>6</v>
      </c>
      <c r="AH133" s="141" t="n">
        <v>6</v>
      </c>
      <c r="AI133" s="141" t="n">
        <v>5</v>
      </c>
      <c r="AJ133" s="141" t="n">
        <v>5</v>
      </c>
      <c r="AK133" s="141" t="n">
        <v>5</v>
      </c>
      <c r="AL133" s="141" t="n">
        <v>3</v>
      </c>
      <c r="AM133" s="141" t="n">
        <v>1</v>
      </c>
      <c r="AN133" s="141" t="n">
        <v>1</v>
      </c>
      <c r="AO133" s="141" t="n">
        <v>1</v>
      </c>
      <c r="AP133" s="141" t="n">
        <v>1</v>
      </c>
      <c r="AQ133" s="141" t="n">
        <v>1</v>
      </c>
      <c r="AR133" s="141" t="n">
        <v>1</v>
      </c>
      <c r="AS133" s="141" t="n">
        <v>1</v>
      </c>
      <c r="AT133" s="141" t="n">
        <v>0</v>
      </c>
      <c r="AU133" s="141" t="n">
        <v>0</v>
      </c>
      <c r="AV133" s="141" t="n">
        <v>0</v>
      </c>
      <c r="AW133" s="141" t="n">
        <v>0</v>
      </c>
      <c r="AX133" s="141" t="n">
        <v>0</v>
      </c>
      <c r="AY133" s="141" t="n">
        <v>0</v>
      </c>
      <c r="AZ133" s="141" t="n">
        <v>0</v>
      </c>
      <c r="BA133" s="141" t="n">
        <v>0</v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/>
      <c r="BG133" s="141" t="n"/>
      <c r="BH133" s="141" t="n"/>
      <c r="BI133" s="141" t="n"/>
      <c r="BJ133" s="141" t="n"/>
      <c r="BK133" s="141" t="n"/>
      <c r="BL133" s="141" t="n"/>
      <c r="BM133" s="141" t="n"/>
      <c r="BN133" s="141" t="n"/>
      <c r="BO133" s="141" t="n"/>
      <c r="BP133" s="141" t="n"/>
      <c r="BQ133" s="141" t="n"/>
      <c r="BR133" s="141" t="n"/>
      <c r="BS133" s="141" t="n"/>
      <c r="BT133" s="141" t="n"/>
      <c r="BU133" s="141" t="n"/>
      <c r="BV133" s="141" t="n"/>
      <c r="BW133" s="141" t="n"/>
      <c r="BX133" s="141" t="n"/>
      <c r="BY133" s="141" t="n"/>
      <c r="BZ133" s="141" t="n"/>
      <c r="CA133" s="208" t="n"/>
      <c r="CB133" s="208" t="n"/>
    </row>
    <row r="134" hidden="1" ht="18.75" customHeight="1">
      <c r="A134" s="781" t="inlineStr">
        <is>
          <t>COR 2.0</t>
        </is>
      </c>
      <c r="B134" s="731" t="n"/>
      <c r="C134" s="731" t="n"/>
      <c r="D134" s="775" t="n"/>
      <c r="Z134" s="414" t="n">
        <v>0</v>
      </c>
      <c r="AA134" s="141" t="n">
        <v>0</v>
      </c>
      <c r="AB134" s="141" t="n">
        <v>2</v>
      </c>
      <c r="AC134" s="141" t="n">
        <v>3</v>
      </c>
      <c r="AD134" s="141" t="n">
        <v>3</v>
      </c>
      <c r="AE134" s="141" t="n">
        <v>3</v>
      </c>
      <c r="AF134" s="141" t="n">
        <v>3</v>
      </c>
      <c r="AG134" s="141" t="n">
        <v>2</v>
      </c>
      <c r="AH134" s="141" t="n">
        <v>0</v>
      </c>
      <c r="AI134" s="141" t="n">
        <v>0</v>
      </c>
      <c r="AJ134" s="141" t="n">
        <v>0</v>
      </c>
      <c r="AK134" s="141" t="n">
        <v>0</v>
      </c>
      <c r="AL134" s="141" t="n">
        <v>0</v>
      </c>
      <c r="AM134" s="141" t="n">
        <v>0</v>
      </c>
      <c r="AN134" s="141" t="n">
        <v>0</v>
      </c>
      <c r="AO134" s="141" t="n">
        <v>0</v>
      </c>
      <c r="AP134" s="141" t="n">
        <v>0</v>
      </c>
      <c r="AQ134" s="141" t="n">
        <v>0</v>
      </c>
      <c r="AR134" s="141" t="n"/>
      <c r="AS134" s="141" t="n"/>
      <c r="AT134" s="141" t="n"/>
      <c r="AU134" s="141" t="n"/>
      <c r="AV134" s="141" t="n"/>
      <c r="AW134" s="141" t="n"/>
      <c r="AX134" s="141" t="n"/>
      <c r="AY134" s="141" t="n"/>
      <c r="AZ134" s="141" t="n"/>
      <c r="BA134" s="141" t="n"/>
      <c r="BB134" s="141" t="n"/>
      <c r="BC134" s="141" t="n"/>
      <c r="BD134" s="141" t="n"/>
      <c r="BE134" s="141" t="n"/>
      <c r="BF134" s="141" t="n"/>
      <c r="BG134" s="141" t="n"/>
      <c r="BH134" s="141" t="n"/>
      <c r="BI134" s="141" t="n"/>
      <c r="BJ134" s="141" t="n"/>
      <c r="BK134" s="141" t="n"/>
      <c r="BL134" s="141" t="n"/>
      <c r="BM134" s="141" t="n"/>
      <c r="BN134" s="141" t="n"/>
      <c r="BO134" s="141" t="n"/>
      <c r="BP134" s="141" t="n"/>
      <c r="BQ134" s="141" t="n"/>
      <c r="BR134" s="141" t="n"/>
      <c r="BS134" s="141" t="n"/>
      <c r="BT134" s="141" t="n"/>
      <c r="BU134" s="141" t="n"/>
      <c r="BV134" s="141" t="n"/>
      <c r="BW134" s="141" t="n"/>
      <c r="BX134" s="141" t="n"/>
      <c r="BY134" s="141" t="n"/>
      <c r="BZ134" s="141" t="n"/>
      <c r="CA134" s="208" t="n"/>
      <c r="CB134" s="208" t="n"/>
    </row>
    <row r="135" hidden="1" ht="18.75" customHeight="1">
      <c r="A135" s="781" t="inlineStr">
        <is>
          <t>COR 3.0</t>
        </is>
      </c>
      <c r="B135" s="731" t="n"/>
      <c r="C135" s="731" t="n"/>
      <c r="D135" s="775" t="n"/>
      <c r="Z135" s="414" t="n">
        <v>0</v>
      </c>
      <c r="AA135" s="141" t="n">
        <v>0</v>
      </c>
      <c r="AB135" s="141" t="n">
        <v>5</v>
      </c>
      <c r="AC135" s="141" t="n">
        <v>5</v>
      </c>
      <c r="AD135" s="141" t="n">
        <v>3</v>
      </c>
      <c r="AE135" s="141" t="n">
        <v>3</v>
      </c>
      <c r="AF135" s="141" t="n">
        <v>2</v>
      </c>
      <c r="AG135" s="141" t="n">
        <v>0</v>
      </c>
      <c r="AH135" s="141" t="n">
        <v>0</v>
      </c>
      <c r="AI135" s="141" t="n">
        <v>0</v>
      </c>
      <c r="AJ135" s="141" t="n">
        <v>0</v>
      </c>
      <c r="AK135" s="141" t="n">
        <v>0</v>
      </c>
      <c r="AL135" s="141" t="n">
        <v>0</v>
      </c>
      <c r="AM135" s="141" t="n">
        <v>0</v>
      </c>
      <c r="AN135" s="141" t="n">
        <v>0</v>
      </c>
      <c r="AO135" s="141" t="n">
        <v>0</v>
      </c>
      <c r="AP135" s="141" t="n">
        <v>0</v>
      </c>
      <c r="AQ135" s="141" t="n">
        <v>0</v>
      </c>
      <c r="AR135" s="141" t="n"/>
      <c r="AS135" s="141" t="n"/>
      <c r="AT135" s="141" t="n"/>
      <c r="AU135" s="141" t="n"/>
      <c r="AV135" s="141" t="n"/>
      <c r="AW135" s="141" t="n"/>
      <c r="AX135" s="141" t="n"/>
      <c r="AY135" s="141" t="n"/>
      <c r="AZ135" s="141" t="n"/>
      <c r="BA135" s="141" t="n"/>
      <c r="BB135" s="141" t="n"/>
      <c r="BC135" s="141" t="n"/>
      <c r="BD135" s="141" t="n"/>
      <c r="BE135" s="141" t="n"/>
      <c r="BF135" s="141" t="n"/>
      <c r="BG135" s="141" t="n"/>
      <c r="BH135" s="141" t="n"/>
      <c r="BI135" s="141" t="n"/>
      <c r="BJ135" s="141" t="n"/>
      <c r="BK135" s="141" t="n"/>
      <c r="BL135" s="141" t="n"/>
      <c r="BM135" s="141" t="n"/>
      <c r="BN135" s="141" t="n"/>
      <c r="BO135" s="141" t="n"/>
      <c r="BP135" s="141" t="n"/>
      <c r="BQ135" s="141" t="n"/>
      <c r="BR135" s="141" t="n"/>
      <c r="BS135" s="141" t="n"/>
      <c r="BT135" s="141" t="n"/>
      <c r="BU135" s="141" t="n"/>
      <c r="BV135" s="141" t="n"/>
      <c r="BW135" s="141" t="n"/>
      <c r="BX135" s="141" t="n"/>
      <c r="BY135" s="141" t="n"/>
      <c r="BZ135" s="141" t="n"/>
      <c r="CA135" s="208" t="n"/>
      <c r="CB135" s="208" t="n"/>
    </row>
    <row r="136" hidden="1" ht="18.75" customHeight="1">
      <c r="A136" s="781" t="inlineStr">
        <is>
          <t>COR 4.0</t>
        </is>
      </c>
      <c r="B136" s="731" t="n"/>
      <c r="C136" s="731" t="n"/>
      <c r="D136" s="775" t="n"/>
      <c r="Z136" s="414" t="n">
        <v>0</v>
      </c>
      <c r="AA136" s="141" t="n">
        <v>0</v>
      </c>
      <c r="AB136" s="141" t="n">
        <v>0</v>
      </c>
      <c r="AC136" s="141" t="n">
        <v>0</v>
      </c>
      <c r="AD136" s="141" t="n">
        <v>0</v>
      </c>
      <c r="AE136" s="141" t="n">
        <v>0</v>
      </c>
      <c r="AF136" s="141" t="n">
        <v>1</v>
      </c>
      <c r="AG136" s="141" t="n">
        <v>0</v>
      </c>
      <c r="AH136" s="141" t="n">
        <v>0</v>
      </c>
      <c r="AI136" s="141" t="n">
        <v>0</v>
      </c>
      <c r="AJ136" s="141" t="n">
        <v>0</v>
      </c>
      <c r="AK136" s="141" t="n">
        <v>0</v>
      </c>
      <c r="AL136" s="141" t="n">
        <v>0</v>
      </c>
      <c r="AM136" s="141" t="n">
        <v>0</v>
      </c>
      <c r="AN136" s="141" t="n">
        <v>0</v>
      </c>
      <c r="AO136" s="141" t="n">
        <v>0</v>
      </c>
      <c r="AP136" s="141" t="n">
        <v>0</v>
      </c>
      <c r="AQ136" s="141" t="n">
        <v>0</v>
      </c>
      <c r="AR136" s="141" t="n"/>
      <c r="AS136" s="141" t="n"/>
      <c r="AT136" s="141" t="n"/>
      <c r="AU136" s="141" t="n"/>
      <c r="AV136" s="141" t="n"/>
      <c r="AW136" s="141" t="n"/>
      <c r="AX136" s="141" t="n"/>
      <c r="AY136" s="141" t="n"/>
      <c r="AZ136" s="141" t="n"/>
      <c r="BA136" s="141" t="n"/>
      <c r="BB136" s="141" t="n"/>
      <c r="BC136" s="141" t="n"/>
      <c r="BD136" s="141" t="n"/>
      <c r="BE136" s="141" t="n"/>
      <c r="BF136" s="141" t="n"/>
      <c r="BG136" s="141" t="n"/>
      <c r="BH136" s="141" t="n"/>
      <c r="BI136" s="141" t="n"/>
      <c r="BJ136" s="141" t="n"/>
      <c r="BK136" s="141" t="n"/>
      <c r="BL136" s="141" t="n"/>
      <c r="BM136" s="141" t="n"/>
      <c r="BN136" s="141" t="n"/>
      <c r="BO136" s="141" t="n"/>
      <c r="BP136" s="141" t="n"/>
      <c r="BQ136" s="141" t="n"/>
      <c r="BR136" s="141" t="n"/>
      <c r="BS136" s="141" t="n"/>
      <c r="BT136" s="141" t="n"/>
      <c r="BU136" s="141" t="n"/>
      <c r="BV136" s="141" t="n"/>
      <c r="BW136" s="141" t="n"/>
      <c r="BX136" s="141" t="n"/>
      <c r="BY136" s="141" t="n"/>
      <c r="BZ136" s="141" t="n"/>
      <c r="CA136" s="208" t="n"/>
      <c r="CB136" s="208" t="n"/>
    </row>
    <row r="137" hidden="1" ht="18.75" customHeight="1">
      <c r="A137" s="781" t="inlineStr">
        <is>
          <t>COR 5.0</t>
        </is>
      </c>
      <c r="B137" s="731" t="n"/>
      <c r="C137" s="731" t="n"/>
      <c r="D137" s="775" t="n"/>
      <c r="Z137" s="414" t="n">
        <v>0</v>
      </c>
      <c r="AA137" s="141" t="n">
        <v>0</v>
      </c>
      <c r="AB137" s="141" t="n">
        <v>1</v>
      </c>
      <c r="AC137" s="141" t="n">
        <v>3</v>
      </c>
      <c r="AD137" s="141" t="n">
        <v>1</v>
      </c>
      <c r="AE137" s="141" t="n">
        <v>0</v>
      </c>
      <c r="AF137" s="141" t="n">
        <v>1</v>
      </c>
      <c r="AG137" s="141" t="n">
        <v>1</v>
      </c>
      <c r="AH137" s="141" t="n">
        <v>1</v>
      </c>
      <c r="AI137" s="141" t="n">
        <v>0</v>
      </c>
      <c r="AJ137" s="141" t="n">
        <v>0</v>
      </c>
      <c r="AK137" s="141" t="n">
        <v>0</v>
      </c>
      <c r="AL137" s="141" t="n">
        <v>0</v>
      </c>
      <c r="AM137" s="141" t="n">
        <v>0</v>
      </c>
      <c r="AN137" s="141" t="n">
        <v>0</v>
      </c>
      <c r="AO137" s="141" t="n">
        <v>0</v>
      </c>
      <c r="AP137" s="141" t="n">
        <v>0</v>
      </c>
      <c r="AQ137" s="141" t="n">
        <v>0</v>
      </c>
      <c r="AR137" s="141" t="n"/>
      <c r="AS137" s="141" t="n"/>
      <c r="AT137" s="141" t="n"/>
      <c r="AU137" s="141" t="n"/>
      <c r="AV137" s="141" t="n"/>
      <c r="AW137" s="141" t="n"/>
      <c r="AX137" s="141" t="n"/>
      <c r="AY137" s="141" t="n"/>
      <c r="AZ137" s="141" t="n"/>
      <c r="BA137" s="141" t="n"/>
      <c r="BB137" s="141" t="n"/>
      <c r="BC137" s="141" t="n"/>
      <c r="BD137" s="141" t="n"/>
      <c r="BE137" s="141" t="n"/>
      <c r="BF137" s="141" t="n"/>
      <c r="BG137" s="141" t="n"/>
      <c r="BH137" s="141" t="n"/>
      <c r="BI137" s="141" t="n"/>
      <c r="BJ137" s="141" t="n"/>
      <c r="BK137" s="141" t="n"/>
      <c r="BL137" s="141" t="n"/>
      <c r="BM137" s="141" t="n"/>
      <c r="BN137" s="141" t="n"/>
      <c r="BO137" s="141" t="n"/>
      <c r="BP137" s="141" t="n"/>
      <c r="BQ137" s="141" t="n"/>
      <c r="BR137" s="141" t="n"/>
      <c r="BS137" s="141" t="n"/>
      <c r="BT137" s="141" t="n"/>
      <c r="BU137" s="141" t="n"/>
      <c r="BV137" s="141" t="n"/>
      <c r="BW137" s="141" t="n"/>
      <c r="BX137" s="141" t="n"/>
      <c r="BY137" s="141" t="n"/>
      <c r="BZ137" s="141" t="n"/>
      <c r="CA137" s="208" t="n"/>
      <c r="CB137" s="208" t="n"/>
    </row>
    <row r="138" hidden="1" ht="18.75" customHeight="1">
      <c r="A138" s="781" t="inlineStr">
        <is>
          <t>COR 6.0</t>
        </is>
      </c>
      <c r="B138" s="731" t="n"/>
      <c r="C138" s="731" t="n"/>
      <c r="D138" s="775" t="n"/>
      <c r="Z138" s="414" t="n">
        <v>0</v>
      </c>
      <c r="AA138" s="141" t="n">
        <v>0</v>
      </c>
      <c r="AB138" s="141" t="n">
        <v>1</v>
      </c>
      <c r="AC138" s="141" t="n">
        <v>2</v>
      </c>
      <c r="AD138" s="141" t="n">
        <v>0</v>
      </c>
      <c r="AE138" s="141" t="n">
        <v>0</v>
      </c>
      <c r="AF138" s="141" t="n">
        <v>0</v>
      </c>
      <c r="AG138" s="141" t="n">
        <v>0</v>
      </c>
      <c r="AH138" s="141" t="n">
        <v>0</v>
      </c>
      <c r="AI138" s="141" t="n">
        <v>0</v>
      </c>
      <c r="AJ138" s="141" t="n">
        <v>0</v>
      </c>
      <c r="AK138" s="141" t="n">
        <v>0</v>
      </c>
      <c r="AL138" s="141" t="n">
        <v>0</v>
      </c>
      <c r="AM138" s="141" t="n">
        <v>0</v>
      </c>
      <c r="AN138" s="141" t="n">
        <v>0</v>
      </c>
      <c r="AO138" s="141" t="n">
        <v>0</v>
      </c>
      <c r="AP138" s="141" t="n">
        <v>0</v>
      </c>
      <c r="AQ138" s="141" t="n">
        <v>0</v>
      </c>
      <c r="AR138" s="141" t="n"/>
      <c r="AS138" s="141" t="n"/>
      <c r="AT138" s="141" t="n"/>
      <c r="AU138" s="141" t="n"/>
      <c r="AV138" s="141" t="n"/>
      <c r="AW138" s="141" t="n"/>
      <c r="AX138" s="141" t="n"/>
      <c r="AY138" s="141" t="n"/>
      <c r="AZ138" s="141" t="n"/>
      <c r="BA138" s="141" t="n"/>
      <c r="BB138" s="141" t="n"/>
      <c r="BC138" s="141" t="n"/>
      <c r="BD138" s="141" t="n"/>
      <c r="BE138" s="141" t="n"/>
      <c r="BF138" s="141" t="n"/>
      <c r="BG138" s="141" t="n"/>
      <c r="BH138" s="141" t="n"/>
      <c r="BI138" s="141" t="n"/>
      <c r="BJ138" s="141" t="n"/>
      <c r="BK138" s="141" t="n"/>
      <c r="BL138" s="141" t="n"/>
      <c r="BM138" s="141" t="n"/>
      <c r="BN138" s="141" t="n"/>
      <c r="BO138" s="141" t="n"/>
      <c r="BP138" s="141" t="n"/>
      <c r="BQ138" s="141" t="n"/>
      <c r="BR138" s="141" t="n"/>
      <c r="BS138" s="141" t="n"/>
      <c r="BT138" s="141" t="n"/>
      <c r="BU138" s="141" t="n"/>
      <c r="BV138" s="141" t="n"/>
      <c r="BW138" s="141" t="n"/>
      <c r="BX138" s="141" t="n"/>
      <c r="BY138" s="141" t="n"/>
      <c r="BZ138" s="141" t="n"/>
      <c r="CA138" s="208" t="n"/>
      <c r="CB138" s="208" t="n"/>
    </row>
    <row r="139" hidden="1" ht="18.75" customHeight="1">
      <c r="A139" s="781" t="inlineStr">
        <is>
          <t xml:space="preserve">COR 7.0 </t>
        </is>
      </c>
      <c r="B139" s="731" t="n"/>
      <c r="C139" s="731" t="n"/>
      <c r="D139" s="775" t="n"/>
      <c r="Z139" s="414" t="n">
        <v>0</v>
      </c>
      <c r="AA139" s="141" t="n">
        <v>0</v>
      </c>
      <c r="AB139" s="141" t="n">
        <v>1</v>
      </c>
      <c r="AC139" s="141" t="n">
        <v>2</v>
      </c>
      <c r="AD139" s="141" t="n">
        <v>2</v>
      </c>
      <c r="AE139" s="141" t="n">
        <v>0</v>
      </c>
      <c r="AF139" s="141" t="n">
        <v>0</v>
      </c>
      <c r="AG139" s="141" t="n">
        <v>0</v>
      </c>
      <c r="AH139" s="141" t="n">
        <v>0</v>
      </c>
      <c r="AI139" s="141" t="n">
        <v>0</v>
      </c>
      <c r="AJ139" s="141" t="n">
        <v>0</v>
      </c>
      <c r="AK139" s="141" t="n">
        <v>0</v>
      </c>
      <c r="AL139" s="141" t="n">
        <v>0</v>
      </c>
      <c r="AM139" s="141" t="n">
        <v>0</v>
      </c>
      <c r="AN139" s="141" t="n">
        <v>0</v>
      </c>
      <c r="AO139" s="141" t="n">
        <v>0</v>
      </c>
      <c r="AP139" s="141" t="n">
        <v>0</v>
      </c>
      <c r="AQ139" s="141" t="n">
        <v>0</v>
      </c>
      <c r="AR139" s="141" t="n"/>
      <c r="AS139" s="141" t="n"/>
      <c r="AT139" s="141" t="n"/>
      <c r="AU139" s="141" t="n"/>
      <c r="AV139" s="141" t="n"/>
      <c r="AW139" s="141" t="n"/>
      <c r="AX139" s="141" t="n"/>
      <c r="AY139" s="141" t="n"/>
      <c r="AZ139" s="141" t="n"/>
      <c r="BA139" s="141" t="n"/>
      <c r="BB139" s="141" t="n"/>
      <c r="BC139" s="141" t="n"/>
      <c r="BD139" s="141" t="n"/>
      <c r="BE139" s="141" t="n"/>
      <c r="BF139" s="141" t="n"/>
      <c r="BG139" s="141" t="n"/>
      <c r="BH139" s="141" t="n"/>
      <c r="BI139" s="141" t="n"/>
      <c r="BJ139" s="141" t="n"/>
      <c r="BK139" s="141" t="n"/>
      <c r="BL139" s="141" t="n"/>
      <c r="BM139" s="141" t="n"/>
      <c r="BN139" s="141" t="n"/>
      <c r="BO139" s="141" t="n"/>
      <c r="BP139" s="141" t="n"/>
      <c r="BQ139" s="141" t="n"/>
      <c r="BR139" s="141" t="n"/>
      <c r="BS139" s="141" t="n"/>
      <c r="BT139" s="141" t="n"/>
      <c r="BU139" s="141" t="n"/>
      <c r="BV139" s="141" t="n"/>
      <c r="BW139" s="141" t="n"/>
      <c r="BX139" s="141" t="n"/>
      <c r="BY139" s="141" t="n"/>
      <c r="BZ139" s="141" t="n"/>
      <c r="CA139" s="208" t="n"/>
      <c r="CB139" s="208" t="n"/>
    </row>
    <row r="140" hidden="1" ht="18.75" customHeight="1">
      <c r="A140" s="781" t="inlineStr">
        <is>
          <t>ZAAD INTENSE</t>
        </is>
      </c>
      <c r="B140" s="731" t="n"/>
      <c r="C140" s="731" t="n"/>
      <c r="D140" s="775" t="n"/>
      <c r="AG140" s="141" t="n">
        <v>0</v>
      </c>
      <c r="AH140" s="141" t="n">
        <v>10</v>
      </c>
      <c r="AI140" s="141" t="n">
        <v>5</v>
      </c>
      <c r="AJ140" s="141" t="n">
        <v>8</v>
      </c>
      <c r="AK140" s="141" t="n">
        <v>8</v>
      </c>
      <c r="AL140" s="141" t="n">
        <v>4</v>
      </c>
      <c r="AM140" s="141" t="n">
        <v>2</v>
      </c>
      <c r="AN140" s="141" t="n">
        <v>2</v>
      </c>
      <c r="AO140" s="141" t="n">
        <v>2</v>
      </c>
      <c r="AP140" s="141" t="n">
        <v>2</v>
      </c>
      <c r="AQ140" s="141" t="n">
        <v>2</v>
      </c>
      <c r="AR140" s="141" t="n">
        <v>2</v>
      </c>
      <c r="AS140" s="141" t="n">
        <v>2</v>
      </c>
      <c r="AT140" s="141" t="n">
        <v>2</v>
      </c>
      <c r="AU140" s="141" t="n">
        <v>1</v>
      </c>
      <c r="AV140" s="141" t="n">
        <v>0</v>
      </c>
      <c r="AW140" s="141" t="n">
        <v>0</v>
      </c>
      <c r="AX140" s="141" t="n">
        <v>0</v>
      </c>
      <c r="AY140" s="141" t="n">
        <v>0</v>
      </c>
      <c r="AZ140" s="141" t="n">
        <v>0</v>
      </c>
      <c r="BA140" s="141" t="n">
        <v>0</v>
      </c>
      <c r="BB140" s="141" t="n">
        <v>0</v>
      </c>
      <c r="BC140" s="141" t="n">
        <v>0</v>
      </c>
      <c r="BD140" s="141" t="n">
        <v>0</v>
      </c>
      <c r="BE140" s="141" t="n">
        <v>0</v>
      </c>
      <c r="BF140" s="141" t="n"/>
      <c r="BG140" s="141" t="n"/>
      <c r="BH140" s="141" t="n"/>
      <c r="BI140" s="141" t="n"/>
      <c r="BJ140" s="141" t="n"/>
      <c r="BK140" s="141" t="n"/>
      <c r="BL140" s="141" t="n"/>
      <c r="BM140" s="141" t="n"/>
      <c r="BN140" s="141" t="n"/>
      <c r="BO140" s="141" t="n"/>
      <c r="BP140" s="141" t="n"/>
      <c r="BQ140" s="141" t="n"/>
      <c r="BR140" s="141" t="n"/>
      <c r="BS140" s="141" t="n"/>
      <c r="BT140" s="141" t="n"/>
      <c r="BU140" s="141" t="n"/>
      <c r="BV140" s="141" t="n"/>
      <c r="BW140" s="141" t="n"/>
      <c r="BX140" s="141" t="n"/>
      <c r="BY140" s="141" t="n"/>
      <c r="BZ140" s="141" t="n"/>
      <c r="CA140" s="208" t="n"/>
      <c r="CB140" s="208" t="n"/>
    </row>
    <row r="141" hidden="1" ht="18.75" customHeight="1">
      <c r="A141" s="781" t="inlineStr">
        <is>
          <t>EGEO COGU</t>
        </is>
      </c>
      <c r="B141" s="731" t="n"/>
      <c r="C141" s="731" t="n"/>
      <c r="D141" s="775" t="n"/>
      <c r="AG141" s="141" t="n">
        <v>0</v>
      </c>
      <c r="AH141" s="141" t="n">
        <v>45</v>
      </c>
      <c r="AI141" s="141" t="n">
        <v>43</v>
      </c>
      <c r="AJ141" s="141" t="n">
        <v>38</v>
      </c>
      <c r="AK141" s="141" t="n">
        <v>35</v>
      </c>
      <c r="AL141" s="141" t="n">
        <v>27</v>
      </c>
      <c r="AM141" s="141" t="n">
        <v>24</v>
      </c>
      <c r="AN141" s="141" t="n">
        <v>23</v>
      </c>
      <c r="AO141" s="141" t="n">
        <v>13</v>
      </c>
      <c r="AP141" s="141" t="n">
        <v>11</v>
      </c>
      <c r="AQ141" s="141" t="n">
        <v>11</v>
      </c>
      <c r="AR141" s="141" t="n">
        <v>11</v>
      </c>
      <c r="AS141" s="141" t="n">
        <v>11</v>
      </c>
      <c r="AT141" s="141" t="n">
        <v>10</v>
      </c>
      <c r="AU141" s="141" t="n">
        <v>10</v>
      </c>
      <c r="AV141" s="141" t="n">
        <v>9</v>
      </c>
      <c r="AW141" s="141" t="n">
        <v>0</v>
      </c>
      <c r="AX141" s="141" t="n">
        <v>6</v>
      </c>
      <c r="AY141" s="141" t="n">
        <v>5</v>
      </c>
      <c r="AZ141" s="141" t="n">
        <v>3</v>
      </c>
      <c r="BA141" s="141" t="n">
        <v>0</v>
      </c>
      <c r="BB141" s="141" t="n">
        <v>0</v>
      </c>
      <c r="BC141" s="141" t="n">
        <v>0</v>
      </c>
      <c r="BD141" s="141" t="n">
        <v>0</v>
      </c>
      <c r="BE141" s="141" t="n">
        <v>0</v>
      </c>
      <c r="BF141" s="141" t="n"/>
      <c r="BG141" s="141" t="n"/>
      <c r="BH141" s="141" t="n"/>
      <c r="BI141" s="141" t="n"/>
      <c r="BJ141" s="141" t="n"/>
      <c r="BK141" s="141" t="n"/>
      <c r="BL141" s="141" t="n"/>
      <c r="BM141" s="141" t="n"/>
      <c r="BN141" s="141" t="n"/>
      <c r="BO141" s="141" t="n"/>
      <c r="BP141" s="141" t="n"/>
      <c r="BQ141" s="141" t="n"/>
      <c r="BR141" s="141" t="n"/>
      <c r="BS141" s="141" t="n"/>
      <c r="BT141" s="141" t="n"/>
      <c r="BU141" s="141" t="n"/>
      <c r="BV141" s="141" t="n"/>
      <c r="BW141" s="141" t="n"/>
      <c r="BX141" s="141" t="n"/>
      <c r="BY141" s="141" t="n"/>
      <c r="BZ141" s="141" t="n"/>
      <c r="CA141" s="208" t="n"/>
      <c r="CB141" s="208" t="n"/>
    </row>
    <row r="142">
      <c r="A142" s="781" t="inlineStr">
        <is>
          <t>HER CODE CLIMAX</t>
        </is>
      </c>
      <c r="B142" s="731" t="n"/>
      <c r="C142" s="731" t="n"/>
      <c r="D142" s="775" t="n"/>
      <c r="AN142" s="141" t="n">
        <v>0</v>
      </c>
      <c r="AO142" s="141" t="n">
        <v>26</v>
      </c>
      <c r="AP142" s="141" t="n">
        <v>20</v>
      </c>
      <c r="AQ142" s="141" t="n">
        <v>20</v>
      </c>
      <c r="AR142" s="141" t="n">
        <v>19</v>
      </c>
      <c r="AS142" s="141" t="n">
        <v>18</v>
      </c>
      <c r="AT142" s="141" t="n">
        <v>14</v>
      </c>
      <c r="AU142" s="141" t="n">
        <v>14</v>
      </c>
      <c r="AV142" s="141" t="n">
        <v>12</v>
      </c>
      <c r="AW142" s="141" t="n">
        <v>10</v>
      </c>
      <c r="AX142" s="141" t="n">
        <v>10</v>
      </c>
      <c r="AY142" s="141" t="n">
        <v>5</v>
      </c>
      <c r="AZ142" s="141" t="n">
        <v>3</v>
      </c>
      <c r="BA142" s="141" t="n">
        <v>1</v>
      </c>
      <c r="BB142" s="141" t="n">
        <v>0</v>
      </c>
      <c r="BC142" s="141" t="n">
        <v>0</v>
      </c>
      <c r="BD142" s="141" t="n">
        <v>0</v>
      </c>
      <c r="BE142" s="141" t="n">
        <v>0</v>
      </c>
      <c r="BF142" s="141" t="n">
        <v>0</v>
      </c>
      <c r="BG142" s="141" t="n">
        <v>0</v>
      </c>
      <c r="BH142" s="141" t="n">
        <v>0</v>
      </c>
      <c r="BI142" s="141" t="n">
        <v>0</v>
      </c>
      <c r="BJ142" s="141" t="n">
        <v>0</v>
      </c>
      <c r="BK142" s="141" t="n">
        <v>0</v>
      </c>
      <c r="BL142" s="141" t="n">
        <v>0</v>
      </c>
      <c r="BM142" s="141" t="n">
        <v>0</v>
      </c>
      <c r="BN142" s="141" t="n">
        <v>0</v>
      </c>
      <c r="BO142" s="141" t="n">
        <v>0</v>
      </c>
      <c r="BP142" s="141" t="n">
        <v>0</v>
      </c>
      <c r="BQ142" s="141" t="n">
        <v>0</v>
      </c>
      <c r="BR142" s="141" t="n">
        <v>0</v>
      </c>
      <c r="BS142" s="141" t="n">
        <v>0</v>
      </c>
      <c r="BT142" s="141" t="n">
        <v>0</v>
      </c>
      <c r="BU142" s="141" t="n">
        <v>0</v>
      </c>
      <c r="BV142" s="141" t="n">
        <v>0</v>
      </c>
      <c r="BW142" s="141" t="n">
        <v>0</v>
      </c>
      <c r="BX142" s="141" t="n">
        <v>0</v>
      </c>
      <c r="BY142" s="141" t="n">
        <v>0</v>
      </c>
      <c r="BZ142" s="141" t="n"/>
      <c r="CA142" s="208" t="n"/>
      <c r="CB142" s="208" t="n"/>
    </row>
    <row r="143" hidden="1" ht="18.75" customHeight="1">
      <c r="A143" s="781" t="inlineStr">
        <is>
          <t>FLORATTA BOUQUET</t>
        </is>
      </c>
      <c r="B143" s="731" t="n"/>
      <c r="C143" s="731" t="n"/>
      <c r="D143" s="775" t="n"/>
      <c r="AP143" s="141" t="n">
        <v>0</v>
      </c>
      <c r="AQ143" s="141" t="n">
        <v>29</v>
      </c>
      <c r="AR143" s="141" t="n">
        <v>28</v>
      </c>
      <c r="AS143" s="141" t="n">
        <v>27</v>
      </c>
      <c r="AT143" s="141" t="n">
        <v>18</v>
      </c>
      <c r="AU143" s="141" t="n">
        <v>14</v>
      </c>
      <c r="AV143" s="141" t="n">
        <v>7</v>
      </c>
      <c r="AW143" s="141" t="n">
        <v>6</v>
      </c>
      <c r="AX143" s="141" t="n">
        <v>5</v>
      </c>
      <c r="AY143" s="141" t="n">
        <v>0</v>
      </c>
      <c r="AZ143" s="141" t="n">
        <v>0</v>
      </c>
      <c r="BA143" s="141" t="n">
        <v>0</v>
      </c>
      <c r="BB143" s="141" t="n">
        <v>0</v>
      </c>
      <c r="BC143" s="141" t="n">
        <v>0</v>
      </c>
      <c r="BD143" s="141" t="n">
        <v>0</v>
      </c>
      <c r="BE143" s="141" t="n">
        <v>0</v>
      </c>
      <c r="BF143" s="141" t="n"/>
      <c r="BG143" s="141" t="n"/>
      <c r="BH143" s="141" t="n"/>
      <c r="BI143" s="141" t="n"/>
      <c r="BJ143" s="141" t="n"/>
      <c r="BK143" s="141" t="n"/>
      <c r="BL143" s="141" t="n"/>
      <c r="BM143" s="141" t="n"/>
      <c r="BN143" s="141" t="n"/>
      <c r="BO143" s="141" t="n"/>
      <c r="BP143" s="141" t="n"/>
      <c r="BQ143" s="141" t="n"/>
      <c r="BR143" s="141" t="n"/>
      <c r="BS143" s="141" t="n"/>
      <c r="BT143" s="141" t="n"/>
      <c r="BU143" s="141" t="n"/>
      <c r="BV143" s="141" t="n"/>
      <c r="BW143" s="141" t="n"/>
      <c r="BX143" s="141" t="n"/>
      <c r="BY143" s="141" t="n"/>
      <c r="BZ143" s="141" t="n"/>
      <c r="CA143" s="208" t="n"/>
      <c r="CB143" s="208" t="n"/>
    </row>
    <row r="144">
      <c r="A144" s="781" t="inlineStr">
        <is>
          <t>EGEO DOLCE ILUSION</t>
        </is>
      </c>
      <c r="B144" s="731" t="n"/>
      <c r="C144" s="731" t="n"/>
      <c r="D144" s="775" t="n"/>
      <c r="AP144" s="141" t="n"/>
      <c r="AQ144" s="141" t="n"/>
      <c r="AR144" s="141" t="n"/>
      <c r="AS144" s="141" t="n"/>
      <c r="AT144" s="141" t="n"/>
      <c r="AU144" s="141" t="n"/>
      <c r="AV144" s="141" t="n"/>
      <c r="AW144" s="141" t="n"/>
      <c r="AX144" s="141" t="n"/>
      <c r="AY144" s="141" t="n"/>
      <c r="AZ144" s="141" t="n">
        <v>0</v>
      </c>
      <c r="BA144" s="141" t="n">
        <v>93</v>
      </c>
      <c r="BB144" s="141" t="n">
        <v>153</v>
      </c>
      <c r="BC144" s="141" t="n">
        <v>153</v>
      </c>
      <c r="BD144" s="141" t="n">
        <v>153</v>
      </c>
      <c r="BE144" s="141" t="n">
        <v>150</v>
      </c>
      <c r="BF144" s="141" t="n">
        <v>141</v>
      </c>
      <c r="BG144" s="141" t="n">
        <v>141</v>
      </c>
      <c r="BH144" s="141" t="n">
        <v>141</v>
      </c>
      <c r="BI144" s="141" t="n">
        <v>135</v>
      </c>
      <c r="BJ144" s="141" t="n">
        <v>79</v>
      </c>
      <c r="BK144" s="141" t="n">
        <v>79</v>
      </c>
      <c r="BL144" s="141" t="n">
        <v>61</v>
      </c>
      <c r="BM144" s="141" t="n">
        <v>56</v>
      </c>
      <c r="BN144" s="141" t="n">
        <v>56</v>
      </c>
      <c r="BO144" s="141" t="n">
        <v>48</v>
      </c>
      <c r="BP144" s="141" t="n">
        <v>22</v>
      </c>
      <c r="BQ144" s="141" t="n">
        <v>20</v>
      </c>
      <c r="BR144" s="141" t="n">
        <v>17</v>
      </c>
      <c r="BS144" s="141" t="n">
        <v>14</v>
      </c>
      <c r="BT144" s="141" t="n">
        <v>14</v>
      </c>
      <c r="BU144" s="141" t="n">
        <v>11</v>
      </c>
      <c r="BV144" s="141" t="n">
        <v>9</v>
      </c>
      <c r="BW144" s="141" t="n">
        <v>7</v>
      </c>
      <c r="BX144" s="141" t="n">
        <v>5</v>
      </c>
      <c r="BY144" s="141" t="n">
        <v>3</v>
      </c>
      <c r="BZ144" s="141" t="n"/>
      <c r="CA144" s="208" t="n"/>
      <c r="CB144" s="208" t="n"/>
    </row>
    <row r="145">
      <c r="A145" s="781" t="inlineStr">
        <is>
          <t>HADYA</t>
        </is>
      </c>
      <c r="B145" s="731" t="n"/>
      <c r="C145" s="731" t="n"/>
      <c r="D145" s="775" t="n"/>
      <c r="AP145" s="141" t="n"/>
      <c r="AQ145" s="141" t="n"/>
      <c r="AR145" s="141" t="n"/>
      <c r="AS145" s="141" t="n"/>
      <c r="AT145" s="141" t="n"/>
      <c r="AU145" s="141" t="n"/>
      <c r="AV145" s="141" t="n"/>
      <c r="AW145" s="141" t="n"/>
      <c r="AX145" s="141" t="n"/>
      <c r="AY145" s="141" t="n"/>
      <c r="AZ145" s="141" t="n"/>
      <c r="BA145" s="141" t="n">
        <v>0</v>
      </c>
      <c r="BB145" s="141" t="n">
        <v>115</v>
      </c>
      <c r="BC145" s="141" t="n">
        <v>68</v>
      </c>
      <c r="BD145" s="141" t="n">
        <v>62</v>
      </c>
      <c r="BE145" s="141" t="n">
        <v>56</v>
      </c>
      <c r="BF145" s="141" t="n">
        <v>55</v>
      </c>
      <c r="BG145" s="141" t="n">
        <v>52</v>
      </c>
      <c r="BH145" s="141" t="n">
        <v>49</v>
      </c>
      <c r="BI145" s="141" t="n">
        <v>41</v>
      </c>
      <c r="BJ145" s="141" t="n">
        <v>35</v>
      </c>
      <c r="BK145" s="141" t="n">
        <v>29</v>
      </c>
      <c r="BL145" s="141" t="n">
        <v>21</v>
      </c>
      <c r="BM145" s="141" t="n">
        <v>20</v>
      </c>
      <c r="BN145" s="141" t="n">
        <v>20</v>
      </c>
      <c r="BO145" s="141" t="n">
        <v>15</v>
      </c>
      <c r="BP145" s="141" t="n">
        <v>15</v>
      </c>
      <c r="BQ145" s="141" t="n">
        <v>12</v>
      </c>
      <c r="BR145" s="141" t="n">
        <v>10</v>
      </c>
      <c r="BS145" s="141" t="n">
        <v>10</v>
      </c>
      <c r="BT145" s="141" t="n">
        <v>10</v>
      </c>
      <c r="BU145" s="141" t="n">
        <v>8</v>
      </c>
      <c r="BV145" s="141" t="n">
        <v>6</v>
      </c>
      <c r="BW145" s="141" t="n">
        <v>3</v>
      </c>
      <c r="BX145" s="141" t="n">
        <v>3</v>
      </c>
      <c r="BY145" s="141" t="n">
        <v>1</v>
      </c>
      <c r="BZ145" s="141" t="n"/>
      <c r="CA145" s="208" t="n"/>
      <c r="CB145" s="208" t="n"/>
    </row>
    <row r="146">
      <c r="A146" s="781" t="inlineStr">
        <is>
          <t>SERUM HIALURÔNICO</t>
        </is>
      </c>
      <c r="B146" s="731" t="n"/>
      <c r="C146" s="731" t="n"/>
      <c r="D146" s="775" t="n"/>
      <c r="AP146" s="141" t="n"/>
      <c r="AQ146" s="141" t="n"/>
      <c r="AR146" s="141" t="n"/>
      <c r="AS146" s="141" t="n"/>
      <c r="AT146" s="141" t="n"/>
      <c r="AU146" s="141" t="n"/>
      <c r="AV146" s="141" t="n"/>
      <c r="AW146" s="141" t="n"/>
      <c r="AX146" s="141" t="n"/>
      <c r="AY146" s="141" t="n"/>
      <c r="AZ146" s="141" t="n"/>
      <c r="BA146" s="141" t="n"/>
      <c r="BB146" s="141" t="n"/>
      <c r="BC146" s="141" t="n"/>
      <c r="BD146" s="141" t="n"/>
      <c r="BE146" s="141" t="n"/>
      <c r="BF146" s="141" t="n"/>
      <c r="BG146" s="141" t="n"/>
      <c r="BH146" s="141" t="n"/>
      <c r="BI146" s="141" t="n"/>
      <c r="BJ146" s="141" t="n"/>
      <c r="BK146" s="141" t="n">
        <v>0</v>
      </c>
      <c r="BL146" s="141" t="n">
        <v>35</v>
      </c>
      <c r="BM146" s="141" t="n">
        <v>42</v>
      </c>
      <c r="BN146" s="141" t="n">
        <v>47</v>
      </c>
      <c r="BO146" s="141" t="n">
        <v>47</v>
      </c>
      <c r="BP146" s="141" t="n">
        <v>47</v>
      </c>
      <c r="BQ146" s="141" t="n">
        <v>45</v>
      </c>
      <c r="BR146" s="141" t="n">
        <v>65</v>
      </c>
      <c r="BS146" s="141" t="n">
        <v>65</v>
      </c>
      <c r="BT146" s="141" t="n">
        <v>65</v>
      </c>
      <c r="BU146" s="141" t="n">
        <v>65</v>
      </c>
      <c r="BV146" s="141" t="n">
        <v>64</v>
      </c>
      <c r="BW146" s="141" t="n">
        <v>59</v>
      </c>
      <c r="BX146" s="141" t="n">
        <v>57</v>
      </c>
      <c r="BY146" s="141" t="n">
        <v>47</v>
      </c>
      <c r="BZ146" s="141" t="n"/>
      <c r="CA146" s="208" t="n"/>
      <c r="CB146" s="208" t="n"/>
    </row>
    <row r="147">
      <c r="A147" s="781" t="inlineStr">
        <is>
          <t>CLASH</t>
        </is>
      </c>
      <c r="B147" s="731" t="n"/>
      <c r="C147" s="731" t="n"/>
      <c r="D147" s="775" t="n"/>
      <c r="BK147" s="141" t="n">
        <v>0</v>
      </c>
      <c r="BL147" s="141" t="n">
        <v>0</v>
      </c>
      <c r="BM147" s="141" t="n">
        <v>23</v>
      </c>
      <c r="BN147" s="141" t="n">
        <v>13</v>
      </c>
      <c r="BO147" s="141" t="n">
        <v>11</v>
      </c>
      <c r="BP147" s="141" t="n">
        <v>11</v>
      </c>
      <c r="BQ147" s="141" t="n">
        <v>8</v>
      </c>
      <c r="BR147" s="141" t="n">
        <v>5</v>
      </c>
      <c r="BS147" s="141" t="n">
        <v>5</v>
      </c>
      <c r="BT147" s="141" t="n">
        <v>5</v>
      </c>
      <c r="BU147" s="141" t="n">
        <v>3</v>
      </c>
      <c r="BV147" s="141" t="n">
        <v>3</v>
      </c>
      <c r="BW147" s="141" t="n">
        <v>3</v>
      </c>
      <c r="BX147" s="141" t="n">
        <v>0</v>
      </c>
      <c r="BY147" s="141" t="n">
        <v>0</v>
      </c>
      <c r="BZ147" s="141" t="n"/>
      <c r="CA147" s="208" t="n"/>
      <c r="CB147" s="208" t="n"/>
    </row>
    <row r="148">
      <c r="A148" s="781" t="inlineStr">
        <is>
          <t>CEREJA DE FASES</t>
        </is>
      </c>
      <c r="B148" s="731" t="n"/>
      <c r="C148" s="731" t="n"/>
      <c r="D148" s="775" t="n"/>
      <c r="BK148" s="141" t="n"/>
      <c r="BL148" s="141" t="n"/>
      <c r="BM148" s="141" t="n">
        <v>0</v>
      </c>
      <c r="BN148" s="141" t="n">
        <v>0</v>
      </c>
      <c r="BO148" s="141" t="n">
        <v>0</v>
      </c>
      <c r="BP148" s="141" t="n">
        <v>0</v>
      </c>
      <c r="BQ148" s="141" t="n">
        <v>0</v>
      </c>
      <c r="BR148" s="141" t="n">
        <v>0</v>
      </c>
      <c r="BS148" s="141" t="n">
        <v>140</v>
      </c>
      <c r="BT148" s="141" t="n">
        <v>140</v>
      </c>
      <c r="BU148" s="141" t="n">
        <v>136</v>
      </c>
      <c r="BV148" s="141" t="n">
        <v>132</v>
      </c>
      <c r="BW148" s="141" t="n">
        <v>128</v>
      </c>
      <c r="BX148" s="141" t="n">
        <v>122</v>
      </c>
      <c r="BY148" s="141" t="n">
        <v>96</v>
      </c>
      <c r="BZ148" s="141" t="n"/>
      <c r="CA148" s="208" t="n"/>
      <c r="CB148" s="208" t="n"/>
    </row>
    <row r="149">
      <c r="A149" s="482" t="inlineStr">
        <is>
          <t>resveratrol serum</t>
        </is>
      </c>
      <c r="B149" s="483" t="n"/>
      <c r="C149" s="483" t="n"/>
      <c r="D149" s="484" t="n"/>
      <c r="BM149" s="141" t="n"/>
      <c r="BN149" s="141" t="n"/>
      <c r="BO149" s="141" t="n"/>
      <c r="BP149" s="141" t="n"/>
      <c r="BQ149" s="141" t="n">
        <v>0</v>
      </c>
      <c r="BR149" s="141" t="n">
        <v>0</v>
      </c>
      <c r="BS149" s="141" t="n">
        <v>0</v>
      </c>
      <c r="BT149" s="141" t="n">
        <v>0</v>
      </c>
      <c r="BU149" s="141" t="n">
        <v>0</v>
      </c>
      <c r="BV149" s="141" t="n">
        <v>0</v>
      </c>
      <c r="BW149" s="141" t="n">
        <v>0</v>
      </c>
      <c r="BX149" s="141" t="n">
        <v>4</v>
      </c>
      <c r="BY149" s="141" t="n">
        <v>3</v>
      </c>
      <c r="BZ149" s="141" t="n"/>
      <c r="CA149" s="208" t="n"/>
      <c r="CB149" s="208" t="n"/>
    </row>
    <row r="150">
      <c r="A150" s="781" t="n"/>
      <c r="B150" s="731" t="n"/>
      <c r="C150" s="731" t="n"/>
      <c r="D150" s="775" t="n"/>
      <c r="BM150" s="141" t="n"/>
      <c r="BN150" s="141" t="n"/>
      <c r="BO150" s="141" t="n"/>
      <c r="BP150" s="141" t="n"/>
      <c r="BQ150" s="141" t="n"/>
      <c r="BR150" s="141" t="n"/>
      <c r="BS150" s="141" t="n"/>
      <c r="BT150" s="141" t="n"/>
      <c r="BU150" s="141" t="n"/>
      <c r="BV150" s="141" t="n"/>
      <c r="BW150" s="141" t="n"/>
      <c r="BX150" s="141" t="n"/>
      <c r="BY150" s="141" t="n"/>
      <c r="BZ150" s="141" t="n"/>
      <c r="CA150" s="208" t="n"/>
      <c r="CB150" s="208" t="n"/>
    </row>
  </sheetData>
  <mergeCells count="97">
    <mergeCell ref="A150:D150"/>
    <mergeCell ref="A144:D144"/>
    <mergeCell ref="A122:D122"/>
    <mergeCell ref="A97:D97"/>
    <mergeCell ref="A72:D72"/>
    <mergeCell ref="A134:D134"/>
    <mergeCell ref="A112:D112"/>
    <mergeCell ref="A81:D81"/>
    <mergeCell ref="A121:D121"/>
    <mergeCell ref="A114:D114"/>
    <mergeCell ref="A64:D64"/>
    <mergeCell ref="A73:D73"/>
    <mergeCell ref="A107:D107"/>
    <mergeCell ref="A70:D70"/>
    <mergeCell ref="A124:D124"/>
    <mergeCell ref="A99:D99"/>
    <mergeCell ref="A108:D108"/>
    <mergeCell ref="A101:D101"/>
    <mergeCell ref="A85:D85"/>
    <mergeCell ref="A126:D126"/>
    <mergeCell ref="A141:D141"/>
    <mergeCell ref="A135:D135"/>
    <mergeCell ref="A62:D62"/>
    <mergeCell ref="A125:D125"/>
    <mergeCell ref="A117:D117"/>
    <mergeCell ref="A111:D111"/>
    <mergeCell ref="A1:BZ1"/>
    <mergeCell ref="A127:D127"/>
    <mergeCell ref="A142:D142"/>
    <mergeCell ref="A98:D98"/>
    <mergeCell ref="A79:D79"/>
    <mergeCell ref="A61:D61"/>
    <mergeCell ref="A88:D88"/>
    <mergeCell ref="A128:D128"/>
    <mergeCell ref="A137:D137"/>
    <mergeCell ref="A90:D90"/>
    <mergeCell ref="A136:D136"/>
    <mergeCell ref="A105:D105"/>
    <mergeCell ref="A74:D74"/>
    <mergeCell ref="A145:D145"/>
    <mergeCell ref="A139:D139"/>
    <mergeCell ref="A71:D71"/>
    <mergeCell ref="A129:D129"/>
    <mergeCell ref="A76:D76"/>
    <mergeCell ref="C5:C6"/>
    <mergeCell ref="A116:D116"/>
    <mergeCell ref="A91:D91"/>
    <mergeCell ref="A131:D131"/>
    <mergeCell ref="A100:D100"/>
    <mergeCell ref="A140:D140"/>
    <mergeCell ref="A109:D109"/>
    <mergeCell ref="A63:D63"/>
    <mergeCell ref="A115:D115"/>
    <mergeCell ref="A93:D93"/>
    <mergeCell ref="A68:D68"/>
    <mergeCell ref="A102:D102"/>
    <mergeCell ref="A77:D77"/>
    <mergeCell ref="A83:D83"/>
    <mergeCell ref="A143:D143"/>
    <mergeCell ref="A92:D92"/>
    <mergeCell ref="A103:D103"/>
    <mergeCell ref="A94:D94"/>
    <mergeCell ref="A69:D69"/>
    <mergeCell ref="A78:D78"/>
    <mergeCell ref="A87:D87"/>
    <mergeCell ref="A65:D65"/>
    <mergeCell ref="A133:D133"/>
    <mergeCell ref="A80:D80"/>
    <mergeCell ref="A120:D120"/>
    <mergeCell ref="A89:D89"/>
    <mergeCell ref="A104:D104"/>
    <mergeCell ref="ES7:FA7"/>
    <mergeCell ref="A113:D113"/>
    <mergeCell ref="A106:D106"/>
    <mergeCell ref="A96:D96"/>
    <mergeCell ref="A147:D147"/>
    <mergeCell ref="A67:D67"/>
    <mergeCell ref="A130:D130"/>
    <mergeCell ref="A148:D148"/>
    <mergeCell ref="A82:D82"/>
    <mergeCell ref="A123:D123"/>
    <mergeCell ref="A138:D138"/>
    <mergeCell ref="A5:A6"/>
    <mergeCell ref="A132:D132"/>
    <mergeCell ref="A110:D110"/>
    <mergeCell ref="A146:D146"/>
    <mergeCell ref="A119:D119"/>
    <mergeCell ref="A84:D84"/>
    <mergeCell ref="B5:B6"/>
    <mergeCell ref="A66:D66"/>
    <mergeCell ref="D5:D6"/>
    <mergeCell ref="A118:D118"/>
    <mergeCell ref="A75:D75"/>
    <mergeCell ref="B3:D3"/>
    <mergeCell ref="A86:D86"/>
    <mergeCell ref="A95:D95"/>
    <mergeCell ref="B2:D2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</worksheet>
</file>

<file path=xl/worksheets/sheet18.xml><?xml version="1.0" encoding="utf-8"?>
<worksheet xmlns="http://schemas.openxmlformats.org/spreadsheetml/2006/main">
  <sheetPr codeName="Planilha30">
    <tabColor theme="9"/>
    <outlinePr summaryBelow="1" summaryRight="1"/>
    <pageSetUpPr/>
  </sheetPr>
  <dimension ref="A1:KV150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30.28515625" customWidth="1" style="5" min="1" max="1"/>
    <col width="9.7109375" customWidth="1" style="5" min="2" max="2"/>
    <col width="14.42578125" customWidth="1" style="5" min="3" max="4"/>
    <col width="1.28515625" customWidth="1" style="5" min="5" max="5"/>
    <col hidden="1" width="8.28515625" customWidth="1" style="5" min="6" max="72"/>
    <col hidden="1" width="9.7109375" customWidth="1" style="5" min="73" max="73"/>
    <col hidden="1" width="8.28515625" customWidth="1" style="5" min="74" max="75"/>
    <col width="8.28515625" customWidth="1" style="5" min="76" max="77"/>
    <col width="9.5703125" customWidth="1" style="5" min="78" max="78"/>
    <col width="1.28515625" customWidth="1" style="29" min="79" max="79"/>
    <col width="15.42578125" bestFit="1" customWidth="1" style="29" min="80" max="80"/>
    <col width="0.85546875" customWidth="1" style="5" min="81" max="81"/>
    <col width="16.42578125" customWidth="1" style="29" min="82" max="82"/>
    <col width="1.140625" customWidth="1" min="83" max="83"/>
    <col width="9.28515625" customWidth="1" style="29" min="84" max="86"/>
    <col width="8.7109375" customWidth="1" style="59" min="87" max="87"/>
    <col width="9.28515625" customWidth="1" style="29" min="88" max="88"/>
    <col hidden="1" width="9.28515625" customWidth="1" style="29" min="89" max="97"/>
    <col hidden="1" width="12.85546875" customWidth="1" style="29" min="98" max="98"/>
    <col hidden="1" width="9.28515625" customWidth="1" style="29" min="99" max="99"/>
    <col hidden="1" width="8.7109375" customWidth="1" style="59" min="100" max="100"/>
    <col hidden="1" width="12.85546875" customWidth="1" style="29" min="101" max="102"/>
    <col hidden="1" width="9.28515625" customWidth="1" style="29" min="103" max="104"/>
    <col hidden="1" width="12.7109375" customWidth="1" style="29" min="105" max="105"/>
    <col hidden="1" width="9.28515625" customWidth="1" style="29" min="106" max="106"/>
    <col hidden="1" width="14.42578125" customWidth="1" style="29" min="107" max="107"/>
    <col hidden="1" width="9.28515625" customWidth="1" style="29" min="108" max="108"/>
    <col hidden="1" width="14.42578125" customWidth="1" style="29" min="109" max="109"/>
    <col hidden="1" width="9.28515625" customWidth="1" style="29" min="110" max="110"/>
    <col hidden="1" width="12.85546875" customWidth="1" style="29" min="111" max="111"/>
    <col hidden="1" width="8.140625" customWidth="1" style="29" min="112" max="112"/>
    <col hidden="1" width="9.28515625" customWidth="1" style="29" min="113" max="113"/>
    <col hidden="1" width="13" customWidth="1" style="29" min="114" max="114"/>
    <col hidden="1" width="9.28515625" customWidth="1" style="29" min="115" max="116"/>
    <col hidden="1" width="12.42578125" customWidth="1" style="29" min="117" max="117"/>
    <col hidden="1" width="14.7109375" customWidth="1" style="323" min="118" max="118"/>
    <col hidden="1" width="9.28515625" customWidth="1" style="29" min="119" max="119"/>
    <col hidden="1" width="17.5703125" customWidth="1" style="59" min="120" max="120"/>
    <col hidden="1" width="11.5703125" customWidth="1" style="59" min="121" max="121"/>
    <col hidden="1" width="8.7109375" customWidth="1" style="59" min="122" max="122"/>
    <col hidden="1" width="9.28515625" customWidth="1" style="29" min="123" max="125"/>
    <col hidden="1" width="14.7109375" customWidth="1" style="323" min="126" max="126"/>
    <col hidden="1" width="14.28515625" customWidth="1" style="29" min="127" max="128"/>
    <col hidden="1" width="13.5703125" customWidth="1" style="29" min="129" max="129"/>
    <col hidden="1" width="9.28515625" customWidth="1" style="29" min="130" max="130"/>
    <col hidden="1" width="9.7109375" customWidth="1" style="29" min="131" max="131"/>
    <col hidden="1" width="9.28515625" customWidth="1" style="29" min="132" max="132"/>
    <col hidden="1" width="14.42578125" customWidth="1" style="323" min="133" max="133"/>
    <col hidden="1" width="9.28515625" customWidth="1" style="29" min="134" max="135"/>
    <col hidden="1" width="12" customWidth="1" style="323" min="136" max="136"/>
    <col hidden="1" width="13.42578125" customWidth="1" style="29" min="137" max="137"/>
    <col hidden="1" width="9.28515625" customWidth="1" style="29" min="138" max="141"/>
    <col hidden="1" width="26.140625" customWidth="1" style="59" min="142" max="142"/>
    <col hidden="1" width="21" customWidth="1" style="29" min="143" max="143"/>
    <col hidden="1" width="9.28515625" customWidth="1" style="29" min="144" max="146"/>
    <col width="3.28515625" customWidth="1" style="5" min="147" max="147"/>
    <col width="21.85546875" bestFit="1" customWidth="1" style="5" min="148" max="148"/>
    <col width="9.140625" customWidth="1" style="5" min="149" max="149"/>
    <col hidden="1" width="13" customWidth="1" style="5" min="150" max="153"/>
    <col width="9.140625" customWidth="1" style="5" min="154" max="16384"/>
  </cols>
  <sheetData>
    <row r="1" ht="23.25" customHeight="1">
      <c r="A1" s="509" t="inlineStr">
        <is>
          <t>Controle de Contagem Semanal - Antilhas</t>
        </is>
      </c>
      <c r="CA1" s="132" t="n"/>
      <c r="CB1" s="132" t="n"/>
      <c r="CC1" s="149" t="n"/>
      <c r="CD1" s="149" t="n"/>
      <c r="CE1" s="149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49" t="n"/>
      <c r="CW1" s="132" t="n"/>
      <c r="CX1" s="132" t="n"/>
      <c r="CY1" s="132" t="n"/>
      <c r="CZ1" s="132" t="n"/>
      <c r="DA1" s="132" t="n"/>
      <c r="DB1" s="132" t="n"/>
      <c r="DC1" s="149" t="n"/>
      <c r="DD1" s="132" t="n"/>
      <c r="DE1" s="149" t="n"/>
      <c r="DF1" s="132" t="n"/>
      <c r="DG1" s="132" t="n"/>
      <c r="DH1" s="132" t="n"/>
      <c r="DI1" s="132" t="n"/>
      <c r="DJ1" s="132" t="n"/>
      <c r="DK1" s="132" t="n"/>
      <c r="DL1" s="132" t="n"/>
      <c r="DM1" s="132" t="n"/>
      <c r="DN1" s="488" t="n"/>
      <c r="DO1" s="132" t="n"/>
      <c r="DP1" s="149" t="n"/>
      <c r="DQ1" s="149" t="n"/>
      <c r="DR1" s="149" t="n"/>
      <c r="DS1" s="132" t="n"/>
      <c r="DT1" s="132" t="n"/>
      <c r="DU1" s="132" t="n"/>
      <c r="DV1" s="488" t="n"/>
      <c r="DW1" s="132" t="n"/>
      <c r="DX1" s="132" t="n"/>
      <c r="DY1" s="149" t="n"/>
      <c r="DZ1" s="149" t="n"/>
      <c r="EA1" s="149" t="n"/>
      <c r="EB1" s="149" t="n"/>
      <c r="EC1" s="488" t="n"/>
      <c r="ED1" s="149" t="n"/>
      <c r="EE1" s="149" t="n"/>
      <c r="EF1" s="488" t="n"/>
      <c r="EG1" s="149" t="n"/>
      <c r="EH1" s="149" t="n"/>
      <c r="EI1" s="149" t="n"/>
      <c r="EJ1" s="149" t="n"/>
      <c r="EK1" s="149" t="n"/>
      <c r="EL1" s="149" t="n"/>
      <c r="EM1" s="132" t="n"/>
      <c r="EN1" s="132" t="n"/>
      <c r="EO1" s="132" t="n"/>
      <c r="EP1" s="132" t="n"/>
    </row>
    <row r="2">
      <c r="A2" s="67" t="inlineStr">
        <is>
          <t>LOJA:</t>
        </is>
      </c>
      <c r="B2" s="722" t="inlineStr">
        <is>
          <t>QUADRA 2</t>
        </is>
      </c>
      <c r="C2" s="723" t="n"/>
      <c r="D2" s="724" t="n"/>
      <c r="CA2" s="5" t="n"/>
      <c r="CB2" s="5" t="n"/>
      <c r="CD2" s="5" t="n"/>
      <c r="DC2" s="5" t="n"/>
      <c r="DE2" s="5" t="n"/>
      <c r="DY2" s="5" t="n"/>
      <c r="EA2" s="5" t="n"/>
    </row>
    <row r="3">
      <c r="A3" s="67" t="inlineStr">
        <is>
          <t>Responsável:</t>
        </is>
      </c>
      <c r="B3" s="725" t="inlineStr">
        <is>
          <t>KAYLLANNE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DC3" s="726" t="n"/>
      <c r="DE3" s="726" t="n"/>
      <c r="DY3" s="726" t="n"/>
      <c r="EA3" s="726" t="n"/>
    </row>
    <row r="4">
      <c r="CA4" s="133" t="n"/>
      <c r="CD4" s="5" t="n"/>
      <c r="CI4" s="249" t="n"/>
      <c r="CV4" s="249" t="n"/>
      <c r="DC4" s="5" t="n"/>
      <c r="DE4" s="5" t="n"/>
      <c r="DN4" s="324" t="n"/>
      <c r="DP4" s="249" t="n"/>
      <c r="DQ4" s="249" t="n"/>
      <c r="DR4" s="249" t="n"/>
      <c r="DV4" s="324" t="n"/>
      <c r="DY4" s="5" t="n"/>
      <c r="EA4" s="5" t="n"/>
      <c r="EC4" s="324" t="n"/>
      <c r="EF4" s="324" t="n"/>
      <c r="EL4" s="249" t="n"/>
    </row>
    <row r="5" ht="18.75" customHeight="1">
      <c r="A5" s="788" t="inlineStr">
        <is>
          <t>Descrição</t>
        </is>
      </c>
      <c r="B5" s="729" t="inlineStr">
        <is>
          <t>Quant. Por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0" t="n"/>
      <c r="CB5" s="44" t="inlineStr">
        <is>
          <t>Pendências</t>
        </is>
      </c>
      <c r="CD5" s="12" t="inlineStr">
        <is>
          <t>Novo Pedido</t>
        </is>
      </c>
      <c r="CF5" s="734" t="n">
        <v>46149</v>
      </c>
      <c r="CG5" s="734" t="n">
        <v>46114</v>
      </c>
      <c r="CH5" s="734" t="n">
        <v>46107</v>
      </c>
      <c r="CI5" s="735" t="n">
        <v>46065</v>
      </c>
      <c r="CJ5" s="734" t="n">
        <v>46092</v>
      </c>
      <c r="CK5" s="734" t="n">
        <v>46071</v>
      </c>
      <c r="CL5" s="734" t="n">
        <v>46043</v>
      </c>
      <c r="CM5" s="734" t="n">
        <v>46035</v>
      </c>
      <c r="CN5" s="734" t="n">
        <v>46029</v>
      </c>
      <c r="CO5" s="734" t="n">
        <v>46024</v>
      </c>
      <c r="CP5" s="734" t="n">
        <v>46017</v>
      </c>
      <c r="CQ5" s="734" t="n">
        <v>46001</v>
      </c>
      <c r="CR5" s="734" t="n">
        <v>45986</v>
      </c>
      <c r="CS5" s="734" t="n">
        <v>45973</v>
      </c>
      <c r="CT5" s="736" t="inlineStr">
        <is>
          <t>TRANSF.</t>
        </is>
      </c>
      <c r="CU5" s="734" t="n">
        <v>45951</v>
      </c>
      <c r="CV5" s="737" t="n">
        <v>45903</v>
      </c>
      <c r="CW5" s="736" t="inlineStr">
        <is>
          <t>TRANSF.</t>
        </is>
      </c>
      <c r="CX5" s="736" t="inlineStr">
        <is>
          <t>TRANSF.</t>
        </is>
      </c>
      <c r="CY5" s="734" t="n">
        <v>45937</v>
      </c>
      <c r="CZ5" s="734" t="n">
        <v>45931</v>
      </c>
      <c r="DA5" s="736" t="inlineStr">
        <is>
          <t>TRANSF.</t>
        </is>
      </c>
      <c r="DB5" s="734" t="n">
        <v>45923</v>
      </c>
      <c r="DC5" s="738" t="inlineStr">
        <is>
          <t>TRANSF.</t>
        </is>
      </c>
      <c r="DD5" s="734" t="n">
        <v>45915</v>
      </c>
      <c r="DE5" s="738" t="inlineStr">
        <is>
          <t>TRANSF.</t>
        </is>
      </c>
      <c r="DF5" s="734" t="n">
        <v>45915</v>
      </c>
      <c r="DG5" s="736" t="inlineStr">
        <is>
          <t>TRANSF.</t>
        </is>
      </c>
      <c r="DH5" s="734" t="n">
        <v>45895</v>
      </c>
      <c r="DI5" s="734" t="n">
        <v>45881</v>
      </c>
      <c r="DJ5" s="739" t="inlineStr">
        <is>
          <t>TRANSF.</t>
        </is>
      </c>
      <c r="DK5" s="734" t="n">
        <v>45874</v>
      </c>
      <c r="DL5" s="734" t="n">
        <v>45867</v>
      </c>
      <c r="DM5" s="739" t="inlineStr">
        <is>
          <t xml:space="preserve">TRANSF. </t>
        </is>
      </c>
      <c r="DN5" s="740" t="inlineStr">
        <is>
          <t>TRANSF.</t>
        </is>
      </c>
      <c r="DO5" s="734" t="n">
        <v>45860</v>
      </c>
      <c r="DP5" s="739" t="inlineStr">
        <is>
          <t>AUTOMÁTICO</t>
        </is>
      </c>
      <c r="DQ5" s="739" t="inlineStr">
        <is>
          <t>TRANSF.</t>
        </is>
      </c>
      <c r="DR5" s="739" t="n">
        <v>45791</v>
      </c>
      <c r="DS5" s="734" t="n">
        <v>45839</v>
      </c>
      <c r="DT5" s="734" t="n">
        <v>45825</v>
      </c>
      <c r="DU5" s="734" t="n">
        <v>45813</v>
      </c>
      <c r="DV5" s="740" t="inlineStr">
        <is>
          <t>TRANSF.</t>
        </is>
      </c>
      <c r="DW5" s="736" t="inlineStr">
        <is>
          <t>TRANSF.</t>
        </is>
      </c>
      <c r="DX5" s="736" t="inlineStr">
        <is>
          <t>TRANSF.</t>
        </is>
      </c>
      <c r="DY5" s="742" t="inlineStr">
        <is>
          <t>TRANSF.</t>
        </is>
      </c>
      <c r="DZ5" s="734" t="n">
        <v>45790</v>
      </c>
      <c r="EA5" s="742" t="n">
        <v>45735</v>
      </c>
      <c r="EB5" s="734" t="n">
        <v>45770</v>
      </c>
      <c r="EC5" s="740" t="inlineStr">
        <is>
          <t>TRANSF.</t>
        </is>
      </c>
      <c r="ED5" s="734" t="n">
        <v>45749</v>
      </c>
      <c r="EE5" s="734" t="n">
        <v>45734</v>
      </c>
      <c r="EF5" s="740" t="n">
        <v>45700</v>
      </c>
      <c r="EG5" s="736" t="inlineStr">
        <is>
          <t>TRANSF.</t>
        </is>
      </c>
      <c r="EH5" s="734" t="n">
        <v>45728</v>
      </c>
      <c r="EI5" s="734" t="n">
        <v>45722</v>
      </c>
      <c r="EJ5" s="734" t="n">
        <v>45714</v>
      </c>
      <c r="EK5" s="734" t="n">
        <v>45699</v>
      </c>
      <c r="EL5" s="744" t="inlineStr">
        <is>
          <t>TRANSF. NATAL/24</t>
        </is>
      </c>
      <c r="EM5" s="222" t="inlineStr">
        <is>
          <t>TRANSF. PAIS/24</t>
        </is>
      </c>
      <c r="EN5" s="734" t="n">
        <v>45664</v>
      </c>
      <c r="EO5" s="734" t="n">
        <v>45660</v>
      </c>
      <c r="EP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45699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>
        <v>46149</v>
      </c>
      <c r="CC6" s="45" t="n"/>
      <c r="CD6" s="752" t="n">
        <v>46156</v>
      </c>
      <c r="CF6" s="734" t="n"/>
      <c r="CG6" s="734" t="n">
        <v>46122</v>
      </c>
      <c r="CH6" s="734" t="n">
        <v>46126</v>
      </c>
      <c r="CI6" s="735" t="n">
        <v>46111</v>
      </c>
      <c r="CJ6" s="734" t="n">
        <v>46099</v>
      </c>
      <c r="CK6" s="734" t="n">
        <v>46076</v>
      </c>
      <c r="CL6" s="734" t="n">
        <v>46048</v>
      </c>
      <c r="CM6" s="734" t="n">
        <v>46041</v>
      </c>
      <c r="CN6" s="734" t="n">
        <v>46036</v>
      </c>
      <c r="CO6" s="734" t="n">
        <v>46035</v>
      </c>
      <c r="CP6" s="734" t="n">
        <v>46029</v>
      </c>
      <c r="CQ6" s="734" t="n">
        <v>46009</v>
      </c>
      <c r="CR6" s="734" t="n">
        <v>45995</v>
      </c>
      <c r="CS6" s="734" t="n">
        <v>45980</v>
      </c>
      <c r="CT6" s="736" t="n">
        <v>45962</v>
      </c>
      <c r="CU6" s="734" t="n">
        <v>45958</v>
      </c>
      <c r="CV6" s="753" t="n">
        <v>45958</v>
      </c>
      <c r="CW6" s="736" t="n">
        <v>45955</v>
      </c>
      <c r="CX6" s="736" t="n">
        <v>45945</v>
      </c>
      <c r="CY6" s="734" t="n">
        <v>45944</v>
      </c>
      <c r="CZ6" s="734" t="n">
        <v>45938</v>
      </c>
      <c r="DA6" s="736" t="n">
        <v>45937</v>
      </c>
      <c r="DB6" s="734" t="n">
        <v>45929</v>
      </c>
      <c r="DC6" s="754" t="n">
        <v>45925</v>
      </c>
      <c r="DD6" s="734" t="n">
        <v>45924</v>
      </c>
      <c r="DE6" s="754" t="n">
        <v>45923</v>
      </c>
      <c r="DF6" s="734" t="n">
        <v>45919</v>
      </c>
      <c r="DG6" s="736" t="n">
        <v>45902</v>
      </c>
      <c r="DH6" s="734" t="n">
        <v>45898</v>
      </c>
      <c r="DI6" s="734" t="n">
        <v>45888</v>
      </c>
      <c r="DJ6" s="739" t="n">
        <v>45884</v>
      </c>
      <c r="DK6" s="734" t="n">
        <v>45881</v>
      </c>
      <c r="DL6" s="734" t="n">
        <v>45874</v>
      </c>
      <c r="DM6" s="739" t="n">
        <v>45863</v>
      </c>
      <c r="DN6" s="740" t="n">
        <v>45863</v>
      </c>
      <c r="DO6" s="734" t="n">
        <v>45862</v>
      </c>
      <c r="DP6" s="739" t="n">
        <v>45852</v>
      </c>
      <c r="DQ6" s="739" t="n">
        <v>45847</v>
      </c>
      <c r="DR6" s="739" t="n">
        <v>45841</v>
      </c>
      <c r="DS6" s="734" t="n">
        <v>45841</v>
      </c>
      <c r="DT6" s="734" t="n">
        <v>45828</v>
      </c>
      <c r="DU6" s="734" t="n">
        <v>45819</v>
      </c>
      <c r="DV6" s="740" t="n">
        <v>45810</v>
      </c>
      <c r="DW6" s="736" t="n">
        <v>45806</v>
      </c>
      <c r="DX6" s="736" t="n">
        <v>45804</v>
      </c>
      <c r="DY6" s="755" t="n">
        <v>45799</v>
      </c>
      <c r="DZ6" s="734" t="n">
        <v>45793</v>
      </c>
      <c r="EA6" s="755" t="n">
        <v>45793</v>
      </c>
      <c r="EB6" s="734" t="n">
        <v>45776</v>
      </c>
      <c r="EC6" s="740" t="n">
        <v>45759</v>
      </c>
      <c r="ED6" s="734" t="n">
        <v>45756</v>
      </c>
      <c r="EE6" s="734" t="n">
        <v>45743</v>
      </c>
      <c r="EF6" s="740" t="n">
        <v>45744</v>
      </c>
      <c r="EG6" s="736" t="n">
        <v>45731</v>
      </c>
      <c r="EH6" s="734" t="n">
        <v>45733</v>
      </c>
      <c r="EI6" s="734" t="n">
        <v>45727</v>
      </c>
      <c r="EJ6" s="734" t="n">
        <v>45721</v>
      </c>
      <c r="EK6" s="734" t="n">
        <v>45702</v>
      </c>
      <c r="EL6" s="744" t="n">
        <v>45698</v>
      </c>
      <c r="EM6" s="784" t="n">
        <v>45674</v>
      </c>
      <c r="EN6" s="734" t="n">
        <v>45670</v>
      </c>
      <c r="EO6" s="734" t="n">
        <v>45665</v>
      </c>
      <c r="EP6" s="734" t="n">
        <v>46021</v>
      </c>
      <c r="ER6" s="5" t="n"/>
      <c r="ES6" s="5" t="n"/>
      <c r="ET6" s="5" t="n"/>
      <c r="EU6" s="5" t="n"/>
      <c r="EV6" s="5" t="n"/>
      <c r="EW6" s="5" t="n"/>
      <c r="EX6" s="5" t="n"/>
      <c r="EY6" s="5" t="n"/>
      <c r="EZ6" s="5" t="n"/>
    </row>
    <row r="7" ht="21.75" customFormat="1" customHeight="1" s="3">
      <c r="A7" s="7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13" t="n"/>
      <c r="CC7" s="5" t="n"/>
      <c r="CD7" s="13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inlineStr">
        <is>
          <t>PAIS/25</t>
        </is>
      </c>
      <c r="DK7" s="13" t="n"/>
      <c r="DL7" s="13" t="n"/>
      <c r="DM7" s="13" t="inlineStr">
        <is>
          <t>PAIS/25</t>
        </is>
      </c>
      <c r="DN7" s="13" t="inlineStr">
        <is>
          <t>MÃES/25</t>
        </is>
      </c>
      <c r="DO7" s="13" t="n"/>
      <c r="DP7" s="13" t="n"/>
      <c r="DQ7" s="13" t="inlineStr">
        <is>
          <t>PAIS/25</t>
        </is>
      </c>
      <c r="DR7" s="13" t="n"/>
      <c r="DS7" s="13" t="n"/>
      <c r="DT7" s="13" t="n"/>
      <c r="DU7" s="13" t="n"/>
      <c r="DV7" s="13" t="inlineStr">
        <is>
          <t>MÃES/25</t>
        </is>
      </c>
      <c r="DW7" s="320" t="n"/>
      <c r="DX7" s="320" t="n"/>
      <c r="DY7" s="13" t="inlineStr">
        <is>
          <t>NAMO/25</t>
        </is>
      </c>
      <c r="DZ7" s="13" t="n"/>
      <c r="EA7" s="320" t="n"/>
      <c r="EB7" s="13" t="n"/>
      <c r="EC7" s="13" t="inlineStr">
        <is>
          <t>MÃES/25</t>
        </is>
      </c>
      <c r="ED7" s="13" t="n"/>
      <c r="EE7" s="13" t="n"/>
      <c r="EF7" s="13" t="inlineStr">
        <is>
          <t>MÃES/25</t>
        </is>
      </c>
      <c r="EG7" s="13" t="n"/>
      <c r="EH7" s="13" t="n"/>
      <c r="EI7" s="13" t="n"/>
      <c r="EJ7" s="13" t="n"/>
      <c r="EK7" s="13" t="n"/>
      <c r="EL7" s="13" t="n"/>
      <c r="EM7" s="13" t="n"/>
      <c r="EN7" s="13" t="n"/>
      <c r="EO7" s="13" t="n"/>
      <c r="EP7" s="13" t="n"/>
      <c r="ER7" s="235" t="inlineStr">
        <is>
          <t>MÃES 2026</t>
        </is>
      </c>
      <c r="ES7" s="731" t="n"/>
      <c r="ET7" s="731" t="n"/>
      <c r="EU7" s="731" t="n"/>
      <c r="EV7" s="731" t="n"/>
      <c r="EW7" s="731" t="n"/>
      <c r="EX7" s="731" t="n"/>
      <c r="EY7" s="731" t="n"/>
      <c r="EZ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250</v>
      </c>
      <c r="E8" s="5" t="n"/>
      <c r="F8" s="697" t="n">
        <v>600</v>
      </c>
      <c r="G8" s="697" t="n">
        <v>600</v>
      </c>
      <c r="H8" s="697" t="n">
        <v>540</v>
      </c>
      <c r="I8" s="697" t="n">
        <v>540</v>
      </c>
      <c r="J8" s="697" t="n">
        <v>460</v>
      </c>
      <c r="K8" s="697" t="n">
        <v>420</v>
      </c>
      <c r="L8" s="697" t="n">
        <v>420</v>
      </c>
      <c r="M8" s="697" t="n">
        <v>400</v>
      </c>
      <c r="N8" s="697" t="n">
        <v>400</v>
      </c>
      <c r="O8" s="697" t="n">
        <v>300</v>
      </c>
      <c r="P8" s="697" t="n">
        <v>200</v>
      </c>
      <c r="Q8" s="697" t="n">
        <v>160</v>
      </c>
      <c r="R8" s="697" t="n">
        <v>140</v>
      </c>
      <c r="S8" s="697" t="n">
        <v>80</v>
      </c>
      <c r="T8" s="697">
        <f>40+ED8</f>
        <v/>
      </c>
      <c r="U8" s="697" t="n">
        <v>260</v>
      </c>
      <c r="V8" s="697" t="n">
        <v>200</v>
      </c>
      <c r="W8" s="697" t="n">
        <v>160</v>
      </c>
      <c r="X8" s="697" t="n">
        <v>720</v>
      </c>
      <c r="Y8" s="697" t="n">
        <v>640</v>
      </c>
      <c r="Z8" s="697" t="n">
        <v>640</v>
      </c>
      <c r="AA8" s="697" t="n">
        <v>580</v>
      </c>
      <c r="AB8" s="697" t="n">
        <v>520</v>
      </c>
      <c r="AC8" s="697" t="n">
        <v>460</v>
      </c>
      <c r="AD8" s="697" t="n">
        <v>400</v>
      </c>
      <c r="AE8" s="697" t="n">
        <v>360</v>
      </c>
      <c r="AF8" s="697" t="n">
        <v>300</v>
      </c>
      <c r="AG8" s="697" t="n">
        <v>260</v>
      </c>
      <c r="AH8" s="697" t="n">
        <v>260</v>
      </c>
      <c r="AI8" s="697" t="n">
        <v>240</v>
      </c>
      <c r="AJ8" s="697" t="n">
        <v>140</v>
      </c>
      <c r="AK8" s="697">
        <f>120+DL8</f>
        <v/>
      </c>
      <c r="AL8" s="697" t="n">
        <v>320</v>
      </c>
      <c r="AM8" s="697" t="n">
        <v>300</v>
      </c>
      <c r="AN8" s="697" t="n">
        <v>240</v>
      </c>
      <c r="AO8" s="697" t="n">
        <v>240</v>
      </c>
      <c r="AP8" s="697" t="n">
        <v>220</v>
      </c>
      <c r="AQ8" s="697" t="n">
        <v>160</v>
      </c>
      <c r="AR8" s="697" t="n">
        <v>120</v>
      </c>
      <c r="AS8" s="697" t="n">
        <v>360</v>
      </c>
      <c r="AT8" s="697" t="n">
        <v>340</v>
      </c>
      <c r="AU8" s="697" t="n">
        <v>300</v>
      </c>
      <c r="AV8" s="697" t="n">
        <v>220</v>
      </c>
      <c r="AW8" s="697" t="n">
        <v>180</v>
      </c>
      <c r="AX8" s="697" t="n">
        <v>180</v>
      </c>
      <c r="AY8" s="697" t="n">
        <v>140</v>
      </c>
      <c r="AZ8" s="697">
        <f>100+CS8</f>
        <v/>
      </c>
      <c r="BA8" s="697" t="n">
        <v>20</v>
      </c>
      <c r="BB8" s="697">
        <f>12+CR8</f>
        <v/>
      </c>
      <c r="BC8" s="697" t="n">
        <v>880</v>
      </c>
      <c r="BD8" s="697" t="n">
        <v>820</v>
      </c>
      <c r="BE8" s="697" t="n">
        <v>740</v>
      </c>
      <c r="BF8" s="697" t="n">
        <v>620</v>
      </c>
      <c r="BG8" s="697" t="n">
        <v>620</v>
      </c>
      <c r="BH8" s="697" t="n">
        <v>600</v>
      </c>
      <c r="BI8" s="697" t="n">
        <v>560</v>
      </c>
      <c r="BJ8" s="697" t="n">
        <v>520</v>
      </c>
      <c r="BK8" s="697" t="n">
        <v>460</v>
      </c>
      <c r="BL8" s="697" t="n">
        <v>380</v>
      </c>
      <c r="BM8" s="697" t="n">
        <v>380</v>
      </c>
      <c r="BN8" s="697" t="n">
        <v>360</v>
      </c>
      <c r="BO8" s="697" t="n">
        <v>300</v>
      </c>
      <c r="BP8" s="697" t="n">
        <v>260</v>
      </c>
      <c r="BQ8" s="697">
        <f>220+CJ8</f>
        <v/>
      </c>
      <c r="BR8" s="697" t="n">
        <v>500</v>
      </c>
      <c r="BS8" s="697" t="n">
        <v>440</v>
      </c>
      <c r="BT8" s="697" t="n">
        <v>400</v>
      </c>
      <c r="BU8" s="697" t="n">
        <v>360</v>
      </c>
      <c r="BV8" s="697" t="n">
        <v>300</v>
      </c>
      <c r="BW8" s="697" t="n">
        <v>260</v>
      </c>
      <c r="BX8" s="697" t="n">
        <v>200</v>
      </c>
      <c r="BY8" s="697" t="n">
        <v>160</v>
      </c>
      <c r="BZ8" s="192">
        <f>BX8+IF(NOT(ISBLANK(OFFSET(BZ8,0,6))),N(OFFSET(BZ8,0,6)),N(OFFSET(BZ8,0,7)))-BY8</f>
        <v/>
      </c>
      <c r="CA8" s="129" t="n"/>
      <c r="CB8" s="22" t="n">
        <v>300</v>
      </c>
      <c r="CC8" s="5" t="n"/>
      <c r="CD8" s="49" t="n"/>
      <c r="CF8" s="23" t="n">
        <v>0</v>
      </c>
      <c r="CG8" s="23" t="n"/>
      <c r="CH8" s="23" t="n"/>
      <c r="CI8" s="23" t="n"/>
      <c r="CJ8" s="23" t="n">
        <v>300</v>
      </c>
      <c r="CK8" s="23" t="n"/>
      <c r="CL8" s="23" t="n"/>
      <c r="CM8" s="23" t="n"/>
      <c r="CN8" s="23" t="n"/>
      <c r="CO8" s="23" t="n"/>
      <c r="CP8" s="23" t="n"/>
      <c r="CQ8" s="23" t="n"/>
      <c r="CR8" s="23" t="n">
        <v>600</v>
      </c>
      <c r="CS8" s="23" t="n">
        <v>300</v>
      </c>
      <c r="CT8" s="23" t="n"/>
      <c r="CU8" s="23" t="n"/>
      <c r="CV8" s="219" t="n"/>
      <c r="CW8" s="23" t="n"/>
      <c r="CX8" s="23" t="n"/>
      <c r="CY8" s="23" t="n"/>
      <c r="CZ8" s="23" t="n"/>
      <c r="DA8" s="23" t="n"/>
      <c r="DB8" s="23" t="n"/>
      <c r="DC8" s="219" t="n"/>
      <c r="DD8" s="23" t="n">
        <v>300</v>
      </c>
      <c r="DE8" s="219" t="n"/>
      <c r="DF8" s="23" t="n"/>
      <c r="DG8" s="23" t="n"/>
      <c r="DH8" s="23" t="n"/>
      <c r="DI8" s="23" t="n"/>
      <c r="DJ8" s="23" t="n"/>
      <c r="DK8" s="23" t="n"/>
      <c r="DL8" s="23" t="n">
        <v>300</v>
      </c>
      <c r="DM8" s="23" t="n"/>
      <c r="DN8" s="219" t="n"/>
      <c r="DO8" s="23" t="n"/>
      <c r="DP8" s="219" t="n"/>
      <c r="DQ8" s="219" t="n"/>
      <c r="DR8" s="219" t="n"/>
      <c r="DS8" s="23" t="n"/>
      <c r="DT8" s="23" t="n"/>
      <c r="DU8" s="23" t="n"/>
      <c r="DV8" s="219" t="n"/>
      <c r="DW8" s="23" t="n"/>
      <c r="DX8" s="23" t="n"/>
      <c r="DY8" s="219" t="n"/>
      <c r="DZ8" s="23" t="n"/>
      <c r="EA8" s="219" t="n"/>
      <c r="EB8" s="23" t="n">
        <v>600</v>
      </c>
      <c r="EC8" s="219" t="n"/>
      <c r="ED8" s="23" t="n">
        <v>300</v>
      </c>
      <c r="EE8" s="23" t="n"/>
      <c r="EF8" s="219" t="n"/>
      <c r="EG8" s="23" t="n"/>
      <c r="EH8" s="23" t="n"/>
      <c r="EI8" s="23" t="n"/>
      <c r="EJ8" s="23" t="n"/>
      <c r="EK8" s="23" t="n"/>
      <c r="EL8" s="219" t="n"/>
      <c r="EM8" s="23" t="n"/>
      <c r="EN8" s="23" t="n"/>
      <c r="EO8" s="23" t="n"/>
      <c r="EP8" s="23" t="n"/>
      <c r="ER8" s="304" t="inlineStr">
        <is>
          <t xml:space="preserve">SACOLAS </t>
        </is>
      </c>
      <c r="ES8" s="235" t="inlineStr">
        <is>
          <t>PCT</t>
        </is>
      </c>
      <c r="ET8" s="746" t="n">
        <v>46118</v>
      </c>
      <c r="EU8" s="746" t="n">
        <v>46125</v>
      </c>
      <c r="EV8" s="746" t="n">
        <v>46132</v>
      </c>
      <c r="EW8" s="746" t="n">
        <v>46139</v>
      </c>
      <c r="EX8" s="746" t="n">
        <v>46146</v>
      </c>
      <c r="EY8" s="746" t="n">
        <v>46154</v>
      </c>
      <c r="EZ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500</v>
      </c>
      <c r="E9" s="5" t="n"/>
      <c r="F9" s="697">
        <f>380+EP9</f>
        <v/>
      </c>
      <c r="G9" s="697">
        <f>660+EO9</f>
        <v/>
      </c>
      <c r="H9" s="697">
        <f>1380+EN9</f>
        <v/>
      </c>
      <c r="I9" s="697" t="n">
        <v>1480</v>
      </c>
      <c r="J9" s="697" t="n">
        <v>1340</v>
      </c>
      <c r="K9" s="697" t="n">
        <v>1200</v>
      </c>
      <c r="L9" s="697" t="n">
        <v>1080</v>
      </c>
      <c r="M9" s="697" t="n">
        <v>980</v>
      </c>
      <c r="N9" s="697" t="n">
        <v>840</v>
      </c>
      <c r="O9" s="697">
        <f>740+EJ9</f>
        <v/>
      </c>
      <c r="P9" s="697">
        <f>740+EI9</f>
        <v/>
      </c>
      <c r="Q9" s="697" t="n">
        <v>780</v>
      </c>
      <c r="R9" s="697" t="n">
        <v>660</v>
      </c>
      <c r="S9" s="697" t="n">
        <v>400</v>
      </c>
      <c r="T9" s="697">
        <f>460+ED9</f>
        <v/>
      </c>
      <c r="U9" s="697" t="n">
        <v>860</v>
      </c>
      <c r="V9" s="697" t="n">
        <v>860</v>
      </c>
      <c r="W9" s="697" t="n">
        <v>860</v>
      </c>
      <c r="X9" s="697" t="n">
        <v>860</v>
      </c>
      <c r="Y9" s="697" t="n">
        <v>760</v>
      </c>
      <c r="Z9" s="697" t="n">
        <v>740</v>
      </c>
      <c r="AA9" s="697">
        <f>620+200-200</f>
        <v/>
      </c>
      <c r="AB9" s="697" t="n">
        <v>520</v>
      </c>
      <c r="AC9" s="697">
        <f>400+DU9</f>
        <v/>
      </c>
      <c r="AD9" s="697" t="n">
        <v>420</v>
      </c>
      <c r="AE9" s="697" t="n">
        <v>520</v>
      </c>
      <c r="AF9" s="697" t="n">
        <v>480</v>
      </c>
      <c r="AG9" s="697" t="n">
        <v>520</v>
      </c>
      <c r="AH9" s="697" t="n">
        <v>440</v>
      </c>
      <c r="AI9" s="697" t="n">
        <v>340</v>
      </c>
      <c r="AJ9" s="697" t="n">
        <v>640</v>
      </c>
      <c r="AK9" s="697" t="n">
        <v>540</v>
      </c>
      <c r="AL9" s="697">
        <f>300+DK9</f>
        <v/>
      </c>
      <c r="AM9" s="697" t="n">
        <v>420</v>
      </c>
      <c r="AN9" s="697" t="n">
        <v>360</v>
      </c>
      <c r="AO9" s="697" t="n">
        <v>480</v>
      </c>
      <c r="AP9" s="697" t="n">
        <v>320</v>
      </c>
      <c r="AQ9" s="697" t="n">
        <v>140</v>
      </c>
      <c r="AR9" s="697" t="n">
        <v>680</v>
      </c>
      <c r="AS9" s="697" t="n">
        <v>480</v>
      </c>
      <c r="AT9" s="697">
        <f>400+CZ9</f>
        <v/>
      </c>
      <c r="AU9" s="697" t="n">
        <v>660</v>
      </c>
      <c r="AV9" s="697" t="n">
        <v>540</v>
      </c>
      <c r="AW9" s="697">
        <f>400+CU9</f>
        <v/>
      </c>
      <c r="AX9" s="697" t="n">
        <v>480</v>
      </c>
      <c r="AY9" s="697" t="n">
        <v>680</v>
      </c>
      <c r="AZ9" s="697" t="n">
        <v>680</v>
      </c>
      <c r="BA9" s="697" t="n">
        <v>680</v>
      </c>
      <c r="BB9" s="697" t="n">
        <v>680</v>
      </c>
      <c r="BC9" s="697" t="n">
        <v>460</v>
      </c>
      <c r="BD9" s="697" t="n">
        <v>460</v>
      </c>
      <c r="BE9" s="697" t="n">
        <v>240</v>
      </c>
      <c r="BF9" s="697" t="n">
        <v>80</v>
      </c>
      <c r="BG9" s="697" t="n">
        <v>0</v>
      </c>
      <c r="BH9" s="697">
        <f>400+CO9+CN9</f>
        <v/>
      </c>
      <c r="BI9" s="697">
        <f>700+CM9</f>
        <v/>
      </c>
      <c r="BJ9" s="697">
        <f>780+CL9</f>
        <v/>
      </c>
      <c r="BK9" s="697" t="n">
        <v>900</v>
      </c>
      <c r="BL9" s="697" t="n">
        <v>800</v>
      </c>
      <c r="BM9" s="697" t="n">
        <v>640</v>
      </c>
      <c r="BN9" s="697">
        <f>520+CK9</f>
        <v/>
      </c>
      <c r="BO9" s="697" t="n">
        <v>800</v>
      </c>
      <c r="BP9" s="697" t="n">
        <v>640</v>
      </c>
      <c r="BQ9" s="697" t="n">
        <v>540</v>
      </c>
      <c r="BR9" s="697" t="n">
        <v>400</v>
      </c>
      <c r="BS9" s="697" t="n">
        <v>280</v>
      </c>
      <c r="BT9" s="697" t="n">
        <v>200</v>
      </c>
      <c r="BU9" s="697">
        <f>180+CH9</f>
        <v/>
      </c>
      <c r="BV9" s="697" t="n">
        <v>380</v>
      </c>
      <c r="BW9" s="697" t="n">
        <v>380</v>
      </c>
      <c r="BX9" s="697" t="n">
        <v>360</v>
      </c>
      <c r="BY9" s="697" t="n">
        <v>360</v>
      </c>
      <c r="BZ9" s="192">
        <f>BX9+IF(NOT(ISBLANK(OFFSET(BZ9,0,6))),N(OFFSET(BZ9,0,6)),N(OFFSET(BZ9,0,7)))-BY9</f>
        <v/>
      </c>
      <c r="CA9" s="129" t="n"/>
      <c r="CB9" s="22" t="n"/>
      <c r="CC9" s="5" t="n"/>
      <c r="CD9" s="49" t="n"/>
      <c r="CF9" s="23" t="n">
        <v>0</v>
      </c>
      <c r="CG9" s="23" t="n"/>
      <c r="CH9" s="23" t="n">
        <v>200</v>
      </c>
      <c r="CI9" s="219" t="n">
        <v>800</v>
      </c>
      <c r="CJ9" s="23" t="n"/>
      <c r="CK9" s="23" t="n">
        <v>400</v>
      </c>
      <c r="CL9" s="23" t="n">
        <v>200</v>
      </c>
      <c r="CM9" s="23" t="n">
        <v>200</v>
      </c>
      <c r="CN9" s="23" t="n">
        <v>200</v>
      </c>
      <c r="CO9" s="23" t="n">
        <v>200</v>
      </c>
      <c r="CP9" s="23" t="n">
        <v>600</v>
      </c>
      <c r="CQ9" s="23" t="n">
        <v>600</v>
      </c>
      <c r="CR9" s="23" t="n"/>
      <c r="CS9" s="23" t="n"/>
      <c r="CT9" s="23" t="n"/>
      <c r="CU9" s="23" t="n">
        <v>200</v>
      </c>
      <c r="CV9" s="219" t="n">
        <v>1000</v>
      </c>
      <c r="CW9" s="23" t="n"/>
      <c r="CX9" s="23" t="n"/>
      <c r="CY9" s="23" t="n"/>
      <c r="CZ9" s="23" t="n">
        <v>400</v>
      </c>
      <c r="DA9" s="23" t="n"/>
      <c r="DB9" s="23" t="n"/>
      <c r="DC9" s="219" t="n"/>
      <c r="DD9" s="23" t="n"/>
      <c r="DE9" s="219" t="n"/>
      <c r="DF9" s="23" t="n">
        <v>600</v>
      </c>
      <c r="DG9" s="23" t="n"/>
      <c r="DH9" s="23" t="n">
        <v>200</v>
      </c>
      <c r="DI9" s="23" t="n"/>
      <c r="DJ9" s="23" t="n"/>
      <c r="DK9" s="23" t="n">
        <v>200</v>
      </c>
      <c r="DL9" s="23" t="n"/>
      <c r="DM9" s="23" t="n"/>
      <c r="DN9" s="219" t="n"/>
      <c r="DO9" s="23" t="n">
        <v>400</v>
      </c>
      <c r="DP9" s="219" t="n"/>
      <c r="DQ9" s="219" t="n"/>
      <c r="DR9" s="219" t="n"/>
      <c r="DS9" s="23" t="n">
        <v>200</v>
      </c>
      <c r="DT9" s="23" t="n">
        <v>200</v>
      </c>
      <c r="DU9" s="23" t="n">
        <v>200</v>
      </c>
      <c r="DV9" s="219" t="n"/>
      <c r="DW9" s="282" t="inlineStr">
        <is>
          <t>200 DE CD</t>
        </is>
      </c>
      <c r="DX9" s="282" t="inlineStr">
        <is>
          <t>200 P/ TTR</t>
        </is>
      </c>
      <c r="DY9" s="219" t="n"/>
      <c r="DZ9" s="23" t="n"/>
      <c r="EA9" s="219" t="n"/>
      <c r="EB9" s="23" t="n"/>
      <c r="EC9" s="219" t="n"/>
      <c r="ED9" s="23" t="n">
        <v>400</v>
      </c>
      <c r="EE9" s="23" t="n"/>
      <c r="EF9" s="219" t="n">
        <v>800</v>
      </c>
      <c r="EG9" s="23" t="n"/>
      <c r="EH9" s="23" t="n"/>
      <c r="EI9" s="23" t="n">
        <v>200</v>
      </c>
      <c r="EJ9" s="23" t="n">
        <v>200</v>
      </c>
      <c r="EK9" s="23" t="n"/>
      <c r="EL9" s="219" t="n"/>
      <c r="EM9" s="23" t="n"/>
      <c r="EN9" s="23" t="n">
        <v>200</v>
      </c>
      <c r="EO9" s="23" t="n">
        <v>800</v>
      </c>
      <c r="EP9" s="23" t="n">
        <v>400</v>
      </c>
      <c r="ER9" s="300" t="inlineStr">
        <is>
          <t xml:space="preserve">SACOLA P </t>
        </is>
      </c>
      <c r="ES9" s="162" t="n">
        <v>200</v>
      </c>
      <c r="ET9" s="697">
        <f>CI9</f>
        <v/>
      </c>
      <c r="EU9" s="697" t="n">
        <v>640</v>
      </c>
      <c r="EV9" s="697" t="n">
        <v>520</v>
      </c>
      <c r="EW9" s="697" t="n">
        <v>460</v>
      </c>
      <c r="EX9" s="697" t="n">
        <v>340</v>
      </c>
      <c r="EY9" s="697" t="n">
        <v>80</v>
      </c>
      <c r="EZ9" s="431">
        <f>EX9+IF(NOT(ISBLANK(OFFSET(EZ9,0,6))),N(OFFSET(EZ9,0,6)),N(OFFSET(EZ9,0,7)))-EY9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>
        <f>480+EP10</f>
        <v/>
      </c>
      <c r="G10" s="697">
        <f>580+EO10</f>
        <v/>
      </c>
      <c r="H10" s="697">
        <f>760+EN10</f>
        <v/>
      </c>
      <c r="I10" s="697" t="n">
        <v>920</v>
      </c>
      <c r="J10" s="697" t="n">
        <v>840</v>
      </c>
      <c r="K10" s="697" t="n">
        <v>820</v>
      </c>
      <c r="L10" s="697" t="n">
        <v>740</v>
      </c>
      <c r="M10" s="697" t="n">
        <v>720</v>
      </c>
      <c r="N10" s="697" t="n">
        <v>700</v>
      </c>
      <c r="O10" s="697" t="n">
        <v>680</v>
      </c>
      <c r="P10" s="697" t="n">
        <v>560</v>
      </c>
      <c r="Q10" s="697" t="n">
        <v>500</v>
      </c>
      <c r="R10" s="697" t="n">
        <v>460</v>
      </c>
      <c r="S10" s="697" t="n">
        <v>400</v>
      </c>
      <c r="T10" s="697" t="n">
        <v>430</v>
      </c>
      <c r="U10" s="697" t="n">
        <v>420</v>
      </c>
      <c r="V10" s="697" t="n">
        <v>420</v>
      </c>
      <c r="W10" s="697" t="n">
        <v>420</v>
      </c>
      <c r="X10" s="697" t="n">
        <v>420</v>
      </c>
      <c r="Y10" s="697" t="n">
        <v>240</v>
      </c>
      <c r="Z10" s="697" t="n">
        <v>380</v>
      </c>
      <c r="AA10" s="697" t="n">
        <v>360</v>
      </c>
      <c r="AB10" s="697" t="n">
        <v>360</v>
      </c>
      <c r="AC10" s="697" t="n">
        <v>360</v>
      </c>
      <c r="AD10" s="697" t="n">
        <v>360</v>
      </c>
      <c r="AE10" s="697" t="n">
        <v>340</v>
      </c>
      <c r="AF10" s="697" t="n">
        <v>340</v>
      </c>
      <c r="AG10" s="697" t="n">
        <v>340</v>
      </c>
      <c r="AH10" s="697" t="n">
        <v>340</v>
      </c>
      <c r="AI10" s="697" t="n">
        <v>340</v>
      </c>
      <c r="AJ10" s="697" t="n">
        <v>340</v>
      </c>
      <c r="AK10" s="697" t="n">
        <v>340</v>
      </c>
      <c r="AL10" s="697" t="n">
        <v>340</v>
      </c>
      <c r="AM10" s="697" t="n">
        <v>300</v>
      </c>
      <c r="AN10" s="697" t="n">
        <v>260</v>
      </c>
      <c r="AO10" s="697" t="n">
        <v>400</v>
      </c>
      <c r="AP10" s="697" t="n">
        <v>300</v>
      </c>
      <c r="AQ10" s="697" t="n">
        <v>200</v>
      </c>
      <c r="AR10" s="697" t="n">
        <v>180</v>
      </c>
      <c r="AS10" s="697">
        <f>120+DB10</f>
        <v/>
      </c>
      <c r="AT10" s="697" t="n">
        <v>240</v>
      </c>
      <c r="AU10" s="697">
        <f>200+CY10</f>
        <v/>
      </c>
      <c r="AV10" s="697" t="n">
        <v>360</v>
      </c>
      <c r="AW10" s="697" t="n">
        <v>460</v>
      </c>
      <c r="AX10" s="697" t="n">
        <v>460</v>
      </c>
      <c r="AY10" s="697" t="n">
        <v>460</v>
      </c>
      <c r="AZ10" s="697" t="n">
        <v>330</v>
      </c>
      <c r="BA10" s="697" t="n">
        <v>330</v>
      </c>
      <c r="BB10" s="697" t="n">
        <v>310</v>
      </c>
      <c r="BC10" s="697" t="n">
        <v>340</v>
      </c>
      <c r="BD10" s="697" t="n">
        <v>340</v>
      </c>
      <c r="BE10" s="697" t="n">
        <v>700</v>
      </c>
      <c r="BF10" s="697" t="n">
        <v>520</v>
      </c>
      <c r="BG10" s="697" t="n">
        <v>400</v>
      </c>
      <c r="BH10" s="697">
        <f>320+CN10</f>
        <v/>
      </c>
      <c r="BI10" s="697" t="n">
        <v>520</v>
      </c>
      <c r="BJ10" s="697" t="n">
        <v>480</v>
      </c>
      <c r="BK10" s="697" t="n">
        <v>460</v>
      </c>
      <c r="BL10" s="697" t="n">
        <v>400</v>
      </c>
      <c r="BM10" s="697" t="n">
        <v>380</v>
      </c>
      <c r="BN10" s="697" t="n">
        <v>340</v>
      </c>
      <c r="BO10" s="697" t="n">
        <v>300</v>
      </c>
      <c r="BP10" s="697" t="n">
        <v>200</v>
      </c>
      <c r="BQ10" s="697">
        <f>160+CJ10</f>
        <v/>
      </c>
      <c r="BR10" s="697" t="n">
        <v>340</v>
      </c>
      <c r="BS10" s="697" t="n">
        <v>260</v>
      </c>
      <c r="BT10" s="697" t="n">
        <v>400</v>
      </c>
      <c r="BU10" s="697" t="n">
        <v>300</v>
      </c>
      <c r="BV10" s="697" t="n">
        <v>300</v>
      </c>
      <c r="BW10" s="697" t="n">
        <v>280</v>
      </c>
      <c r="BX10" s="697" t="n">
        <v>280</v>
      </c>
      <c r="BY10" s="697" t="n">
        <v>277</v>
      </c>
      <c r="BZ10" s="192">
        <f>BX10+IF(NOT(ISBLANK(OFFSET(BZ10,0,6))),N(OFFSET(BZ10,0,6)),N(OFFSET(BZ10,0,7)))-BY10</f>
        <v/>
      </c>
      <c r="CA10" s="129" t="n"/>
      <c r="CB10" s="22" t="n"/>
      <c r="CC10" s="5" t="n"/>
      <c r="CD10" s="49" t="n"/>
      <c r="CF10" s="23" t="n">
        <v>0</v>
      </c>
      <c r="CG10" s="23" t="n"/>
      <c r="CH10" s="23" t="n"/>
      <c r="CI10" s="219" t="n">
        <v>600</v>
      </c>
      <c r="CJ10" s="23" t="n">
        <v>200</v>
      </c>
      <c r="CK10" s="23" t="n"/>
      <c r="CL10" s="23" t="n"/>
      <c r="CM10" s="23" t="n"/>
      <c r="CN10" s="23" t="n">
        <v>200</v>
      </c>
      <c r="CO10" s="23" t="n"/>
      <c r="CP10" s="23" t="n"/>
      <c r="CQ10" s="23" t="n">
        <v>400</v>
      </c>
      <c r="CR10" s="23" t="n"/>
      <c r="CS10" s="23" t="n"/>
      <c r="CT10" s="23" t="n"/>
      <c r="CU10" s="23" t="n"/>
      <c r="CV10" s="219" t="n">
        <v>800</v>
      </c>
      <c r="CW10" s="23" t="n"/>
      <c r="CX10" s="23" t="n"/>
      <c r="CY10" s="23" t="n">
        <v>200</v>
      </c>
      <c r="CZ10" s="23" t="n"/>
      <c r="DA10" s="23" t="n"/>
      <c r="DB10" s="23" t="n">
        <v>200</v>
      </c>
      <c r="DC10" s="437" t="inlineStr">
        <is>
          <t>100 DE Q7</t>
        </is>
      </c>
      <c r="DD10" s="23" t="n"/>
      <c r="DE10" s="219" t="n"/>
      <c r="DF10" s="23" t="n"/>
      <c r="DG10" s="23" t="n"/>
      <c r="DH10" s="23" t="n">
        <v>200</v>
      </c>
      <c r="DI10" s="23" t="n"/>
      <c r="DJ10" s="419" t="inlineStr">
        <is>
          <t>160 P/ GV</t>
        </is>
      </c>
      <c r="DK10" s="23" t="n"/>
      <c r="DL10" s="23" t="n"/>
      <c r="DM10" s="23" t="n"/>
      <c r="DN10" s="219" t="n"/>
      <c r="DO10" s="23" t="n"/>
      <c r="DP10" s="219" t="n"/>
      <c r="DQ10" s="219" t="n"/>
      <c r="DR10" s="219" t="n">
        <v>400</v>
      </c>
      <c r="DS10" s="23" t="n"/>
      <c r="DT10" s="23" t="n"/>
      <c r="DU10" s="23" t="n"/>
      <c r="DV10" s="219" t="n"/>
      <c r="DW10" s="23" t="n"/>
      <c r="DX10" s="23" t="n"/>
      <c r="DY10" s="219" t="n"/>
      <c r="DZ10" s="23" t="n">
        <v>200</v>
      </c>
      <c r="EA10" s="219" t="n">
        <v>600</v>
      </c>
      <c r="EB10" s="23" t="n"/>
      <c r="EC10" s="219" t="n"/>
      <c r="ED10" s="23" t="n"/>
      <c r="EE10" s="23" t="n"/>
      <c r="EF10" s="219" t="n">
        <v>400</v>
      </c>
      <c r="EG10" s="23" t="n"/>
      <c r="EH10" s="23" t="n"/>
      <c r="EI10" s="23" t="n"/>
      <c r="EJ10" s="23" t="n"/>
      <c r="EK10" s="23" t="n"/>
      <c r="EL10" s="219" t="n"/>
      <c r="EM10" s="23" t="n"/>
      <c r="EN10" s="23" t="n">
        <v>200</v>
      </c>
      <c r="EO10" s="23" t="n">
        <v>200</v>
      </c>
      <c r="EP10" s="23" t="n">
        <v>200</v>
      </c>
      <c r="ER10" s="65" t="inlineStr">
        <is>
          <t xml:space="preserve">SACOLA M </t>
        </is>
      </c>
      <c r="ES10" s="699" t="n">
        <v>200</v>
      </c>
      <c r="ET10" s="697">
        <f>CI10</f>
        <v/>
      </c>
      <c r="EU10" s="697" t="n">
        <v>520</v>
      </c>
      <c r="EV10" s="697" t="n">
        <v>460</v>
      </c>
      <c r="EW10" s="697" t="n">
        <v>440</v>
      </c>
      <c r="EX10" s="697" t="n">
        <v>400</v>
      </c>
      <c r="EY10" s="697" t="n">
        <v>240</v>
      </c>
      <c r="EZ10" s="431">
        <f>EX10+IF(NOT(ISBLANK(OFFSET(EZ10,0,6))),N(OFFSET(EZ10,0,6)),N(OFFSET(EZ10,0,7)))-EY10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100</v>
      </c>
      <c r="AB11" s="697" t="n">
        <v>100</v>
      </c>
      <c r="AC11" s="697" t="n">
        <v>100</v>
      </c>
      <c r="AD11" s="697" t="n">
        <v>40</v>
      </c>
      <c r="AE11" s="697" t="n">
        <v>40</v>
      </c>
      <c r="AF11" s="697" t="n">
        <v>40</v>
      </c>
      <c r="AG11" s="697" t="n">
        <v>40</v>
      </c>
      <c r="AH11" s="697" t="n">
        <v>20</v>
      </c>
      <c r="AI11" s="697" t="n">
        <v>20</v>
      </c>
      <c r="AJ11" s="697" t="n">
        <v>20</v>
      </c>
      <c r="AK11" s="697" t="n">
        <v>0</v>
      </c>
      <c r="AL11" s="697" t="n">
        <v>0</v>
      </c>
      <c r="AM11" s="697" t="n">
        <v>0</v>
      </c>
      <c r="AN11" s="697" t="n">
        <v>0</v>
      </c>
      <c r="AO11" s="697">
        <f>0+100</f>
        <v/>
      </c>
      <c r="AP11" s="697" t="n">
        <v>100</v>
      </c>
      <c r="AQ11" s="697" t="n">
        <v>80</v>
      </c>
      <c r="AR11" s="697" t="n">
        <v>80</v>
      </c>
      <c r="AS11" s="697" t="n">
        <v>80</v>
      </c>
      <c r="AT11" s="697" t="n">
        <v>80</v>
      </c>
      <c r="AU11" s="697" t="n">
        <v>80</v>
      </c>
      <c r="AV11" s="697">
        <f>80-20</f>
        <v/>
      </c>
      <c r="AW11" s="697" t="n">
        <v>60</v>
      </c>
      <c r="AX11" s="697" t="n">
        <v>60</v>
      </c>
      <c r="AY11" s="697" t="n">
        <v>80</v>
      </c>
      <c r="AZ11" s="697" t="n">
        <v>80</v>
      </c>
      <c r="BA11" s="697" t="n">
        <v>80</v>
      </c>
      <c r="BB11" s="697" t="n">
        <v>80</v>
      </c>
      <c r="BC11" s="697" t="n">
        <v>80</v>
      </c>
      <c r="BD11" s="697" t="n">
        <v>80</v>
      </c>
      <c r="BE11" s="697" t="n">
        <v>140</v>
      </c>
      <c r="BF11" s="697" t="n">
        <v>100</v>
      </c>
      <c r="BG11" s="697" t="n">
        <v>100</v>
      </c>
      <c r="BH11" s="697" t="n">
        <v>50</v>
      </c>
      <c r="BI11" s="697">
        <f>40+CM11</f>
        <v/>
      </c>
      <c r="BJ11" s="697" t="n">
        <v>140</v>
      </c>
      <c r="BK11" s="697" t="n">
        <v>140</v>
      </c>
      <c r="BL11" s="697" t="n">
        <v>140</v>
      </c>
      <c r="BM11" s="697" t="n">
        <v>140</v>
      </c>
      <c r="BN11" s="697" t="n">
        <v>140</v>
      </c>
      <c r="BO11" s="697" t="n">
        <v>140</v>
      </c>
      <c r="BP11" s="697" t="n">
        <v>140</v>
      </c>
      <c r="BQ11" s="697" t="n">
        <v>140</v>
      </c>
      <c r="BR11" s="697" t="n">
        <v>140</v>
      </c>
      <c r="BS11" s="697" t="n">
        <v>140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180</v>
      </c>
      <c r="BZ11" s="192">
        <f>BX11+IF(NOT(ISBLANK(OFFSET(BZ11,0,6))),N(OFFSET(BZ11,0,6)),N(OFFSET(BZ11,0,7)))-BY11</f>
        <v/>
      </c>
      <c r="CA11" s="129" t="n"/>
      <c r="CB11" s="22" t="n"/>
      <c r="CC11" s="5" t="n"/>
      <c r="CD11" s="49" t="n"/>
      <c r="CF11" s="23" t="n">
        <v>0</v>
      </c>
      <c r="CG11" s="23" t="n"/>
      <c r="CH11" s="23" t="n"/>
      <c r="CI11" s="219" t="n">
        <v>100</v>
      </c>
      <c r="CJ11" s="23" t="n"/>
      <c r="CK11" s="23" t="n"/>
      <c r="CL11" s="23" t="n"/>
      <c r="CM11" s="23" t="n">
        <v>100</v>
      </c>
      <c r="CN11" s="23" t="n"/>
      <c r="CO11" s="23" t="n"/>
      <c r="CP11" s="23" t="n"/>
      <c r="CQ11" s="23" t="n">
        <v>100</v>
      </c>
      <c r="CR11" s="23" t="n"/>
      <c r="CS11" s="23" t="n"/>
      <c r="CT11" s="23" t="n"/>
      <c r="CU11" s="23" t="n"/>
      <c r="CV11" s="219" t="n">
        <v>100</v>
      </c>
      <c r="CW11" s="192" t="inlineStr">
        <is>
          <t>20 P/ Q7</t>
        </is>
      </c>
      <c r="CX11" s="23" t="n"/>
      <c r="CY11" s="23" t="n"/>
      <c r="CZ11" s="23" t="n"/>
      <c r="DA11" s="23" t="n"/>
      <c r="DB11" s="23" t="n"/>
      <c r="DC11" s="219" t="n"/>
      <c r="DD11" s="23" t="n"/>
      <c r="DE11" s="219" t="n"/>
      <c r="DF11" s="23" t="n"/>
      <c r="DG11" s="192" t="inlineStr">
        <is>
          <t>100 DE BSH</t>
        </is>
      </c>
      <c r="DH11" s="23" t="n"/>
      <c r="DI11" s="23" t="n"/>
      <c r="DJ11" s="23" t="n"/>
      <c r="DK11" s="23" t="n"/>
      <c r="DL11" s="23" t="n"/>
      <c r="DM11" s="23" t="n"/>
      <c r="DN11" s="219" t="n"/>
      <c r="DO11" s="23" t="n"/>
      <c r="DP11" s="219" t="n"/>
      <c r="DQ11" s="219" t="n"/>
      <c r="DR11" s="219" t="n"/>
      <c r="DS11" s="23" t="n"/>
      <c r="DT11" s="23" t="n"/>
      <c r="DU11" s="23" t="n"/>
      <c r="DV11" s="219" t="n"/>
      <c r="DW11" s="23" t="n"/>
      <c r="DX11" s="23" t="n"/>
      <c r="DY11" s="219" t="n"/>
      <c r="DZ11" s="23" t="n"/>
      <c r="EA11" s="219" t="n"/>
      <c r="EB11" s="23" t="n"/>
      <c r="EC11" s="219" t="n"/>
      <c r="ED11" s="23" t="n"/>
      <c r="EE11" s="23" t="n"/>
      <c r="EF11" s="219" t="n">
        <v>100</v>
      </c>
      <c r="EG11" s="23" t="n"/>
      <c r="EH11" s="23" t="n"/>
      <c r="EI11" s="23" t="n"/>
      <c r="EJ11" s="23" t="n"/>
      <c r="EK11" s="23" t="n"/>
      <c r="EL11" s="219" t="n"/>
      <c r="EM11" s="23" t="n"/>
      <c r="EN11" s="23" t="n"/>
      <c r="EO11" s="23" t="n"/>
      <c r="EP11" s="23" t="n"/>
      <c r="ER11" s="66" t="inlineStr">
        <is>
          <t xml:space="preserve">SACOLA G </t>
        </is>
      </c>
      <c r="ES11" s="699" t="n">
        <v>100</v>
      </c>
      <c r="ET11" s="697">
        <f>CI11</f>
        <v/>
      </c>
      <c r="EU11" s="697" t="n">
        <v>100</v>
      </c>
      <c r="EV11" s="697" t="n">
        <v>80</v>
      </c>
      <c r="EW11" s="697" t="n">
        <v>80</v>
      </c>
      <c r="EX11" s="697" t="n">
        <v>0</v>
      </c>
      <c r="EY11" s="697" t="n">
        <v>0</v>
      </c>
      <c r="EZ11" s="431">
        <f>EX11+IF(NOT(ISBLANK(OFFSET(EZ11,0,6))),N(OFFSET(EZ11,0,6)),N(OFFSET(EZ11,0,7)))-EY11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5" t="n"/>
      <c r="CD12" s="64" t="n"/>
      <c r="CI12" s="47" t="n"/>
      <c r="CV12" s="47" t="n"/>
      <c r="DC12" s="64" t="n"/>
      <c r="DE12" s="64" t="n"/>
      <c r="DN12" s="308" t="n"/>
      <c r="DP12" s="47" t="n"/>
      <c r="DQ12" s="47" t="n"/>
      <c r="DR12" s="47" t="n"/>
      <c r="DV12" s="308" t="n"/>
      <c r="DY12" s="64" t="n"/>
      <c r="EA12" s="64" t="n"/>
      <c r="EC12" s="308" t="n"/>
      <c r="EF12" s="308" t="n"/>
      <c r="EL12" s="47" t="n"/>
      <c r="ER12" s="35" t="n"/>
      <c r="ES12" s="2" t="n"/>
      <c r="ET12" s="4" t="n"/>
      <c r="EU12" s="4" t="n"/>
      <c r="EV12" s="4" t="n"/>
      <c r="EW12" s="4" t="n"/>
      <c r="EX12" s="4" t="n"/>
      <c r="EY12" s="4" t="n"/>
    </row>
    <row r="13" ht="19.5" customFormat="1" customHeigh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45699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F13" s="734" t="n">
        <v>46149</v>
      </c>
      <c r="CG13" s="734" t="n">
        <v>46114</v>
      </c>
      <c r="CH13" s="734" t="n">
        <v>46107</v>
      </c>
      <c r="CI13" s="735" t="n">
        <v>46065</v>
      </c>
      <c r="CJ13" s="734" t="n">
        <v>46092</v>
      </c>
      <c r="CK13" s="734" t="n">
        <v>46071</v>
      </c>
      <c r="CL13" s="734" t="n">
        <v>46043</v>
      </c>
      <c r="CM13" s="734" t="n">
        <v>46035</v>
      </c>
      <c r="CN13" s="734" t="n">
        <v>46029</v>
      </c>
      <c r="CO13" s="734" t="n">
        <v>46024</v>
      </c>
      <c r="CP13" s="734" t="n">
        <v>46017</v>
      </c>
      <c r="CQ13" s="734" t="n">
        <v>46001</v>
      </c>
      <c r="CR13" s="734" t="n">
        <v>45986</v>
      </c>
      <c r="CS13" s="734" t="n">
        <v>45973</v>
      </c>
      <c r="CT13" s="736" t="n">
        <v>45962</v>
      </c>
      <c r="CU13" s="734" t="n">
        <v>45951</v>
      </c>
      <c r="CV13" s="737" t="n">
        <v>45903</v>
      </c>
      <c r="CW13" s="736" t="n">
        <v>45955</v>
      </c>
      <c r="CX13" s="736" t="n">
        <v>45945</v>
      </c>
      <c r="CY13" s="734" t="n">
        <v>45937</v>
      </c>
      <c r="CZ13" s="734" t="n">
        <v>45931</v>
      </c>
      <c r="DA13" s="736" t="n">
        <v>45937</v>
      </c>
      <c r="DB13" s="734" t="n">
        <v>45923</v>
      </c>
      <c r="DC13" s="754" t="n">
        <v>45925</v>
      </c>
      <c r="DD13" s="734" t="n">
        <v>45915</v>
      </c>
      <c r="DE13" s="754" t="n">
        <v>45923</v>
      </c>
      <c r="DF13" s="734" t="n">
        <v>45915</v>
      </c>
      <c r="DG13" s="736" t="n">
        <v>45902</v>
      </c>
      <c r="DH13" s="734" t="n">
        <v>45895</v>
      </c>
      <c r="DI13" s="734" t="n">
        <v>45881</v>
      </c>
      <c r="DJ13" s="739" t="n">
        <v>45884</v>
      </c>
      <c r="DK13" s="734" t="n">
        <v>45874</v>
      </c>
      <c r="DL13" s="734" t="n">
        <v>45867</v>
      </c>
      <c r="DM13" s="739" t="n">
        <v>45863</v>
      </c>
      <c r="DN13" s="740" t="n">
        <v>45863</v>
      </c>
      <c r="DO13" s="734" t="n">
        <v>45860</v>
      </c>
      <c r="DP13" s="739" t="n">
        <v>45852</v>
      </c>
      <c r="DQ13" s="739" t="n">
        <v>45847</v>
      </c>
      <c r="DR13" s="739" t="n">
        <v>45791</v>
      </c>
      <c r="DS13" s="734" t="n">
        <v>45839</v>
      </c>
      <c r="DT13" s="734" t="n">
        <v>45825</v>
      </c>
      <c r="DU13" s="734" t="n">
        <v>45813</v>
      </c>
      <c r="DV13" s="740" t="n">
        <v>45810</v>
      </c>
      <c r="DW13" s="736" t="n">
        <v>45806</v>
      </c>
      <c r="DX13" s="736" t="n">
        <v>45804</v>
      </c>
      <c r="DY13" s="755" t="n">
        <v>45798</v>
      </c>
      <c r="DZ13" s="734" t="n">
        <v>45790</v>
      </c>
      <c r="EA13" s="742" t="n">
        <v>45735</v>
      </c>
      <c r="EB13" s="734" t="n">
        <v>45770</v>
      </c>
      <c r="EC13" s="740" t="n">
        <v>45759</v>
      </c>
      <c r="ED13" s="734" t="n">
        <v>45749</v>
      </c>
      <c r="EE13" s="734" t="n">
        <v>45734</v>
      </c>
      <c r="EF13" s="740" t="n">
        <v>45700</v>
      </c>
      <c r="EG13" s="736" t="n">
        <v>45731</v>
      </c>
      <c r="EH13" s="734" t="n">
        <v>45728</v>
      </c>
      <c r="EI13" s="734" t="n">
        <v>45722</v>
      </c>
      <c r="EJ13" s="734" t="n">
        <v>45714</v>
      </c>
      <c r="EK13" s="734" t="n">
        <v>45699</v>
      </c>
      <c r="EL13" s="744" t="n">
        <v>45698</v>
      </c>
      <c r="EM13" s="784" t="n">
        <v>45674</v>
      </c>
      <c r="EN13" s="734" t="n">
        <v>45664</v>
      </c>
      <c r="EO13" s="734" t="n">
        <v>45660</v>
      </c>
      <c r="EP13" s="734" t="n">
        <v>45652</v>
      </c>
      <c r="ER13" s="304" t="inlineStr">
        <is>
          <t>DIVERSOS</t>
        </is>
      </c>
      <c r="ES13" s="235" t="inlineStr">
        <is>
          <t>PCT</t>
        </is>
      </c>
      <c r="ET13" s="746" t="n">
        <v>46118</v>
      </c>
      <c r="EU13" s="746" t="n">
        <v>46125</v>
      </c>
      <c r="EV13" s="746" t="n">
        <v>46132</v>
      </c>
      <c r="EW13" s="746" t="n">
        <v>46139</v>
      </c>
      <c r="EX13" s="746" t="n">
        <v>46146</v>
      </c>
      <c r="EY13" s="746" t="n">
        <v>46154</v>
      </c>
      <c r="EZ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2</v>
      </c>
      <c r="E14" s="726" t="n"/>
      <c r="F14" s="136">
        <f>4+EP14</f>
        <v/>
      </c>
      <c r="G14" s="136" t="n">
        <v>5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3</v>
      </c>
      <c r="M14" s="136" t="n">
        <v>3</v>
      </c>
      <c r="N14" s="136" t="n">
        <v>2</v>
      </c>
      <c r="O14" s="136">
        <f>2+EJ14</f>
        <v/>
      </c>
      <c r="P14" s="136" t="n">
        <v>3</v>
      </c>
      <c r="Q14" s="136">
        <f>3+EH14</f>
        <v/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2</v>
      </c>
      <c r="Z14" s="136" t="n">
        <v>4</v>
      </c>
      <c r="AA14" s="136" t="n">
        <v>3</v>
      </c>
      <c r="AB14" s="136" t="n">
        <v>3</v>
      </c>
      <c r="AC14" s="136">
        <f>3+DU14</f>
        <v/>
      </c>
      <c r="AD14" s="136" t="n">
        <v>3</v>
      </c>
      <c r="AE14" s="136" t="n">
        <v>4</v>
      </c>
      <c r="AF14" s="136" t="n">
        <v>4</v>
      </c>
      <c r="AG14" s="136" t="n">
        <v>4</v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>
        <f>4+DK14</f>
        <v/>
      </c>
      <c r="AM14" s="136" t="n">
        <v>5</v>
      </c>
      <c r="AN14" s="136" t="n">
        <v>5</v>
      </c>
      <c r="AO14" s="136" t="n">
        <v>5</v>
      </c>
      <c r="AP14" s="136" t="n">
        <v>4</v>
      </c>
      <c r="AQ14" s="136" t="n">
        <v>4</v>
      </c>
      <c r="AR14" s="136" t="n">
        <v>4</v>
      </c>
      <c r="AS14" s="136">
        <f>4-2</f>
        <v/>
      </c>
      <c r="AT14" s="237" t="n">
        <v>1</v>
      </c>
      <c r="AU14" s="237">
        <f>1+CY14</f>
        <v/>
      </c>
      <c r="AV14" s="237" t="n">
        <v>2</v>
      </c>
      <c r="AW14" s="237">
        <f>2+CU14</f>
        <v/>
      </c>
      <c r="AX14" s="237" t="n">
        <v>5</v>
      </c>
      <c r="AY14" s="237" t="n">
        <v>5</v>
      </c>
      <c r="AZ14" s="237" t="n">
        <v>5</v>
      </c>
      <c r="BA14" s="237" t="n">
        <v>5</v>
      </c>
      <c r="BB14" s="237" t="n">
        <v>5</v>
      </c>
      <c r="BC14" s="237" t="n">
        <v>5</v>
      </c>
      <c r="BD14" s="237" t="n">
        <v>5</v>
      </c>
      <c r="BE14" s="237" t="n">
        <v>5</v>
      </c>
      <c r="BF14" s="237" t="n">
        <v>1</v>
      </c>
      <c r="BG14" s="237" t="n">
        <v>0</v>
      </c>
      <c r="BH14" s="237">
        <f>0+CO14+CN14</f>
        <v/>
      </c>
      <c r="BI14" s="237">
        <f>9+CM14</f>
        <v/>
      </c>
      <c r="BJ14" s="237" t="n">
        <v>11</v>
      </c>
      <c r="BK14" s="237" t="n">
        <v>11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7</v>
      </c>
      <c r="BR14" s="237" t="n">
        <v>7</v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 t="n">
        <v>5</v>
      </c>
      <c r="BY14" s="237" t="n">
        <v>5</v>
      </c>
      <c r="BZ14" s="198">
        <f>BX14+IF(NOT(ISBLANK(OFFSET(BZ14,0,6))),N(OFFSET(BZ14,0,6)),N(OFFSET(BZ14,0,7)))-BY14</f>
        <v/>
      </c>
      <c r="CB14" s="22" t="n"/>
      <c r="CC14" s="726" t="n"/>
      <c r="CD14" s="49" t="n"/>
      <c r="CF14" s="23" t="n">
        <v>0</v>
      </c>
      <c r="CG14" s="23" t="n"/>
      <c r="CH14" s="23" t="n"/>
      <c r="CI14" s="219" t="n">
        <v>5</v>
      </c>
      <c r="CJ14" s="23" t="n"/>
      <c r="CK14" s="23" t="n"/>
      <c r="CL14" s="23" t="n"/>
      <c r="CM14" s="23" t="n">
        <v>3</v>
      </c>
      <c r="CN14" s="23" t="n">
        <v>3</v>
      </c>
      <c r="CO14" s="23" t="n">
        <v>6</v>
      </c>
      <c r="CP14" s="23" t="n"/>
      <c r="CQ14" s="23" t="n"/>
      <c r="CR14" s="23" t="n"/>
      <c r="CS14" s="23" t="n"/>
      <c r="CT14" s="23" t="n"/>
      <c r="CU14" s="23" t="n">
        <v>3</v>
      </c>
      <c r="CV14" s="219" t="n">
        <v>10</v>
      </c>
      <c r="CW14" s="23" t="n"/>
      <c r="CX14" s="23" t="n"/>
      <c r="CY14" s="23" t="n">
        <v>2</v>
      </c>
      <c r="CZ14" s="23" t="n"/>
      <c r="DA14" s="192" t="inlineStr">
        <is>
          <t>02 P/ SHN</t>
        </is>
      </c>
      <c r="DB14" s="23" t="n"/>
      <c r="DC14" s="437" t="inlineStr">
        <is>
          <t>100 DE Q7</t>
        </is>
      </c>
      <c r="DD14" s="23" t="n"/>
      <c r="DE14" s="219" t="n"/>
      <c r="DF14" s="23" t="n"/>
      <c r="DG14" s="23" t="n"/>
      <c r="DH14" s="23" t="n"/>
      <c r="DI14" s="23" t="n"/>
      <c r="DJ14" s="23" t="n"/>
      <c r="DK14" s="23" t="n">
        <v>1</v>
      </c>
      <c r="DL14" s="23" t="n"/>
      <c r="DM14" s="23" t="n"/>
      <c r="DN14" s="219" t="n"/>
      <c r="DO14" s="23" t="n"/>
      <c r="DP14" s="219" t="n"/>
      <c r="DQ14" s="219" t="n"/>
      <c r="DR14" s="219" t="n">
        <v>3</v>
      </c>
      <c r="DS14" s="23" t="n"/>
      <c r="DT14" s="23" t="n">
        <v>1</v>
      </c>
      <c r="DU14" s="23" t="n">
        <v>1</v>
      </c>
      <c r="DV14" s="219" t="n"/>
      <c r="DW14" s="23" t="n"/>
      <c r="DX14" s="23" t="n"/>
      <c r="DY14" s="219" t="n"/>
      <c r="DZ14" s="23" t="n">
        <v>2</v>
      </c>
      <c r="EA14" s="219" t="n">
        <v>1</v>
      </c>
      <c r="EB14" s="23" t="n"/>
      <c r="EC14" s="219" t="n"/>
      <c r="ED14" s="23" t="n"/>
      <c r="EE14" s="23" t="n"/>
      <c r="EF14" s="219" t="n">
        <v>5</v>
      </c>
      <c r="EG14" s="23" t="n"/>
      <c r="EH14" s="23" t="n">
        <v>1</v>
      </c>
      <c r="EI14" s="23" t="n"/>
      <c r="EJ14" s="23" t="n">
        <v>2</v>
      </c>
      <c r="EK14" s="23" t="n"/>
      <c r="EL14" s="219" t="n"/>
      <c r="EM14" s="23" t="n"/>
      <c r="EN14" s="23" t="n"/>
      <c r="EO14" s="23" t="n"/>
      <c r="EP14" s="23" t="n">
        <v>1</v>
      </c>
      <c r="ER14" s="300" t="inlineStr">
        <is>
          <t>PAPEL DE SEDA</t>
        </is>
      </c>
      <c r="ES14" s="162" t="n">
        <v>200</v>
      </c>
      <c r="ET14" s="697">
        <f>CI14</f>
        <v/>
      </c>
      <c r="EU14" s="697" t="n">
        <v>4</v>
      </c>
      <c r="EV14" s="697" t="n">
        <v>4</v>
      </c>
      <c r="EW14" s="697" t="n">
        <v>4</v>
      </c>
      <c r="EX14" s="697" t="n">
        <v>3</v>
      </c>
      <c r="EY14" s="697" t="n">
        <v>0</v>
      </c>
      <c r="EZ14" s="431">
        <f>EX14+IF(NOT(ISBLANK(OFFSET(EZ14,0,6))),N(OFFSET(EZ14,0,6)),N(OFFSET(EZ14,0,7)))-EY14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1</v>
      </c>
      <c r="G15" s="136">
        <f>1+EO15</f>
        <v/>
      </c>
      <c r="H15" s="136" t="n">
        <v>3</v>
      </c>
      <c r="I15" s="136" t="n">
        <v>3</v>
      </c>
      <c r="J15" s="136" t="n">
        <v>3</v>
      </c>
      <c r="K15" s="136" t="n">
        <v>3</v>
      </c>
      <c r="L15" s="136" t="n">
        <v>3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3</v>
      </c>
      <c r="R15" s="136" t="n">
        <v>3</v>
      </c>
      <c r="S15" s="136" t="n">
        <v>2</v>
      </c>
      <c r="T15" s="136" t="n">
        <v>2</v>
      </c>
      <c r="U15" s="136" t="n">
        <v>2</v>
      </c>
      <c r="V15" s="136" t="n">
        <v>2</v>
      </c>
      <c r="W15" s="136" t="n">
        <v>2</v>
      </c>
      <c r="X15" s="136" t="n">
        <v>2</v>
      </c>
      <c r="Y15" s="136" t="n">
        <v>2</v>
      </c>
      <c r="Z15" s="136" t="n">
        <v>2</v>
      </c>
      <c r="AA15" s="136" t="n">
        <v>2</v>
      </c>
      <c r="AB15" s="136" t="n">
        <v>2</v>
      </c>
      <c r="AC15" s="136" t="n">
        <v>2</v>
      </c>
      <c r="AD15" s="136" t="n">
        <v>2</v>
      </c>
      <c r="AE15" s="136" t="n">
        <v>2</v>
      </c>
      <c r="AF15" s="136" t="n">
        <v>2</v>
      </c>
      <c r="AG15" s="136" t="n">
        <v>2</v>
      </c>
      <c r="AH15" s="136" t="n">
        <v>2</v>
      </c>
      <c r="AI15" s="136" t="n">
        <v>2</v>
      </c>
      <c r="AJ15" s="136" t="n">
        <v>2</v>
      </c>
      <c r="AK15" s="136" t="n">
        <v>1</v>
      </c>
      <c r="AL15" s="136" t="n">
        <v>1</v>
      </c>
      <c r="AM15" s="136" t="n">
        <v>1</v>
      </c>
      <c r="AN15" s="136" t="n">
        <v>1</v>
      </c>
      <c r="AO15" s="136" t="n">
        <v>1</v>
      </c>
      <c r="AP15" s="136" t="n">
        <v>1</v>
      </c>
      <c r="AQ15" s="136" t="n">
        <v>1</v>
      </c>
      <c r="AR15" s="136" t="n">
        <v>1</v>
      </c>
      <c r="AS15" s="136" t="n">
        <v>1</v>
      </c>
      <c r="AT15" s="237" t="n">
        <v>1</v>
      </c>
      <c r="AU15" s="237" t="n">
        <v>1</v>
      </c>
      <c r="AV15" s="237" t="n">
        <v>1</v>
      </c>
      <c r="AW15" s="237" t="n">
        <v>1</v>
      </c>
      <c r="AX15" s="237" t="n">
        <v>1</v>
      </c>
      <c r="AY15" s="237" t="n">
        <v>1</v>
      </c>
      <c r="AZ15" s="237" t="n">
        <v>1</v>
      </c>
      <c r="BA15" s="237" t="n">
        <v>1</v>
      </c>
      <c r="BB15" s="237">
        <f>1+CR15</f>
        <v/>
      </c>
      <c r="BC15" s="237" t="n">
        <v>1</v>
      </c>
      <c r="BD15" s="237" t="n">
        <v>2</v>
      </c>
      <c r="BE15" s="237" t="n">
        <v>6</v>
      </c>
      <c r="BF15" s="237" t="n">
        <v>6</v>
      </c>
      <c r="BG15" s="237" t="n">
        <v>6</v>
      </c>
      <c r="BH15" s="237" t="n">
        <v>5</v>
      </c>
      <c r="BI15" s="237" t="n">
        <v>4</v>
      </c>
      <c r="BJ15" s="237" t="n">
        <v>5</v>
      </c>
      <c r="BK15" s="237" t="n">
        <v>5</v>
      </c>
      <c r="BL15" s="237" t="n">
        <v>4</v>
      </c>
      <c r="BM15" s="237" t="n">
        <v>4</v>
      </c>
      <c r="BN15" s="237" t="n">
        <v>4</v>
      </c>
      <c r="BO15" s="237" t="n">
        <v>4</v>
      </c>
      <c r="BP15" s="237" t="n">
        <v>3</v>
      </c>
      <c r="BQ15" s="237" t="n">
        <v>3</v>
      </c>
      <c r="BR15" s="237" t="n">
        <v>3</v>
      </c>
      <c r="BS15" s="237" t="n">
        <v>3</v>
      </c>
      <c r="BT15" s="237" t="n">
        <v>3</v>
      </c>
      <c r="BU15" s="237" t="n">
        <v>3</v>
      </c>
      <c r="BV15" s="237" t="n">
        <v>3</v>
      </c>
      <c r="BW15" s="237" t="n">
        <v>3</v>
      </c>
      <c r="BX15" s="237" t="n">
        <v>3</v>
      </c>
      <c r="BY15" s="237" t="n">
        <v>3</v>
      </c>
      <c r="BZ15" s="198">
        <f>BX15+IF(NOT(ISBLANK(OFFSET(BZ15,0,6))),N(OFFSET(BZ15,0,6)),N(OFFSET(BZ15,0,7)))-BY15</f>
        <v/>
      </c>
      <c r="CB15" s="22" t="n"/>
      <c r="CC15" s="726" t="n"/>
      <c r="CD15" s="49" t="n"/>
      <c r="CF15" s="23" t="n">
        <v>0</v>
      </c>
      <c r="CG15" s="23" t="n"/>
      <c r="CH15" s="23" t="n"/>
      <c r="CI15" s="219" t="n">
        <v>3</v>
      </c>
      <c r="CJ15" s="23" t="n"/>
      <c r="CK15" s="23" t="n"/>
      <c r="CL15" s="23" t="n"/>
      <c r="CM15" s="23" t="n"/>
      <c r="CN15" s="23" t="n"/>
      <c r="CO15" s="23" t="n"/>
      <c r="CP15" s="23" t="n"/>
      <c r="CQ15" s="23" t="n">
        <v>4</v>
      </c>
      <c r="CR15" s="23" t="n">
        <v>2</v>
      </c>
      <c r="CS15" s="23" t="n"/>
      <c r="CT15" s="23" t="n"/>
      <c r="CU15" s="23" t="n"/>
      <c r="CV15" s="219" t="n">
        <v>7</v>
      </c>
      <c r="CW15" s="23" t="n"/>
      <c r="CX15" s="23" t="n"/>
      <c r="CY15" s="23" t="n"/>
      <c r="CZ15" s="23" t="n"/>
      <c r="DA15" s="23" t="n"/>
      <c r="DB15" s="23" t="n"/>
      <c r="DC15" s="437" t="inlineStr">
        <is>
          <t>100 DE Q7</t>
        </is>
      </c>
      <c r="DD15" s="23" t="n"/>
      <c r="DE15" s="219" t="n"/>
      <c r="DF15" s="23" t="n"/>
      <c r="DG15" s="23" t="n"/>
      <c r="DH15" s="23" t="n"/>
      <c r="DI15" s="23" t="n"/>
      <c r="DJ15" s="23" t="n"/>
      <c r="DK15" s="23" t="n"/>
      <c r="DL15" s="23" t="n"/>
      <c r="DM15" s="23" t="n"/>
      <c r="DN15" s="219" t="n"/>
      <c r="DO15" s="23" t="n"/>
      <c r="DP15" s="219" t="n"/>
      <c r="DQ15" s="219" t="n"/>
      <c r="DR15" s="219" t="n">
        <v>1</v>
      </c>
      <c r="DS15" s="23" t="n"/>
      <c r="DT15" s="23" t="n"/>
      <c r="DU15" s="23" t="n"/>
      <c r="DV15" s="219" t="n"/>
      <c r="DW15" s="23" t="n"/>
      <c r="DX15" s="23" t="n"/>
      <c r="DY15" s="219" t="n"/>
      <c r="DZ15" s="23" t="n"/>
      <c r="EA15" s="219" t="n">
        <v>2</v>
      </c>
      <c r="EB15" s="23" t="n"/>
      <c r="EC15" s="219" t="n"/>
      <c r="ED15" s="23" t="n"/>
      <c r="EE15" s="23" t="n"/>
      <c r="EF15" s="219" t="n"/>
      <c r="EG15" s="219" t="n"/>
      <c r="EH15" s="23" t="n"/>
      <c r="EI15" s="23" t="n"/>
      <c r="EJ15" s="23" t="n"/>
      <c r="EK15" s="23" t="n"/>
      <c r="EL15" s="219" t="n"/>
      <c r="EM15" s="23" t="n"/>
      <c r="EN15" s="23" t="n"/>
      <c r="EO15" s="23" t="n">
        <v>2</v>
      </c>
      <c r="EP15" s="23" t="n"/>
      <c r="ER15" s="65" t="inlineStr">
        <is>
          <t>ADESIVOS</t>
        </is>
      </c>
      <c r="ES15" s="699" t="n">
        <v>200</v>
      </c>
      <c r="ET15" s="697">
        <f>CI15</f>
        <v/>
      </c>
      <c r="EU15" s="697" t="n">
        <v>2</v>
      </c>
      <c r="EV15" s="697" t="n">
        <v>2</v>
      </c>
      <c r="EW15" s="697" t="n">
        <v>2</v>
      </c>
      <c r="EX15" s="697" t="n">
        <v>2</v>
      </c>
      <c r="EY15" s="697" t="n">
        <v>1</v>
      </c>
      <c r="EZ15" s="431">
        <f>EX15+IF(NOT(ISBLANK(OFFSET(EZ15,0,6))),N(OFFSET(EZ15,0,6)),N(OFFSET(EZ15,0,7)))-EY15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3</v>
      </c>
      <c r="E16" s="2" t="n"/>
      <c r="F16" s="136">
        <f>2+EP16</f>
        <v/>
      </c>
      <c r="G16" s="136" t="n">
        <v>5</v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>
        <f>1+EI16</f>
        <v/>
      </c>
      <c r="Q16" s="136">
        <f>2+EH16</f>
        <v/>
      </c>
      <c r="R16" s="136">
        <f>5+EE16</f>
        <v/>
      </c>
      <c r="S16" s="136" t="n">
        <v>6</v>
      </c>
      <c r="T16" s="136" t="n">
        <v>6</v>
      </c>
      <c r="U16" s="136" t="n">
        <v>6</v>
      </c>
      <c r="V16" s="136" t="n">
        <v>5</v>
      </c>
      <c r="W16" s="136" t="n">
        <v>5</v>
      </c>
      <c r="X16" s="136" t="n">
        <v>4</v>
      </c>
      <c r="Y16" s="136" t="n">
        <v>4</v>
      </c>
      <c r="Z16" s="136" t="n">
        <v>3</v>
      </c>
      <c r="AA16" s="136" t="n">
        <v>3</v>
      </c>
      <c r="AB16" s="136" t="n">
        <v>2</v>
      </c>
      <c r="AC16" s="136">
        <f>2+DU16</f>
        <v/>
      </c>
      <c r="AD16" s="136" t="n">
        <v>4</v>
      </c>
      <c r="AE16" s="136" t="n">
        <v>4</v>
      </c>
      <c r="AF16" s="136" t="n">
        <v>3</v>
      </c>
      <c r="AG16" s="136" t="n">
        <v>4</v>
      </c>
      <c r="AH16" s="136" t="n">
        <v>3</v>
      </c>
      <c r="AI16" s="136" t="n">
        <v>3</v>
      </c>
      <c r="AJ16" s="136" t="n">
        <v>2</v>
      </c>
      <c r="AK16" s="136">
        <f>2+DL16</f>
        <v/>
      </c>
      <c r="AL16" s="136" t="n">
        <v>3</v>
      </c>
      <c r="AM16" s="136" t="n">
        <v>3</v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2</v>
      </c>
      <c r="AS16" s="136">
        <f>1+DB16</f>
        <v/>
      </c>
      <c r="AT16" s="237">
        <f>1+CZ16</f>
        <v/>
      </c>
      <c r="AU16" s="237">
        <f>3+CY16</f>
        <v/>
      </c>
      <c r="AV16" s="237" t="n">
        <v>4</v>
      </c>
      <c r="AW16" s="237" t="n">
        <v>3</v>
      </c>
      <c r="AX16" s="237" t="n">
        <v>3</v>
      </c>
      <c r="AY16" s="237" t="n">
        <v>3</v>
      </c>
      <c r="AZ16" s="237" t="n">
        <v>3</v>
      </c>
      <c r="BA16" s="237" t="n">
        <v>3</v>
      </c>
      <c r="BB16" s="237" t="n">
        <v>2</v>
      </c>
      <c r="BC16" s="237" t="n">
        <v>2</v>
      </c>
      <c r="BD16" s="237" t="n">
        <v>2</v>
      </c>
      <c r="BE16" s="237" t="n">
        <v>2</v>
      </c>
      <c r="BF16" s="237" t="n">
        <v>2</v>
      </c>
      <c r="BG16" s="237" t="n">
        <v>1</v>
      </c>
      <c r="BH16" s="237" t="n">
        <v>4</v>
      </c>
      <c r="BI16" s="237" t="n">
        <v>3</v>
      </c>
      <c r="BJ16" s="237">
        <f>3+CL16</f>
        <v/>
      </c>
      <c r="BK16" s="237" t="n">
        <v>5</v>
      </c>
      <c r="BL16" s="237" t="n">
        <v>4</v>
      </c>
      <c r="BM16" s="237" t="n">
        <v>4</v>
      </c>
      <c r="BN16" s="237" t="n">
        <v>4</v>
      </c>
      <c r="BO16" s="237" t="n">
        <v>4</v>
      </c>
      <c r="BP16" s="237" t="n">
        <v>3</v>
      </c>
      <c r="BQ16" s="237" t="n">
        <v>3</v>
      </c>
      <c r="BR16" s="237" t="n">
        <v>3</v>
      </c>
      <c r="BS16" s="237" t="n">
        <v>3</v>
      </c>
      <c r="BT16" s="237" t="n">
        <v>2</v>
      </c>
      <c r="BU16" s="237">
        <f>1+CH16</f>
        <v/>
      </c>
      <c r="BV16" s="237" t="n">
        <v>4</v>
      </c>
      <c r="BW16" s="237" t="n">
        <v>3</v>
      </c>
      <c r="BX16" s="237" t="n">
        <v>3</v>
      </c>
      <c r="BY16" s="237" t="n">
        <v>3</v>
      </c>
      <c r="BZ16" s="198">
        <f>BX16+IF(NOT(ISBLANK(OFFSET(BZ16,0,6))),N(OFFSET(BZ16,0,6)),N(OFFSET(BZ16,0,7)))-BY16</f>
        <v/>
      </c>
      <c r="CB16" s="22" t="n">
        <v>2</v>
      </c>
      <c r="CC16" s="2" t="n"/>
      <c r="CD16" s="49" t="n"/>
      <c r="CF16" s="23" t="n">
        <v>0</v>
      </c>
      <c r="CG16" s="23" t="n"/>
      <c r="CH16" s="23" t="n">
        <v>3</v>
      </c>
      <c r="CI16" s="23" t="n"/>
      <c r="CJ16" s="23" t="n"/>
      <c r="CK16" s="23" t="n"/>
      <c r="CL16" s="23" t="n">
        <v>2</v>
      </c>
      <c r="CM16" s="23" t="n"/>
      <c r="CN16" s="23" t="n"/>
      <c r="CO16" s="23" t="n"/>
      <c r="CP16" s="23" t="n">
        <v>3</v>
      </c>
      <c r="CQ16" s="23" t="n">
        <v>2</v>
      </c>
      <c r="CR16" s="23" t="n"/>
      <c r="CS16" s="23" t="n"/>
      <c r="CT16" s="23" t="n"/>
      <c r="CU16" s="23" t="n"/>
      <c r="CV16" s="219" t="n"/>
      <c r="CW16" s="23" t="n"/>
      <c r="CX16" s="23" t="n"/>
      <c r="CY16" s="23" t="n">
        <v>1</v>
      </c>
      <c r="CZ16" s="23" t="n">
        <v>2</v>
      </c>
      <c r="DA16" s="23" t="n"/>
      <c r="DB16" s="23" t="n">
        <v>1</v>
      </c>
      <c r="DC16" s="219" t="n"/>
      <c r="DD16" s="23" t="n"/>
      <c r="DE16" s="219" t="n"/>
      <c r="DF16" s="23" t="n"/>
      <c r="DG16" s="23" t="n"/>
      <c r="DH16" s="23" t="n">
        <v>1</v>
      </c>
      <c r="DI16" s="23" t="n"/>
      <c r="DJ16" s="23" t="n"/>
      <c r="DK16" s="23" t="n"/>
      <c r="DL16" s="23" t="n">
        <v>1</v>
      </c>
      <c r="DM16" s="23" t="n"/>
      <c r="DN16" s="219" t="n"/>
      <c r="DO16" s="23" t="n"/>
      <c r="DP16" s="219" t="n"/>
      <c r="DQ16" s="219" t="n"/>
      <c r="DR16" s="219" t="n"/>
      <c r="DS16" s="23" t="n">
        <v>1</v>
      </c>
      <c r="DT16" s="23" t="n"/>
      <c r="DU16" s="23" t="n">
        <v>2</v>
      </c>
      <c r="DV16" s="219" t="n"/>
      <c r="DW16" s="23" t="n"/>
      <c r="DX16" s="23" t="n"/>
      <c r="DY16" s="219" t="n"/>
      <c r="DZ16" s="23" t="n"/>
      <c r="EA16" s="219" t="n"/>
      <c r="EB16" s="23" t="n"/>
      <c r="EC16" s="219" t="n"/>
      <c r="ED16" s="23" t="n"/>
      <c r="EE16" s="23" t="n">
        <v>2</v>
      </c>
      <c r="EF16" s="219" t="n">
        <v>2</v>
      </c>
      <c r="EG16" s="23" t="n"/>
      <c r="EH16" s="23" t="n">
        <v>3</v>
      </c>
      <c r="EI16" s="23" t="n">
        <v>2</v>
      </c>
      <c r="EJ16" s="23" t="n"/>
      <c r="EK16" s="23" t="n"/>
      <c r="EL16" s="219" t="n"/>
      <c r="EM16" s="23" t="n"/>
      <c r="EN16" s="23" t="n"/>
      <c r="EO16" s="23" t="n"/>
      <c r="EP16" s="23" t="n">
        <v>3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136" t="n">
        <v>3</v>
      </c>
      <c r="G17" s="136">
        <f>3+EO17</f>
        <v/>
      </c>
      <c r="H17" s="136">
        <f>5+EN17</f>
        <v/>
      </c>
      <c r="I17" s="136" t="n">
        <v>5</v>
      </c>
      <c r="J17" s="136" t="n">
        <v>5</v>
      </c>
      <c r="K17" s="136" t="n">
        <v>5</v>
      </c>
      <c r="L17" s="136" t="n">
        <v>5</v>
      </c>
      <c r="M17" s="136" t="n">
        <v>4</v>
      </c>
      <c r="N17" s="136" t="n">
        <v>4</v>
      </c>
      <c r="O17" s="136" t="n">
        <v>4</v>
      </c>
      <c r="P17" s="136" t="n">
        <v>4</v>
      </c>
      <c r="Q17" s="136" t="n">
        <v>4</v>
      </c>
      <c r="R17" s="136" t="n">
        <v>4</v>
      </c>
      <c r="S17" s="136" t="n">
        <v>4</v>
      </c>
      <c r="T17" s="136" t="n">
        <v>4</v>
      </c>
      <c r="U17" s="136" t="n">
        <v>4</v>
      </c>
      <c r="V17" s="136" t="n">
        <v>4</v>
      </c>
      <c r="W17" s="136" t="n">
        <v>3</v>
      </c>
      <c r="X17" s="136" t="n">
        <v>3</v>
      </c>
      <c r="Y17" s="136" t="n">
        <v>3</v>
      </c>
      <c r="Z17" s="136" t="n">
        <v>3</v>
      </c>
      <c r="AA17" s="136" t="n">
        <v>2</v>
      </c>
      <c r="AB17" s="136" t="n">
        <v>2</v>
      </c>
      <c r="AC17" s="136" t="n">
        <v>2</v>
      </c>
      <c r="AD17" s="136" t="n">
        <v>2</v>
      </c>
      <c r="AE17" s="136" t="n">
        <v>2</v>
      </c>
      <c r="AF17" s="136" t="n">
        <v>1</v>
      </c>
      <c r="AG17" s="136" t="n">
        <v>2</v>
      </c>
      <c r="AH17" s="136" t="n">
        <v>2</v>
      </c>
      <c r="AI17" s="136" t="n">
        <v>2</v>
      </c>
      <c r="AJ17" s="136" t="n">
        <v>1</v>
      </c>
      <c r="AK17" s="136">
        <f>1+DL17</f>
        <v/>
      </c>
      <c r="AL17" s="136" t="n">
        <v>2</v>
      </c>
      <c r="AM17" s="136" t="n">
        <v>2</v>
      </c>
      <c r="AN17" s="136" t="n">
        <v>2</v>
      </c>
      <c r="AO17" s="136" t="n">
        <v>1</v>
      </c>
      <c r="AP17" s="136" t="n">
        <v>1</v>
      </c>
      <c r="AQ17" s="136" t="n">
        <v>1</v>
      </c>
      <c r="AR17" s="136" t="n">
        <v>0</v>
      </c>
      <c r="AS17" s="136">
        <f>0+DB17</f>
        <v/>
      </c>
      <c r="AT17" s="237" t="n">
        <v>1</v>
      </c>
      <c r="AU17" s="237">
        <f>1+CY17</f>
        <v/>
      </c>
      <c r="AV17" s="237" t="n">
        <v>2</v>
      </c>
      <c r="AW17" s="237" t="n">
        <v>2</v>
      </c>
      <c r="AX17" s="237" t="n">
        <v>1</v>
      </c>
      <c r="AY17" s="237" t="n">
        <v>1</v>
      </c>
      <c r="AZ17" s="237">
        <f>1+CS17</f>
        <v/>
      </c>
      <c r="BA17" s="237" t="n">
        <v>1</v>
      </c>
      <c r="BB17" s="237">
        <f>1+CR17</f>
        <v/>
      </c>
      <c r="BC17" s="237" t="n">
        <v>3</v>
      </c>
      <c r="BD17" s="237" t="n">
        <v>3</v>
      </c>
      <c r="BE17" s="237" t="n">
        <v>3</v>
      </c>
      <c r="BF17" s="237" t="n">
        <v>3</v>
      </c>
      <c r="BG17" s="237" t="n">
        <v>3</v>
      </c>
      <c r="BH17" s="237" t="n">
        <v>2</v>
      </c>
      <c r="BI17" s="237">
        <f>2+CM17</f>
        <v/>
      </c>
      <c r="BJ17" s="237" t="n">
        <v>3</v>
      </c>
      <c r="BK17" s="237" t="n">
        <v>3</v>
      </c>
      <c r="BL17" s="237" t="n">
        <v>3</v>
      </c>
      <c r="BM17" s="237" t="n">
        <v>3</v>
      </c>
      <c r="BN17" s="237" t="n">
        <v>3</v>
      </c>
      <c r="BO17" s="237" t="n">
        <v>2</v>
      </c>
      <c r="BP17" s="237" t="n">
        <v>1</v>
      </c>
      <c r="BQ17" s="237">
        <f>1+CJ17</f>
        <v/>
      </c>
      <c r="BR17" s="237" t="n">
        <v>2</v>
      </c>
      <c r="BS17" s="237" t="n">
        <v>2</v>
      </c>
      <c r="BT17" s="237" t="n">
        <v>2</v>
      </c>
      <c r="BU17" s="237" t="n">
        <v>2</v>
      </c>
      <c r="BV17" s="237" t="n">
        <v>2</v>
      </c>
      <c r="BW17" s="237" t="n">
        <v>2</v>
      </c>
      <c r="BX17" s="237" t="n">
        <v>2</v>
      </c>
      <c r="BY17" s="237" t="n">
        <v>1</v>
      </c>
      <c r="BZ17" s="198">
        <f>BX17+IF(NOT(ISBLANK(OFFSET(BZ17,0,6))),N(OFFSET(BZ17,0,6)),N(OFFSET(BZ17,0,7)))-BY17</f>
        <v/>
      </c>
      <c r="CB17" s="22" t="n"/>
      <c r="CC17" s="2" t="n"/>
      <c r="CD17" s="49" t="n"/>
      <c r="CF17" s="23" t="n">
        <v>0</v>
      </c>
      <c r="CG17" s="23" t="n"/>
      <c r="CH17" s="23" t="n"/>
      <c r="CI17" s="23" t="n"/>
      <c r="CJ17" s="23" t="n">
        <v>1</v>
      </c>
      <c r="CK17" s="23" t="n"/>
      <c r="CL17" s="23" t="n"/>
      <c r="CM17" s="23" t="n">
        <v>1</v>
      </c>
      <c r="CN17" s="23" t="n"/>
      <c r="CO17" s="23" t="n"/>
      <c r="CP17" s="23" t="n"/>
      <c r="CQ17" s="23" t="n">
        <v>1</v>
      </c>
      <c r="CR17" s="23" t="n">
        <v>2</v>
      </c>
      <c r="CS17" s="23" t="n">
        <v>1</v>
      </c>
      <c r="CT17" s="23" t="n"/>
      <c r="CU17" s="23" t="n"/>
      <c r="CV17" s="219" t="n"/>
      <c r="CW17" s="23" t="n"/>
      <c r="CX17" s="23" t="n"/>
      <c r="CY17" s="23" t="n">
        <v>1</v>
      </c>
      <c r="CZ17" s="23" t="n"/>
      <c r="DA17" s="23" t="n"/>
      <c r="DB17" s="23" t="n">
        <v>1</v>
      </c>
      <c r="DC17" s="219" t="n"/>
      <c r="DD17" s="23" t="n"/>
      <c r="DE17" s="219" t="n"/>
      <c r="DF17" s="23" t="n"/>
      <c r="DG17" s="23" t="n"/>
      <c r="DH17" s="23" t="n"/>
      <c r="DI17" s="23" t="n"/>
      <c r="DJ17" s="23" t="n"/>
      <c r="DK17" s="23" t="n"/>
      <c r="DL17" s="23" t="n">
        <v>1</v>
      </c>
      <c r="DM17" s="23" t="n"/>
      <c r="DN17" s="219" t="n"/>
      <c r="DO17" s="23" t="n"/>
      <c r="DP17" s="219" t="n"/>
      <c r="DQ17" s="219" t="n"/>
      <c r="DR17" s="219" t="n"/>
      <c r="DS17" s="23" t="n">
        <v>1</v>
      </c>
      <c r="DT17" s="23" t="n"/>
      <c r="DU17" s="23" t="n"/>
      <c r="DV17" s="219" t="n"/>
      <c r="DW17" s="23" t="n"/>
      <c r="DX17" s="23" t="n"/>
      <c r="DY17" s="219" t="n"/>
      <c r="DZ17" s="23" t="n"/>
      <c r="EA17" s="219" t="n"/>
      <c r="EB17" s="23" t="n"/>
      <c r="EC17" s="219" t="n"/>
      <c r="ED17" s="23" t="n"/>
      <c r="EE17" s="23" t="n"/>
      <c r="EF17" s="219" t="n"/>
      <c r="EG17" s="219" t="n"/>
      <c r="EH17" s="23" t="n"/>
      <c r="EI17" s="23" t="n"/>
      <c r="EJ17" s="23" t="n"/>
      <c r="EK17" s="23" t="n"/>
      <c r="EL17" s="219" t="n"/>
      <c r="EM17" s="23" t="n"/>
      <c r="EN17" s="23" t="n">
        <v>1</v>
      </c>
      <c r="EO17" s="23" t="n">
        <v>2</v>
      </c>
      <c r="EP17" s="23" t="n"/>
    </row>
    <row r="18" ht="14.25" customFormat="1" customHeight="1" s="3">
      <c r="C18" s="763" t="n"/>
      <c r="D18" s="450" t="n"/>
      <c r="CB18" s="48" t="n"/>
      <c r="CD18" s="61" t="n"/>
      <c r="CI18" s="250" t="n"/>
      <c r="DC18" s="372" t="n"/>
      <c r="DE18" s="372" t="n"/>
      <c r="DN18" s="19" t="n"/>
      <c r="DP18" s="250" t="n"/>
      <c r="DQ18" s="250" t="n"/>
      <c r="DR18" s="250" t="n"/>
      <c r="DV18" s="19" t="n"/>
      <c r="DY18" s="372" t="n"/>
      <c r="EA18" s="372" t="n"/>
      <c r="EC18" s="19" t="n"/>
      <c r="EF18" s="19" t="n"/>
      <c r="EL18" s="250" t="n"/>
    </row>
    <row r="19" customFormat="1" s="3">
      <c r="A19" s="13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45699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F19" s="734" t="n">
        <v>46149</v>
      </c>
      <c r="CG19" s="734" t="n">
        <v>46114</v>
      </c>
      <c r="CH19" s="734" t="n">
        <v>46107</v>
      </c>
      <c r="CI19" s="735" t="n">
        <v>46065</v>
      </c>
      <c r="CJ19" s="734" t="n">
        <v>46092</v>
      </c>
      <c r="CK19" s="734" t="n">
        <v>46071</v>
      </c>
      <c r="CL19" s="734" t="n">
        <v>46043</v>
      </c>
      <c r="CM19" s="734" t="n">
        <v>46035</v>
      </c>
      <c r="CN19" s="734" t="n">
        <v>46029</v>
      </c>
      <c r="CO19" s="734" t="n">
        <v>46024</v>
      </c>
      <c r="CP19" s="734" t="n">
        <v>46017</v>
      </c>
      <c r="CQ19" s="734" t="n">
        <v>46001</v>
      </c>
      <c r="CR19" s="734" t="n">
        <v>45986</v>
      </c>
      <c r="CS19" s="734" t="n">
        <v>45973</v>
      </c>
      <c r="CT19" s="736" t="n">
        <v>45962</v>
      </c>
      <c r="CU19" s="734" t="n">
        <v>45951</v>
      </c>
      <c r="CV19" s="737" t="n">
        <v>45903</v>
      </c>
      <c r="CW19" s="736" t="n">
        <v>45955</v>
      </c>
      <c r="CX19" s="736" t="n">
        <v>45945</v>
      </c>
      <c r="CY19" s="734" t="n">
        <v>45937</v>
      </c>
      <c r="CZ19" s="734" t="n">
        <v>45931</v>
      </c>
      <c r="DA19" s="736" t="n">
        <v>45937</v>
      </c>
      <c r="DB19" s="734" t="n">
        <v>45923</v>
      </c>
      <c r="DC19" s="754" t="n">
        <v>45925</v>
      </c>
      <c r="DD19" s="734" t="n">
        <v>45915</v>
      </c>
      <c r="DE19" s="754" t="n">
        <v>45923</v>
      </c>
      <c r="DF19" s="734" t="n">
        <v>45915</v>
      </c>
      <c r="DG19" s="736" t="n">
        <v>45902</v>
      </c>
      <c r="DH19" s="734" t="n">
        <v>45895</v>
      </c>
      <c r="DI19" s="734" t="n">
        <v>45881</v>
      </c>
      <c r="DJ19" s="739" t="n">
        <v>45884</v>
      </c>
      <c r="DK19" s="734" t="n">
        <v>45874</v>
      </c>
      <c r="DL19" s="734" t="n">
        <v>45867</v>
      </c>
      <c r="DM19" s="739" t="n">
        <v>45863</v>
      </c>
      <c r="DN19" s="740" t="n">
        <v>45863</v>
      </c>
      <c r="DO19" s="734" t="n">
        <v>45860</v>
      </c>
      <c r="DP19" s="739" t="n">
        <v>45852</v>
      </c>
      <c r="DQ19" s="739" t="n">
        <v>45847</v>
      </c>
      <c r="DR19" s="739" t="n">
        <v>45791</v>
      </c>
      <c r="DS19" s="734" t="n">
        <v>45839</v>
      </c>
      <c r="DT19" s="734" t="n">
        <v>45825</v>
      </c>
      <c r="DU19" s="734" t="n">
        <v>45813</v>
      </c>
      <c r="DV19" s="740" t="n">
        <v>45810</v>
      </c>
      <c r="DW19" s="736" t="n">
        <v>45806</v>
      </c>
      <c r="DX19" s="736" t="n">
        <v>45804</v>
      </c>
      <c r="DY19" s="755" t="n">
        <v>45798</v>
      </c>
      <c r="DZ19" s="734" t="n">
        <v>45790</v>
      </c>
      <c r="EA19" s="742" t="n">
        <v>45735</v>
      </c>
      <c r="EB19" s="734" t="n">
        <v>45770</v>
      </c>
      <c r="EC19" s="740" t="n">
        <v>45759</v>
      </c>
      <c r="ED19" s="734" t="n">
        <v>45749</v>
      </c>
      <c r="EE19" s="734" t="n">
        <v>45734</v>
      </c>
      <c r="EF19" s="740" t="n">
        <v>45700</v>
      </c>
      <c r="EG19" s="736" t="n">
        <v>45731</v>
      </c>
      <c r="EH19" s="734" t="n">
        <v>45728</v>
      </c>
      <c r="EI19" s="734" t="n">
        <v>45722</v>
      </c>
      <c r="EJ19" s="734" t="n">
        <v>45714</v>
      </c>
      <c r="EK19" s="734" t="n">
        <v>45699</v>
      </c>
      <c r="EL19" s="744" t="n">
        <v>45698</v>
      </c>
      <c r="EM19" s="784" t="n">
        <v>45674</v>
      </c>
      <c r="EN19" s="734" t="n">
        <v>45664</v>
      </c>
      <c r="EO19" s="734" t="n">
        <v>45660</v>
      </c>
      <c r="EP19" s="734" t="n">
        <v>45652</v>
      </c>
      <c r="ER19" s="304" t="inlineStr">
        <is>
          <t>CAIXAS</t>
        </is>
      </c>
      <c r="ES19" s="235" t="inlineStr">
        <is>
          <t>PCT</t>
        </is>
      </c>
      <c r="ET19" s="746" t="n">
        <v>46118</v>
      </c>
      <c r="EU19" s="746" t="n">
        <v>46125</v>
      </c>
      <c r="EV19" s="746" t="n">
        <v>46132</v>
      </c>
      <c r="EW19" s="746" t="n">
        <v>46139</v>
      </c>
      <c r="EX19" s="746" t="n">
        <v>46146</v>
      </c>
      <c r="EY19" s="746" t="n">
        <v>46154</v>
      </c>
      <c r="EZ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172</v>
      </c>
      <c r="G20" s="697" t="n">
        <v>167</v>
      </c>
      <c r="H20" s="697" t="n">
        <v>167</v>
      </c>
      <c r="I20" s="697" t="n">
        <v>167</v>
      </c>
      <c r="J20" s="697" t="n">
        <v>167</v>
      </c>
      <c r="K20" s="697" t="n">
        <v>167</v>
      </c>
      <c r="L20" s="697" t="n">
        <v>150</v>
      </c>
      <c r="M20" s="697" t="n">
        <v>138</v>
      </c>
      <c r="N20" s="697" t="n">
        <v>122</v>
      </c>
      <c r="O20" s="697" t="n">
        <v>100</v>
      </c>
      <c r="P20" s="697">
        <f>68+EI20</f>
        <v/>
      </c>
      <c r="Q20" s="697">
        <f>200+EH20</f>
        <v/>
      </c>
      <c r="R20" s="697" t="n">
        <v>332</v>
      </c>
      <c r="S20" s="697" t="n">
        <v>307</v>
      </c>
      <c r="T20" s="697" t="n">
        <v>288</v>
      </c>
      <c r="U20" s="697" t="n">
        <v>265</v>
      </c>
      <c r="V20" s="697" t="n">
        <v>267</v>
      </c>
      <c r="W20" s="697" t="n">
        <v>267</v>
      </c>
      <c r="X20" s="697" t="n">
        <v>267</v>
      </c>
      <c r="Y20" s="697" t="n">
        <v>264</v>
      </c>
      <c r="Z20" s="697" t="n">
        <v>260</v>
      </c>
      <c r="AA20" s="697" t="n">
        <v>255</v>
      </c>
      <c r="AB20" s="697" t="n">
        <v>252</v>
      </c>
      <c r="AC20" s="697" t="n">
        <v>249</v>
      </c>
      <c r="AD20" s="697" t="n">
        <v>225</v>
      </c>
      <c r="AE20" s="697" t="n">
        <v>218</v>
      </c>
      <c r="AF20" s="697" t="n">
        <v>205</v>
      </c>
      <c r="AG20" s="697" t="n">
        <v>193</v>
      </c>
      <c r="AH20" s="697" t="n">
        <v>177</v>
      </c>
      <c r="AI20" s="697" t="n">
        <v>160</v>
      </c>
      <c r="AJ20" s="697" t="n">
        <v>150</v>
      </c>
      <c r="AK20" s="697" t="n">
        <v>133</v>
      </c>
      <c r="AL20" s="697" t="n">
        <v>60</v>
      </c>
      <c r="AM20" s="697">
        <f>42+DI20</f>
        <v/>
      </c>
      <c r="AN20" s="697" t="n">
        <v>181</v>
      </c>
      <c r="AO20" s="697" t="n">
        <v>167</v>
      </c>
      <c r="AP20" s="697" t="n">
        <v>146</v>
      </c>
      <c r="AQ20" s="697" t="n">
        <v>120</v>
      </c>
      <c r="AR20" s="697" t="n">
        <v>97</v>
      </c>
      <c r="AS20" s="697">
        <f>77+DB20</f>
        <v/>
      </c>
      <c r="AT20" s="697" t="n">
        <v>205</v>
      </c>
      <c r="AU20" s="697" t="n">
        <v>176</v>
      </c>
      <c r="AV20" s="697" t="n">
        <v>164</v>
      </c>
      <c r="AW20" s="697" t="n">
        <v>149</v>
      </c>
      <c r="AX20" s="697" t="n">
        <v>134</v>
      </c>
      <c r="AY20" s="697" t="n">
        <v>126</v>
      </c>
      <c r="AZ20" s="697" t="n">
        <v>116</v>
      </c>
      <c r="BA20" s="697" t="n">
        <v>113</v>
      </c>
      <c r="BB20" s="697" t="n">
        <v>110</v>
      </c>
      <c r="BC20" s="697" t="n">
        <v>110</v>
      </c>
      <c r="BD20" s="697" t="n">
        <v>109</v>
      </c>
      <c r="BE20" s="697" t="n">
        <v>109</v>
      </c>
      <c r="BF20" s="697" t="n">
        <v>109</v>
      </c>
      <c r="BG20" s="697" t="n">
        <v>108</v>
      </c>
      <c r="BH20" s="697" t="n">
        <v>107</v>
      </c>
      <c r="BI20" s="697" t="n">
        <v>107</v>
      </c>
      <c r="BJ20" s="697" t="n">
        <v>98</v>
      </c>
      <c r="BK20" s="697" t="n">
        <v>87</v>
      </c>
      <c r="BL20" s="697" t="n">
        <v>73</v>
      </c>
      <c r="BM20" s="697" t="n">
        <v>70</v>
      </c>
      <c r="BN20" s="697">
        <f>60+CK20</f>
        <v/>
      </c>
      <c r="BO20" s="697" t="n">
        <v>196</v>
      </c>
      <c r="BP20" s="314" t="n">
        <v>314</v>
      </c>
      <c r="BQ20" s="697" t="n">
        <v>302</v>
      </c>
      <c r="BR20" s="314" t="n">
        <v>145</v>
      </c>
      <c r="BS20" s="697" t="n">
        <v>143</v>
      </c>
      <c r="BT20" s="697" t="n"/>
      <c r="BU20" s="697" t="n"/>
      <c r="BV20" s="697" t="n"/>
      <c r="BW20" s="697" t="n">
        <v>125</v>
      </c>
      <c r="BX20" s="697" t="n">
        <v>123</v>
      </c>
      <c r="BY20" s="697" t="n">
        <v>122</v>
      </c>
      <c r="BZ20" s="192">
        <f>BX20+IF(NOT(ISBLANK(OFFSET(BZ20,0,6))),N(OFFSET(BZ20,0,6)),N(OFFSET(BZ20,0,7)))-BY20</f>
        <v/>
      </c>
      <c r="CB20" s="22" t="n"/>
      <c r="CC20" s="2" t="n"/>
      <c r="CD20" s="49" t="n"/>
      <c r="CF20" s="23" t="n">
        <v>0</v>
      </c>
      <c r="CG20" s="23" t="n"/>
      <c r="CH20" s="23" t="n"/>
      <c r="CI20" s="219" t="n"/>
      <c r="CJ20" s="23" t="n"/>
      <c r="CK20" s="23" t="n">
        <v>150</v>
      </c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19" t="n">
        <v>300</v>
      </c>
      <c r="CW20" s="23" t="n"/>
      <c r="CX20" s="23" t="n"/>
      <c r="CY20" s="23" t="n"/>
      <c r="CZ20" s="23" t="n"/>
      <c r="DA20" s="23" t="n"/>
      <c r="DB20" s="23" t="n">
        <v>150</v>
      </c>
      <c r="DC20" s="219" t="n"/>
      <c r="DD20" s="23" t="n"/>
      <c r="DE20" s="219" t="n"/>
      <c r="DF20" s="23" t="n"/>
      <c r="DG20" s="23" t="n"/>
      <c r="DH20" s="23" t="n"/>
      <c r="DI20" s="23" t="n">
        <v>150</v>
      </c>
      <c r="DJ20" s="23" t="n"/>
      <c r="DK20" s="23" t="n"/>
      <c r="DL20" s="23" t="n"/>
      <c r="DM20" s="23" t="n"/>
      <c r="DN20" s="219" t="n"/>
      <c r="DO20" s="23" t="n"/>
      <c r="DP20" s="219" t="n"/>
      <c r="DQ20" s="219" t="n"/>
      <c r="DR20" s="219" t="n"/>
      <c r="DS20" s="23" t="n"/>
      <c r="DT20" s="23" t="n"/>
      <c r="DU20" s="23" t="n"/>
      <c r="DV20" s="292" t="inlineStr">
        <is>
          <t>49 P/ SHN</t>
        </is>
      </c>
      <c r="DW20" s="23" t="n"/>
      <c r="DX20" s="23" t="n"/>
      <c r="DY20" s="219" t="n"/>
      <c r="DZ20" s="23" t="n"/>
      <c r="EA20" s="219" t="n"/>
      <c r="EB20" s="23" t="n"/>
      <c r="EC20" s="292" t="inlineStr">
        <is>
          <t>100 DE BSH</t>
        </is>
      </c>
      <c r="ED20" s="23" t="n"/>
      <c r="EE20" s="23" t="n"/>
      <c r="EF20" s="219" t="n"/>
      <c r="EG20" s="23" t="n"/>
      <c r="EH20" s="23" t="n">
        <v>150</v>
      </c>
      <c r="EI20" s="23" t="n">
        <v>150</v>
      </c>
      <c r="EJ20" s="23" t="n"/>
      <c r="EK20" s="23" t="n"/>
      <c r="EL20" s="219" t="n"/>
      <c r="EM20" s="23" t="n"/>
      <c r="EN20" s="23" t="n"/>
      <c r="EO20" s="23" t="n"/>
      <c r="EP20" s="23" t="n"/>
      <c r="ER20" s="300" t="inlineStr">
        <is>
          <t>CAIXA P</t>
        </is>
      </c>
      <c r="ES20" s="162" t="n">
        <v>150</v>
      </c>
      <c r="ET20" s="697" t="n">
        <v>0</v>
      </c>
      <c r="EU20" s="697" t="n"/>
      <c r="EV20" s="697" t="n"/>
      <c r="EW20" s="697" t="n">
        <v>17</v>
      </c>
      <c r="EX20" s="697" t="n">
        <v>16</v>
      </c>
      <c r="EY20" s="697" t="n"/>
      <c r="EZ20" s="431">
        <f>EX20+IF(NOT(ISBLANK(OFFSET(EZ20,0,6))),N(OFFSET(EZ20,0,6)),N(OFFSET(EZ20,0,7)))-EY20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133</v>
      </c>
      <c r="G21" s="697" t="n">
        <v>129</v>
      </c>
      <c r="H21" s="697" t="n">
        <v>129</v>
      </c>
      <c r="I21" s="697" t="n">
        <v>128</v>
      </c>
      <c r="J21" s="697" t="n">
        <v>127</v>
      </c>
      <c r="K21" s="697" t="n">
        <v>125</v>
      </c>
      <c r="L21" s="697" t="n">
        <v>115</v>
      </c>
      <c r="M21" s="697" t="n">
        <v>211</v>
      </c>
      <c r="N21" s="697" t="n">
        <v>208</v>
      </c>
      <c r="O21" s="697" t="n">
        <v>185</v>
      </c>
      <c r="P21" s="697">
        <f>162+EI21</f>
        <v/>
      </c>
      <c r="Q21" s="697" t="n">
        <v>191</v>
      </c>
      <c r="R21" s="697">
        <f>167+EE21</f>
        <v/>
      </c>
      <c r="S21" s="697" t="n">
        <v>253</v>
      </c>
      <c r="T21" s="697" t="n">
        <v>243</v>
      </c>
      <c r="U21" s="697" t="n">
        <v>231</v>
      </c>
      <c r="V21" s="697" t="n">
        <v>225</v>
      </c>
      <c r="W21" s="697" t="n">
        <v>224</v>
      </c>
      <c r="X21" s="697" t="n">
        <v>224</v>
      </c>
      <c r="Y21" s="697" t="n">
        <v>215</v>
      </c>
      <c r="Z21" s="697" t="n">
        <v>210</v>
      </c>
      <c r="AA21" s="697" t="n">
        <v>199</v>
      </c>
      <c r="AB21" s="697" t="n">
        <v>194</v>
      </c>
      <c r="AC21" s="697" t="n">
        <v>190</v>
      </c>
      <c r="AD21" s="697" t="n">
        <v>173</v>
      </c>
      <c r="AE21" s="697" t="n">
        <v>164</v>
      </c>
      <c r="AF21" s="697" t="n">
        <v>153</v>
      </c>
      <c r="AG21" s="697" t="n">
        <v>140</v>
      </c>
      <c r="AH21" s="697" t="n">
        <v>126</v>
      </c>
      <c r="AI21" s="697" t="n">
        <v>103</v>
      </c>
      <c r="AJ21" s="697" t="n">
        <v>92</v>
      </c>
      <c r="AK21" s="697" t="n">
        <v>85</v>
      </c>
      <c r="AL21" s="697" t="n">
        <v>60</v>
      </c>
      <c r="AM21" s="697">
        <f>56+DI21</f>
        <v/>
      </c>
      <c r="AN21" s="697" t="n">
        <v>142</v>
      </c>
      <c r="AO21" s="697" t="n">
        <v>124</v>
      </c>
      <c r="AP21" s="697" t="n">
        <v>107</v>
      </c>
      <c r="AQ21" s="697" t="n">
        <v>113</v>
      </c>
      <c r="AR21" s="697" t="n">
        <v>204</v>
      </c>
      <c r="AS21" s="697" t="n">
        <v>193</v>
      </c>
      <c r="AT21" s="697" t="n">
        <v>147</v>
      </c>
      <c r="AU21" s="697">
        <f>118+CY21-30</f>
        <v/>
      </c>
      <c r="AV21" s="697" t="n">
        <v>203</v>
      </c>
      <c r="AW21" s="697">
        <f>178-50</f>
        <v/>
      </c>
      <c r="AX21" s="697" t="n">
        <v>79</v>
      </c>
      <c r="AY21" s="697" t="n">
        <v>73</v>
      </c>
      <c r="AZ21" s="697" t="n">
        <v>74</v>
      </c>
      <c r="BA21" s="697" t="n">
        <v>70</v>
      </c>
      <c r="BB21" s="697" t="n">
        <v>69</v>
      </c>
      <c r="BC21" s="697" t="n">
        <v>69</v>
      </c>
      <c r="BD21" s="697" t="n">
        <v>67</v>
      </c>
      <c r="BE21" s="697" t="n">
        <v>162</v>
      </c>
      <c r="BF21" s="697" t="n">
        <v>162</v>
      </c>
      <c r="BG21" s="697" t="n">
        <v>159</v>
      </c>
      <c r="BH21" s="697" t="n">
        <v>121</v>
      </c>
      <c r="BI21" s="697" t="n">
        <v>120</v>
      </c>
      <c r="BJ21" s="697" t="n">
        <v>117</v>
      </c>
      <c r="BK21" s="697" t="n">
        <v>115</v>
      </c>
      <c r="BL21" s="697" t="n">
        <v>103</v>
      </c>
      <c r="BM21" s="697" t="n">
        <v>101</v>
      </c>
      <c r="BN21" s="697">
        <f>95+CK21</f>
        <v/>
      </c>
      <c r="BO21" s="697" t="n">
        <v>184</v>
      </c>
      <c r="BP21" s="697" t="n">
        <v>266</v>
      </c>
      <c r="BQ21" s="697" t="n">
        <v>259</v>
      </c>
      <c r="BR21" s="697" t="n">
        <v>180</v>
      </c>
      <c r="BS21" s="697" t="n">
        <v>176</v>
      </c>
      <c r="BT21" s="697" t="n"/>
      <c r="BU21" s="697" t="n"/>
      <c r="BV21" s="697" t="n"/>
      <c r="BW21" s="697" t="n">
        <v>236</v>
      </c>
      <c r="BX21" s="697" t="n">
        <v>236</v>
      </c>
      <c r="BY21" s="697" t="n">
        <v>235</v>
      </c>
      <c r="BZ21" s="192">
        <f>BX21+IF(NOT(ISBLANK(OFFSET(BZ21,0,6))),N(OFFSET(BZ21,0,6)),N(OFFSET(BZ21,0,7)))-BY21</f>
        <v/>
      </c>
      <c r="CA21" s="50" t="n"/>
      <c r="CB21" s="210" t="n"/>
      <c r="CC21" s="2" t="n"/>
      <c r="CD21" s="49" t="n"/>
      <c r="CF21" s="23" t="n">
        <v>0</v>
      </c>
      <c r="CG21" s="23" t="n">
        <v>100</v>
      </c>
      <c r="CH21" s="23" t="n"/>
      <c r="CI21" s="219" t="n"/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192" t="inlineStr">
        <is>
          <t>50 P/ Q7</t>
        </is>
      </c>
      <c r="CU21" s="23" t="n"/>
      <c r="CV21" s="219" t="n">
        <v>100</v>
      </c>
      <c r="CW21" s="23" t="n"/>
      <c r="CX21" s="192" t="inlineStr">
        <is>
          <t>30 P/ Q7</t>
        </is>
      </c>
      <c r="CY21" s="23" t="n">
        <v>100</v>
      </c>
      <c r="CZ21" s="23" t="n"/>
      <c r="DA21" s="23" t="n"/>
      <c r="DB21" s="23" t="n"/>
      <c r="DC21" s="219" t="n"/>
      <c r="DD21" s="23" t="n"/>
      <c r="DE21" s="437" t="inlineStr">
        <is>
          <t>10 DE SHN</t>
        </is>
      </c>
      <c r="DF21" s="23" t="n">
        <v>100</v>
      </c>
      <c r="DG21" s="23" t="n"/>
      <c r="DH21" s="23" t="n"/>
      <c r="DI21" s="23" t="n">
        <v>100</v>
      </c>
      <c r="DJ21" s="23" t="n"/>
      <c r="DK21" s="23" t="n"/>
      <c r="DL21" s="23" t="n"/>
      <c r="DM21" s="23" t="n"/>
      <c r="DN21" s="219" t="n"/>
      <c r="DO21" s="23" t="n"/>
      <c r="DP21" s="219" t="n"/>
      <c r="DQ21" s="292" t="inlineStr">
        <is>
          <t>30 DE Q7</t>
        </is>
      </c>
      <c r="DR21" s="219" t="n"/>
      <c r="DS21" s="23" t="n"/>
      <c r="DT21" s="23" t="n"/>
      <c r="DU21" s="23" t="n"/>
      <c r="DV21" s="292" t="inlineStr">
        <is>
          <t>35 P/ SHN</t>
        </is>
      </c>
      <c r="DW21" s="23" t="n"/>
      <c r="DX21" s="23" t="n"/>
      <c r="DY21" s="376" t="inlineStr">
        <is>
          <t>30 DE Q7</t>
        </is>
      </c>
      <c r="DZ21" s="23" t="n"/>
      <c r="EA21" s="219" t="n"/>
      <c r="EB21" s="23" t="n"/>
      <c r="EC21" s="219" t="n"/>
      <c r="ED21" s="23" t="n"/>
      <c r="EE21" s="23" t="n">
        <v>100</v>
      </c>
      <c r="EF21" s="219" t="n">
        <v>100</v>
      </c>
      <c r="EG21" s="282" t="inlineStr">
        <is>
          <t>60 P. BSH</t>
        </is>
      </c>
      <c r="EH21" s="23" t="n"/>
      <c r="EI21" s="23" t="n">
        <v>100</v>
      </c>
      <c r="EJ21" s="23" t="n"/>
      <c r="EK21" s="23" t="n">
        <v>100</v>
      </c>
      <c r="EL21" s="260" t="inlineStr">
        <is>
          <t>20 P/ BSH</t>
        </is>
      </c>
      <c r="EM21" s="292" t="inlineStr">
        <is>
          <t>21 P/ SHN</t>
        </is>
      </c>
      <c r="EN21" s="23" t="n"/>
      <c r="EO21" s="23" t="n"/>
      <c r="EP21" s="23" t="n"/>
      <c r="ER21" s="65" t="inlineStr">
        <is>
          <t>CAIXA M</t>
        </is>
      </c>
      <c r="ES21" s="699" t="n">
        <v>100</v>
      </c>
      <c r="ET21" s="697" t="n">
        <v>0</v>
      </c>
      <c r="EU21" s="697" t="n"/>
      <c r="EV21" s="697" t="n"/>
      <c r="EW21" s="697" t="n">
        <v>42</v>
      </c>
      <c r="EX21" s="697" t="n">
        <v>38</v>
      </c>
      <c r="EY21" s="697" t="n"/>
      <c r="EZ21" s="431">
        <f>EX21+IF(NOT(ISBLANK(OFFSET(EZ21,0,6))),N(OFFSET(EZ21,0,6)),N(OFFSET(EZ21,0,7)))-EY21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11</v>
      </c>
      <c r="G22" s="697" t="n">
        <v>15</v>
      </c>
      <c r="H22" s="697" t="n">
        <v>15</v>
      </c>
      <c r="I22" s="697" t="n">
        <v>15</v>
      </c>
      <c r="J22" s="697" t="n">
        <v>15</v>
      </c>
      <c r="K22" s="697" t="n">
        <v>13</v>
      </c>
      <c r="L22" s="697" t="n">
        <v>13</v>
      </c>
      <c r="M22" s="697" t="n">
        <v>13</v>
      </c>
      <c r="N22" s="697" t="n">
        <v>13</v>
      </c>
      <c r="O22" s="697" t="n">
        <v>13</v>
      </c>
      <c r="P22" s="697" t="n">
        <v>13</v>
      </c>
      <c r="Q22" s="697" t="n">
        <v>12</v>
      </c>
      <c r="R22" s="697" t="n">
        <v>12</v>
      </c>
      <c r="S22" s="697" t="n">
        <v>12</v>
      </c>
      <c r="T22" s="697" t="n">
        <v>12</v>
      </c>
      <c r="U22" s="697" t="n">
        <v>12</v>
      </c>
      <c r="V22" s="697" t="n">
        <v>12</v>
      </c>
      <c r="W22" s="697" t="n">
        <v>12</v>
      </c>
      <c r="X22" s="697" t="n">
        <v>12</v>
      </c>
      <c r="Y22" s="697" t="n">
        <v>12</v>
      </c>
      <c r="Z22" s="697" t="n">
        <v>10</v>
      </c>
      <c r="AA22" s="697" t="n">
        <v>10</v>
      </c>
      <c r="AB22" s="697" t="n">
        <v>10</v>
      </c>
      <c r="AC22" s="697" t="n">
        <v>10</v>
      </c>
      <c r="AD22" s="697" t="n">
        <v>8</v>
      </c>
      <c r="AE22" s="697" t="n">
        <v>6</v>
      </c>
      <c r="AF22" s="697" t="n">
        <v>6</v>
      </c>
      <c r="AG22" s="697" t="n">
        <v>5</v>
      </c>
      <c r="AH22" s="697" t="n">
        <v>5</v>
      </c>
      <c r="AI22" s="697" t="n">
        <v>4</v>
      </c>
      <c r="AJ22" s="697" t="n">
        <v>4</v>
      </c>
      <c r="AK22" s="697" t="n">
        <v>4</v>
      </c>
      <c r="AL22" s="697" t="n">
        <v>4</v>
      </c>
      <c r="AM22" s="697" t="n">
        <v>3</v>
      </c>
      <c r="AN22" s="697" t="n">
        <v>2</v>
      </c>
      <c r="AO22" s="697">
        <f>1+20</f>
        <v/>
      </c>
      <c r="AP22" s="697" t="n">
        <v>20</v>
      </c>
      <c r="AQ22" s="697" t="n">
        <v>19</v>
      </c>
      <c r="AR22" s="697" t="n">
        <v>19</v>
      </c>
      <c r="AS22" s="697" t="n">
        <v>19</v>
      </c>
      <c r="AT22" s="697" t="n">
        <v>19</v>
      </c>
      <c r="AU22" s="697" t="n">
        <v>19</v>
      </c>
      <c r="AV22" s="697" t="n">
        <v>19</v>
      </c>
      <c r="AW22" s="697" t="n">
        <v>19</v>
      </c>
      <c r="AX22" s="697" t="n">
        <v>19</v>
      </c>
      <c r="AY22" s="697" t="n">
        <v>19</v>
      </c>
      <c r="AZ22" s="697" t="n">
        <v>19</v>
      </c>
      <c r="BA22" s="697" t="n">
        <v>19</v>
      </c>
      <c r="BB22" s="697" t="n">
        <v>18</v>
      </c>
      <c r="BC22" s="697" t="n">
        <v>18</v>
      </c>
      <c r="BD22" s="697" t="n">
        <v>18</v>
      </c>
      <c r="BE22" s="697" t="n">
        <v>18</v>
      </c>
      <c r="BF22" s="697" t="n">
        <v>17</v>
      </c>
      <c r="BG22" s="697" t="n">
        <v>17</v>
      </c>
      <c r="BH22" s="697" t="n">
        <v>17</v>
      </c>
      <c r="BI22" s="697" t="n">
        <v>16</v>
      </c>
      <c r="BJ22" s="697" t="n">
        <v>16</v>
      </c>
      <c r="BK22" s="697" t="n">
        <v>16</v>
      </c>
      <c r="BL22" s="697" t="n">
        <v>16</v>
      </c>
      <c r="BM22" s="697" t="n">
        <v>16</v>
      </c>
      <c r="BN22" s="697" t="n">
        <v>16</v>
      </c>
      <c r="BO22" s="697" t="n">
        <v>16</v>
      </c>
      <c r="BP22" s="697" t="n">
        <v>16</v>
      </c>
      <c r="BQ22" s="697" t="n">
        <v>15</v>
      </c>
      <c r="BR22" s="697" t="n">
        <v>15</v>
      </c>
      <c r="BS22" s="697" t="n">
        <v>15</v>
      </c>
      <c r="BT22" s="697" t="n">
        <v>15</v>
      </c>
      <c r="BU22" s="697" t="n">
        <v>15</v>
      </c>
      <c r="BV22" s="697" t="n">
        <v>15</v>
      </c>
      <c r="BW22" s="697" t="n">
        <v>15</v>
      </c>
      <c r="BX22" s="697" t="n">
        <v>15</v>
      </c>
      <c r="BY22" s="697" t="n">
        <v>12</v>
      </c>
      <c r="BZ22" s="192">
        <f>BX22+IF(NOT(ISBLANK(OFFSET(BZ22,0,6))),N(OFFSET(BZ22,0,6)),N(OFFSET(BZ22,0,7)))-BY22</f>
        <v/>
      </c>
      <c r="CA22" s="50" t="n"/>
      <c r="CB22" s="210" t="n"/>
      <c r="CC22" s="726" t="n"/>
      <c r="CD22" s="49" t="n"/>
      <c r="CF22" s="23" t="n">
        <v>0</v>
      </c>
      <c r="CG22" s="23" t="n"/>
      <c r="CH22" s="23" t="n"/>
      <c r="CI22" s="219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443" t="n">
        <v>200</v>
      </c>
      <c r="CW22" s="23" t="n"/>
      <c r="CX22" s="23" t="n"/>
      <c r="CY22" s="23" t="n"/>
      <c r="CZ22" s="23" t="n"/>
      <c r="DA22" s="23" t="n"/>
      <c r="DB22" s="23" t="n"/>
      <c r="DC22" s="219" t="n"/>
      <c r="DD22" s="23" t="n"/>
      <c r="DE22" s="219" t="n"/>
      <c r="DF22" s="23" t="n"/>
      <c r="DG22" s="192" t="inlineStr">
        <is>
          <t>20 DE BSH</t>
        </is>
      </c>
      <c r="DH22" s="23" t="n"/>
      <c r="DI22" s="23" t="n"/>
      <c r="DJ22" s="23" t="n"/>
      <c r="DK22" s="23" t="n"/>
      <c r="DL22" s="23" t="n"/>
      <c r="DM22" s="23" t="n"/>
      <c r="DN22" s="219" t="n"/>
      <c r="DO22" s="23" t="n"/>
      <c r="DP22" s="219" t="n"/>
      <c r="DQ22" s="219" t="n"/>
      <c r="DR22" s="219" t="n"/>
      <c r="DS22" s="23" t="n"/>
      <c r="DT22" s="23" t="n"/>
      <c r="DU22" s="23" t="n"/>
      <c r="DV22" s="219" t="n"/>
      <c r="DW22" s="23" t="n"/>
      <c r="DX22" s="23" t="n"/>
      <c r="DY22" s="376" t="inlineStr">
        <is>
          <t>50 DE Q7</t>
        </is>
      </c>
      <c r="DZ22" s="23" t="n"/>
      <c r="EA22" s="219" t="n"/>
      <c r="EB22" s="23" t="n"/>
      <c r="EC22" s="219" t="n"/>
      <c r="ED22" s="23" t="n"/>
      <c r="EE22" s="23" t="n"/>
      <c r="EF22" s="219" t="n"/>
      <c r="EG22" s="23" t="n"/>
      <c r="EH22" s="23" t="n"/>
      <c r="EI22" s="23" t="n"/>
      <c r="EJ22" s="23" t="n"/>
      <c r="EK22" s="23" t="n"/>
      <c r="EL22" s="219" t="n"/>
      <c r="EM22" s="23" t="n"/>
      <c r="EN22" s="23" t="n"/>
      <c r="EO22" s="23" t="n"/>
      <c r="EP22" s="23" t="n"/>
      <c r="ER22" s="66" t="inlineStr">
        <is>
          <t>CARTUCHO P</t>
        </is>
      </c>
      <c r="ES22" s="699" t="n">
        <v>200</v>
      </c>
      <c r="ET22" s="697" t="n">
        <v>0</v>
      </c>
      <c r="EU22" s="697" t="n"/>
      <c r="EV22" s="697" t="n"/>
      <c r="EW22" s="697" t="n">
        <v>0</v>
      </c>
      <c r="EX22" s="697" t="n">
        <v>0</v>
      </c>
      <c r="EY22" s="697" t="n"/>
      <c r="EZ22" s="431">
        <f>EX22+IF(NOT(ISBLANK(OFFSET(EZ22,0,6))),N(OFFSET(EZ22,0,6)),N(OFFSET(EZ22,0,7)))-EY22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 t="n">
        <v>0</v>
      </c>
      <c r="BE23" s="697" t="n">
        <v>150</v>
      </c>
      <c r="BF23" s="697" t="n">
        <v>150</v>
      </c>
      <c r="BG23" s="697" t="n">
        <v>150</v>
      </c>
      <c r="BH23" s="697" t="n">
        <v>100</v>
      </c>
      <c r="BI23" s="697" t="n">
        <v>100</v>
      </c>
      <c r="BJ23" s="697" t="n">
        <v>97</v>
      </c>
      <c r="BK23" s="697" t="n">
        <v>90</v>
      </c>
      <c r="BL23" s="697" t="n">
        <v>86</v>
      </c>
      <c r="BM23" s="697" t="n">
        <v>81</v>
      </c>
      <c r="BN23" s="697" t="n">
        <v>78</v>
      </c>
      <c r="BO23" s="697" t="n">
        <v>78</v>
      </c>
      <c r="BP23" s="697" t="n">
        <v>6</v>
      </c>
      <c r="BQ23" s="697">
        <f>4+CJ23</f>
        <v/>
      </c>
      <c r="BR23" s="697" t="n">
        <v>151</v>
      </c>
      <c r="BS23" s="697" t="n">
        <v>142</v>
      </c>
      <c r="BT23" s="697" t="n"/>
      <c r="BU23" s="697" t="n"/>
      <c r="BV23" s="697" t="n"/>
      <c r="BW23" s="697" t="n">
        <v>179</v>
      </c>
      <c r="BX23" s="697" t="n">
        <v>178</v>
      </c>
      <c r="BY23" s="697" t="n"/>
      <c r="BZ23" s="192">
        <f>BX23+IF(NOT(ISBLANK(OFFSET(BZ23,0,6))),N(OFFSET(BZ23,0,6)),N(OFFSET(BZ23,0,7)))-BY23</f>
        <v/>
      </c>
      <c r="CA23" s="50" t="n"/>
      <c r="CB23" s="210" t="n"/>
      <c r="CD23" s="49" t="n"/>
      <c r="CF23" s="23" t="n">
        <v>0</v>
      </c>
      <c r="CG23" s="23" t="n"/>
      <c r="CH23" s="23" t="n"/>
      <c r="CI23" s="219" t="n">
        <v>150</v>
      </c>
      <c r="CJ23" s="23" t="n">
        <v>150</v>
      </c>
      <c r="CK23" s="23" t="n"/>
      <c r="CL23" s="23" t="n"/>
      <c r="CM23" s="23" t="n"/>
      <c r="CN23" s="23" t="n"/>
      <c r="CO23" s="23" t="n"/>
      <c r="CP23" s="23" t="n"/>
      <c r="CQ23" s="23" t="n">
        <v>150</v>
      </c>
      <c r="CR23" s="330" t="n"/>
      <c r="CS23" s="330" t="n"/>
      <c r="CT23" s="330" t="n"/>
      <c r="CU23" s="330" t="n"/>
      <c r="CV23" s="326" t="n">
        <v>150</v>
      </c>
      <c r="DC23" s="5" t="n"/>
      <c r="DE23" s="5" t="n"/>
      <c r="DM23" s="417" t="inlineStr">
        <is>
          <t>15 P/ SHN</t>
        </is>
      </c>
      <c r="DN23" s="292" t="inlineStr">
        <is>
          <t>46 P/ BSH</t>
        </is>
      </c>
      <c r="DP23" s="219" t="n">
        <v>25</v>
      </c>
      <c r="DQ23" s="5" t="n"/>
      <c r="DR23" s="5" t="n"/>
      <c r="DY23" s="5" t="n"/>
      <c r="EA23" s="5" t="n"/>
      <c r="EF23" s="326" t="n">
        <v>200</v>
      </c>
      <c r="ER23" s="66" t="inlineStr">
        <is>
          <t>CARTUCHO M</t>
        </is>
      </c>
      <c r="ES23" s="699" t="n">
        <v>150</v>
      </c>
      <c r="ET23" s="697">
        <f>CI23</f>
        <v/>
      </c>
      <c r="EU23" s="697" t="n"/>
      <c r="EV23" s="697" t="n"/>
      <c r="EW23" s="697" t="n">
        <v>126</v>
      </c>
      <c r="EX23" s="697" t="n">
        <v>113</v>
      </c>
      <c r="EY23" s="697" t="n"/>
      <c r="EZ23" s="431">
        <f>EX23+IF(NOT(ISBLANK(OFFSET(EZ23,0,6))),N(OFFSET(EZ23,0,6)),N(OFFSET(EZ23,0,7)))-EY23</f>
        <v/>
      </c>
    </row>
    <row r="24">
      <c r="CA24" s="50" t="n"/>
      <c r="CI24" s="5" t="n"/>
      <c r="CV24" s="5" t="n"/>
      <c r="DC24" s="5" t="n"/>
      <c r="DE24" s="5" t="n"/>
      <c r="DM24" s="417" t="inlineStr">
        <is>
          <t>15 P/ SHN</t>
        </is>
      </c>
      <c r="DP24" s="219" t="n">
        <v>25</v>
      </c>
      <c r="DQ24" s="5" t="n"/>
      <c r="DR24" s="5" t="n"/>
      <c r="DY24" s="5" t="n"/>
      <c r="EA24" s="5" t="n"/>
      <c r="EF24" s="326" t="n">
        <v>150</v>
      </c>
    </row>
    <row r="25" ht="18.75" customHeight="1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45699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I25" s="5" t="n"/>
      <c r="CV25" s="5" t="n"/>
      <c r="DC25" s="5" t="n"/>
      <c r="DE25" s="5" t="n"/>
      <c r="DM25" s="417" t="inlineStr">
        <is>
          <t>15 P/ SHN</t>
        </is>
      </c>
      <c r="DN25" s="327" t="n"/>
      <c r="DP25" s="219" t="n">
        <v>25</v>
      </c>
      <c r="DQ25" s="5" t="n"/>
      <c r="DR25" s="5" t="n"/>
      <c r="DV25" s="327" t="n"/>
      <c r="DY25" s="5" t="n"/>
      <c r="EA25" s="5" t="n"/>
      <c r="EC25" s="327" t="n"/>
      <c r="EF25" s="327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21</v>
      </c>
      <c r="G26" s="697" t="n">
        <v>21</v>
      </c>
      <c r="H26" s="697">
        <f>21-21</f>
        <v/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A26" s="50" t="n"/>
      <c r="CI26" s="5" t="n"/>
      <c r="CV26" s="5" t="n"/>
      <c r="DC26" s="5" t="n"/>
      <c r="DE26" s="5" t="n"/>
      <c r="DN26" s="327" t="n"/>
      <c r="DP26" s="5" t="n"/>
      <c r="DQ26" s="5" t="n"/>
      <c r="DR26" s="5" t="n"/>
      <c r="DV26" s="327" t="n"/>
      <c r="DY26" s="5" t="n"/>
      <c r="EA26" s="5" t="n"/>
      <c r="EC26" s="327" t="n"/>
      <c r="EF26" s="327" t="n"/>
    </row>
    <row r="27" ht="18.75" customHeight="1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174</v>
      </c>
      <c r="G27" s="697" t="n">
        <v>174</v>
      </c>
      <c r="H27" s="697" t="n">
        <v>169</v>
      </c>
      <c r="I27" s="697" t="n">
        <v>169</v>
      </c>
      <c r="J27" s="697" t="n">
        <v>169</v>
      </c>
      <c r="K27" s="697" t="n">
        <v>169</v>
      </c>
      <c r="L27" s="697" t="n">
        <v>169</v>
      </c>
      <c r="M27" s="697" t="n">
        <v>169</v>
      </c>
      <c r="N27" s="697" t="n">
        <v>168</v>
      </c>
      <c r="O27" s="697" t="n">
        <v>169</v>
      </c>
      <c r="P27" s="697" t="n">
        <v>169</v>
      </c>
      <c r="Q27" s="697" t="n">
        <v>169</v>
      </c>
      <c r="R27" s="697" t="n">
        <v>168</v>
      </c>
      <c r="S27" s="697" t="n">
        <v>168</v>
      </c>
      <c r="T27" s="697" t="n">
        <v>167</v>
      </c>
      <c r="U27" s="697" t="n">
        <v>164</v>
      </c>
      <c r="V27" s="697" t="n">
        <v>164</v>
      </c>
      <c r="W27" s="697" t="n">
        <v>163</v>
      </c>
      <c r="X27" s="697" t="n">
        <v>161</v>
      </c>
      <c r="Y27" s="697" t="n">
        <v>161</v>
      </c>
      <c r="Z27" s="697" t="n">
        <v>157</v>
      </c>
      <c r="AA27" s="697" t="n">
        <v>157</v>
      </c>
      <c r="AB27" s="697" t="n">
        <v>156</v>
      </c>
      <c r="AC27" s="697" t="n">
        <v>155</v>
      </c>
      <c r="AD27" s="697" t="n">
        <v>154</v>
      </c>
      <c r="AE27" s="697" t="n">
        <v>152</v>
      </c>
      <c r="AF27" s="697" t="n">
        <v>154</v>
      </c>
      <c r="AG27" s="697" t="n">
        <v>154</v>
      </c>
      <c r="AH27" s="697" t="n">
        <v>154</v>
      </c>
      <c r="AI27" s="697" t="n">
        <v>150</v>
      </c>
      <c r="AJ27" s="697" t="n">
        <v>147</v>
      </c>
      <c r="AK27" s="697" t="n">
        <v>147</v>
      </c>
      <c r="AL27" s="697" t="n">
        <v>146</v>
      </c>
      <c r="AM27" s="697" t="n">
        <v>146</v>
      </c>
      <c r="AN27" s="697" t="n">
        <v>145</v>
      </c>
      <c r="AO27" s="697" t="n">
        <v>145</v>
      </c>
      <c r="AP27" s="697" t="n">
        <v>145</v>
      </c>
      <c r="AQ27" s="697" t="n">
        <v>142</v>
      </c>
      <c r="AR27" s="697" t="n">
        <v>142</v>
      </c>
      <c r="AS27" s="697" t="n">
        <v>143</v>
      </c>
      <c r="AT27" s="697" t="n">
        <v>143</v>
      </c>
      <c r="AU27" s="697" t="n">
        <v>141</v>
      </c>
      <c r="AV27" s="697" t="n">
        <v>140</v>
      </c>
      <c r="AW27" s="697" t="n">
        <v>138</v>
      </c>
      <c r="AX27" s="697" t="n">
        <v>136</v>
      </c>
      <c r="AY27" s="697" t="n">
        <v>136</v>
      </c>
      <c r="AZ27" s="697" t="n">
        <v>136</v>
      </c>
      <c r="BA27" s="697" t="n">
        <v>136</v>
      </c>
      <c r="BB27" s="697" t="n">
        <v>136</v>
      </c>
      <c r="BC27" s="697" t="n">
        <v>134</v>
      </c>
      <c r="BD27" s="697" t="n">
        <v>132</v>
      </c>
      <c r="BE27" s="697" t="n">
        <v>123</v>
      </c>
      <c r="BF27" s="697" t="n">
        <v>94</v>
      </c>
      <c r="BG27" s="697" t="n">
        <v>94</v>
      </c>
      <c r="BH27" s="697" t="n">
        <v>94</v>
      </c>
      <c r="BI27" s="697" t="n">
        <v>94</v>
      </c>
      <c r="BJ27" s="697" t="n">
        <v>93</v>
      </c>
      <c r="BK27" s="697" t="n">
        <v>93</v>
      </c>
      <c r="BL27" s="697" t="n">
        <v>93</v>
      </c>
      <c r="BM27" s="697" t="n">
        <v>92</v>
      </c>
      <c r="BN27" s="697" t="n">
        <v>92</v>
      </c>
      <c r="BO27" s="697" t="n">
        <v>91</v>
      </c>
      <c r="BP27" s="697" t="n">
        <v>91</v>
      </c>
      <c r="BQ27" s="697" t="n">
        <v>91</v>
      </c>
      <c r="BR27" s="697" t="n">
        <v>91</v>
      </c>
      <c r="BS27" s="697" t="n">
        <v>91</v>
      </c>
      <c r="BT27" s="697" t="n">
        <v>91</v>
      </c>
      <c r="BU27" s="697" t="n">
        <v>91</v>
      </c>
      <c r="BV27" s="697" t="n">
        <v>91</v>
      </c>
      <c r="BW27" s="697" t="n">
        <v>91</v>
      </c>
      <c r="BX27" s="697" t="n">
        <v>90</v>
      </c>
      <c r="BY27" s="697" t="n">
        <v>91</v>
      </c>
      <c r="BZ27" s="192">
        <f>BX27+IF(NOT(ISBLANK(OFFSET(BZ27,0,6))),N(OFFSET(BZ27,0,6)),N(OFFSET(BZ27,0,7)))-BY27</f>
        <v/>
      </c>
      <c r="CA27" s="50" t="n"/>
      <c r="CI27" s="5" t="n"/>
      <c r="CV27" s="5" t="n"/>
      <c r="DC27" s="5" t="n"/>
      <c r="DE27" s="5" t="n"/>
      <c r="DN27" s="327" t="n"/>
      <c r="DP27" s="5" t="n"/>
      <c r="DQ27" s="5" t="n"/>
      <c r="DR27" s="5" t="n"/>
      <c r="DV27" s="327" t="n"/>
      <c r="DY27" s="5" t="n"/>
      <c r="EA27" s="5" t="n"/>
      <c r="EC27" s="327" t="n"/>
      <c r="EF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59</v>
      </c>
      <c r="G28" s="699" t="n">
        <v>49</v>
      </c>
      <c r="H28" s="697" t="n">
        <v>33</v>
      </c>
      <c r="I28" s="697" t="n">
        <v>20</v>
      </c>
      <c r="J28" s="697" t="n">
        <v>12</v>
      </c>
      <c r="K28" s="697" t="n">
        <v>3</v>
      </c>
      <c r="L28" s="697" t="n">
        <v>2</v>
      </c>
      <c r="M28" s="697" t="n">
        <v>2</v>
      </c>
      <c r="N28" s="697" t="n">
        <v>1</v>
      </c>
      <c r="O28" s="697" t="n">
        <v>1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I28" s="5" t="n"/>
      <c r="CV28" s="5" t="n"/>
      <c r="DC28" s="5" t="n"/>
      <c r="DE28" s="5" t="n"/>
      <c r="DN28" s="327" t="n"/>
      <c r="DP28" s="5" t="n"/>
      <c r="DQ28" s="5" t="n"/>
      <c r="DR28" s="5" t="n"/>
      <c r="DV28" s="327" t="n"/>
      <c r="DY28" s="5" t="n"/>
      <c r="EA28" s="5" t="n"/>
      <c r="EC28" s="327" t="n"/>
      <c r="EF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137</v>
      </c>
      <c r="G29" s="699" t="n">
        <v>128</v>
      </c>
      <c r="H29" s="697" t="n">
        <v>104</v>
      </c>
      <c r="I29" s="697" t="n">
        <v>94</v>
      </c>
      <c r="J29" s="697" t="n">
        <v>82</v>
      </c>
      <c r="K29" s="697">
        <f>72-20</f>
        <v/>
      </c>
      <c r="L29" s="697" t="n">
        <v>43</v>
      </c>
      <c r="M29" s="697" t="n">
        <v>35</v>
      </c>
      <c r="N29" s="697" t="n">
        <v>28</v>
      </c>
      <c r="O29" s="697" t="n">
        <v>23</v>
      </c>
      <c r="P29" s="697" t="n">
        <v>7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A29" s="50" t="n"/>
      <c r="CI29" s="5" t="n"/>
      <c r="CV29" s="5" t="n"/>
      <c r="DN29" s="327" t="n"/>
      <c r="DP29" s="5" t="n"/>
      <c r="DQ29" s="5" t="n"/>
      <c r="DR29" s="5" t="n"/>
      <c r="DV29" s="327" t="n"/>
      <c r="EC29" s="327" t="n"/>
      <c r="EF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A30" s="50" t="n"/>
      <c r="CI30" s="5" t="n"/>
      <c r="CV30" s="5" t="n"/>
      <c r="DN30" s="327" t="n"/>
      <c r="DP30" s="5" t="n"/>
      <c r="DQ30" s="5" t="n"/>
      <c r="DR30" s="5" t="n"/>
      <c r="DV30" s="327" t="n"/>
      <c r="EC30" s="327" t="n"/>
      <c r="EF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1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A31" s="50" t="n"/>
      <c r="CI31" s="5" t="n"/>
      <c r="CV31" s="5" t="n"/>
      <c r="DN31" s="327" t="n"/>
      <c r="DP31" s="5" t="n"/>
      <c r="DQ31" s="5" t="n"/>
      <c r="DR31" s="5" t="n"/>
      <c r="DV31" s="327" t="n"/>
      <c r="EC31" s="327" t="n"/>
      <c r="EF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6</v>
      </c>
      <c r="G32" s="699" t="n">
        <v>4</v>
      </c>
      <c r="H32" s="697" t="n">
        <v>1</v>
      </c>
      <c r="I32" s="697" t="n">
        <v>1</v>
      </c>
      <c r="J32" s="697" t="n">
        <v>1</v>
      </c>
      <c r="K32" s="697" t="n">
        <v>1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A32" s="50" t="n"/>
      <c r="CI32" s="5" t="n"/>
      <c r="CV32" s="5" t="n"/>
      <c r="DN32" s="327" t="n"/>
      <c r="DP32" s="5" t="n"/>
      <c r="DQ32" s="5" t="n"/>
      <c r="DR32" s="5" t="n"/>
      <c r="DV32" s="327" t="n"/>
      <c r="EC32" s="327" t="n"/>
      <c r="EF32" s="327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>
        <v>0</v>
      </c>
      <c r="BA33" s="314" t="n">
        <v>17</v>
      </c>
      <c r="BB33" s="697" t="n">
        <v>17</v>
      </c>
      <c r="BC33" s="697" t="n">
        <v>17</v>
      </c>
      <c r="BD33" s="697" t="n">
        <v>10</v>
      </c>
      <c r="BE33" s="697" t="n">
        <v>7</v>
      </c>
      <c r="BF33" s="697" t="n">
        <v>2</v>
      </c>
      <c r="BG33" s="697" t="n">
        <v>2</v>
      </c>
      <c r="BH33" s="697" t="n">
        <v>2</v>
      </c>
      <c r="BI33" s="697" t="n">
        <v>2</v>
      </c>
      <c r="BJ33" s="697" t="n">
        <v>2</v>
      </c>
      <c r="BK33" s="697" t="n">
        <v>2</v>
      </c>
      <c r="BL33" s="697" t="n">
        <v>2</v>
      </c>
      <c r="BM33" s="697" t="n">
        <v>2</v>
      </c>
      <c r="BN33" s="697" t="n">
        <v>2</v>
      </c>
      <c r="BO33" s="697" t="n">
        <v>2</v>
      </c>
      <c r="BP33" s="697" t="n">
        <v>2</v>
      </c>
      <c r="BQ33" s="697" t="n">
        <v>2</v>
      </c>
      <c r="BR33" s="697" t="n">
        <v>2</v>
      </c>
      <c r="BS33" s="697" t="n">
        <v>2</v>
      </c>
      <c r="BT33" s="697" t="n">
        <v>2</v>
      </c>
      <c r="BU33" s="697" t="n">
        <v>2</v>
      </c>
      <c r="BV33" s="697" t="n">
        <v>2</v>
      </c>
      <c r="BW33" s="697" t="n">
        <v>2</v>
      </c>
      <c r="BX33" s="697" t="n">
        <v>2</v>
      </c>
      <c r="BY33" s="697" t="n">
        <v>2</v>
      </c>
      <c r="BZ33" s="192">
        <f>BX33+IF(NOT(ISBLANK(OFFSET(BZ33,0,6))),N(OFFSET(BZ33,0,6)),N(OFFSET(BZ33,0,7)))-BY33</f>
        <v/>
      </c>
      <c r="CA33" s="50" t="n"/>
      <c r="CI33" s="5" t="n"/>
      <c r="CV33" s="5" t="n"/>
      <c r="DN33" s="327" t="n"/>
      <c r="DP33" s="5" t="n"/>
      <c r="DQ33" s="5" t="n"/>
      <c r="DR33" s="5" t="n"/>
      <c r="DV33" s="327" t="n"/>
      <c r="EC33" s="327" t="n"/>
      <c r="EF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1</v>
      </c>
      <c r="I34" s="697" t="n">
        <v>1</v>
      </c>
      <c r="J34" s="697" t="n">
        <v>1</v>
      </c>
      <c r="K34" s="697" t="n">
        <v>1</v>
      </c>
      <c r="L34" s="697" t="n">
        <v>1</v>
      </c>
      <c r="M34" s="697" t="n">
        <v>1</v>
      </c>
      <c r="N34" s="697" t="n">
        <v>1</v>
      </c>
      <c r="O34" s="697" t="n">
        <v>1</v>
      </c>
      <c r="P34" s="697" t="n">
        <v>1</v>
      </c>
      <c r="Q34" s="697" t="n">
        <v>1</v>
      </c>
      <c r="R34" s="697" t="n">
        <v>1</v>
      </c>
      <c r="S34" s="697" t="n">
        <v>1</v>
      </c>
      <c r="T34" s="697" t="n">
        <v>1</v>
      </c>
      <c r="U34" s="697" t="n">
        <v>1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>
        <v>0</v>
      </c>
      <c r="BA34" s="314" t="n">
        <v>30</v>
      </c>
      <c r="BB34" s="697" t="n">
        <v>30</v>
      </c>
      <c r="BC34" s="697" t="n">
        <v>30</v>
      </c>
      <c r="BD34" s="697" t="n">
        <v>10</v>
      </c>
      <c r="BE34" s="697" t="n">
        <v>4</v>
      </c>
      <c r="BF34" s="697" t="n">
        <v>1</v>
      </c>
      <c r="BG34" s="697" t="n">
        <v>1</v>
      </c>
      <c r="BH34" s="697" t="n">
        <v>1</v>
      </c>
      <c r="BI34" s="697" t="n">
        <v>1</v>
      </c>
      <c r="BJ34" s="697" t="n">
        <v>1</v>
      </c>
      <c r="BK34" s="697" t="n">
        <v>1</v>
      </c>
      <c r="BL34" s="697" t="n">
        <v>1</v>
      </c>
      <c r="BM34" s="697" t="n">
        <v>1</v>
      </c>
      <c r="BN34" s="697" t="n">
        <v>1</v>
      </c>
      <c r="BO34" s="697" t="n">
        <v>1</v>
      </c>
      <c r="BP34" s="697" t="n">
        <v>1</v>
      </c>
      <c r="BQ34" s="697" t="n">
        <v>1</v>
      </c>
      <c r="BR34" s="697" t="n">
        <v>1</v>
      </c>
      <c r="BS34" s="697" t="n">
        <v>1</v>
      </c>
      <c r="BT34" s="697" t="n">
        <v>1</v>
      </c>
      <c r="BU34" s="697" t="n">
        <v>1</v>
      </c>
      <c r="BV34" s="697" t="n">
        <v>1</v>
      </c>
      <c r="BW34" s="697" t="n">
        <v>1</v>
      </c>
      <c r="BX34" s="697" t="n">
        <v>1</v>
      </c>
      <c r="BY34" s="697" t="n">
        <v>1</v>
      </c>
      <c r="BZ34" s="192">
        <f>BX34+IF(NOT(ISBLANK(OFFSET(BZ34,0,6))),N(OFFSET(BZ34,0,6)),N(OFFSET(BZ34,0,7)))-BY34</f>
        <v/>
      </c>
      <c r="CA34" s="50" t="n"/>
      <c r="CI34" s="5" t="n"/>
      <c r="CV34" s="5" t="n"/>
      <c r="DN34" s="327" t="n"/>
      <c r="DP34" s="5" t="n"/>
      <c r="DQ34" s="5" t="n"/>
      <c r="DR34" s="5" t="n"/>
      <c r="DV34" s="327" t="n"/>
      <c r="EC34" s="327" t="n"/>
      <c r="EF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67-49</f>
        <v/>
      </c>
      <c r="AB35" s="699" t="n">
        <v>16</v>
      </c>
      <c r="AC35" s="699" t="n">
        <v>15</v>
      </c>
      <c r="AD35" s="699" t="n">
        <v>6</v>
      </c>
      <c r="AE35" s="699" t="n">
        <v>3</v>
      </c>
      <c r="AF35" s="699" t="n">
        <v>2</v>
      </c>
      <c r="AG35" s="699" t="n">
        <v>2</v>
      </c>
      <c r="AH35" s="699" t="n">
        <v>0</v>
      </c>
      <c r="AI35" s="699" t="n">
        <v>0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A35" s="50" t="n"/>
      <c r="CI35" s="5" t="n"/>
      <c r="CV35" s="5" t="n"/>
      <c r="DN35" s="327" t="n"/>
      <c r="DP35" s="5" t="n"/>
      <c r="DQ35" s="5" t="n"/>
      <c r="DR35" s="5" t="n"/>
      <c r="DV35" s="327" t="n"/>
      <c r="EC35" s="327" t="n"/>
      <c r="EF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41</v>
      </c>
      <c r="AA36" s="699">
        <f>39-35</f>
        <v/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>
        <v>0</v>
      </c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A36" s="50" t="n"/>
      <c r="CI36" s="5" t="n"/>
      <c r="CV36" s="5" t="n"/>
      <c r="DN36" s="327" t="n"/>
      <c r="DP36" s="5" t="n"/>
      <c r="DQ36" s="5" t="n"/>
      <c r="DR36" s="5" t="n"/>
      <c r="DV36" s="327" t="n"/>
      <c r="EC36" s="327" t="n"/>
      <c r="EF36" s="327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A37" s="50" t="n"/>
      <c r="CI37" s="5" t="n"/>
      <c r="CV37" s="5" t="n"/>
      <c r="DN37" s="327" t="n"/>
      <c r="DP37" s="5" t="n"/>
      <c r="DQ37" s="5" t="n"/>
      <c r="DR37" s="5" t="n"/>
      <c r="DV37" s="327" t="n"/>
      <c r="EC37" s="327" t="n"/>
      <c r="EF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109</v>
      </c>
      <c r="AA38" s="699" t="n">
        <v>100</v>
      </c>
      <c r="AB38" s="699" t="n">
        <v>92</v>
      </c>
      <c r="AC38" s="699" t="n">
        <v>88</v>
      </c>
      <c r="AD38" s="699" t="n">
        <v>78</v>
      </c>
      <c r="AE38" s="699" t="n">
        <v>67</v>
      </c>
      <c r="AF38" s="699" t="n">
        <v>65</v>
      </c>
      <c r="AG38" s="699" t="n">
        <v>64</v>
      </c>
      <c r="AH38" s="699" t="n">
        <v>59</v>
      </c>
      <c r="AI38" s="699">
        <f>57-46</f>
        <v/>
      </c>
      <c r="AJ38" s="699" t="n">
        <v>10</v>
      </c>
      <c r="AK38" s="699" t="n">
        <v>10</v>
      </c>
      <c r="AL38" s="699" t="n">
        <v>9</v>
      </c>
      <c r="AM38" s="699" t="n">
        <v>2</v>
      </c>
      <c r="AN38" s="699" t="n">
        <v>2</v>
      </c>
      <c r="AO38" s="699" t="n">
        <v>2</v>
      </c>
      <c r="AP38" s="699" t="n">
        <v>0</v>
      </c>
      <c r="AQ38" s="699" t="n">
        <v>0</v>
      </c>
      <c r="AR38" s="699" t="n">
        <v>0</v>
      </c>
      <c r="AS38" s="699" t="n">
        <v>0</v>
      </c>
      <c r="AT38" s="699" t="n">
        <v>0</v>
      </c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A38" s="50" t="n"/>
      <c r="CI38" s="5" t="n"/>
      <c r="CV38" s="5" t="n"/>
      <c r="DN38" s="327" t="n"/>
      <c r="DP38" s="5" t="n"/>
      <c r="DQ38" s="5" t="n"/>
      <c r="DR38" s="5" t="n"/>
      <c r="DV38" s="327" t="n"/>
      <c r="EC38" s="327" t="n"/>
      <c r="EF38" s="327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2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A39" s="50" t="n"/>
      <c r="CI39" s="51" t="n"/>
      <c r="CV39" s="5" t="n"/>
      <c r="DN39" s="327" t="n"/>
      <c r="DP39" s="5" t="n"/>
      <c r="DQ39" s="5" t="n"/>
      <c r="DR39" s="5" t="n"/>
      <c r="DV39" s="327" t="n"/>
      <c r="EC39" s="327" t="n"/>
      <c r="EF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2</v>
      </c>
      <c r="AA40" s="699" t="n">
        <v>0</v>
      </c>
      <c r="AB40" s="699" t="n">
        <v>0</v>
      </c>
      <c r="AC40" s="699" t="n">
        <v>0</v>
      </c>
      <c r="AD40" s="699" t="n">
        <v>0</v>
      </c>
      <c r="AE40" s="699" t="n">
        <v>0</v>
      </c>
      <c r="AF40" s="699" t="n">
        <v>5</v>
      </c>
      <c r="AG40" s="699" t="n">
        <v>5</v>
      </c>
      <c r="AH40" s="699" t="n">
        <v>4</v>
      </c>
      <c r="AI40" s="699" t="n">
        <v>2</v>
      </c>
      <c r="AJ40" s="699" t="n">
        <v>2</v>
      </c>
      <c r="AK40" s="699" t="n">
        <v>1</v>
      </c>
      <c r="AL40" s="699" t="n">
        <v>0</v>
      </c>
      <c r="AM40" s="699" t="n">
        <v>0</v>
      </c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A40" s="50" t="n"/>
      <c r="CI40" s="51" t="n"/>
      <c r="CV40" s="5" t="n"/>
      <c r="DN40" s="327" t="n"/>
      <c r="DP40" s="5" t="n"/>
      <c r="DQ40" s="5" t="n"/>
      <c r="DR40" s="5" t="n"/>
      <c r="DV40" s="327" t="n"/>
      <c r="EC40" s="327" t="n"/>
      <c r="EF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3</v>
      </c>
      <c r="AP41" s="699" t="n">
        <v>4</v>
      </c>
      <c r="AQ41" s="699" t="n">
        <v>4</v>
      </c>
      <c r="AR41" s="699" t="n">
        <v>4</v>
      </c>
      <c r="AS41" s="699" t="n">
        <v>4</v>
      </c>
      <c r="AT41" s="699" t="n">
        <v>4</v>
      </c>
      <c r="AU41" s="699" t="n">
        <v>4</v>
      </c>
      <c r="AV41" s="699" t="n">
        <v>4</v>
      </c>
      <c r="AW41" s="699" t="n">
        <v>2</v>
      </c>
      <c r="AX41" s="699" t="n">
        <v>2</v>
      </c>
      <c r="AY41" s="699" t="n">
        <v>1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1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A41" s="50" t="n"/>
      <c r="CI41" s="573" t="n"/>
      <c r="CV41" s="5" t="n"/>
      <c r="DN41" s="327" t="n"/>
      <c r="DP41" s="5" t="n"/>
      <c r="DQ41" s="5" t="n"/>
      <c r="DR41" s="5" t="n"/>
      <c r="DV41" s="327" t="n"/>
      <c r="EC41" s="327" t="n"/>
      <c r="EF41" s="327" t="n"/>
      <c r="ER41" s="573" t="n"/>
      <c r="ES41" s="573" t="n"/>
      <c r="ET41" s="573" t="n"/>
      <c r="EU41" s="573" t="n"/>
      <c r="EV41" s="573" t="n"/>
      <c r="EW41" s="573" t="n"/>
      <c r="EX41" s="573" t="n"/>
      <c r="EY41" s="573" t="n"/>
      <c r="EZ41" s="573" t="n"/>
    </row>
    <row r="42" hidden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</v>
      </c>
      <c r="AP42" s="699" t="n">
        <v>0</v>
      </c>
      <c r="AQ42" s="699" t="n">
        <v>0</v>
      </c>
      <c r="AR42" s="699" t="n">
        <v>0</v>
      </c>
      <c r="AS42" s="699" t="n">
        <v>0</v>
      </c>
      <c r="AT42" s="699" t="n">
        <v>0</v>
      </c>
      <c r="AU42" s="699" t="n"/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A42" s="50" t="n"/>
      <c r="CI42" s="573" t="n"/>
      <c r="CV42" s="5" t="n"/>
      <c r="DN42" s="327" t="n"/>
      <c r="DP42" s="5" t="n"/>
      <c r="DQ42" s="5" t="n"/>
      <c r="DR42" s="5" t="n"/>
      <c r="DV42" s="327" t="n"/>
      <c r="EC42" s="327" t="n"/>
      <c r="EF42" s="327" t="n"/>
      <c r="ER42" s="573" t="n"/>
      <c r="ES42" s="573" t="n"/>
      <c r="ET42" s="573" t="n"/>
      <c r="EU42" s="573" t="n"/>
      <c r="EV42" s="573" t="n"/>
      <c r="EW42" s="573" t="n"/>
      <c r="EX42" s="573" t="n"/>
      <c r="EY42" s="573" t="n"/>
      <c r="EZ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-1</v>
      </c>
      <c r="AQ43" s="699" t="n">
        <v>-1</v>
      </c>
      <c r="AR43" s="699" t="n">
        <v>-1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A43" s="50" t="n"/>
      <c r="CC43" s="29" t="n"/>
      <c r="CI43" s="573" t="n"/>
      <c r="CV43" s="5" t="n"/>
      <c r="DN43" s="327" t="n"/>
      <c r="DP43" s="51" t="n"/>
      <c r="DQ43" s="5" t="n"/>
      <c r="DR43" s="5" t="n"/>
      <c r="DV43" s="327" t="n"/>
      <c r="DY43" s="173" t="n"/>
      <c r="EA43" s="173" t="n"/>
      <c r="EC43" s="327" t="n"/>
      <c r="EF43" s="327" t="n"/>
      <c r="ER43" s="573" t="n"/>
      <c r="ES43" s="573" t="n"/>
      <c r="ET43" s="573" t="n"/>
      <c r="EU43" s="573" t="n"/>
      <c r="EV43" s="573" t="n"/>
      <c r="EW43" s="573" t="n"/>
      <c r="EX43" s="573" t="n"/>
      <c r="EY43" s="573" t="n"/>
      <c r="EZ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9" t="n">
        <v>82</v>
      </c>
      <c r="BE44" s="699" t="n">
        <v>77</v>
      </c>
      <c r="BF44" s="699" t="n">
        <v>45</v>
      </c>
      <c r="BG44" s="699" t="n">
        <v>38</v>
      </c>
      <c r="BH44" s="699" t="n">
        <v>2</v>
      </c>
      <c r="BI44" s="699" t="n">
        <v>0</v>
      </c>
      <c r="BJ44" s="699" t="n">
        <v>0</v>
      </c>
      <c r="BK44" s="699" t="n">
        <v>-1</v>
      </c>
      <c r="BL44" s="699" t="n">
        <v>-1</v>
      </c>
      <c r="BM44" s="699" t="n">
        <v>0</v>
      </c>
      <c r="BN44" s="699" t="n">
        <v>0</v>
      </c>
      <c r="BO44" s="699" t="n">
        <v>0</v>
      </c>
      <c r="BP44" s="699" t="n">
        <v>0</v>
      </c>
      <c r="BQ44" s="699" t="n">
        <v>0</v>
      </c>
      <c r="BR44" s="699" t="n">
        <v>0</v>
      </c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C44" s="29" t="n"/>
      <c r="CI44" s="573" t="n"/>
      <c r="CV44" s="51" t="n"/>
      <c r="DN44" s="327" t="n"/>
      <c r="DP44" s="51" t="n"/>
      <c r="DQ44" s="51" t="n"/>
      <c r="DR44" s="51" t="n"/>
      <c r="DV44" s="327" t="n"/>
      <c r="DY44" s="174" t="n"/>
      <c r="EA44" s="174" t="n"/>
      <c r="EC44" s="327" t="n"/>
      <c r="EF44" s="327" t="n"/>
      <c r="ER44" s="573" t="n"/>
      <c r="ES44" s="573" t="n"/>
      <c r="ET44" s="573" t="n"/>
      <c r="EU44" s="573" t="n"/>
      <c r="EV44" s="573" t="n"/>
      <c r="EW44" s="573" t="n"/>
      <c r="EX44" s="573" t="n"/>
      <c r="EY44" s="573" t="n"/>
      <c r="EZ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9" t="n">
        <v>65</v>
      </c>
      <c r="BE45" s="699" t="n">
        <v>95</v>
      </c>
      <c r="BF45" s="699" t="n">
        <v>51</v>
      </c>
      <c r="BG45" s="699" t="n">
        <v>45</v>
      </c>
      <c r="BH45" s="699" t="n">
        <v>30</v>
      </c>
      <c r="BI45" s="699" t="n">
        <v>29</v>
      </c>
      <c r="BJ45" s="699" t="n">
        <v>27</v>
      </c>
      <c r="BK45" s="699" t="n">
        <v>25</v>
      </c>
      <c r="BL45" s="699" t="n">
        <v>19</v>
      </c>
      <c r="BM45" s="699" t="n">
        <v>16</v>
      </c>
      <c r="BN45" s="699" t="n">
        <v>14</v>
      </c>
      <c r="BO45" s="699" t="n">
        <v>10</v>
      </c>
      <c r="BP45" s="699" t="n">
        <v>8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CC45" s="29" t="n"/>
      <c r="CV45" s="51" t="n"/>
      <c r="DN45" s="327" t="n"/>
      <c r="DP45" s="51" t="n"/>
      <c r="DQ45" s="51" t="n"/>
      <c r="DR45" s="51" t="n"/>
      <c r="DV45" s="327" t="n"/>
      <c r="DY45" s="174" t="n"/>
      <c r="EA45" s="174" t="n"/>
      <c r="EC45" s="327" t="n"/>
      <c r="EF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9" t="n">
        <v>127</v>
      </c>
      <c r="BE46" s="699" t="n">
        <v>35</v>
      </c>
      <c r="BF46" s="699" t="n">
        <v>-5</v>
      </c>
      <c r="BG46" s="699" t="n">
        <v>-6</v>
      </c>
      <c r="BH46" s="699" t="n">
        <v>-6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0" t="n"/>
      <c r="CC46" s="29" t="n"/>
      <c r="CV46" s="51" t="n"/>
      <c r="DN46" s="327" t="n"/>
      <c r="DP46" s="51" t="n"/>
      <c r="DQ46" s="51" t="n"/>
      <c r="DR46" s="51" t="n"/>
      <c r="DV46" s="327" t="n"/>
      <c r="DY46" s="174" t="n"/>
      <c r="EA46" s="174" t="n"/>
      <c r="EC46" s="327" t="n"/>
      <c r="EF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9" t="n">
        <v>51</v>
      </c>
      <c r="BE47" s="699" t="n">
        <v>1</v>
      </c>
      <c r="BF47" s="699" t="n">
        <v>0</v>
      </c>
      <c r="BG47" s="699" t="n">
        <v>0</v>
      </c>
      <c r="BH47" s="699" t="n">
        <v>0</v>
      </c>
      <c r="BI47" s="699" t="n">
        <v>1</v>
      </c>
      <c r="BJ47" s="699" t="n">
        <v>1</v>
      </c>
      <c r="BK47" s="699" t="n">
        <v>1</v>
      </c>
      <c r="BL47" s="699" t="n">
        <v>1</v>
      </c>
      <c r="BM47" s="699" t="n">
        <v>1</v>
      </c>
      <c r="BN47" s="699" t="n">
        <v>1</v>
      </c>
      <c r="BO47" s="699" t="n">
        <v>1</v>
      </c>
      <c r="BP47" s="699" t="n">
        <v>1</v>
      </c>
      <c r="BQ47" s="699" t="n">
        <v>1</v>
      </c>
      <c r="BR47" s="699" t="n">
        <v>1</v>
      </c>
      <c r="BS47" s="699" t="n">
        <v>0</v>
      </c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0" t="n"/>
      <c r="CC47" s="29" t="n"/>
      <c r="CI47" s="5" t="n"/>
      <c r="CV47" s="51" t="n"/>
      <c r="DN47" s="327" t="n"/>
      <c r="DP47" s="51" t="n"/>
      <c r="DQ47" s="51" t="n"/>
      <c r="DR47" s="51" t="n"/>
      <c r="DV47" s="327" t="n"/>
      <c r="DY47" s="174" t="n"/>
      <c r="EA47" s="174" t="n"/>
      <c r="EC47" s="327" t="n"/>
      <c r="EF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9" t="n"/>
      <c r="BE48" s="699" t="n"/>
      <c r="BF48" s="699" t="n">
        <v>4</v>
      </c>
      <c r="BG48" s="699" t="n">
        <v>4</v>
      </c>
      <c r="BH48" s="699" t="n">
        <v>4</v>
      </c>
      <c r="BI48" s="699" t="n">
        <v>6</v>
      </c>
      <c r="BJ48" s="699" t="n">
        <v>6</v>
      </c>
      <c r="BK48" s="699" t="n">
        <v>6</v>
      </c>
      <c r="BL48" s="699" t="n">
        <v>6</v>
      </c>
      <c r="BM48" s="699" t="n">
        <v>6</v>
      </c>
      <c r="BN48" s="699" t="n">
        <v>6</v>
      </c>
      <c r="BO48" s="699" t="n">
        <v>6</v>
      </c>
      <c r="BP48" s="699" t="n">
        <v>6</v>
      </c>
      <c r="BQ48" s="699" t="n">
        <v>6</v>
      </c>
      <c r="BR48" s="699" t="n">
        <v>6</v>
      </c>
      <c r="BS48" s="699" t="n">
        <v>6</v>
      </c>
      <c r="BT48" s="699" t="n">
        <v>6</v>
      </c>
      <c r="BU48" s="699" t="n">
        <v>6</v>
      </c>
      <c r="BV48" s="699" t="n">
        <v>6</v>
      </c>
      <c r="BW48" s="699" t="n">
        <v>6</v>
      </c>
      <c r="BX48" s="699" t="n">
        <v>6</v>
      </c>
      <c r="BY48" s="699" t="n">
        <v>1</v>
      </c>
      <c r="BZ48" s="192">
        <f>BX48+IF(NOT(ISBLANK(OFFSET(BZ48,0,6))),N(OFFSET(BZ48,0,6)),N(OFFSET(BZ48,0,7)))-BY48</f>
        <v/>
      </c>
      <c r="CA48" s="50" t="n"/>
      <c r="CC48" s="29" t="n"/>
      <c r="CV48" s="51" t="n"/>
      <c r="DN48" s="327" t="n"/>
      <c r="DP48" s="51" t="n"/>
      <c r="DQ48" s="51" t="n"/>
      <c r="DR48" s="51" t="n"/>
      <c r="DV48" s="327" t="n"/>
      <c r="DY48" s="174" t="n"/>
      <c r="EA48" s="174" t="n"/>
      <c r="EC48" s="327" t="n"/>
      <c r="EF48" s="327" t="n"/>
    </row>
    <row r="49">
      <c r="CA49" s="50" t="n"/>
      <c r="CC49" s="29" t="n"/>
      <c r="CV49" s="51" t="n"/>
      <c r="DN49" s="327" t="n"/>
      <c r="DP49" s="51" t="n"/>
      <c r="DQ49" s="51" t="n"/>
      <c r="DR49" s="51" t="n"/>
      <c r="DV49" s="327" t="n"/>
      <c r="DY49" s="174" t="n"/>
      <c r="EA49" s="174" t="n"/>
      <c r="EC49" s="327" t="n"/>
      <c r="EF49" s="327" t="n"/>
    </row>
    <row r="50">
      <c r="CA50" s="50" t="n"/>
      <c r="CC50" s="29" t="n"/>
      <c r="CV50" s="51" t="n"/>
      <c r="DN50" s="327" t="n"/>
      <c r="DP50" s="51" t="n"/>
      <c r="DQ50" s="51" t="n"/>
      <c r="DR50" s="51" t="n"/>
      <c r="DV50" s="327" t="n"/>
      <c r="DY50" s="174" t="n"/>
      <c r="EA50" s="174" t="n"/>
      <c r="EC50" s="327" t="n"/>
      <c r="EF50" s="327" t="n"/>
    </row>
    <row r="51">
      <c r="CA51" s="50" t="n"/>
      <c r="CC51" s="29" t="n"/>
      <c r="CV51" s="51" t="n"/>
      <c r="DN51" s="327" t="n"/>
      <c r="DP51" s="51" t="n"/>
      <c r="DQ51" s="51" t="n"/>
      <c r="DR51" s="51" t="n"/>
      <c r="DV51" s="327" t="n"/>
      <c r="DY51" s="174" t="n"/>
      <c r="EA51" s="174" t="n"/>
      <c r="EC51" s="327" t="n"/>
      <c r="EF51" s="327" t="n"/>
    </row>
    <row r="52" ht="21" customHeight="1">
      <c r="A52" s="380" t="inlineStr">
        <is>
          <t>SOBRAS DATAS COMEMORATIVAS</t>
        </is>
      </c>
      <c r="B52" s="380" t="n"/>
      <c r="C52" s="380" t="n"/>
      <c r="CA52" s="50" t="n"/>
      <c r="CC52" s="29" t="n"/>
      <c r="CV52" s="51" t="n"/>
      <c r="DH52" s="59" t="n"/>
      <c r="DI52" s="59" t="n"/>
      <c r="DJ52" s="59" t="n"/>
      <c r="DK52" s="59" t="n"/>
      <c r="DL52" s="59" t="n"/>
      <c r="DM52" s="59" t="n"/>
      <c r="DN52" s="327" t="n"/>
      <c r="DO52" s="59" t="n"/>
      <c r="DP52" s="573" t="n"/>
      <c r="DQ52" s="51" t="n"/>
      <c r="DR52" s="51" t="n"/>
      <c r="DT52" s="59" t="n"/>
      <c r="DU52" s="59" t="n"/>
      <c r="DV52" s="327" t="n"/>
      <c r="DY52" s="174" t="n"/>
      <c r="DZ52" s="59" t="n"/>
      <c r="EA52" s="174" t="n"/>
      <c r="EB52" s="59" t="n"/>
      <c r="EC52" s="327" t="n"/>
      <c r="ED52" s="59" t="n"/>
      <c r="EE52" s="59" t="n"/>
      <c r="EF52" s="327" t="n"/>
      <c r="EH52" s="59" t="n"/>
      <c r="EI52" s="59" t="n"/>
      <c r="EJ52" s="59" t="n"/>
      <c r="EK52" s="59" t="n"/>
      <c r="EM52" s="59" t="n"/>
      <c r="EN52" s="59" t="n"/>
      <c r="EO52" s="59" t="n"/>
      <c r="EP52" s="59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CA53" s="50" t="n"/>
      <c r="CC53" s="573" t="n"/>
      <c r="CD53" s="573" t="n"/>
      <c r="CV53" s="573" t="n"/>
      <c r="DC53" s="173" t="n"/>
      <c r="DE53" s="173" t="n"/>
      <c r="DH53" s="573" t="n"/>
      <c r="DI53" s="573" t="n"/>
      <c r="DJ53" s="573" t="n"/>
      <c r="DK53" s="573" t="n"/>
      <c r="DL53" s="573" t="n"/>
      <c r="DM53" s="573" t="n"/>
      <c r="DN53" s="327" t="n"/>
      <c r="DO53" s="573" t="n"/>
      <c r="DP53" s="573" t="n"/>
      <c r="DQ53" s="573" t="n"/>
      <c r="DR53" s="573" t="n"/>
      <c r="DS53" s="59" t="n"/>
      <c r="DT53" s="573" t="n"/>
      <c r="DU53" s="573" t="n"/>
      <c r="DV53" s="327" t="n"/>
      <c r="DW53" s="59" t="n"/>
      <c r="DX53" s="59" t="n"/>
      <c r="DZ53" s="573" t="n"/>
      <c r="EB53" s="573" t="n"/>
      <c r="EC53" s="327" t="n"/>
      <c r="ED53" s="573" t="n"/>
      <c r="EE53" s="573" t="n"/>
      <c r="EF53" s="327" t="n"/>
      <c r="EG53" s="59" t="n"/>
      <c r="EH53" s="573" t="n"/>
      <c r="EI53" s="573" t="n"/>
      <c r="EJ53" s="573" t="n"/>
      <c r="EK53" s="573" t="n"/>
      <c r="EM53" s="573" t="n"/>
      <c r="EN53" s="573" t="n"/>
      <c r="EO53" s="573" t="n"/>
      <c r="EP53" s="573" t="n"/>
      <c r="EQ53" s="573" t="n"/>
      <c r="FA53" s="2" t="n"/>
      <c r="FB53" s="2" t="n"/>
      <c r="FC53" s="2" t="n"/>
      <c r="FD53" s="2" t="n"/>
      <c r="FE53" s="2" t="n"/>
      <c r="FF53" s="2" t="n"/>
      <c r="FG53" s="2" t="n"/>
      <c r="FH53" s="2" t="n"/>
      <c r="FI53" s="2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50" t="n"/>
      <c r="HI53" s="50" t="n"/>
      <c r="HJ53" s="50" t="n"/>
      <c r="HK53" s="50" t="n"/>
      <c r="HL53" s="50" t="n"/>
      <c r="HM53" s="50" t="n"/>
      <c r="HN53" s="50" t="n"/>
      <c r="HO53" s="29" t="n"/>
      <c r="HP53" s="29" t="n"/>
      <c r="HQ53" s="29" t="n"/>
      <c r="HR53" s="50" t="n"/>
      <c r="HS53" s="50" t="n"/>
      <c r="HT53" s="50" t="n"/>
      <c r="HU53" s="50" t="n"/>
      <c r="HV53" s="50" t="n"/>
      <c r="HW53" s="50" t="n"/>
      <c r="HX53" s="50" t="n"/>
      <c r="HY53" s="50" t="n"/>
      <c r="HZ53" s="50" t="n"/>
      <c r="IA53" s="50" t="n"/>
      <c r="IB53" s="50" t="n"/>
      <c r="IC53" s="152" t="n"/>
      <c r="ID53" s="29" t="n"/>
      <c r="IE53" s="29" t="n"/>
      <c r="IF53" s="29" t="n"/>
      <c r="IG53" s="573" t="n"/>
      <c r="IH53" s="29" t="n"/>
      <c r="II53" s="573" t="n"/>
      <c r="IJ53" s="68" t="n"/>
      <c r="IK53" s="173" t="n"/>
      <c r="IL53" s="68" t="n"/>
      <c r="IM53" s="173" t="n"/>
      <c r="IN53" s="173" t="n"/>
      <c r="IO53" s="68" t="n"/>
      <c r="IP53" s="51" t="n"/>
      <c r="IQ53" s="173" t="n"/>
      <c r="IR53" s="68" t="n"/>
      <c r="IS53" s="173" t="n"/>
      <c r="IT53" s="51" t="n"/>
      <c r="IU53" s="68" t="n"/>
      <c r="IV53" s="138" t="n"/>
      <c r="IW53" s="68" t="n"/>
      <c r="IX53" s="173" t="n"/>
      <c r="IY53" s="68" t="n"/>
      <c r="IZ53" s="68" t="n"/>
      <c r="JA53" s="68" t="n"/>
      <c r="JB53" s="68" t="n"/>
      <c r="JC53" s="68" t="n"/>
      <c r="JD53" s="68" t="n"/>
      <c r="JE53" s="68" t="n"/>
      <c r="JF53" s="68" t="n"/>
      <c r="JG53" s="68" t="n"/>
      <c r="JH53" s="68" t="n"/>
      <c r="JI53" s="68" t="n"/>
      <c r="JJ53" s="71" t="n"/>
      <c r="JK53" s="68" t="n"/>
      <c r="JL53" s="68" t="n"/>
      <c r="JM53" s="68" t="n"/>
      <c r="JN53" s="68" t="n"/>
      <c r="JO53" s="68" t="n"/>
      <c r="JP53" s="68" t="n"/>
      <c r="JQ53" s="68" t="n"/>
      <c r="JR53" s="68" t="n"/>
      <c r="JS53" s="68" t="n"/>
      <c r="JT53" s="68" t="n"/>
      <c r="JU53" s="68" t="n"/>
      <c r="JV53" s="68" t="n"/>
      <c r="JW53" s="68" t="n"/>
      <c r="JX53" s="68" t="n"/>
      <c r="JY53" s="68" t="n"/>
      <c r="JZ53" s="68" t="n"/>
      <c r="KA53" s="68" t="n"/>
      <c r="KB53" s="68" t="n"/>
      <c r="KC53" s="68" t="n"/>
      <c r="KD53" s="68" t="n"/>
      <c r="KE53" s="68" t="n"/>
      <c r="KF53" s="68" t="n"/>
      <c r="KG53" s="68" t="n"/>
      <c r="KH53" s="68" t="n"/>
      <c r="KI53" s="68" t="n"/>
      <c r="KJ53" s="68" t="n"/>
      <c r="KK53" s="68" t="n"/>
      <c r="KL53" s="68" t="n"/>
      <c r="KM53" s="68" t="n"/>
      <c r="KN53" s="68" t="n"/>
      <c r="KO53" s="68" t="n"/>
      <c r="KP53" s="68" t="n"/>
      <c r="KQ53" s="68" t="n"/>
      <c r="KR53" s="68" t="n"/>
      <c r="KS53" s="68" t="n"/>
      <c r="KT53" s="68" t="n"/>
      <c r="KU53" s="68" t="n"/>
      <c r="KV53" s="68" t="n"/>
    </row>
    <row r="54" customFormat="1" s="29">
      <c r="A54" s="183" t="n"/>
      <c r="B54" s="184" t="n"/>
      <c r="C54" s="185" t="n"/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C54" s="573" t="n"/>
      <c r="CD54" s="573" t="n"/>
      <c r="CF54" s="59" t="n"/>
      <c r="CG54" s="59" t="n"/>
      <c r="CH54" s="59" t="n"/>
      <c r="CI54" s="59" t="n"/>
      <c r="CJ54" s="59" t="n"/>
      <c r="CK54" s="59" t="n"/>
      <c r="CV54" s="573" t="n"/>
      <c r="DC54" s="174" t="n"/>
      <c r="DE54" s="174" t="n"/>
      <c r="DH54" s="573" t="n"/>
      <c r="DI54" s="573" t="n"/>
      <c r="DJ54" s="573" t="n"/>
      <c r="DK54" s="573" t="n"/>
      <c r="DL54" s="573" t="n"/>
      <c r="DM54" s="573" t="n"/>
      <c r="DN54" s="327" t="n"/>
      <c r="DO54" s="573" t="n"/>
      <c r="DP54" s="573" t="n"/>
      <c r="DQ54" s="573" t="n"/>
      <c r="DR54" s="573" t="n"/>
      <c r="DS54" s="573" t="n"/>
      <c r="DT54" s="573" t="n"/>
      <c r="DU54" s="573" t="n"/>
      <c r="DV54" s="327" t="n"/>
      <c r="DW54" s="573" t="n"/>
      <c r="DX54" s="573" t="n"/>
      <c r="DZ54" s="573" t="n"/>
      <c r="EB54" s="573" t="n"/>
      <c r="EC54" s="327" t="n"/>
      <c r="ED54" s="573" t="n"/>
      <c r="EE54" s="573" t="n"/>
      <c r="EF54" s="327" t="n"/>
      <c r="EG54" s="573" t="n"/>
      <c r="EH54" s="573" t="n"/>
      <c r="EI54" s="573" t="n"/>
      <c r="EJ54" s="573" t="n"/>
      <c r="EK54" s="573" t="n"/>
      <c r="EL54" s="573" t="n"/>
      <c r="EM54" s="573" t="n"/>
      <c r="EN54" s="573" t="n"/>
      <c r="EO54" s="573" t="n"/>
      <c r="EP54" s="573" t="n"/>
      <c r="EQ54" s="573" t="n"/>
      <c r="ER54" s="5" t="n"/>
      <c r="ES54" s="5" t="n"/>
      <c r="ET54" s="5" t="n"/>
      <c r="EU54" s="5" t="n"/>
      <c r="EV54" s="5" t="n"/>
      <c r="EW54" s="5" t="n"/>
      <c r="EX54" s="5" t="n"/>
      <c r="EY54" s="5" t="n"/>
      <c r="EZ54" s="5" t="n"/>
      <c r="FA54" s="2" t="n"/>
      <c r="FB54" s="2" t="n"/>
      <c r="FC54" s="2" t="n"/>
      <c r="FD54" s="2" t="n"/>
      <c r="FE54" s="2" t="n"/>
      <c r="FF54" s="2" t="n"/>
      <c r="FG54" s="2" t="n"/>
      <c r="FH54" s="2" t="n"/>
      <c r="FI54" s="2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IG54" s="573" t="n"/>
      <c r="II54" s="573" t="n"/>
      <c r="IJ54" s="68" t="n"/>
      <c r="IK54" s="174" t="n"/>
      <c r="IL54" s="68" t="n"/>
      <c r="IM54" s="174" t="n"/>
      <c r="IN54" s="174" t="n"/>
      <c r="IO54" s="68" t="n"/>
      <c r="IQ54" s="174" t="n"/>
      <c r="IR54" s="68" t="n"/>
      <c r="IS54" s="174" t="n"/>
      <c r="IU54" s="68" t="n"/>
      <c r="IV54" s="71" t="n"/>
      <c r="IW54" s="68" t="n"/>
      <c r="IX54" s="174" t="n"/>
      <c r="IY54" s="68" t="n"/>
      <c r="IZ54" s="68" t="n"/>
      <c r="JA54" s="68" t="n"/>
      <c r="JB54" s="68" t="n"/>
      <c r="JC54" s="68" t="n"/>
      <c r="JD54" s="68" t="n"/>
      <c r="JE54" s="68" t="n"/>
      <c r="JF54" s="68" t="n"/>
      <c r="JG54" s="68" t="n"/>
      <c r="JH54" s="68" t="n"/>
      <c r="JI54" s="68" t="n"/>
      <c r="JJ54" s="71" t="n"/>
      <c r="JK54" s="68" t="n"/>
      <c r="JL54" s="68" t="n"/>
      <c r="JM54" s="68" t="n"/>
      <c r="JN54" s="68" t="n"/>
      <c r="JO54" s="68" t="n"/>
      <c r="JP54" s="68" t="n"/>
      <c r="JQ54" s="68" t="n"/>
      <c r="JR54" s="68" t="n"/>
      <c r="JS54" s="68" t="n"/>
      <c r="JT54" s="68" t="n"/>
      <c r="JU54" s="68" t="n"/>
      <c r="JV54" s="68" t="n"/>
      <c r="JW54" s="68" t="n"/>
      <c r="JX54" s="68" t="n"/>
      <c r="JY54" s="68" t="n"/>
      <c r="JZ54" s="68" t="n"/>
      <c r="KA54" s="68" t="n"/>
      <c r="KB54" s="68" t="n"/>
      <c r="KC54" s="68" t="n"/>
      <c r="KD54" s="68" t="n"/>
      <c r="KE54" s="68" t="n"/>
      <c r="KF54" s="68" t="n"/>
      <c r="KG54" s="68" t="n"/>
      <c r="KH54" s="68" t="n"/>
      <c r="KI54" s="68" t="n"/>
      <c r="KJ54" s="68" t="n"/>
      <c r="KK54" s="68" t="n"/>
      <c r="KL54" s="68" t="n"/>
      <c r="KM54" s="68" t="n"/>
      <c r="KN54" s="68" t="n"/>
      <c r="KO54" s="68" t="n"/>
      <c r="KP54" s="68" t="n"/>
      <c r="KQ54" s="68" t="n"/>
      <c r="KR54" s="68" t="n"/>
      <c r="KS54" s="68" t="n"/>
      <c r="KT54" s="68" t="n"/>
      <c r="KU54" s="68" t="n"/>
      <c r="KV54" s="68" t="n"/>
    </row>
    <row r="55" customFormat="1" s="29">
      <c r="A55" s="186" t="inlineStr">
        <is>
          <t>TAG NAMORADOS/2023</t>
        </is>
      </c>
      <c r="B55" s="187" t="n"/>
      <c r="C55" s="188" t="n">
        <v>237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C55" s="573" t="n"/>
      <c r="CD55" s="573" t="n"/>
      <c r="CF55" s="573" t="n"/>
      <c r="CG55" s="573" t="n"/>
      <c r="CH55" s="573" t="n"/>
      <c r="CI55" s="59" t="n"/>
      <c r="CJ55" s="573" t="n"/>
      <c r="CK55" s="573" t="n"/>
      <c r="CQ55" s="59" t="n"/>
      <c r="CR55" s="59" t="n"/>
      <c r="CS55" s="59" t="n"/>
      <c r="CT55" s="59" t="n"/>
      <c r="CU55" s="59" t="n"/>
      <c r="CV55" s="573" t="n"/>
      <c r="CW55" s="59" t="n"/>
      <c r="CX55" s="59" t="n"/>
      <c r="CY55" s="59" t="n"/>
      <c r="CZ55" s="59" t="n"/>
      <c r="DA55" s="59" t="n"/>
      <c r="DB55" s="59" t="n"/>
      <c r="DC55" s="174" t="n"/>
      <c r="DD55" s="59" t="n"/>
      <c r="DE55" s="174" t="n"/>
      <c r="DF55" s="59" t="n"/>
      <c r="DN55" s="327" t="n"/>
      <c r="DP55" s="573" t="n"/>
      <c r="DQ55" s="573" t="n"/>
      <c r="DR55" s="573" t="n"/>
      <c r="DS55" s="573" t="n"/>
      <c r="DV55" s="327" t="n"/>
      <c r="DW55" s="573" t="n"/>
      <c r="DX55" s="573" t="n"/>
      <c r="DZ55" s="573" t="n"/>
      <c r="EB55" s="573" t="n"/>
      <c r="EC55" s="327" t="n"/>
      <c r="ED55" s="573" t="n"/>
      <c r="EE55" s="573" t="n"/>
      <c r="EF55" s="327" t="n"/>
      <c r="EG55" s="573" t="n"/>
      <c r="EH55" s="573" t="n"/>
      <c r="EI55" s="573" t="n"/>
      <c r="EJ55" s="573" t="n"/>
      <c r="EK55" s="573" t="n"/>
      <c r="EL55" s="573" t="n"/>
      <c r="EM55" s="573" t="n"/>
      <c r="EN55" s="573" t="n"/>
      <c r="EO55" s="573" t="n"/>
      <c r="EP55" s="573" t="n"/>
      <c r="EQ55" s="573" t="n"/>
      <c r="ER55" s="5" t="n"/>
      <c r="ES55" s="5" t="n"/>
      <c r="ET55" s="5" t="n"/>
      <c r="EU55" s="5" t="n"/>
      <c r="EV55" s="5" t="n"/>
      <c r="EW55" s="5" t="n"/>
      <c r="EX55" s="5" t="n"/>
      <c r="EY55" s="5" t="n"/>
      <c r="EZ55" s="5" t="n"/>
      <c r="FA55" s="2" t="n"/>
      <c r="FB55" s="2" t="n"/>
      <c r="FC55" s="2" t="n"/>
      <c r="FD55" s="2" t="n"/>
      <c r="FE55" s="2" t="n"/>
      <c r="FF55" s="2" t="n"/>
      <c r="FG55" s="2" t="n"/>
      <c r="FH55" s="2" t="n"/>
      <c r="FI55" s="2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IG55" s="573" t="n"/>
      <c r="II55" s="573" t="n"/>
      <c r="IJ55" s="68" t="n"/>
      <c r="IK55" s="176" t="n"/>
      <c r="IL55" s="68" t="n"/>
      <c r="IM55" s="176" t="n"/>
      <c r="IN55" s="176" t="n"/>
      <c r="IO55" s="68" t="n"/>
      <c r="IQ55" s="176" t="n"/>
      <c r="IR55" s="68" t="n"/>
      <c r="IS55" s="176" t="n"/>
      <c r="IU55" s="68" t="n"/>
      <c r="IV55" s="71" t="n"/>
      <c r="IW55" s="68" t="n"/>
      <c r="IX55" s="176" t="n"/>
      <c r="IY55" s="68" t="n"/>
      <c r="IZ55" s="68" t="n"/>
      <c r="JA55" s="68" t="n"/>
      <c r="JB55" s="68" t="n"/>
      <c r="JC55" s="68" t="n"/>
      <c r="JD55" s="68" t="n"/>
      <c r="JE55" s="68" t="n"/>
      <c r="JF55" s="68" t="n"/>
      <c r="JG55" s="68" t="n"/>
      <c r="JH55" s="68" t="n"/>
      <c r="JI55" s="68" t="n"/>
      <c r="JJ55" s="71" t="n"/>
      <c r="JK55" s="68" t="n"/>
      <c r="JL55" s="68" t="n"/>
      <c r="JM55" s="68" t="n"/>
      <c r="JN55" s="68" t="n"/>
      <c r="JO55" s="68" t="n"/>
      <c r="JP55" s="68" t="n"/>
      <c r="JQ55" s="68" t="n"/>
      <c r="JR55" s="68" t="n"/>
      <c r="JS55" s="68" t="n"/>
      <c r="JT55" s="68" t="n"/>
      <c r="JU55" s="68" t="n"/>
      <c r="JV55" s="68" t="n"/>
      <c r="JW55" s="68" t="n"/>
      <c r="JX55" s="68" t="n"/>
      <c r="JY55" s="68" t="n"/>
      <c r="JZ55" s="68" t="n"/>
      <c r="KA55" s="68" t="n"/>
      <c r="KB55" s="68" t="n"/>
      <c r="KC55" s="68" t="n"/>
      <c r="KD55" s="68" t="n"/>
      <c r="KE55" s="68" t="n"/>
      <c r="KF55" s="68" t="n"/>
      <c r="KG55" s="68" t="n"/>
      <c r="KH55" s="68" t="n"/>
      <c r="KI55" s="68" t="n"/>
      <c r="KJ55" s="68" t="n"/>
      <c r="KK55" s="68" t="n"/>
      <c r="KL55" s="68" t="n"/>
      <c r="KM55" s="68" t="n"/>
      <c r="KN55" s="68" t="n"/>
      <c r="KO55" s="68" t="n"/>
      <c r="KP55" s="68" t="n"/>
      <c r="KQ55" s="68" t="n"/>
      <c r="KR55" s="68" t="n"/>
      <c r="KS55" s="68" t="n"/>
      <c r="KT55" s="68" t="n"/>
      <c r="KU55" s="68" t="n"/>
      <c r="KV55" s="68" t="n"/>
    </row>
    <row r="56" customFormat="1" s="29">
      <c r="A56" s="183" t="n"/>
      <c r="B56" s="184" t="n"/>
      <c r="C56" s="185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F56" s="573" t="n"/>
      <c r="CG56" s="573" t="n"/>
      <c r="CH56" s="573" t="n"/>
      <c r="CI56" s="59" t="n"/>
      <c r="CJ56" s="573" t="n"/>
      <c r="CK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D56" s="573" t="n"/>
      <c r="DF56" s="573" t="n"/>
      <c r="DN56" s="327" t="n"/>
      <c r="DP56" s="573" t="n"/>
      <c r="DQ56" s="573" t="n"/>
      <c r="DR56" s="573" t="n"/>
      <c r="DV56" s="327" t="n"/>
      <c r="DW56" s="573" t="n"/>
      <c r="DX56" s="573" t="n"/>
      <c r="EC56" s="327" t="n"/>
      <c r="EF56" s="327" t="n"/>
      <c r="EG56" s="573" t="n"/>
      <c r="EL56" s="573" t="n"/>
      <c r="ER56" s="5" t="n"/>
      <c r="ES56" s="5" t="n"/>
      <c r="ET56" s="5" t="n"/>
      <c r="EU56" s="5" t="n"/>
      <c r="EV56" s="5" t="n"/>
      <c r="EW56" s="5" t="n"/>
      <c r="EX56" s="5" t="n"/>
      <c r="EY56" s="5" t="n"/>
      <c r="EZ56" s="5" t="n"/>
    </row>
    <row r="57" customFormat="1" s="29">
      <c r="A57" s="224" t="inlineStr">
        <is>
          <t>CARTUCHO M MÃES/24</t>
        </is>
      </c>
      <c r="B57" s="180" t="n"/>
      <c r="C57" s="136" t="n">
        <v>5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B57" s="51" t="n"/>
      <c r="CC57" s="573" t="n"/>
      <c r="CI57" s="59" t="n"/>
      <c r="CQ57" s="573" t="n"/>
      <c r="CR57" s="573" t="n"/>
      <c r="CS57" s="573" t="n"/>
      <c r="CT57" s="573" t="n"/>
      <c r="CU57" s="573" t="n"/>
      <c r="CV57" s="573" t="n"/>
      <c r="CW57" s="573" t="n"/>
      <c r="CX57" s="573" t="n"/>
      <c r="CY57" s="573" t="n"/>
      <c r="CZ57" s="573" t="n"/>
      <c r="DA57" s="573" t="n"/>
      <c r="DB57" s="573" t="n"/>
      <c r="DD57" s="573" t="n"/>
      <c r="DF57" s="573" t="n"/>
      <c r="DN57" s="327" t="n"/>
      <c r="DP57" s="573" t="n"/>
      <c r="DQ57" s="573" t="n"/>
      <c r="DR57" s="573" t="n"/>
      <c r="DV57" s="327" t="n"/>
      <c r="DW57" s="573" t="n"/>
      <c r="DX57" s="573" t="n"/>
      <c r="DY57" s="5" t="n"/>
      <c r="EA57" s="5" t="n"/>
      <c r="EC57" s="327" t="n"/>
      <c r="EF57" s="327" t="n"/>
      <c r="EL57" s="573" t="n"/>
      <c r="ER57" s="5" t="n"/>
      <c r="ES57" s="5" t="n"/>
      <c r="ET57" s="5" t="n"/>
      <c r="EU57" s="5" t="n"/>
      <c r="EV57" s="5" t="n"/>
      <c r="EW57" s="5" t="n"/>
      <c r="EX57" s="5" t="n"/>
      <c r="EY57" s="5" t="n"/>
      <c r="EZ57" s="5" t="n"/>
    </row>
    <row r="58"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29" t="n"/>
      <c r="CB58" s="29" t="n"/>
      <c r="CF58" s="29" t="n"/>
      <c r="CG58" s="29" t="n"/>
      <c r="CH58" s="29" t="n"/>
      <c r="CI58" s="59" t="n"/>
      <c r="CJ58" s="29" t="n"/>
      <c r="CK58" s="29" t="n"/>
      <c r="CL58" s="2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5" t="n"/>
      <c r="CW58" s="29" t="n"/>
      <c r="CX58" s="29" t="n"/>
      <c r="CY58" s="29" t="n"/>
      <c r="CZ58" s="29" t="n"/>
      <c r="DA58" s="29" t="n"/>
      <c r="DB58" s="29" t="n"/>
      <c r="DD58" s="29" t="n"/>
      <c r="DF58" s="29" t="n"/>
      <c r="DG58" s="59" t="n"/>
      <c r="DH58" s="29" t="n"/>
      <c r="DI58" s="29" t="n"/>
      <c r="DJ58" s="29" t="n"/>
      <c r="DK58" s="29" t="n"/>
      <c r="DL58" s="29" t="n"/>
      <c r="DM58" s="29" t="n"/>
      <c r="DN58" s="327" t="n"/>
      <c r="DO58" s="29" t="n"/>
      <c r="DP58" s="573" t="n"/>
      <c r="DQ58" s="573" t="n"/>
      <c r="DR58" s="573" t="n"/>
      <c r="DS58" s="29" t="n"/>
      <c r="DT58" s="29" t="n"/>
      <c r="DU58" s="29" t="n"/>
      <c r="DV58" s="327" t="n"/>
      <c r="DW58" s="29" t="n"/>
      <c r="DX58" s="29" t="n"/>
      <c r="DY58" s="5" t="n"/>
      <c r="DZ58" s="29" t="n"/>
      <c r="EA58" s="5" t="n"/>
      <c r="EB58" s="29" t="n"/>
      <c r="EC58" s="327" t="n"/>
      <c r="ED58" s="29" t="n"/>
      <c r="EE58" s="29" t="n"/>
      <c r="EF58" s="327" t="n"/>
      <c r="EG58" s="29" t="n"/>
      <c r="EH58" s="29" t="n"/>
      <c r="EI58" s="29" t="n"/>
      <c r="EJ58" s="29" t="n"/>
      <c r="EK58" s="29" t="n"/>
      <c r="EL58" s="573" t="n"/>
      <c r="EM58" s="29" t="n"/>
      <c r="EN58" s="29" t="n"/>
      <c r="EO58" s="29" t="n"/>
      <c r="EP58" s="29" t="n"/>
      <c r="ER58" s="5" t="n"/>
      <c r="ES58" s="5" t="n"/>
      <c r="ET58" s="5" t="n"/>
      <c r="EU58" s="5" t="n"/>
      <c r="EV58" s="5" t="n"/>
      <c r="EW58" s="5" t="n"/>
      <c r="EX58" s="5" t="n"/>
      <c r="EY58" s="5" t="n"/>
      <c r="EZ58" s="5" t="n"/>
    </row>
    <row r="59" customFormat="1" s="29">
      <c r="CC59" s="573" t="n"/>
      <c r="CI59" s="59" t="n"/>
      <c r="CV59" s="41" t="n"/>
      <c r="DG59" s="573" t="n"/>
      <c r="DN59" s="327" t="n"/>
      <c r="DP59" s="573" t="n"/>
      <c r="DQ59" s="573" t="n"/>
      <c r="DR59" s="573" t="n"/>
      <c r="DV59" s="327" t="n"/>
      <c r="DY59" s="5" t="n"/>
      <c r="EA59" s="5" t="n"/>
      <c r="EC59" s="327" t="n"/>
      <c r="EF59" s="327" t="n"/>
      <c r="EL59" s="573" t="n"/>
      <c r="ER59" s="5" t="n"/>
      <c r="ES59" s="5" t="n"/>
      <c r="ET59" s="5" t="n"/>
      <c r="EU59" s="5" t="n"/>
      <c r="EV59" s="5" t="n"/>
      <c r="EW59" s="5" t="n"/>
      <c r="EX59" s="5" t="n"/>
      <c r="EY59" s="5" t="n"/>
      <c r="EZ59" s="5" t="n"/>
    </row>
    <row r="60"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V60" s="41" t="n"/>
      <c r="DC60" s="5" t="n"/>
      <c r="DE60" s="5" t="n"/>
      <c r="DG60" s="573" t="n"/>
      <c r="DN60" s="327" t="n"/>
      <c r="DP60" s="5" t="n"/>
      <c r="DQ60" s="573" t="n"/>
      <c r="DR60" s="573" t="n"/>
      <c r="DV60" s="327" t="n"/>
      <c r="DY60" s="5" t="n"/>
      <c r="EA60" s="5" t="n"/>
      <c r="EC60" s="327" t="n"/>
      <c r="EF60" s="327" t="n"/>
      <c r="EL60" s="573" t="n"/>
    </row>
    <row r="61" ht="18.75" customHeight="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45824</v>
      </c>
      <c r="AE61" s="776" t="n">
        <v>45831</v>
      </c>
      <c r="AF61" s="776" t="n">
        <v>45838</v>
      </c>
      <c r="AG61" s="776" t="n">
        <v>45845</v>
      </c>
      <c r="AH61" s="776" t="n">
        <v>45852</v>
      </c>
      <c r="AI61" s="776" t="n">
        <v>45859</v>
      </c>
      <c r="AJ61" s="776" t="n">
        <v>45866</v>
      </c>
      <c r="AK61" s="776" t="n">
        <v>45873</v>
      </c>
      <c r="AL61" s="776" t="n">
        <v>45880</v>
      </c>
      <c r="AM61" s="776" t="n">
        <v>45887</v>
      </c>
      <c r="AN61" s="776" t="n">
        <v>45894</v>
      </c>
      <c r="AO61" s="776" t="n">
        <v>45901</v>
      </c>
      <c r="AP61" s="776" t="n">
        <v>45908</v>
      </c>
      <c r="AQ61" s="776" t="n">
        <v>45915</v>
      </c>
      <c r="AR61" s="776" t="n">
        <v>45922</v>
      </c>
      <c r="AS61" s="776" t="n">
        <v>45929</v>
      </c>
      <c r="AT61" s="776" t="n">
        <v>45936</v>
      </c>
      <c r="AU61" s="776" t="n">
        <v>45943</v>
      </c>
      <c r="AV61" s="776" t="n">
        <v>45950</v>
      </c>
      <c r="AW61" s="776" t="n">
        <v>45957</v>
      </c>
      <c r="AX61" s="776" t="n">
        <v>45964</v>
      </c>
      <c r="AY61" s="776" t="n">
        <v>45971</v>
      </c>
      <c r="AZ61" s="776" t="n">
        <v>45978</v>
      </c>
      <c r="BA61" s="776" t="n">
        <v>45985</v>
      </c>
      <c r="BB61" s="776" t="n">
        <v>45992</v>
      </c>
      <c r="BC61" s="776" t="n">
        <v>45999</v>
      </c>
      <c r="BD61" s="776" t="n">
        <v>46006</v>
      </c>
      <c r="BE61" s="776" t="n">
        <v>46013</v>
      </c>
      <c r="BF61" s="776" t="n">
        <v>46020</v>
      </c>
      <c r="BG61" s="776" t="n">
        <v>46027</v>
      </c>
      <c r="BH61" s="776" t="n">
        <v>46034</v>
      </c>
      <c r="BI61" s="776" t="n">
        <v>46041</v>
      </c>
      <c r="BJ61" s="776" t="n">
        <v>46048</v>
      </c>
      <c r="BK61" s="776" t="n">
        <v>46055</v>
      </c>
      <c r="BL61" s="776" t="n">
        <v>46062</v>
      </c>
      <c r="BM61" s="776" t="n">
        <v>46069</v>
      </c>
      <c r="BN61" s="776" t="n">
        <v>46076</v>
      </c>
      <c r="BO61" s="776" t="n">
        <v>46083</v>
      </c>
      <c r="BP61" s="776" t="n">
        <v>46090</v>
      </c>
      <c r="BQ61" s="776" t="n">
        <v>46097</v>
      </c>
      <c r="BR61" s="776" t="n">
        <v>46104</v>
      </c>
      <c r="BS61" s="776" t="n">
        <v>46111</v>
      </c>
      <c r="BT61" s="776" t="n">
        <v>46118</v>
      </c>
      <c r="BU61" s="776" t="n">
        <v>46125</v>
      </c>
      <c r="BV61" s="776" t="n">
        <v>46132</v>
      </c>
      <c r="BW61" s="776" t="n">
        <v>46139</v>
      </c>
      <c r="BX61" s="776" t="n">
        <v>46146</v>
      </c>
      <c r="BY61" s="776" t="n">
        <v>46154</v>
      </c>
      <c r="CA61" s="50" t="n"/>
      <c r="CB61" s="5" t="n"/>
      <c r="DC61" s="5" t="n"/>
      <c r="DE61" s="5" t="n"/>
      <c r="DN61" s="327" t="n"/>
      <c r="DP61" s="5" t="n"/>
      <c r="DQ61" s="5" t="n"/>
      <c r="DR61" s="5" t="n"/>
      <c r="DV61" s="327" t="n"/>
      <c r="DY61" s="5" t="n"/>
      <c r="EA61" s="5" t="n"/>
      <c r="EC61" s="327" t="n"/>
      <c r="EF61" s="327" t="n"/>
      <c r="EL61" s="5" t="n"/>
    </row>
    <row r="62" hidden="1" ht="18.75" customHeight="1">
      <c r="A62" s="781" t="inlineStr">
        <is>
          <t>ZAAD ARTIC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CA62" s="50" t="n"/>
      <c r="CB62" s="5" t="n"/>
      <c r="DC62" s="5" t="n"/>
      <c r="DE62" s="5" t="n"/>
      <c r="DN62" s="327" t="n"/>
      <c r="DP62" s="41" t="n"/>
      <c r="DQ62" s="5" t="n"/>
      <c r="DR62" s="5" t="n"/>
      <c r="DV62" s="327" t="n"/>
      <c r="DY62" s="5" t="n"/>
      <c r="EA62" s="5" t="n"/>
      <c r="EC62" s="327" t="n"/>
      <c r="EF62" s="327" t="n"/>
      <c r="EL62" s="5" t="n"/>
    </row>
    <row r="63" hidden="1" ht="18.75" customHeight="1">
      <c r="A63" s="781" t="inlineStr">
        <is>
          <t>COFFEE WOMAN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CA63" s="50" t="n"/>
      <c r="CB63" s="5" t="n"/>
      <c r="DC63" s="5" t="n"/>
      <c r="DE63" s="5" t="n"/>
      <c r="DN63" s="327" t="n"/>
      <c r="DP63" s="41" t="n"/>
      <c r="DQ63" s="41" t="n"/>
      <c r="DR63" s="41" t="n"/>
      <c r="DV63" s="327" t="n"/>
      <c r="DY63" s="5" t="n"/>
      <c r="EA63" s="5" t="n"/>
      <c r="EC63" s="327" t="n"/>
      <c r="EF63" s="327" t="n"/>
      <c r="EL63" s="41" t="n"/>
    </row>
    <row r="64" hidden="1" ht="18.75" customFormat="1" customHeight="1" s="29">
      <c r="A64" s="781" t="inlineStr">
        <is>
          <t>COFFEE MAN</t>
        </is>
      </c>
      <c r="B64" s="731" t="n"/>
      <c r="C64" s="731" t="n"/>
      <c r="D64" s="775" t="n"/>
      <c r="E64" s="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5" t="n"/>
      <c r="CA64" s="50" t="n"/>
      <c r="CC64" s="573" t="n"/>
      <c r="CI64" s="59" t="n"/>
      <c r="DC64" s="5" t="n"/>
      <c r="DE64" s="5" t="n"/>
      <c r="DN64" s="328" t="n"/>
      <c r="DP64" s="41" t="n"/>
      <c r="DQ64" s="41" t="n"/>
      <c r="DR64" s="41" t="n"/>
      <c r="DV64" s="328" t="n"/>
      <c r="DY64" s="5" t="n"/>
      <c r="EA64" s="5" t="n"/>
      <c r="EC64" s="328" t="n"/>
      <c r="EF64" s="328" t="n"/>
      <c r="EL64" s="41" t="n"/>
      <c r="ER64" s="5" t="n"/>
      <c r="ES64" s="5" t="n"/>
      <c r="ET64" s="5" t="n"/>
      <c r="EU64" s="5" t="n"/>
      <c r="EV64" s="5" t="n"/>
      <c r="EW64" s="5" t="n"/>
      <c r="EX64" s="5" t="n"/>
      <c r="EY64" s="5" t="n"/>
      <c r="EZ64" s="5" t="n"/>
    </row>
    <row r="65" hidden="1" ht="18.75" customFormat="1" customHeight="1" s="29">
      <c r="A65" s="781" t="inlineStr">
        <is>
          <t>CELEBRE AGORA MAS</t>
        </is>
      </c>
      <c r="B65" s="731" t="n"/>
      <c r="C65" s="731" t="n"/>
      <c r="D65" s="775" t="n"/>
      <c r="E65" s="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573" t="n"/>
      <c r="CC65" s="573" t="n"/>
      <c r="CI65" s="59" t="n"/>
      <c r="CV65" s="5" t="n"/>
      <c r="DC65" s="5" t="n"/>
      <c r="DE65" s="5" t="n"/>
      <c r="DN65" s="328" t="n"/>
      <c r="DQ65" s="41" t="n"/>
      <c r="DR65" s="41" t="n"/>
      <c r="DV65" s="328" t="n"/>
      <c r="DY65" s="5" t="n"/>
      <c r="EA65" s="5" t="n"/>
      <c r="EC65" s="328" t="n"/>
      <c r="EF65" s="328" t="n"/>
      <c r="ER65" s="5" t="n"/>
      <c r="ES65" s="5" t="n"/>
      <c r="ET65" s="5" t="n"/>
      <c r="EU65" s="5" t="n"/>
      <c r="EV65" s="5" t="n"/>
      <c r="EW65" s="5" t="n"/>
      <c r="EX65" s="5" t="n"/>
      <c r="EY65" s="5" t="n"/>
      <c r="EZ65" s="5" t="n"/>
    </row>
    <row r="66" hidden="1" ht="18.75" customFormat="1" customHeight="1" s="29">
      <c r="A66" s="781" t="inlineStr">
        <is>
          <t>CELEBRE AGORA FEM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573" t="n"/>
      <c r="CC66" s="5" t="n"/>
      <c r="CI66" s="59" t="n"/>
      <c r="CV66" s="5" t="n"/>
      <c r="DC66" s="5" t="n"/>
      <c r="DE66" s="5" t="n"/>
      <c r="DN66" s="329" t="n"/>
      <c r="DV66" s="329" t="n"/>
      <c r="EC66" s="329" t="n"/>
      <c r="EF66" s="329" t="n"/>
      <c r="ER66" s="5" t="n"/>
      <c r="ES66" s="5" t="n"/>
      <c r="ET66" s="5" t="n"/>
      <c r="EU66" s="5" t="n"/>
      <c r="EV66" s="5" t="n"/>
      <c r="EW66" s="5" t="n"/>
      <c r="EX66" s="5" t="n"/>
      <c r="EY66" s="5" t="n"/>
      <c r="EZ66" s="5" t="n"/>
    </row>
    <row r="67" hidden="1" ht="18.75" customHeight="1">
      <c r="A67" s="781" t="inlineStr">
        <is>
          <t>MALBEC ELEGANT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573" t="n"/>
      <c r="CV67" s="5" t="n"/>
      <c r="DC67" s="5" t="n"/>
      <c r="DE67" s="5" t="n"/>
      <c r="DN67" s="329" t="n"/>
      <c r="DV67" s="329" t="n"/>
      <c r="DY67" s="5" t="n"/>
      <c r="EA67" s="5" t="n"/>
      <c r="EC67" s="329" t="n"/>
      <c r="EF67" s="329" t="n"/>
    </row>
    <row r="68" hidden="1" ht="18.75" customHeight="1">
      <c r="A68" s="781" t="inlineStr">
        <is>
          <t>GLAMOUR MIDNIGHT</t>
        </is>
      </c>
      <c r="B68" s="731" t="n"/>
      <c r="C68" s="731" t="n"/>
      <c r="D68" s="775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DC68" s="5" t="n"/>
      <c r="DE68" s="5" t="n"/>
      <c r="DN68" s="329" t="n"/>
      <c r="DV68" s="329" t="n"/>
      <c r="EC68" s="329" t="n"/>
      <c r="EF68" s="329" t="n"/>
    </row>
    <row r="69" hidden="1" ht="18.75" customHeight="1">
      <c r="A69" s="781" t="inlineStr">
        <is>
          <t>LIZ INTENSO</t>
        </is>
      </c>
      <c r="B69" s="731" t="n"/>
      <c r="C69" s="731" t="n"/>
      <c r="D69" s="775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DC69" s="5" t="n"/>
      <c r="DE69" s="5" t="n"/>
      <c r="DN69" s="329" t="n"/>
      <c r="DV69" s="329" t="n"/>
      <c r="EC69" s="329" t="n"/>
      <c r="EF69" s="329" t="n"/>
    </row>
    <row r="70" hidden="1" ht="18.75" customHeight="1">
      <c r="A70" s="781" t="inlineStr">
        <is>
          <t>SHOW DE BANHO</t>
        </is>
      </c>
      <c r="B70" s="731" t="n"/>
      <c r="C70" s="731" t="n"/>
      <c r="D70" s="775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DC70" s="5" t="n"/>
      <c r="DE70" s="5" t="n"/>
      <c r="DN70" s="329" t="n"/>
      <c r="DV70" s="329" t="n"/>
      <c r="DY70" s="173" t="n"/>
      <c r="EA70" s="173" t="n"/>
      <c r="EC70" s="329" t="n"/>
      <c r="EF70" s="329" t="n"/>
    </row>
    <row r="71" hidden="1" ht="18.75" customHeight="1">
      <c r="A71" s="781" t="inlineStr">
        <is>
          <t>MEN BRHAMA</t>
        </is>
      </c>
      <c r="B71" s="731" t="n"/>
      <c r="C71" s="731" t="n"/>
      <c r="D71" s="775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DN71" s="329" t="n"/>
      <c r="DP71" s="5" t="n"/>
      <c r="DV71" s="329" t="n"/>
      <c r="DY71" s="173" t="n"/>
      <c r="EA71" s="173" t="n"/>
      <c r="EC71" s="329" t="n"/>
      <c r="EF71" s="329" t="n"/>
      <c r="EL71" s="5" t="n"/>
    </row>
    <row r="72" hidden="1" ht="18.75" customHeight="1">
      <c r="A72" s="781" t="inlineStr">
        <is>
          <t>VITAMINA C</t>
        </is>
      </c>
      <c r="B72" s="731" t="n"/>
      <c r="C72" s="731" t="n"/>
      <c r="D72" s="775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DC72" s="5" t="n"/>
      <c r="DE72" s="5" t="n"/>
      <c r="DN72" s="327" t="n"/>
      <c r="DP72" s="5" t="n"/>
      <c r="DQ72" s="5" t="n"/>
      <c r="DR72" s="5" t="n"/>
      <c r="DV72" s="327" t="n"/>
      <c r="DY72" s="173" t="n"/>
      <c r="EA72" s="173" t="n"/>
      <c r="EC72" s="327" t="n"/>
      <c r="EF72" s="327" t="n"/>
      <c r="EL72" s="5" t="n"/>
    </row>
    <row r="73" hidden="1" ht="18.75" customHeight="1">
      <c r="A73" s="781" t="inlineStr">
        <is>
          <t>OUI</t>
        </is>
      </c>
      <c r="B73" s="731" t="n"/>
      <c r="C73" s="731" t="n"/>
      <c r="D73" s="775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DN73" s="327" t="n"/>
      <c r="DP73" s="5" t="n"/>
      <c r="DQ73" s="5" t="n"/>
      <c r="DR73" s="5" t="n"/>
      <c r="DV73" s="327" t="n"/>
      <c r="EC73" s="327" t="n"/>
      <c r="EF73" s="327" t="n"/>
      <c r="EL73" s="5" t="n"/>
    </row>
    <row r="74" hidden="1" ht="18.75" customHeight="1">
      <c r="A74" s="781" t="inlineStr">
        <is>
          <t>EGEO FIRE</t>
        </is>
      </c>
      <c r="B74" s="731" t="n"/>
      <c r="C74" s="731" t="n"/>
      <c r="D74" s="775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DN74" s="327" t="n"/>
      <c r="DQ74" s="5" t="n"/>
      <c r="DR74" s="5" t="n"/>
      <c r="DV74" s="327" t="n"/>
      <c r="EC74" s="327" t="n"/>
      <c r="EF74" s="327" t="n"/>
    </row>
    <row r="75" hidden="1" ht="18.75" customHeight="1">
      <c r="A75" s="781" t="inlineStr">
        <is>
          <t>FIJI FEMININO</t>
        </is>
      </c>
      <c r="B75" s="731" t="n"/>
      <c r="C75" s="731" t="n"/>
      <c r="D75" s="775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DC75" s="173" t="n"/>
      <c r="DE75" s="173" t="n"/>
    </row>
    <row r="76" hidden="1" ht="18.75" customHeight="1">
      <c r="A76" s="781" t="inlineStr">
        <is>
          <t>FIJI MASCULINO</t>
        </is>
      </c>
      <c r="B76" s="731" t="n"/>
      <c r="C76" s="731" t="n"/>
      <c r="D76" s="775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DC76" s="173" t="n"/>
      <c r="DE76" s="173" t="n"/>
    </row>
    <row r="77" hidden="1" ht="18.75" customHeight="1">
      <c r="A77" s="781" t="inlineStr">
        <is>
          <t>HER CODE</t>
        </is>
      </c>
      <c r="B77" s="731" t="n"/>
      <c r="C77" s="731" t="n"/>
      <c r="D77" s="775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DC77" s="173" t="n"/>
      <c r="DE77" s="173" t="n"/>
    </row>
    <row r="78" hidden="1" ht="18.75" customHeight="1">
      <c r="A78" s="781" t="inlineStr">
        <is>
          <t>antiqueda</t>
        </is>
      </c>
      <c r="B78" s="731" t="n"/>
      <c r="C78" s="731" t="n"/>
      <c r="D78" s="775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</row>
    <row r="79" hidden="1" ht="18.75" customHeight="1">
      <c r="A79" s="781" t="inlineStr">
        <is>
          <t>firmador</t>
        </is>
      </c>
      <c r="B79" s="731" t="n"/>
      <c r="C79" s="731" t="n"/>
      <c r="D79" s="775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</row>
    <row r="80" hidden="1" ht="18.75" customHeight="1">
      <c r="A80" s="781" t="inlineStr">
        <is>
          <t>antissinais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</row>
    <row r="81" hidden="1" ht="18.75" customHeight="1">
      <c r="A81" s="781" t="inlineStr">
        <is>
          <t>ANTICASPAS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</row>
    <row r="82" hidden="1" ht="18.75" customHeight="1">
      <c r="A82" s="781" t="inlineStr">
        <is>
          <t>PORTINARI ABSOLUTO</t>
        </is>
      </c>
      <c r="B82" s="731" t="n"/>
      <c r="C82" s="731" t="n"/>
      <c r="D82" s="775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</row>
    <row r="83" hidden="1" ht="18.75" customHeight="1">
      <c r="A83" s="781" t="inlineStr">
        <is>
          <t>LILY SOLEYL</t>
        </is>
      </c>
      <c r="B83" s="731" t="n"/>
      <c r="C83" s="731" t="n"/>
      <c r="D83" s="775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</row>
    <row r="84" hidden="1" ht="18.75" customHeight="1">
      <c r="A84" s="781" t="inlineStr">
        <is>
          <t>quasar vision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</row>
    <row r="85" hidden="1" ht="18.75" customHeight="1">
      <c r="A85" s="781" t="inlineStr">
        <is>
          <t>mate salicylic 120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</row>
    <row r="86" hidden="1" ht="18.75" customHeight="1">
      <c r="A86" s="781" t="inlineStr">
        <is>
          <t>mate salicylic 200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</row>
    <row r="87" hidden="1" ht="18.75" customHeight="1">
      <c r="A87" s="781" t="inlineStr">
        <is>
          <t>mate salicylic 330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</row>
    <row r="88" hidden="1" ht="18.75" customHeight="1">
      <c r="A88" s="781" t="inlineStr">
        <is>
          <t>boti sun fps 70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</row>
    <row r="89" hidden="1" ht="18.75" customHeight="1">
      <c r="A89" s="781" t="inlineStr">
        <is>
          <t>boti sun fps 50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</row>
    <row r="90" hidden="1" ht="18.75" customHeight="1">
      <c r="A90" s="781" t="inlineStr">
        <is>
          <t xml:space="preserve">Intense batom 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</row>
    <row r="91" hidden="1" ht="18.75" customHeight="1">
      <c r="A91" s="781" t="inlineStr">
        <is>
          <t>FLORATA ROMANCE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</row>
    <row r="92" hidden="1" ht="18.75" customHeight="1">
      <c r="A92" s="781" t="inlineStr">
        <is>
          <t>ARBO PURO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CL92" s="59" t="n"/>
      <c r="CM92" s="59" t="n"/>
      <c r="CN92" s="59" t="n"/>
      <c r="CO92" s="59" t="n"/>
      <c r="CP92" s="59" t="n"/>
    </row>
    <row r="93" hidden="1" ht="18.75" customHeight="1">
      <c r="A93" s="781" t="inlineStr">
        <is>
          <t>HIDRATANTE MAÇA VERDE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CL93" s="573" t="n"/>
      <c r="CM93" s="573" t="n"/>
      <c r="CN93" s="573" t="n"/>
      <c r="CO93" s="573" t="n"/>
      <c r="CP93" s="573" t="n"/>
    </row>
    <row r="94" hidden="1" ht="18.75" customHeight="1">
      <c r="A94" s="781" t="inlineStr">
        <is>
          <t>HIDRATANTE FRAMBOESA</t>
        </is>
      </c>
      <c r="B94" s="731" t="n"/>
      <c r="C94" s="731" t="n"/>
      <c r="D94" s="775" t="n"/>
      <c r="F94" s="141" t="n"/>
      <c r="G94" s="141" t="n"/>
      <c r="H94" s="141" t="n"/>
      <c r="I94" s="141" t="n"/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CL94" s="573" t="n"/>
      <c r="CM94" s="573" t="n"/>
      <c r="CN94" s="573" t="n"/>
      <c r="CO94" s="573" t="n"/>
      <c r="CP94" s="573" t="n"/>
    </row>
    <row r="95" hidden="1" ht="18.75" customHeight="1">
      <c r="A95" s="781" t="inlineStr">
        <is>
          <t>HIDRATANTE BANANA</t>
        </is>
      </c>
      <c r="B95" s="731" t="n"/>
      <c r="C95" s="731" t="n"/>
      <c r="D95" s="775" t="n"/>
      <c r="F95" s="141" t="n"/>
      <c r="G95" s="141" t="n"/>
      <c r="H95" s="141" t="n"/>
      <c r="I95" s="141" t="n"/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</row>
    <row r="96" hidden="1" ht="18.75" customHeight="1">
      <c r="A96" s="781" t="inlineStr">
        <is>
          <t>quasar blue</t>
        </is>
      </c>
      <c r="B96" s="731" t="n"/>
      <c r="C96" s="731" t="n"/>
      <c r="D96" s="775" t="n"/>
      <c r="F96" s="141" t="n"/>
      <c r="G96" s="141" t="n"/>
      <c r="H96" s="141" t="n"/>
      <c r="I96" s="141" t="n"/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</row>
    <row r="97" hidden="1" ht="18.75" customHeight="1">
      <c r="A97" s="781" t="inlineStr">
        <is>
          <t>framboesa</t>
        </is>
      </c>
      <c r="B97" s="731" t="n"/>
      <c r="C97" s="731" t="n"/>
      <c r="D97" s="775" t="n"/>
      <c r="F97" s="141" t="n"/>
      <c r="G97" s="141" t="n"/>
      <c r="H97" s="141" t="n"/>
      <c r="I97" s="141" t="n"/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</row>
    <row r="98" hidden="1" ht="18.75" customHeight="1">
      <c r="A98" s="781" t="inlineStr">
        <is>
          <t>banana</t>
        </is>
      </c>
      <c r="B98" s="731" t="n"/>
      <c r="C98" s="731" t="n"/>
      <c r="D98" s="775" t="n"/>
      <c r="F98" s="141" t="n"/>
      <c r="G98" s="141" t="n"/>
      <c r="H98" s="141" t="n"/>
      <c r="I98" s="141" t="n"/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</row>
    <row r="99" hidden="1" ht="18.75" customHeight="1">
      <c r="A99" s="781" t="inlineStr">
        <is>
          <t>maça verde</t>
        </is>
      </c>
      <c r="B99" s="731" t="n"/>
      <c r="C99" s="731" t="n"/>
      <c r="D99" s="775" t="n"/>
      <c r="F99" s="141" t="n"/>
      <c r="G99" s="141" t="n"/>
      <c r="H99" s="141" t="n"/>
      <c r="I99" s="141" t="n"/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</row>
    <row r="100" hidden="1" ht="18.75" customHeight="1">
      <c r="A100" s="781" t="inlineStr">
        <is>
          <t>HIDRATANTE NUVEM</t>
        </is>
      </c>
      <c r="B100" s="731" t="n"/>
      <c r="C100" s="731" t="n"/>
      <c r="D100" s="775" t="n"/>
      <c r="F100" s="141" t="n"/>
      <c r="G100" s="141" t="n"/>
      <c r="H100" s="141" t="n"/>
      <c r="I100" s="141" t="n"/>
      <c r="J100" s="141" t="n"/>
      <c r="K100" s="141" t="n"/>
      <c r="L100" s="141" t="n"/>
      <c r="M100" s="141" t="n"/>
      <c r="N100" s="141" t="n"/>
      <c r="O100" s="141" t="n"/>
      <c r="P100" s="141" t="n"/>
      <c r="Q100" s="141" t="n"/>
      <c r="R100" s="141" t="n"/>
      <c r="S100" s="141" t="n"/>
      <c r="T100" s="141" t="n"/>
      <c r="U100" s="141" t="n"/>
      <c r="V100" s="141" t="n"/>
      <c r="W100" s="141" t="n"/>
      <c r="X100" s="141" t="n"/>
      <c r="Y100" s="141" t="n"/>
      <c r="Z100" s="141" t="n"/>
      <c r="AA100" s="141" t="n"/>
      <c r="AB100" s="141" t="n"/>
      <c r="AC100" s="141" t="n"/>
      <c r="AD100" s="141" t="n"/>
      <c r="AE100" s="141" t="n"/>
      <c r="AF100" s="141" t="n"/>
      <c r="AG100" s="141" t="n"/>
      <c r="AH100" s="141" t="n"/>
      <c r="AI100" s="141" t="n"/>
      <c r="AJ100" s="141" t="n"/>
      <c r="AK100" s="141" t="n"/>
      <c r="AL100" s="141" t="n"/>
      <c r="AM100" s="141" t="n"/>
      <c r="AN100" s="141" t="n"/>
      <c r="AO100" s="141" t="n"/>
      <c r="AP100" s="141" t="n"/>
      <c r="AQ100" s="141" t="n"/>
      <c r="AR100" s="141" t="n"/>
      <c r="AS100" s="141" t="n"/>
      <c r="AT100" s="141" t="n"/>
      <c r="AU100" s="141" t="n"/>
      <c r="AV100" s="141" t="n"/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</row>
    <row r="101" hidden="1" ht="18.75" customHeight="1">
      <c r="A101" s="781" t="inlineStr">
        <is>
          <t>HIDRATANTE DELEITE</t>
        </is>
      </c>
      <c r="B101" s="731" t="n"/>
      <c r="C101" s="731" t="n"/>
      <c r="D101" s="775" t="n"/>
      <c r="F101" s="141" t="n"/>
      <c r="G101" s="141" t="n"/>
      <c r="H101" s="141" t="n"/>
      <c r="I101" s="141" t="n"/>
      <c r="J101" s="141" t="n"/>
      <c r="K101" s="141" t="n"/>
      <c r="L101" s="141" t="n"/>
      <c r="M101" s="141" t="n"/>
      <c r="N101" s="141" t="n"/>
      <c r="O101" s="141" t="n"/>
      <c r="P101" s="141" t="n"/>
      <c r="Q101" s="141" t="n"/>
      <c r="R101" s="141" t="n"/>
      <c r="S101" s="141" t="n"/>
      <c r="T101" s="141" t="n"/>
      <c r="U101" s="141" t="n"/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</row>
    <row r="102" hidden="1" ht="18.75" customHeight="1">
      <c r="A102" s="781" t="inlineStr">
        <is>
          <t>HIDRATANTE ROSA E ALGODÃO</t>
        </is>
      </c>
      <c r="B102" s="731" t="n"/>
      <c r="C102" s="731" t="n"/>
      <c r="D102" s="775" t="n"/>
      <c r="F102" s="141" t="n"/>
      <c r="G102" s="141" t="n"/>
      <c r="H102" s="141" t="n"/>
      <c r="I102" s="141" t="n"/>
      <c r="J102" s="141" t="n"/>
      <c r="K102" s="141" t="n"/>
      <c r="L102" s="141" t="n"/>
      <c r="M102" s="141" t="n"/>
      <c r="N102" s="141" t="n"/>
      <c r="O102" s="141" t="n"/>
      <c r="P102" s="141" t="n"/>
      <c r="Q102" s="141" t="n"/>
      <c r="R102" s="141" t="n"/>
      <c r="S102" s="141" t="n"/>
      <c r="T102" s="141" t="n"/>
      <c r="U102" s="141" t="n"/>
      <c r="V102" s="141" t="n"/>
      <c r="W102" s="141" t="n"/>
      <c r="X102" s="141" t="n"/>
      <c r="Y102" s="141" t="n"/>
      <c r="Z102" s="141" t="n"/>
      <c r="AA102" s="141" t="n"/>
      <c r="AB102" s="141" t="n"/>
      <c r="AC102" s="141" t="n"/>
      <c r="AD102" s="141" t="n"/>
      <c r="AE102" s="141" t="n"/>
      <c r="AF102" s="141" t="n"/>
      <c r="AG102" s="141" t="n"/>
      <c r="AH102" s="141" t="n"/>
      <c r="AI102" s="141" t="n"/>
      <c r="AJ102" s="141" t="n"/>
      <c r="AK102" s="141" t="n"/>
      <c r="AL102" s="141" t="n"/>
      <c r="AM102" s="141" t="n"/>
      <c r="AN102" s="141" t="n"/>
      <c r="AO102" s="141" t="n"/>
      <c r="AP102" s="141" t="n"/>
      <c r="AQ102" s="141" t="n"/>
      <c r="AR102" s="141" t="n"/>
      <c r="AS102" s="141" t="n"/>
      <c r="AT102" s="141" t="n"/>
      <c r="AU102" s="141" t="n"/>
      <c r="AV102" s="141" t="n"/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</row>
    <row r="103" hidden="1" ht="18.75" customHeight="1">
      <c r="A103" s="781" t="inlineStr">
        <is>
          <t xml:space="preserve">LIZ </t>
        </is>
      </c>
      <c r="B103" s="731" t="n"/>
      <c r="C103" s="731" t="n"/>
      <c r="D103" s="775" t="n"/>
      <c r="F103" s="141" t="n"/>
      <c r="G103" s="141" t="n"/>
      <c r="H103" s="141" t="n"/>
      <c r="I103" s="141" t="n"/>
      <c r="J103" s="141" t="n"/>
      <c r="K103" s="141" t="n"/>
      <c r="L103" s="141" t="n"/>
      <c r="M103" s="141" t="n"/>
      <c r="N103" s="141" t="n"/>
      <c r="O103" s="141" t="n"/>
      <c r="P103" s="141" t="n"/>
      <c r="Q103" s="141" t="n"/>
      <c r="R103" s="141" t="n"/>
      <c r="S103" s="141" t="n"/>
      <c r="T103" s="141" t="n"/>
      <c r="U103" s="141" t="n"/>
      <c r="V103" s="141" t="n"/>
      <c r="W103" s="141" t="n"/>
      <c r="X103" s="141" t="n"/>
      <c r="Y103" s="141" t="n"/>
      <c r="Z103" s="141" t="n"/>
      <c r="AA103" s="141" t="n"/>
      <c r="AB103" s="141" t="n"/>
      <c r="AC103" s="141" t="n"/>
      <c r="AD103" s="141" t="n"/>
      <c r="AE103" s="141" t="n"/>
      <c r="AF103" s="141" t="n"/>
      <c r="AG103" s="141" t="n"/>
      <c r="AH103" s="141" t="n"/>
      <c r="AI103" s="141" t="n"/>
      <c r="AJ103" s="141" t="n"/>
      <c r="AK103" s="141" t="n"/>
      <c r="AL103" s="141" t="n"/>
      <c r="AM103" s="141" t="n"/>
      <c r="AN103" s="141" t="n"/>
      <c r="AO103" s="141" t="n"/>
      <c r="AP103" s="141" t="n"/>
      <c r="AQ103" s="141" t="n"/>
      <c r="AR103" s="141" t="n"/>
      <c r="AS103" s="141" t="n"/>
      <c r="AT103" s="141" t="n"/>
      <c r="AU103" s="141" t="n"/>
      <c r="AV103" s="141" t="n"/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</row>
    <row r="104" hidden="1" ht="18.75" customHeight="1">
      <c r="A104" s="781" t="inlineStr">
        <is>
          <t>LILAC HIDRATANTE</t>
        </is>
      </c>
      <c r="B104" s="731" t="n"/>
      <c r="C104" s="731" t="n"/>
      <c r="D104" s="775" t="n"/>
      <c r="F104" s="141" t="n"/>
      <c r="G104" s="141" t="n"/>
      <c r="H104" s="141" t="n"/>
      <c r="I104" s="141" t="n"/>
      <c r="J104" s="141" t="n"/>
      <c r="K104" s="141" t="n"/>
      <c r="L104" s="141" t="n"/>
      <c r="M104" s="141" t="n"/>
      <c r="N104" s="141" t="n"/>
      <c r="O104" s="141" t="n"/>
      <c r="P104" s="141" t="n"/>
      <c r="Q104" s="141" t="n"/>
      <c r="R104" s="141" t="n"/>
      <c r="S104" s="141" t="n"/>
      <c r="T104" s="141" t="n"/>
      <c r="U104" s="141" t="n"/>
      <c r="V104" s="141" t="n"/>
      <c r="W104" s="141" t="n"/>
      <c r="X104" s="141" t="n"/>
      <c r="Y104" s="141" t="n"/>
      <c r="Z104" s="141" t="n"/>
      <c r="AA104" s="141" t="n"/>
      <c r="AB104" s="141" t="n"/>
      <c r="AC104" s="141" t="n"/>
      <c r="AD104" s="141" t="n"/>
      <c r="AE104" s="141" t="n"/>
      <c r="AF104" s="141" t="n"/>
      <c r="AG104" s="141" t="n"/>
      <c r="AH104" s="141" t="n"/>
      <c r="AI104" s="141" t="n"/>
      <c r="AJ104" s="141" t="n"/>
      <c r="AK104" s="141" t="n"/>
      <c r="AL104" s="141" t="n"/>
      <c r="AM104" s="141" t="n"/>
      <c r="AN104" s="141" t="n"/>
      <c r="AO104" s="141" t="n"/>
      <c r="AP104" s="141" t="n"/>
      <c r="AQ104" s="141" t="n"/>
      <c r="AR104" s="141" t="n"/>
      <c r="AS104" s="141" t="n"/>
      <c r="AT104" s="141" t="n"/>
      <c r="AU104" s="141" t="n"/>
      <c r="AV104" s="141" t="n"/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141" t="n"/>
      <c r="BW104" s="141" t="n"/>
      <c r="BX104" s="141" t="n"/>
      <c r="BY104" s="141" t="n"/>
    </row>
    <row r="105" hidden="1" ht="18.75" customHeight="1">
      <c r="A105" s="781" t="inlineStr">
        <is>
          <t>BOA NOITE LOÇÃO HIDRATANTE</t>
        </is>
      </c>
      <c r="B105" s="731" t="n"/>
      <c r="C105" s="731" t="n"/>
      <c r="D105" s="775" t="n"/>
      <c r="F105" s="141" t="n"/>
      <c r="G105" s="141" t="n"/>
      <c r="H105" s="141" t="n"/>
      <c r="I105" s="141" t="n"/>
      <c r="J105" s="141" t="n"/>
      <c r="K105" s="141" t="n"/>
      <c r="L105" s="141" t="n"/>
      <c r="M105" s="141" t="n"/>
      <c r="N105" s="141" t="n"/>
      <c r="O105" s="141" t="n"/>
      <c r="P105" s="141" t="n"/>
      <c r="Q105" s="141" t="n"/>
      <c r="R105" s="141" t="n"/>
      <c r="S105" s="141" t="n"/>
      <c r="T105" s="141" t="n"/>
      <c r="U105" s="141" t="n"/>
      <c r="V105" s="141" t="n"/>
      <c r="W105" s="141" t="n"/>
      <c r="X105" s="141" t="n"/>
      <c r="Y105" s="141" t="n"/>
      <c r="Z105" s="141" t="n"/>
      <c r="AA105" s="141" t="n"/>
      <c r="AB105" s="141" t="n"/>
      <c r="AC105" s="141" t="n"/>
      <c r="AD105" s="141" t="n"/>
      <c r="AE105" s="141" t="n"/>
      <c r="AF105" s="141" t="n"/>
      <c r="AG105" s="141" t="n"/>
      <c r="AH105" s="141" t="n"/>
      <c r="AI105" s="141" t="n"/>
      <c r="AJ105" s="141" t="n"/>
      <c r="AK105" s="141" t="n"/>
      <c r="AL105" s="141" t="n"/>
      <c r="AM105" s="141" t="n"/>
      <c r="AN105" s="141" t="n"/>
      <c r="AO105" s="141" t="n"/>
      <c r="AP105" s="141" t="n"/>
      <c r="AQ105" s="141" t="n"/>
      <c r="AR105" s="141" t="n"/>
      <c r="AS105" s="141" t="n"/>
      <c r="AT105" s="141" t="n"/>
      <c r="AU105" s="141" t="n"/>
      <c r="AV105" s="141" t="n"/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141" t="n"/>
      <c r="BW105" s="141" t="n"/>
      <c r="BX105" s="141" t="n"/>
      <c r="BY105" s="141" t="n"/>
    </row>
    <row r="106" hidden="1" ht="18.75" customHeight="1">
      <c r="A106" s="781" t="inlineStr">
        <is>
          <t>Botik protetor solar acid. hil. fps 50</t>
        </is>
      </c>
      <c r="B106" s="731" t="n"/>
      <c r="C106" s="731" t="n"/>
      <c r="D106" s="775" t="n"/>
      <c r="F106" s="141" t="n"/>
      <c r="G106" s="141" t="n"/>
      <c r="H106" s="141" t="n"/>
      <c r="I106" s="141" t="n"/>
      <c r="J106" s="141" t="n"/>
      <c r="K106" s="141" t="n"/>
      <c r="L106" s="141" t="n"/>
      <c r="M106" s="141" t="n"/>
      <c r="N106" s="141" t="n"/>
      <c r="O106" s="141" t="n"/>
      <c r="P106" s="141" t="n"/>
      <c r="Q106" s="141" t="n"/>
      <c r="R106" s="141" t="n"/>
      <c r="S106" s="141" t="n"/>
      <c r="T106" s="141" t="n"/>
      <c r="U106" s="141" t="n"/>
      <c r="V106" s="141" t="n"/>
      <c r="W106" s="141" t="n"/>
      <c r="X106" s="141" t="n"/>
      <c r="Y106" s="141" t="n"/>
      <c r="Z106" s="141" t="n"/>
      <c r="AA106" s="141" t="n"/>
      <c r="AB106" s="141" t="n"/>
      <c r="AC106" s="141" t="n"/>
      <c r="AD106" s="141" t="n"/>
      <c r="AE106" s="141" t="n"/>
      <c r="AF106" s="141" t="n"/>
      <c r="AG106" s="141" t="n"/>
      <c r="AH106" s="141" t="n"/>
      <c r="AI106" s="141" t="n"/>
      <c r="AJ106" s="141" t="n"/>
      <c r="AK106" s="141" t="n"/>
      <c r="AL106" s="141" t="n"/>
      <c r="AM106" s="141" t="n"/>
      <c r="AN106" s="141" t="n"/>
      <c r="AO106" s="141" t="n"/>
      <c r="AP106" s="141" t="n"/>
      <c r="AQ106" s="141" t="n"/>
      <c r="AR106" s="141" t="n"/>
      <c r="AS106" s="141" t="n"/>
      <c r="AT106" s="141" t="n"/>
      <c r="AU106" s="141" t="n"/>
      <c r="AV106" s="141" t="n"/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141" t="n"/>
      <c r="BW106" s="141" t="n"/>
      <c r="BX106" s="141" t="n"/>
      <c r="BY106" s="141" t="n"/>
    </row>
    <row r="107" hidden="1" ht="18.75" customHeight="1">
      <c r="A107" s="781" t="inlineStr">
        <is>
          <t>Botik protetor solar acid. hil. fps 80</t>
        </is>
      </c>
      <c r="B107" s="731" t="n"/>
      <c r="C107" s="731" t="n"/>
      <c r="D107" s="775" t="n"/>
      <c r="F107" s="141" t="n"/>
      <c r="G107" s="141" t="n"/>
      <c r="H107" s="141" t="n"/>
      <c r="I107" s="141" t="n"/>
      <c r="J107" s="141" t="n"/>
      <c r="K107" s="141" t="n"/>
      <c r="L107" s="141" t="n"/>
      <c r="M107" s="141" t="n"/>
      <c r="N107" s="141" t="n"/>
      <c r="O107" s="141" t="n"/>
      <c r="P107" s="141" t="n"/>
      <c r="Q107" s="141" t="n"/>
      <c r="R107" s="141" t="n"/>
      <c r="S107" s="141" t="n"/>
      <c r="T107" s="141" t="n"/>
      <c r="U107" s="141" t="n"/>
      <c r="V107" s="141" t="n"/>
      <c r="W107" s="141" t="n"/>
      <c r="X107" s="141" t="n"/>
      <c r="Y107" s="141" t="n"/>
      <c r="Z107" s="141" t="n"/>
      <c r="AA107" s="141" t="n"/>
      <c r="AB107" s="141" t="n"/>
      <c r="AC107" s="141" t="n"/>
      <c r="AD107" s="141" t="n"/>
      <c r="AE107" s="141" t="n"/>
      <c r="AF107" s="141" t="n"/>
      <c r="AG107" s="141" t="n"/>
      <c r="AH107" s="141" t="n"/>
      <c r="AI107" s="141" t="n"/>
      <c r="AJ107" s="141" t="n"/>
      <c r="AK107" s="141" t="n"/>
      <c r="AL107" s="141" t="n"/>
      <c r="AM107" s="141" t="n"/>
      <c r="AN107" s="141" t="n"/>
      <c r="AO107" s="141" t="n"/>
      <c r="AP107" s="141" t="n"/>
      <c r="AQ107" s="141" t="n"/>
      <c r="AR107" s="141" t="n"/>
      <c r="AS107" s="141" t="n"/>
      <c r="AT107" s="141" t="n"/>
      <c r="AU107" s="141" t="n"/>
      <c r="AV107" s="141" t="n"/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</row>
    <row r="108" hidden="1" ht="18.75" customHeight="1">
      <c r="A108" s="781" t="inlineStr">
        <is>
          <t xml:space="preserve">Botica 214 African sunrise </t>
        </is>
      </c>
      <c r="B108" s="731" t="n"/>
      <c r="C108" s="731" t="n"/>
      <c r="D108" s="775" t="n"/>
      <c r="F108" s="141" t="n"/>
      <c r="G108" s="141" t="n"/>
      <c r="H108" s="141" t="n"/>
      <c r="I108" s="141" t="n"/>
      <c r="J108" s="141" t="n"/>
      <c r="K108" s="141" t="n"/>
      <c r="L108" s="141" t="n"/>
      <c r="M108" s="141" t="n"/>
      <c r="N108" s="141" t="n"/>
      <c r="O108" s="141" t="n"/>
      <c r="P108" s="141" t="n"/>
      <c r="Q108" s="141" t="n"/>
      <c r="R108" s="141" t="n"/>
      <c r="S108" s="141" t="n"/>
      <c r="T108" s="141" t="n"/>
      <c r="U108" s="141" t="n"/>
      <c r="V108" s="141" t="n"/>
      <c r="W108" s="141" t="n"/>
      <c r="X108" s="141" t="n"/>
      <c r="Y108" s="141" t="n"/>
      <c r="Z108" s="141" t="n"/>
      <c r="AA108" s="141" t="n"/>
      <c r="AB108" s="141" t="n"/>
      <c r="AC108" s="141" t="n"/>
      <c r="AD108" s="141" t="n"/>
      <c r="AE108" s="141" t="n"/>
      <c r="AF108" s="141" t="n"/>
      <c r="AG108" s="141" t="n"/>
      <c r="AH108" s="141" t="n"/>
      <c r="AI108" s="141" t="n"/>
      <c r="AJ108" s="141" t="n"/>
      <c r="AK108" s="141" t="n"/>
      <c r="AL108" s="141" t="n"/>
      <c r="AM108" s="141" t="n"/>
      <c r="AN108" s="141" t="n"/>
      <c r="AO108" s="141" t="n"/>
      <c r="AP108" s="141" t="n"/>
      <c r="AQ108" s="141" t="n"/>
      <c r="AR108" s="141" t="n"/>
      <c r="AS108" s="141" t="n"/>
      <c r="AT108" s="141" t="n"/>
      <c r="AU108" s="141" t="n"/>
      <c r="AV108" s="141" t="n"/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</row>
    <row r="109" hidden="1" ht="18.75" customHeight="1">
      <c r="A109" s="781" t="inlineStr">
        <is>
          <t>COFFEE ADDCITIVE</t>
        </is>
      </c>
      <c r="B109" s="731" t="n"/>
      <c r="C109" s="731" t="n"/>
      <c r="D109" s="775" t="n"/>
      <c r="F109" s="141" t="n"/>
      <c r="G109" s="141" t="n"/>
      <c r="H109" s="141" t="n"/>
      <c r="I109" s="141" t="n"/>
      <c r="J109" s="141" t="n"/>
      <c r="K109" s="141" t="n"/>
      <c r="L109" s="141" t="n"/>
      <c r="M109" s="141" t="n"/>
      <c r="N109" s="141" t="n"/>
      <c r="O109" s="141" t="n"/>
      <c r="P109" s="141" t="n"/>
      <c r="Q109" s="141" t="n"/>
      <c r="R109" s="141" t="n"/>
      <c r="S109" s="141" t="n"/>
      <c r="T109" s="141" t="n"/>
      <c r="U109" s="141" t="n"/>
      <c r="V109" s="141" t="n"/>
      <c r="W109" s="141" t="n"/>
      <c r="X109" s="141" t="n"/>
      <c r="Y109" s="141" t="n"/>
      <c r="Z109" s="141" t="n"/>
      <c r="AA109" s="141" t="n"/>
      <c r="AB109" s="141" t="n"/>
      <c r="AC109" s="141" t="n"/>
      <c r="AD109" s="141" t="n"/>
      <c r="AE109" s="141" t="n"/>
      <c r="AF109" s="141" t="n"/>
      <c r="AG109" s="141" t="n"/>
      <c r="AH109" s="141" t="n"/>
      <c r="AI109" s="141" t="n"/>
      <c r="AJ109" s="141" t="n"/>
      <c r="AK109" s="141" t="n"/>
      <c r="AL109" s="141" t="n"/>
      <c r="AM109" s="141" t="n"/>
      <c r="AN109" s="141" t="n"/>
      <c r="AO109" s="141" t="n"/>
      <c r="AP109" s="141" t="n"/>
      <c r="AQ109" s="141" t="n"/>
      <c r="AR109" s="141" t="n"/>
      <c r="AS109" s="141" t="n"/>
      <c r="AT109" s="141" t="n"/>
      <c r="AU109" s="141" t="n"/>
      <c r="AV109" s="141" t="n"/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</row>
    <row r="110" hidden="1" ht="18.75" customHeight="1">
      <c r="A110" s="781" t="inlineStr">
        <is>
          <t>SCIENCE RECONSTRUÇÃO</t>
        </is>
      </c>
      <c r="B110" s="731" t="n"/>
      <c r="C110" s="731" t="n"/>
      <c r="D110" s="775" t="n"/>
      <c r="F110" s="141" t="n"/>
      <c r="G110" s="141" t="n"/>
      <c r="H110" s="141" t="n"/>
      <c r="I110" s="141" t="n"/>
      <c r="J110" s="141" t="n"/>
      <c r="K110" s="141" t="n"/>
      <c r="L110" s="141" t="n"/>
      <c r="M110" s="141" t="n"/>
      <c r="N110" s="141" t="n"/>
      <c r="O110" s="141" t="n"/>
      <c r="P110" s="141" t="n"/>
      <c r="Q110" s="141" t="n"/>
      <c r="R110" s="141" t="n"/>
      <c r="S110" s="141" t="n"/>
      <c r="T110" s="141" t="n"/>
      <c r="U110" s="141" t="n"/>
      <c r="V110" s="141" t="n"/>
      <c r="W110" s="141" t="n"/>
      <c r="X110" s="141" t="n"/>
      <c r="Y110" s="141" t="n"/>
      <c r="Z110" s="141" t="n"/>
      <c r="AA110" s="141" t="n"/>
      <c r="AB110" s="141" t="n"/>
      <c r="AC110" s="141" t="n"/>
      <c r="AD110" s="141" t="n"/>
      <c r="AE110" s="141" t="n"/>
      <c r="AF110" s="141" t="n"/>
      <c r="AG110" s="141" t="n"/>
      <c r="AH110" s="141" t="n"/>
      <c r="AI110" s="141" t="n"/>
      <c r="AJ110" s="141" t="n"/>
      <c r="AK110" s="141" t="n"/>
      <c r="AL110" s="141" t="n"/>
      <c r="AM110" s="141" t="n"/>
      <c r="AN110" s="141" t="n"/>
      <c r="AO110" s="141" t="n"/>
      <c r="AP110" s="141" t="n"/>
      <c r="AQ110" s="141" t="n"/>
      <c r="AR110" s="141" t="n"/>
      <c r="AS110" s="141" t="n"/>
      <c r="AT110" s="141" t="n"/>
      <c r="AU110" s="141" t="n"/>
      <c r="AV110" s="141" t="n"/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</row>
    <row r="111" hidden="1" ht="18.75" customHeight="1">
      <c r="A111" s="781" t="inlineStr">
        <is>
          <t>DR BOTICA CRIATIVIDADE</t>
        </is>
      </c>
      <c r="B111" s="731" t="n"/>
      <c r="C111" s="731" t="n"/>
      <c r="D111" s="775" t="n"/>
      <c r="F111" s="141" t="n"/>
      <c r="G111" s="141" t="n"/>
      <c r="H111" s="141" t="n"/>
      <c r="I111" s="141" t="n"/>
      <c r="J111" s="141" t="n"/>
      <c r="K111" s="141" t="n"/>
      <c r="L111" s="141" t="n"/>
      <c r="M111" s="141" t="n"/>
      <c r="N111" s="141" t="n"/>
      <c r="O111" s="141" t="n"/>
      <c r="P111" s="141" t="n"/>
      <c r="Q111" s="141" t="n"/>
      <c r="R111" s="141" t="n"/>
      <c r="S111" s="141" t="n"/>
      <c r="T111" s="141" t="n"/>
      <c r="U111" s="141" t="n"/>
      <c r="V111" s="141" t="n"/>
      <c r="W111" s="141" t="n"/>
      <c r="X111" s="141" t="n"/>
      <c r="Y111" s="141" t="n"/>
      <c r="Z111" s="141" t="n"/>
      <c r="AA111" s="141" t="n"/>
      <c r="AB111" s="141" t="n"/>
      <c r="AC111" s="141" t="n"/>
      <c r="AD111" s="141" t="n"/>
      <c r="AE111" s="141" t="n"/>
      <c r="AF111" s="141" t="n"/>
      <c r="AG111" s="141" t="n"/>
      <c r="AH111" s="141" t="n"/>
      <c r="AI111" s="141" t="n"/>
      <c r="AJ111" s="141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/>
      <c r="AV111" s="141" t="n"/>
      <c r="AW111" s="141" t="n"/>
      <c r="AX111" s="141" t="n"/>
      <c r="AY111" s="141" t="n"/>
      <c r="AZ111" s="141" t="n"/>
      <c r="BA111" s="141" t="n"/>
      <c r="BB111" s="141" t="n"/>
      <c r="BC111" s="141" t="n"/>
      <c r="BD111" s="141" t="n"/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</row>
    <row r="112" hidden="1" ht="18.75" customHeight="1">
      <c r="A112" s="781" t="inlineStr">
        <is>
          <t>MEN 2 EM 1</t>
        </is>
      </c>
      <c r="B112" s="731" t="n"/>
      <c r="C112" s="731" t="n"/>
      <c r="D112" s="775" t="n"/>
      <c r="F112" s="141" t="n"/>
      <c r="G112" s="141" t="n"/>
      <c r="H112" s="141" t="n"/>
      <c r="I112" s="141" t="n"/>
      <c r="J112" s="141" t="n"/>
      <c r="K112" s="141" t="n"/>
      <c r="L112" s="141" t="n"/>
      <c r="M112" s="141" t="n"/>
      <c r="N112" s="141" t="n"/>
      <c r="O112" s="141" t="n"/>
      <c r="P112" s="141" t="n"/>
      <c r="Q112" s="141" t="n"/>
      <c r="R112" s="141" t="n"/>
      <c r="S112" s="141" t="n"/>
      <c r="T112" s="141" t="n"/>
      <c r="U112" s="141" t="n"/>
      <c r="V112" s="141" t="n"/>
      <c r="W112" s="141" t="n"/>
      <c r="X112" s="141" t="n"/>
      <c r="Y112" s="141" t="n"/>
      <c r="Z112" s="141" t="n"/>
      <c r="AA112" s="141" t="n"/>
      <c r="AB112" s="141" t="n"/>
      <c r="AC112" s="141" t="n"/>
      <c r="AD112" s="141" t="n"/>
      <c r="AE112" s="141" t="n"/>
      <c r="AF112" s="141" t="n"/>
      <c r="AG112" s="141" t="n"/>
      <c r="AH112" s="141" t="n"/>
      <c r="AI112" s="141" t="n"/>
      <c r="AJ112" s="141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/>
      <c r="AV112" s="141" t="n"/>
      <c r="AW112" s="141" t="n"/>
      <c r="AX112" s="141" t="n"/>
      <c r="AY112" s="141" t="n"/>
      <c r="AZ112" s="141" t="n"/>
      <c r="BA112" s="141" t="n"/>
      <c r="BB112" s="141" t="n"/>
      <c r="BC112" s="141" t="n"/>
      <c r="BD112" s="141" t="n"/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</row>
    <row r="113" hidden="1" ht="18.75" customHeight="1">
      <c r="A113" s="781" t="inlineStr">
        <is>
          <t>MALBEC ICON</t>
        </is>
      </c>
      <c r="B113" s="731" t="n"/>
      <c r="C113" s="731" t="n"/>
      <c r="D113" s="775" t="n"/>
      <c r="F113" s="141" t="n"/>
      <c r="G113" s="141" t="n"/>
      <c r="H113" s="141" t="n"/>
      <c r="I113" s="141" t="n"/>
      <c r="J113" s="141" t="n"/>
      <c r="K113" s="141" t="n"/>
      <c r="L113" s="141" t="n"/>
      <c r="M113" s="141" t="n"/>
      <c r="N113" s="141" t="n"/>
      <c r="O113" s="141" t="n"/>
      <c r="P113" s="141" t="n"/>
      <c r="Q113" s="141" t="n"/>
      <c r="R113" s="141" t="n"/>
      <c r="S113" s="141" t="n"/>
      <c r="T113" s="141" t="n"/>
      <c r="U113" s="141" t="n"/>
      <c r="V113" s="141" t="n"/>
      <c r="W113" s="141" t="n"/>
      <c r="X113" s="141" t="n"/>
      <c r="Y113" s="141" t="n"/>
      <c r="Z113" s="141" t="n"/>
      <c r="AA113" s="141" t="n"/>
      <c r="AB113" s="141" t="n"/>
      <c r="AC113" s="141" t="n"/>
      <c r="AD113" s="141" t="n"/>
      <c r="AE113" s="141" t="n"/>
      <c r="AF113" s="141" t="n"/>
      <c r="AG113" s="141" t="n"/>
      <c r="AH113" s="141" t="n"/>
      <c r="AI113" s="141" t="n"/>
      <c r="AJ113" s="141" t="n"/>
      <c r="AK113" s="141" t="n"/>
      <c r="AL113" s="141" t="n"/>
      <c r="AM113" s="141" t="n"/>
      <c r="AN113" s="141" t="n"/>
      <c r="AO113" s="141" t="n"/>
      <c r="AP113" s="141" t="n"/>
      <c r="AQ113" s="141" t="n"/>
      <c r="AR113" s="141" t="n"/>
      <c r="AS113" s="141" t="n"/>
      <c r="AT113" s="141" t="n"/>
      <c r="AU113" s="141" t="n"/>
      <c r="AV113" s="141" t="n"/>
      <c r="AW113" s="141" t="n"/>
      <c r="AX113" s="141" t="n"/>
      <c r="AY113" s="141" t="n"/>
      <c r="AZ113" s="141" t="n"/>
      <c r="BA113" s="141" t="n"/>
      <c r="BB113" s="141" t="n"/>
      <c r="BC113" s="141" t="n"/>
      <c r="BD113" s="141" t="n"/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</row>
    <row r="114" hidden="1" ht="18.75" customHeight="1">
      <c r="A114" s="781" t="inlineStr">
        <is>
          <t>BOTI BABY SABONETE + LOÇÃO</t>
        </is>
      </c>
      <c r="B114" s="731" t="n"/>
      <c r="C114" s="731" t="n"/>
      <c r="D114" s="775" t="n"/>
      <c r="F114" s="141" t="n"/>
      <c r="G114" s="141" t="n"/>
      <c r="H114" s="141" t="n"/>
      <c r="I114" s="141" t="n"/>
      <c r="J114" s="141" t="n"/>
      <c r="K114" s="141" t="n"/>
      <c r="L114" s="141" t="n"/>
      <c r="M114" s="141" t="n"/>
      <c r="N114" s="141" t="n"/>
      <c r="O114" s="141" t="n"/>
      <c r="P114" s="141" t="n"/>
      <c r="Q114" s="141" t="n"/>
      <c r="R114" s="141" t="n"/>
      <c r="S114" s="141" t="n"/>
      <c r="T114" s="141" t="n"/>
      <c r="U114" s="141" t="n"/>
      <c r="V114" s="141" t="n"/>
      <c r="W114" s="141" t="n"/>
      <c r="X114" s="141" t="n"/>
      <c r="Y114" s="141" t="n"/>
      <c r="Z114" s="141" t="n"/>
      <c r="AA114" s="141" t="n"/>
      <c r="AB114" s="141" t="n"/>
      <c r="AC114" s="141" t="n"/>
      <c r="AD114" s="141" t="n"/>
      <c r="AE114" s="141" t="n"/>
      <c r="AF114" s="141" t="n"/>
      <c r="AG114" s="141" t="n"/>
      <c r="AH114" s="141" t="n"/>
      <c r="AI114" s="141" t="n"/>
      <c r="AJ114" s="141" t="n"/>
      <c r="AK114" s="141" t="n"/>
      <c r="AL114" s="141" t="n"/>
      <c r="AM114" s="141" t="n"/>
      <c r="AN114" s="141" t="n"/>
      <c r="AO114" s="141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/>
      <c r="BA114" s="141" t="n"/>
      <c r="BB114" s="141" t="n"/>
      <c r="BC114" s="141" t="n"/>
      <c r="BD114" s="141" t="n"/>
      <c r="BE114" s="141" t="n"/>
      <c r="BF114" s="141" t="n"/>
      <c r="BG114" s="141" t="n"/>
      <c r="BH114" s="141" t="n"/>
      <c r="BI114" s="141" t="n"/>
      <c r="BJ114" s="141" t="n"/>
      <c r="BK114" s="141" t="n"/>
      <c r="BL114" s="141" t="n"/>
      <c r="BM114" s="141" t="n"/>
      <c r="BN114" s="141" t="n"/>
      <c r="BO114" s="141" t="n"/>
      <c r="BP114" s="141" t="n"/>
      <c r="BQ114" s="141" t="n"/>
      <c r="BR114" s="141" t="n"/>
      <c r="BS114" s="141" t="n"/>
      <c r="BT114" s="141" t="n"/>
      <c r="BU114" s="141" t="n"/>
      <c r="BV114" s="141" t="n"/>
      <c r="BW114" s="141" t="n"/>
      <c r="BX114" s="141" t="n"/>
      <c r="BY114" s="141" t="n"/>
    </row>
    <row r="115" hidden="1" ht="18.75" customHeight="1">
      <c r="A115" s="781" t="inlineStr">
        <is>
          <t>GLAMOUR SECRETS</t>
        </is>
      </c>
      <c r="B115" s="731" t="n"/>
      <c r="C115" s="731" t="n"/>
      <c r="D115" s="775" t="n"/>
      <c r="F115" s="141" t="n"/>
      <c r="G115" s="141" t="n"/>
      <c r="H115" s="141" t="n"/>
      <c r="I115" s="141" t="n"/>
      <c r="J115" s="141" t="n"/>
      <c r="K115" s="141" t="n"/>
      <c r="L115" s="141" t="n"/>
      <c r="M115" s="141" t="n"/>
      <c r="N115" s="141" t="n"/>
      <c r="O115" s="141" t="n"/>
      <c r="P115" s="141" t="n"/>
      <c r="Q115" s="141" t="n"/>
      <c r="R115" s="141" t="n"/>
      <c r="S115" s="141" t="n"/>
      <c r="T115" s="141" t="n"/>
      <c r="U115" s="141" t="n"/>
      <c r="V115" s="141" t="n"/>
      <c r="W115" s="141" t="n"/>
      <c r="X115" s="141" t="n"/>
      <c r="Y115" s="141" t="n"/>
      <c r="Z115" s="141" t="n"/>
      <c r="AA115" s="141" t="n"/>
      <c r="AB115" s="141" t="n"/>
      <c r="AC115" s="141" t="n"/>
      <c r="AD115" s="141" t="n"/>
      <c r="AE115" s="141" t="n"/>
      <c r="AF115" s="141" t="n"/>
      <c r="AG115" s="141" t="n"/>
      <c r="AH115" s="141" t="n"/>
      <c r="AI115" s="141" t="n"/>
      <c r="AJ115" s="141" t="n"/>
      <c r="AK115" s="141" t="n"/>
      <c r="AL115" s="141" t="n"/>
      <c r="AM115" s="141" t="n"/>
      <c r="AN115" s="141" t="n"/>
      <c r="AO115" s="141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/>
      <c r="BA115" s="141" t="n"/>
      <c r="BB115" s="141" t="n"/>
      <c r="BC115" s="141" t="n"/>
      <c r="BD115" s="141" t="n"/>
      <c r="BE115" s="141" t="n"/>
      <c r="BF115" s="141" t="n"/>
      <c r="BG115" s="141" t="n"/>
      <c r="BH115" s="141" t="n"/>
      <c r="BI115" s="141" t="n"/>
      <c r="BJ115" s="141" t="n"/>
      <c r="BK115" s="141" t="n"/>
      <c r="BL115" s="141" t="n"/>
      <c r="BM115" s="141" t="n"/>
      <c r="BN115" s="141" t="n"/>
      <c r="BO115" s="141" t="n"/>
      <c r="BP115" s="141" t="n"/>
      <c r="BQ115" s="141" t="n"/>
      <c r="BR115" s="141" t="n"/>
      <c r="BS115" s="141" t="n"/>
      <c r="BT115" s="141" t="n"/>
      <c r="BU115" s="141" t="n"/>
      <c r="BV115" s="141" t="n"/>
      <c r="BW115" s="141" t="n"/>
      <c r="BX115" s="141" t="n"/>
      <c r="BY115" s="141" t="n"/>
    </row>
    <row r="116" hidden="1" ht="18.75" customHeight="1">
      <c r="A116" s="781" t="inlineStr">
        <is>
          <t>UOMINI SPIRIT</t>
        </is>
      </c>
      <c r="B116" s="731" t="n"/>
      <c r="C116" s="731" t="n"/>
      <c r="D116" s="775" t="n"/>
      <c r="F116" s="141" t="n"/>
      <c r="G116" s="141" t="n"/>
      <c r="H116" s="141" t="n"/>
      <c r="I116" s="141" t="n"/>
      <c r="J116" s="141" t="n"/>
      <c r="K116" s="141" t="n"/>
      <c r="L116" s="141" t="n"/>
      <c r="M116" s="141" t="n"/>
      <c r="N116" s="141" t="n"/>
      <c r="O116" s="141" t="n"/>
      <c r="P116" s="141" t="n"/>
      <c r="Q116" s="141" t="n"/>
      <c r="R116" s="141" t="n"/>
      <c r="S116" s="141" t="n"/>
      <c r="T116" s="141" t="n"/>
      <c r="U116" s="141" t="n"/>
      <c r="V116" s="141" t="n"/>
      <c r="W116" s="141" t="n"/>
      <c r="X116" s="141" t="n"/>
      <c r="Y116" s="141" t="n"/>
      <c r="Z116" s="141" t="n"/>
      <c r="AA116" s="141" t="n"/>
      <c r="AB116" s="141" t="n"/>
      <c r="AC116" s="141" t="n"/>
      <c r="AD116" s="141" t="n"/>
      <c r="AE116" s="141" t="n"/>
      <c r="AF116" s="141" t="n"/>
      <c r="AG116" s="141" t="n"/>
      <c r="AH116" s="141" t="n"/>
      <c r="AI116" s="141" t="n"/>
      <c r="AJ116" s="141" t="n"/>
      <c r="AK116" s="141" t="n"/>
      <c r="AL116" s="141" t="n"/>
      <c r="AM116" s="141" t="n"/>
      <c r="AN116" s="141" t="n"/>
      <c r="AO116" s="141" t="n"/>
      <c r="AP116" s="141" t="n"/>
      <c r="AQ116" s="141" t="n"/>
      <c r="AR116" s="141" t="n"/>
      <c r="AS116" s="141" t="n"/>
      <c r="AT116" s="141" t="n"/>
      <c r="AU116" s="141" t="n"/>
      <c r="AV116" s="141" t="n"/>
      <c r="AW116" s="141" t="n"/>
      <c r="AX116" s="141" t="n"/>
      <c r="AY116" s="141" t="n"/>
      <c r="AZ116" s="141" t="n"/>
      <c r="BA116" s="141" t="n"/>
      <c r="BB116" s="141" t="n"/>
      <c r="BC116" s="141" t="n"/>
      <c r="BD116" s="141" t="n"/>
      <c r="BE116" s="141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141" t="n"/>
      <c r="BW116" s="141" t="n"/>
      <c r="BX116" s="141" t="n"/>
      <c r="BY116" s="141" t="n"/>
    </row>
    <row r="117" hidden="1" ht="18.75" customHeight="1">
      <c r="A117" s="781" t="inlineStr">
        <is>
          <t>DIVERTIDAMENTE</t>
        </is>
      </c>
      <c r="B117" s="731" t="n"/>
      <c r="C117" s="731" t="n"/>
      <c r="D117" s="775" t="n"/>
      <c r="F117" s="141" t="n"/>
      <c r="G117" s="141" t="n"/>
      <c r="H117" s="141" t="n"/>
      <c r="I117" s="141" t="n"/>
      <c r="J117" s="141" t="n"/>
      <c r="K117" s="141" t="n"/>
      <c r="L117" s="141" t="n"/>
      <c r="M117" s="141" t="n"/>
      <c r="N117" s="141" t="n"/>
      <c r="O117" s="141" t="n"/>
      <c r="P117" s="141" t="n"/>
      <c r="Q117" s="141" t="n"/>
      <c r="R117" s="141" t="n"/>
      <c r="S117" s="141" t="n"/>
      <c r="T117" s="141" t="n"/>
      <c r="U117" s="141" t="n"/>
      <c r="V117" s="141" t="n"/>
      <c r="W117" s="141" t="n"/>
      <c r="X117" s="141" t="n"/>
      <c r="Y117" s="141" t="n"/>
      <c r="Z117" s="141" t="n"/>
      <c r="AA117" s="141" t="n"/>
      <c r="AB117" s="141" t="n"/>
      <c r="AC117" s="141" t="n"/>
      <c r="AD117" s="141" t="n"/>
      <c r="AE117" s="141" t="n"/>
      <c r="AF117" s="141" t="n"/>
      <c r="AG117" s="141" t="n"/>
      <c r="AH117" s="141" t="n"/>
      <c r="AI117" s="141" t="n"/>
      <c r="AJ117" s="141" t="n"/>
      <c r="AK117" s="141" t="n"/>
      <c r="AL117" s="141" t="n"/>
      <c r="AM117" s="141" t="n"/>
      <c r="AN117" s="141" t="n"/>
      <c r="AO117" s="141" t="n"/>
      <c r="AP117" s="141" t="n"/>
      <c r="AQ117" s="141" t="n"/>
      <c r="AR117" s="141" t="n"/>
      <c r="AS117" s="141" t="n"/>
      <c r="AT117" s="141" t="n"/>
      <c r="AU117" s="141" t="n"/>
      <c r="AV117" s="141" t="n"/>
      <c r="AW117" s="141" t="n"/>
      <c r="AX117" s="141" t="n"/>
      <c r="AY117" s="141" t="n"/>
      <c r="AZ117" s="141" t="n"/>
      <c r="BA117" s="141" t="n"/>
      <c r="BB117" s="141" t="n"/>
      <c r="BC117" s="141" t="n"/>
      <c r="BD117" s="141" t="n"/>
      <c r="BE117" s="141" t="n"/>
      <c r="BF117" s="141" t="n"/>
      <c r="BG117" s="141" t="n"/>
      <c r="BH117" s="141" t="n"/>
      <c r="BI117" s="141" t="n"/>
      <c r="BJ117" s="141" t="n"/>
      <c r="BK117" s="141" t="n"/>
      <c r="BL117" s="141" t="n"/>
      <c r="BM117" s="141" t="n"/>
      <c r="BN117" s="141" t="n"/>
      <c r="BO117" s="141" t="n"/>
      <c r="BP117" s="141" t="n"/>
      <c r="BQ117" s="141" t="n"/>
      <c r="BR117" s="141" t="n"/>
      <c r="BS117" s="141" t="n"/>
      <c r="BT117" s="141" t="n"/>
      <c r="BU117" s="141" t="n"/>
      <c r="BV117" s="141" t="n"/>
      <c r="BW117" s="141" t="n"/>
      <c r="BX117" s="141" t="n"/>
      <c r="BY117" s="141" t="n"/>
    </row>
    <row r="118" hidden="1" ht="18.75" customHeight="1">
      <c r="A118" s="781" t="inlineStr">
        <is>
          <t>ZAAD VENTURE</t>
        </is>
      </c>
      <c r="B118" s="731" t="n"/>
      <c r="C118" s="731" t="n"/>
      <c r="D118" s="775" t="n"/>
      <c r="F118" s="141" t="n"/>
      <c r="G118" s="141" t="n"/>
      <c r="H118" s="141" t="n"/>
      <c r="I118" s="141" t="n"/>
      <c r="J118" s="141" t="n"/>
      <c r="K118" s="141" t="n"/>
      <c r="L118" s="141" t="n"/>
      <c r="M118" s="141" t="n"/>
      <c r="N118" s="141" t="n"/>
      <c r="O118" s="141" t="n"/>
      <c r="P118" s="141" t="n"/>
      <c r="Q118" s="141" t="n"/>
      <c r="R118" s="141" t="n"/>
      <c r="S118" s="141" t="n"/>
      <c r="T118" s="141" t="n"/>
      <c r="U118" s="141" t="n"/>
      <c r="V118" s="141" t="n"/>
      <c r="W118" s="141" t="n"/>
      <c r="X118" s="141" t="n"/>
      <c r="Y118" s="141" t="n"/>
      <c r="Z118" s="141" t="n"/>
      <c r="AA118" s="141" t="n"/>
      <c r="AB118" s="141" t="n"/>
      <c r="AC118" s="141" t="n"/>
      <c r="AD118" s="141" t="n"/>
      <c r="AE118" s="141" t="n"/>
      <c r="AF118" s="141" t="n"/>
      <c r="AG118" s="141" t="n"/>
      <c r="AH118" s="141" t="n"/>
      <c r="AI118" s="141" t="n"/>
      <c r="AJ118" s="141" t="n"/>
      <c r="AK118" s="141" t="n"/>
      <c r="AL118" s="141" t="n"/>
      <c r="AM118" s="141" t="n"/>
      <c r="AN118" s="141" t="n"/>
      <c r="AO118" s="141" t="n"/>
      <c r="AP118" s="141" t="n"/>
      <c r="AQ118" s="141" t="n"/>
      <c r="AR118" s="141" t="n"/>
      <c r="AS118" s="141" t="n"/>
      <c r="AT118" s="141" t="n"/>
      <c r="AU118" s="141" t="n"/>
      <c r="AV118" s="141" t="n"/>
      <c r="AW118" s="141" t="n"/>
      <c r="AX118" s="141" t="n"/>
      <c r="AY118" s="141" t="n"/>
      <c r="AZ118" s="141" t="n"/>
      <c r="BA118" s="141" t="n"/>
      <c r="BB118" s="141" t="n"/>
      <c r="BC118" s="141" t="n"/>
      <c r="BD118" s="141" t="n"/>
      <c r="BE118" s="141" t="n"/>
      <c r="BF118" s="141" t="n"/>
      <c r="BG118" s="141" t="n"/>
      <c r="BH118" s="141" t="n"/>
      <c r="BI118" s="141" t="n"/>
      <c r="BJ118" s="141" t="n"/>
      <c r="BK118" s="141" t="n"/>
      <c r="BL118" s="141" t="n"/>
      <c r="BM118" s="141" t="n"/>
      <c r="BN118" s="141" t="n"/>
      <c r="BO118" s="141" t="n"/>
      <c r="BP118" s="141" t="n"/>
      <c r="BQ118" s="141" t="n"/>
      <c r="BR118" s="141" t="n"/>
      <c r="BS118" s="141" t="n"/>
      <c r="BT118" s="141" t="n"/>
      <c r="BU118" s="141" t="n"/>
      <c r="BV118" s="141" t="n"/>
      <c r="BW118" s="141" t="n"/>
      <c r="BX118" s="141" t="n"/>
      <c r="BY118" s="141" t="n"/>
    </row>
    <row r="119" hidden="1" ht="18.75" customHeight="1">
      <c r="A119" s="781" t="inlineStr">
        <is>
          <t>HER CODE TOUCH</t>
        </is>
      </c>
      <c r="B119" s="731" t="n"/>
      <c r="C119" s="731" t="n"/>
      <c r="D119" s="775" t="n"/>
      <c r="F119" s="141" t="n"/>
      <c r="G119" s="141" t="n"/>
      <c r="H119" s="141" t="n"/>
      <c r="I119" s="141" t="n"/>
      <c r="J119" s="141" t="n"/>
      <c r="K119" s="141" t="n"/>
      <c r="L119" s="141" t="n"/>
      <c r="M119" s="141" t="n"/>
      <c r="N119" s="141" t="n"/>
      <c r="O119" s="141" t="n"/>
      <c r="P119" s="141" t="n"/>
      <c r="Q119" s="141" t="n"/>
      <c r="R119" s="141" t="n"/>
      <c r="S119" s="141" t="n"/>
      <c r="T119" s="141" t="n"/>
      <c r="U119" s="141" t="n"/>
      <c r="V119" s="141" t="n"/>
      <c r="W119" s="141" t="n"/>
      <c r="X119" s="141" t="n"/>
      <c r="Y119" s="141" t="n"/>
      <c r="Z119" s="141" t="n"/>
      <c r="AA119" s="141" t="n"/>
      <c r="AB119" s="141" t="n"/>
      <c r="AC119" s="141" t="n"/>
      <c r="AD119" s="141" t="n"/>
      <c r="AE119" s="141" t="n"/>
      <c r="AF119" s="141" t="n"/>
      <c r="AG119" s="141" t="n"/>
      <c r="AH119" s="141" t="n"/>
      <c r="AI119" s="141" t="n"/>
      <c r="AJ119" s="141" t="n"/>
      <c r="AK119" s="141" t="n"/>
      <c r="AL119" s="141" t="n"/>
      <c r="AM119" s="141" t="n"/>
      <c r="AN119" s="141" t="n"/>
      <c r="AO119" s="141" t="n"/>
      <c r="AP119" s="141" t="n"/>
      <c r="AQ119" s="141" t="n"/>
      <c r="AR119" s="141" t="n"/>
      <c r="AS119" s="141" t="n"/>
      <c r="AT119" s="141" t="n"/>
      <c r="AU119" s="141" t="n"/>
      <c r="AV119" s="141" t="n"/>
      <c r="AW119" s="141" t="n"/>
      <c r="AX119" s="141" t="n"/>
      <c r="AY119" s="141" t="n"/>
      <c r="AZ119" s="141" t="n"/>
      <c r="BA119" s="141" t="n"/>
      <c r="BB119" s="141" t="n"/>
      <c r="BC119" s="141" t="n"/>
      <c r="BD119" s="141" t="n"/>
      <c r="BE119" s="141" t="n"/>
      <c r="BF119" s="141" t="n"/>
      <c r="BG119" s="141" t="n"/>
      <c r="BH119" s="141" t="n"/>
      <c r="BI119" s="141" t="n"/>
      <c r="BJ119" s="141" t="n"/>
      <c r="BK119" s="141" t="n"/>
      <c r="BL119" s="141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</row>
    <row r="120" hidden="1" ht="18.75" customHeight="1">
      <c r="A120" s="781" t="inlineStr">
        <is>
          <t>SERUM RESVERATROL</t>
        </is>
      </c>
      <c r="B120" s="731" t="n"/>
      <c r="C120" s="731" t="n"/>
      <c r="D120" s="775" t="n"/>
      <c r="F120" s="141" t="n">
        <v>0</v>
      </c>
      <c r="G120" s="141" t="n">
        <v>0</v>
      </c>
      <c r="H120" s="141" t="n">
        <v>0</v>
      </c>
      <c r="I120" s="141" t="n">
        <v>0</v>
      </c>
      <c r="J120" s="141" t="n">
        <v>0</v>
      </c>
      <c r="K120" s="141" t="n">
        <v>0</v>
      </c>
      <c r="L120" s="141" t="n"/>
      <c r="M120" s="141" t="n"/>
      <c r="N120" s="141" t="n"/>
      <c r="O120" s="141" t="n"/>
      <c r="P120" s="141" t="n"/>
      <c r="Q120" s="141" t="n"/>
      <c r="R120" s="141" t="n"/>
      <c r="S120" s="141" t="n"/>
      <c r="T120" s="141" t="n"/>
      <c r="U120" s="141" t="n"/>
      <c r="V120" s="141" t="n"/>
      <c r="W120" s="141" t="n"/>
      <c r="X120" s="141" t="n"/>
      <c r="Y120" s="141" t="n"/>
      <c r="Z120" s="141" t="n"/>
      <c r="AA120" s="141" t="n"/>
      <c r="AB120" s="141" t="n"/>
      <c r="AC120" s="141" t="n"/>
      <c r="AD120" s="141" t="n"/>
      <c r="AE120" s="141" t="n"/>
      <c r="AF120" s="141" t="n"/>
      <c r="AG120" s="141" t="n"/>
      <c r="AH120" s="141" t="n"/>
      <c r="AI120" s="141" t="n"/>
      <c r="AJ120" s="141" t="n"/>
      <c r="AK120" s="141" t="n"/>
      <c r="AL120" s="141" t="n"/>
      <c r="AM120" s="141" t="n"/>
      <c r="AN120" s="141" t="n"/>
      <c r="AO120" s="141" t="n"/>
      <c r="AP120" s="141" t="n"/>
      <c r="AQ120" s="141" t="n"/>
      <c r="AR120" s="141" t="n"/>
      <c r="AS120" s="141" t="n"/>
      <c r="AT120" s="141" t="n"/>
      <c r="AU120" s="141" t="n"/>
      <c r="AV120" s="141" t="n"/>
      <c r="AW120" s="141" t="n"/>
      <c r="AX120" s="141" t="n"/>
      <c r="AY120" s="141" t="n"/>
      <c r="AZ120" s="141" t="n"/>
      <c r="BA120" s="141" t="n"/>
      <c r="BB120" s="141" t="n"/>
      <c r="BC120" s="141" t="n"/>
      <c r="BD120" s="141" t="n"/>
      <c r="BE120" s="141" t="n"/>
      <c r="BF120" s="141" t="n"/>
      <c r="BG120" s="141" t="n"/>
      <c r="BH120" s="141" t="n"/>
      <c r="BI120" s="141" t="n"/>
      <c r="BJ120" s="141" t="n"/>
      <c r="BK120" s="141" t="n"/>
      <c r="BL120" s="141" t="n"/>
      <c r="BM120" s="141" t="n"/>
      <c r="BN120" s="141" t="n"/>
      <c r="BO120" s="141" t="n"/>
      <c r="BP120" s="141" t="n"/>
      <c r="BQ120" s="141" t="n"/>
      <c r="BR120" s="141" t="n"/>
      <c r="BS120" s="141" t="n"/>
      <c r="BT120" s="141" t="n"/>
      <c r="BU120" s="141" t="n"/>
      <c r="BV120" s="141" t="n"/>
      <c r="BW120" s="141" t="n"/>
      <c r="BX120" s="141" t="n"/>
      <c r="BY120" s="141" t="n"/>
    </row>
    <row r="121" hidden="1" ht="18.75" customHeight="1">
      <c r="A121" s="781" t="inlineStr">
        <is>
          <t>NATIVA SPA CEREJA ROUGE</t>
        </is>
      </c>
      <c r="B121" s="731" t="n"/>
      <c r="C121" s="731" t="n"/>
      <c r="D121" s="775" t="n"/>
      <c r="F121" s="141" t="n">
        <v>0</v>
      </c>
      <c r="G121" s="141" t="n">
        <v>0</v>
      </c>
      <c r="H121" s="141" t="n">
        <v>0</v>
      </c>
      <c r="I121" s="141" t="n">
        <v>0</v>
      </c>
      <c r="J121" s="141" t="n">
        <v>0</v>
      </c>
      <c r="K121" s="141" t="n">
        <v>0</v>
      </c>
      <c r="L121" s="141" t="n"/>
      <c r="M121" s="141" t="n"/>
      <c r="N121" s="141" t="n"/>
      <c r="O121" s="141" t="n"/>
      <c r="P121" s="141" t="n"/>
      <c r="Q121" s="141" t="n"/>
      <c r="R121" s="141" t="n"/>
      <c r="S121" s="141" t="n"/>
      <c r="T121" s="141" t="n"/>
      <c r="U121" s="141" t="n"/>
      <c r="V121" s="141" t="n"/>
      <c r="W121" s="141" t="n"/>
      <c r="X121" s="141" t="n"/>
      <c r="Y121" s="141" t="n"/>
      <c r="Z121" s="141" t="n"/>
      <c r="AA121" s="141" t="n"/>
      <c r="AB121" s="141" t="n"/>
      <c r="AC121" s="141" t="n"/>
      <c r="AD121" s="141" t="n"/>
      <c r="AE121" s="141" t="n"/>
      <c r="AF121" s="141" t="n"/>
      <c r="AG121" s="141" t="n"/>
      <c r="AH121" s="141" t="n"/>
      <c r="AI121" s="141" t="n"/>
      <c r="AJ121" s="141" t="n"/>
      <c r="AK121" s="141" t="n"/>
      <c r="AL121" s="141" t="n"/>
      <c r="AM121" s="141" t="n"/>
      <c r="AN121" s="141" t="n"/>
      <c r="AO121" s="141" t="n"/>
      <c r="AP121" s="141" t="n"/>
      <c r="AQ121" s="141" t="n"/>
      <c r="AR121" s="141" t="n"/>
      <c r="AS121" s="141" t="n"/>
      <c r="AT121" s="141" t="n"/>
      <c r="AU121" s="141" t="n"/>
      <c r="AV121" s="141" t="n"/>
      <c r="AW121" s="141" t="n"/>
      <c r="AX121" s="141" t="n"/>
      <c r="AY121" s="141" t="n"/>
      <c r="AZ121" s="141" t="n"/>
      <c r="BA121" s="141" t="n"/>
      <c r="BB121" s="141" t="n"/>
      <c r="BC121" s="141" t="n"/>
      <c r="BD121" s="141" t="n"/>
      <c r="BE121" s="141" t="n"/>
      <c r="BF121" s="141" t="n"/>
      <c r="BG121" s="141" t="n"/>
      <c r="BH121" s="141" t="n"/>
      <c r="BI121" s="141" t="n"/>
      <c r="BJ121" s="141" t="n"/>
      <c r="BK121" s="141" t="n"/>
      <c r="BL121" s="141" t="n"/>
      <c r="BM121" s="141" t="n"/>
      <c r="BN121" s="141" t="n"/>
      <c r="BO121" s="141" t="n"/>
      <c r="BP121" s="141" t="n"/>
      <c r="BQ121" s="141" t="n"/>
      <c r="BR121" s="141" t="n"/>
      <c r="BS121" s="141" t="n"/>
      <c r="BT121" s="141" t="n"/>
      <c r="BU121" s="141" t="n"/>
      <c r="BV121" s="141" t="n"/>
      <c r="BW121" s="141" t="n"/>
      <c r="BX121" s="141" t="n"/>
      <c r="BY121" s="141" t="n"/>
    </row>
    <row r="122" hidden="1" ht="18.75" customHeight="1">
      <c r="A122" s="781" t="inlineStr">
        <is>
          <t>LILLY GARDENIA</t>
        </is>
      </c>
      <c r="B122" s="731" t="n"/>
      <c r="C122" s="731" t="n"/>
      <c r="D122" s="775" t="n"/>
      <c r="F122" s="141" t="n">
        <v>0</v>
      </c>
      <c r="G122" s="141" t="n">
        <v>0</v>
      </c>
      <c r="H122" s="141" t="n">
        <v>0</v>
      </c>
      <c r="I122" s="141" t="n">
        <v>0</v>
      </c>
      <c r="J122" s="141" t="n">
        <v>0</v>
      </c>
      <c r="K122" s="141" t="n">
        <v>0</v>
      </c>
      <c r="L122" s="141" t="n"/>
      <c r="M122" s="141" t="n"/>
      <c r="N122" s="141" t="n"/>
      <c r="O122" s="141" t="n"/>
      <c r="P122" s="141" t="n"/>
      <c r="Q122" s="141" t="n"/>
      <c r="R122" s="141" t="n"/>
      <c r="S122" s="141" t="n"/>
      <c r="T122" s="141" t="n"/>
      <c r="U122" s="141" t="n"/>
      <c r="V122" s="141" t="n"/>
      <c r="W122" s="141" t="n"/>
      <c r="X122" s="141" t="n"/>
      <c r="Y122" s="141" t="n"/>
      <c r="Z122" s="141" t="n"/>
      <c r="AA122" s="141" t="n"/>
      <c r="AB122" s="141" t="n"/>
      <c r="AC122" s="141" t="n"/>
      <c r="AD122" s="141" t="n"/>
      <c r="AE122" s="141" t="n"/>
      <c r="AF122" s="141" t="n"/>
      <c r="AG122" s="141" t="n"/>
      <c r="AH122" s="141" t="n"/>
      <c r="AI122" s="141" t="n"/>
      <c r="AJ122" s="141" t="n"/>
      <c r="AK122" s="141" t="n"/>
      <c r="AL122" s="141" t="n"/>
      <c r="AM122" s="141" t="n"/>
      <c r="AN122" s="141" t="n"/>
      <c r="AO122" s="141" t="n"/>
      <c r="AP122" s="141" t="n"/>
      <c r="AQ122" s="141" t="n"/>
      <c r="AR122" s="141" t="n"/>
      <c r="AS122" s="141" t="n"/>
      <c r="AT122" s="141" t="n"/>
      <c r="AU122" s="141" t="n"/>
      <c r="AV122" s="141" t="n"/>
      <c r="AW122" s="141" t="n"/>
      <c r="AX122" s="141" t="n"/>
      <c r="AY122" s="141" t="n"/>
      <c r="AZ122" s="141" t="n"/>
      <c r="BA122" s="141" t="n"/>
      <c r="BB122" s="141" t="n"/>
      <c r="BC122" s="141" t="n"/>
      <c r="BD122" s="141" t="n"/>
      <c r="BE122" s="141" t="n"/>
      <c r="BF122" s="141" t="n"/>
      <c r="BG122" s="141" t="n"/>
      <c r="BH122" s="141" t="n"/>
      <c r="BI122" s="141" t="n"/>
      <c r="BJ122" s="141" t="n"/>
      <c r="BK122" s="141" t="n"/>
      <c r="BL122" s="141" t="n"/>
      <c r="BM122" s="141" t="n"/>
      <c r="BN122" s="141" t="n"/>
      <c r="BO122" s="141" t="n"/>
      <c r="BP122" s="141" t="n"/>
      <c r="BQ122" s="141" t="n"/>
      <c r="BR122" s="141" t="n"/>
      <c r="BS122" s="141" t="n"/>
      <c r="BT122" s="141" t="n"/>
      <c r="BU122" s="141" t="n"/>
      <c r="BV122" s="141" t="n"/>
      <c r="BW122" s="141" t="n"/>
      <c r="BX122" s="141" t="n"/>
      <c r="BY122" s="141" t="n"/>
    </row>
    <row r="123" hidden="1" ht="18.75" customHeight="1">
      <c r="A123" s="781" t="inlineStr">
        <is>
          <t>MALBEC ICON</t>
        </is>
      </c>
      <c r="B123" s="731" t="n"/>
      <c r="C123" s="731" t="n"/>
      <c r="D123" s="775" t="n"/>
      <c r="F123" s="141" t="n">
        <v>49</v>
      </c>
      <c r="G123" s="141" t="n">
        <v>48</v>
      </c>
      <c r="H123" s="141" t="n">
        <v>44</v>
      </c>
      <c r="I123" s="141" t="n">
        <v>38</v>
      </c>
      <c r="J123" s="141" t="n">
        <v>38</v>
      </c>
      <c r="K123" s="141" t="n">
        <v>38</v>
      </c>
      <c r="L123" s="141" t="n">
        <v>35</v>
      </c>
      <c r="M123" s="141" t="n">
        <v>35</v>
      </c>
      <c r="N123" s="141" t="n">
        <v>33</v>
      </c>
      <c r="O123" s="141" t="n">
        <v>33</v>
      </c>
      <c r="P123" s="141" t="n">
        <v>25</v>
      </c>
      <c r="Q123" s="141" t="n">
        <v>24</v>
      </c>
      <c r="R123" s="141" t="n">
        <v>25</v>
      </c>
      <c r="S123" s="141" t="n">
        <v>23</v>
      </c>
      <c r="T123" s="141" t="n">
        <v>23</v>
      </c>
      <c r="U123" s="141" t="n">
        <v>20</v>
      </c>
      <c r="V123" s="141" t="n">
        <v>20</v>
      </c>
      <c r="W123" s="141" t="n">
        <v>20</v>
      </c>
      <c r="X123" s="141" t="n">
        <v>19</v>
      </c>
      <c r="Y123" s="141" t="n">
        <v>15</v>
      </c>
      <c r="Z123" s="141" t="n">
        <v>15</v>
      </c>
      <c r="AA123" s="141" t="n">
        <v>10</v>
      </c>
      <c r="AB123" s="141" t="n">
        <v>10</v>
      </c>
      <c r="AC123" s="141" t="n">
        <v>10</v>
      </c>
      <c r="AD123" s="141" t="n">
        <v>7</v>
      </c>
      <c r="AE123" s="141" t="n">
        <v>7</v>
      </c>
      <c r="AF123" s="141" t="n">
        <v>4</v>
      </c>
      <c r="AG123" s="141" t="n">
        <v>4</v>
      </c>
      <c r="AH123" s="141" t="n">
        <v>2</v>
      </c>
      <c r="AI123" s="141" t="n">
        <v>2</v>
      </c>
      <c r="AJ123" s="141" t="n">
        <v>1</v>
      </c>
      <c r="AK123" s="141" t="n">
        <v>1</v>
      </c>
      <c r="AL123" s="141" t="n">
        <v>0</v>
      </c>
      <c r="AM123" s="141" t="n">
        <v>0</v>
      </c>
      <c r="AN123" s="141" t="n">
        <v>0</v>
      </c>
      <c r="AO123" s="141" t="n">
        <v>0</v>
      </c>
      <c r="AP123" s="141" t="n">
        <v>0</v>
      </c>
      <c r="AQ123" s="141" t="n">
        <v>0</v>
      </c>
      <c r="AR123" s="141" t="n"/>
      <c r="AS123" s="141" t="n"/>
      <c r="AT123" s="141" t="n"/>
      <c r="AU123" s="141" t="n"/>
      <c r="AV123" s="141" t="n"/>
      <c r="AW123" s="141" t="n"/>
      <c r="AX123" s="141" t="n"/>
      <c r="AY123" s="141" t="n"/>
      <c r="AZ123" s="141" t="n"/>
      <c r="BA123" s="141" t="n"/>
      <c r="BB123" s="141" t="n"/>
      <c r="BC123" s="141" t="n"/>
      <c r="BD123" s="141" t="n"/>
      <c r="BE123" s="141" t="n"/>
      <c r="BF123" s="141" t="n"/>
      <c r="BG123" s="141" t="n"/>
      <c r="BH123" s="141" t="n"/>
      <c r="BI123" s="141" t="n"/>
      <c r="BJ123" s="141" t="n"/>
      <c r="BK123" s="141" t="n"/>
      <c r="BL123" s="141" t="n"/>
      <c r="BM123" s="141" t="n"/>
      <c r="BN123" s="141" t="n"/>
      <c r="BO123" s="141" t="n"/>
      <c r="BP123" s="141" t="n"/>
      <c r="BQ123" s="141" t="n"/>
      <c r="BR123" s="141" t="n"/>
      <c r="BS123" s="141" t="n"/>
      <c r="BT123" s="141" t="n"/>
      <c r="BU123" s="141" t="n"/>
      <c r="BV123" s="141" t="n"/>
      <c r="BW123" s="141" t="n"/>
      <c r="BX123" s="141" t="n"/>
      <c r="BY123" s="141" t="n"/>
    </row>
    <row r="124" hidden="1" ht="18.75" customHeight="1">
      <c r="A124" s="781" t="inlineStr">
        <is>
          <t>EGEO CHOC HIGH</t>
        </is>
      </c>
      <c r="B124" s="731" t="n"/>
      <c r="C124" s="731" t="n"/>
      <c r="D124" s="775" t="n"/>
      <c r="F124" s="141" t="n">
        <v>1</v>
      </c>
      <c r="G124" s="141" t="n">
        <v>0</v>
      </c>
      <c r="H124" s="141" t="n">
        <v>0</v>
      </c>
      <c r="I124" s="141" t="n">
        <v>0</v>
      </c>
      <c r="J124" s="141" t="n">
        <v>0</v>
      </c>
      <c r="K124" s="141" t="n">
        <v>0</v>
      </c>
      <c r="L124" s="141" t="n">
        <v>0</v>
      </c>
      <c r="M124" s="141" t="n">
        <v>0</v>
      </c>
      <c r="N124" s="141" t="n">
        <v>0</v>
      </c>
      <c r="O124" s="141" t="n">
        <v>0</v>
      </c>
      <c r="P124" s="141" t="n">
        <v>0</v>
      </c>
      <c r="Q124" s="141" t="n">
        <v>0</v>
      </c>
      <c r="R124" s="141" t="n">
        <v>0</v>
      </c>
      <c r="S124" s="141" t="n">
        <v>0</v>
      </c>
      <c r="T124" s="141" t="n"/>
      <c r="U124" s="141" t="n"/>
      <c r="V124" s="141" t="n"/>
      <c r="W124" s="141" t="n"/>
      <c r="X124" s="141" t="n"/>
      <c r="Y124" s="141" t="n"/>
      <c r="Z124" s="141" t="n"/>
      <c r="AA124" s="141" t="n"/>
      <c r="AB124" s="141" t="n"/>
      <c r="AC124" s="141" t="n"/>
      <c r="AD124" s="141" t="n"/>
      <c r="AE124" s="141" t="n"/>
      <c r="AF124" s="141" t="n"/>
      <c r="AG124" s="141" t="n"/>
      <c r="AH124" s="141" t="n"/>
      <c r="AI124" s="141" t="n"/>
      <c r="AJ124" s="141" t="n"/>
      <c r="AK124" s="141" t="n"/>
      <c r="AL124" s="141" t="n"/>
      <c r="AM124" s="141" t="n"/>
      <c r="AN124" s="141" t="n"/>
      <c r="AO124" s="141" t="n"/>
      <c r="AP124" s="141" t="n"/>
      <c r="AQ124" s="141" t="n"/>
      <c r="AR124" s="141" t="n"/>
      <c r="AS124" s="141" t="n"/>
      <c r="AT124" s="141" t="n"/>
      <c r="AU124" s="141" t="n"/>
      <c r="AV124" s="141" t="n"/>
      <c r="AW124" s="141" t="n"/>
      <c r="AX124" s="141" t="n"/>
      <c r="AY124" s="141" t="n"/>
      <c r="AZ124" s="141" t="n"/>
      <c r="BA124" s="141" t="n"/>
      <c r="BB124" s="141" t="n"/>
      <c r="BC124" s="141" t="n"/>
      <c r="BD124" s="141" t="n"/>
      <c r="BE124" s="141" t="n"/>
      <c r="BF124" s="141" t="n"/>
      <c r="BG124" s="141" t="n"/>
      <c r="BH124" s="141" t="n"/>
      <c r="BI124" s="141" t="n"/>
      <c r="BJ124" s="141" t="n"/>
      <c r="BK124" s="141" t="n"/>
      <c r="BL124" s="141" t="n"/>
      <c r="BM124" s="141" t="n"/>
      <c r="BN124" s="141" t="n"/>
      <c r="BO124" s="141" t="n"/>
      <c r="BP124" s="141" t="n"/>
      <c r="BQ124" s="141" t="n"/>
      <c r="BR124" s="141" t="n"/>
      <c r="BS124" s="141" t="n"/>
      <c r="BT124" s="141" t="n"/>
      <c r="BU124" s="141" t="n"/>
      <c r="BV124" s="141" t="n"/>
      <c r="BW124" s="141" t="n"/>
      <c r="BX124" s="141" t="n"/>
      <c r="BY124" s="141" t="n"/>
    </row>
    <row r="125" hidden="1" ht="18.75" customHeight="1">
      <c r="A125" s="781" t="inlineStr">
        <is>
          <t>FLORATTA RED PASSION</t>
        </is>
      </c>
      <c r="B125" s="731" t="n"/>
      <c r="C125" s="731" t="n"/>
      <c r="D125" s="775" t="n"/>
      <c r="G125" s="141" t="n">
        <v>0</v>
      </c>
      <c r="H125" s="141" t="n">
        <v>35</v>
      </c>
      <c r="I125" s="141" t="n">
        <v>27</v>
      </c>
      <c r="J125" s="141" t="n">
        <v>11</v>
      </c>
      <c r="K125" s="141" t="n">
        <v>11</v>
      </c>
      <c r="L125" s="141" t="n">
        <v>0</v>
      </c>
      <c r="M125" s="141" t="n">
        <v>0</v>
      </c>
      <c r="N125" s="141" t="n">
        <v>0</v>
      </c>
      <c r="O125" s="141" t="n">
        <v>0</v>
      </c>
      <c r="P125" s="141" t="n">
        <v>0</v>
      </c>
      <c r="Q125" s="141" t="n">
        <v>0</v>
      </c>
      <c r="R125" s="141" t="n">
        <v>0</v>
      </c>
      <c r="S125" s="141" t="n">
        <v>0</v>
      </c>
      <c r="T125" s="141" t="n"/>
      <c r="U125" s="141" t="n"/>
      <c r="V125" s="141" t="n"/>
      <c r="W125" s="141" t="n"/>
      <c r="X125" s="141" t="n"/>
      <c r="Y125" s="141" t="n"/>
      <c r="Z125" s="141" t="n"/>
      <c r="AA125" s="141" t="n"/>
      <c r="AB125" s="141" t="n"/>
      <c r="AC125" s="141" t="n"/>
      <c r="AD125" s="141" t="n"/>
      <c r="AE125" s="141" t="n"/>
      <c r="AF125" s="141" t="n"/>
      <c r="AG125" s="141" t="n"/>
      <c r="AH125" s="141" t="n"/>
      <c r="AI125" s="141" t="n"/>
      <c r="AJ125" s="141" t="n"/>
      <c r="AK125" s="141" t="n"/>
      <c r="AL125" s="141" t="n"/>
      <c r="AM125" s="141" t="n"/>
      <c r="AN125" s="141" t="n"/>
      <c r="AO125" s="141" t="n"/>
      <c r="AP125" s="141" t="n"/>
      <c r="AQ125" s="141" t="n"/>
      <c r="AR125" s="141" t="n"/>
      <c r="AS125" s="141" t="n"/>
      <c r="AT125" s="141" t="n"/>
      <c r="AU125" s="141" t="n"/>
      <c r="AV125" s="141" t="n"/>
      <c r="AW125" s="141" t="n"/>
      <c r="AX125" s="141" t="n"/>
      <c r="AY125" s="141" t="n"/>
      <c r="AZ125" s="141" t="n"/>
      <c r="BA125" s="141" t="n"/>
      <c r="BB125" s="141" t="n"/>
      <c r="BC125" s="141" t="n"/>
      <c r="BD125" s="141" t="n"/>
      <c r="BE125" s="141" t="n"/>
      <c r="BF125" s="141" t="n"/>
      <c r="BG125" s="141" t="n"/>
      <c r="BH125" s="141" t="n"/>
      <c r="BI125" s="141" t="n"/>
      <c r="BJ125" s="141" t="n"/>
      <c r="BK125" s="141" t="n"/>
      <c r="BL125" s="141" t="n"/>
      <c r="BM125" s="141" t="n"/>
      <c r="BN125" s="141" t="n"/>
      <c r="BO125" s="141" t="n"/>
      <c r="BP125" s="141" t="n"/>
      <c r="BQ125" s="141" t="n"/>
      <c r="BR125" s="141" t="n"/>
      <c r="BS125" s="141" t="n"/>
      <c r="BT125" s="141" t="n"/>
      <c r="BU125" s="141" t="n"/>
      <c r="BV125" s="141" t="n"/>
      <c r="BW125" s="141" t="n"/>
      <c r="BX125" s="141" t="n"/>
      <c r="BY125" s="141" t="n"/>
    </row>
    <row r="126" hidden="1" ht="18.75" customHeight="1">
      <c r="A126" s="781" t="inlineStr">
        <is>
          <t>CBEM HIDR. DOCURA NA PESSEGURA</t>
        </is>
      </c>
      <c r="B126" s="731" t="n"/>
      <c r="C126" s="731" t="n"/>
      <c r="D126" s="775" t="n"/>
      <c r="J126" s="141" t="n">
        <v>0</v>
      </c>
      <c r="K126" s="141" t="n">
        <v>133</v>
      </c>
      <c r="L126" s="141" t="n">
        <v>133</v>
      </c>
      <c r="M126" s="141" t="n">
        <v>133</v>
      </c>
      <c r="N126" s="141" t="n">
        <v>123</v>
      </c>
      <c r="O126" s="141" t="n">
        <v>114</v>
      </c>
      <c r="P126" s="141" t="n">
        <v>87</v>
      </c>
      <c r="Q126" s="141" t="n">
        <v>78</v>
      </c>
      <c r="R126" s="141" t="n">
        <v>70</v>
      </c>
      <c r="S126" s="141" t="n">
        <v>58</v>
      </c>
      <c r="T126" s="141" t="n">
        <v>46</v>
      </c>
      <c r="U126" s="141" t="n">
        <v>40</v>
      </c>
      <c r="V126" s="141" t="n">
        <v>37</v>
      </c>
      <c r="W126" s="141" t="n">
        <v>36</v>
      </c>
      <c r="X126" s="141" t="n">
        <v>28</v>
      </c>
      <c r="Y126" s="141" t="n">
        <v>6</v>
      </c>
      <c r="Z126" s="141" t="n">
        <v>0</v>
      </c>
      <c r="AA126" s="141" t="n">
        <v>0</v>
      </c>
      <c r="AB126" s="141" t="n">
        <v>0</v>
      </c>
      <c r="AC126" s="141" t="n">
        <v>0</v>
      </c>
      <c r="AD126" s="141" t="n">
        <v>0</v>
      </c>
      <c r="AE126" s="141" t="n">
        <v>0</v>
      </c>
      <c r="AF126" s="141" t="n">
        <v>0</v>
      </c>
      <c r="AG126" s="141" t="n">
        <v>0</v>
      </c>
      <c r="AH126" s="141" t="n">
        <v>0</v>
      </c>
      <c r="AI126" s="141" t="n">
        <v>0</v>
      </c>
      <c r="AJ126" s="141" t="n">
        <v>0</v>
      </c>
      <c r="AK126" s="141" t="n">
        <v>0</v>
      </c>
      <c r="AL126" s="141" t="n">
        <v>0</v>
      </c>
      <c r="AM126" s="141" t="n">
        <v>0</v>
      </c>
      <c r="AN126" s="141" t="n">
        <v>0</v>
      </c>
      <c r="AO126" s="141" t="n">
        <v>0</v>
      </c>
      <c r="AP126" s="141" t="n">
        <v>0</v>
      </c>
      <c r="AQ126" s="141" t="n">
        <v>0</v>
      </c>
      <c r="AR126" s="141" t="n"/>
      <c r="AS126" s="141" t="n"/>
      <c r="AT126" s="141" t="n"/>
      <c r="AU126" s="141" t="n"/>
      <c r="AV126" s="141" t="n"/>
      <c r="AW126" s="141" t="n"/>
      <c r="AX126" s="141" t="n"/>
      <c r="AY126" s="141" t="n"/>
      <c r="AZ126" s="141" t="n"/>
      <c r="BA126" s="141" t="n"/>
      <c r="BB126" s="141" t="n"/>
      <c r="BC126" s="141" t="n"/>
      <c r="BD126" s="141" t="n"/>
      <c r="BE126" s="141" t="n"/>
      <c r="BF126" s="141" t="n"/>
      <c r="BG126" s="141" t="n"/>
      <c r="BH126" s="141" t="n"/>
      <c r="BI126" s="141" t="n"/>
      <c r="BJ126" s="141" t="n"/>
      <c r="BK126" s="141" t="n"/>
      <c r="BL126" s="141" t="n"/>
      <c r="BM126" s="141" t="n"/>
      <c r="BN126" s="141" t="n"/>
      <c r="BO126" s="141" t="n"/>
      <c r="BP126" s="141" t="n"/>
      <c r="BQ126" s="141" t="n"/>
      <c r="BR126" s="141" t="n"/>
      <c r="BS126" s="141" t="n"/>
      <c r="BT126" s="141" t="n"/>
      <c r="BU126" s="141" t="n"/>
      <c r="BV126" s="141" t="n"/>
      <c r="BW126" s="141" t="n"/>
      <c r="BX126" s="141" t="n"/>
      <c r="BY126" s="141" t="n"/>
    </row>
    <row r="127" hidden="1" ht="18.75" customHeight="1">
      <c r="A127" s="781" t="inlineStr">
        <is>
          <t>LILY BLANCHE</t>
        </is>
      </c>
      <c r="B127" s="731" t="n"/>
      <c r="C127" s="731" t="n"/>
      <c r="D127" s="775" t="n"/>
      <c r="L127" s="141" t="n">
        <v>0</v>
      </c>
      <c r="M127" s="141" t="n">
        <v>53</v>
      </c>
      <c r="N127" s="141" t="n">
        <v>62</v>
      </c>
      <c r="O127" s="141" t="n">
        <v>57</v>
      </c>
      <c r="P127" s="141" t="n">
        <v>35</v>
      </c>
      <c r="Q127" s="141" t="n">
        <v>33</v>
      </c>
      <c r="R127" s="141" t="n">
        <v>25</v>
      </c>
      <c r="S127" s="141" t="n">
        <v>14</v>
      </c>
      <c r="T127" s="141" t="n">
        <v>6</v>
      </c>
      <c r="U127" s="141" t="n">
        <v>5</v>
      </c>
      <c r="V127" s="141" t="n">
        <v>4</v>
      </c>
      <c r="W127" s="141" t="n">
        <v>3</v>
      </c>
      <c r="X127" s="141" t="n">
        <v>2</v>
      </c>
      <c r="Y127" s="141" t="n">
        <v>0</v>
      </c>
      <c r="Z127" s="141" t="n">
        <v>0</v>
      </c>
      <c r="AA127" s="141" t="n">
        <v>0</v>
      </c>
      <c r="AB127" s="141" t="n">
        <v>0</v>
      </c>
      <c r="AC127" s="141" t="n">
        <v>0</v>
      </c>
      <c r="AD127" s="141" t="n">
        <v>0</v>
      </c>
      <c r="AE127" s="141" t="n">
        <v>0</v>
      </c>
      <c r="AF127" s="141" t="n">
        <v>0</v>
      </c>
      <c r="AG127" s="141" t="n">
        <v>0</v>
      </c>
      <c r="AH127" s="141" t="n">
        <v>0</v>
      </c>
      <c r="AI127" s="141" t="n">
        <v>0</v>
      </c>
      <c r="AJ127" s="141" t="n">
        <v>0</v>
      </c>
      <c r="AK127" s="141" t="n">
        <v>0</v>
      </c>
      <c r="AL127" s="141" t="n">
        <v>0</v>
      </c>
      <c r="AM127" s="141" t="n">
        <v>0</v>
      </c>
      <c r="AN127" s="141" t="n">
        <v>0</v>
      </c>
      <c r="AO127" s="141" t="n">
        <v>0</v>
      </c>
      <c r="AP127" s="141" t="n">
        <v>0</v>
      </c>
      <c r="AQ127" s="141" t="n">
        <v>0</v>
      </c>
      <c r="AR127" s="141" t="n"/>
      <c r="AS127" s="141" t="n"/>
      <c r="AT127" s="141" t="n"/>
      <c r="AU127" s="141" t="n"/>
      <c r="AV127" s="141" t="n"/>
      <c r="AW127" s="141" t="n"/>
      <c r="AX127" s="141" t="n"/>
      <c r="AY127" s="141" t="n"/>
      <c r="AZ127" s="141" t="n"/>
      <c r="BA127" s="141" t="n"/>
      <c r="BB127" s="141" t="n"/>
      <c r="BC127" s="141" t="n"/>
      <c r="BD127" s="141" t="n"/>
      <c r="BE127" s="141" t="n"/>
      <c r="BF127" s="141" t="n"/>
      <c r="BG127" s="141" t="n"/>
      <c r="BH127" s="141" t="n"/>
      <c r="BI127" s="141" t="n"/>
      <c r="BJ127" s="141" t="n"/>
      <c r="BK127" s="141" t="n"/>
      <c r="BL127" s="141" t="n"/>
      <c r="BM127" s="141" t="n"/>
      <c r="BN127" s="141" t="n"/>
      <c r="BO127" s="141" t="n"/>
      <c r="BP127" s="141" t="n"/>
      <c r="BQ127" s="141" t="n"/>
      <c r="BR127" s="141" t="n"/>
      <c r="BS127" s="141" t="n"/>
      <c r="BT127" s="141" t="n"/>
      <c r="BU127" s="141" t="n"/>
      <c r="BV127" s="141" t="n"/>
      <c r="BW127" s="141" t="n"/>
      <c r="BX127" s="141" t="n"/>
      <c r="BY127" s="141" t="n"/>
    </row>
    <row r="128" hidden="1" ht="18.75" customHeight="1">
      <c r="A128" s="781" t="inlineStr">
        <is>
          <t>MEN NBA</t>
        </is>
      </c>
      <c r="B128" s="731" t="n"/>
      <c r="C128" s="731" t="n"/>
      <c r="D128" s="775" t="n"/>
      <c r="O128" s="141" t="n">
        <v>0</v>
      </c>
      <c r="P128" s="141" t="n">
        <v>89</v>
      </c>
      <c r="Q128" s="141" t="n">
        <v>100</v>
      </c>
      <c r="R128" s="141" t="n">
        <v>95</v>
      </c>
      <c r="S128" s="141" t="n">
        <v>90</v>
      </c>
      <c r="T128" s="141" t="n">
        <v>84</v>
      </c>
      <c r="U128" s="141" t="n">
        <v>79</v>
      </c>
      <c r="V128" s="141" t="n">
        <v>79</v>
      </c>
      <c r="W128" s="141" t="n">
        <v>79</v>
      </c>
      <c r="X128" s="141" t="n">
        <v>79</v>
      </c>
      <c r="Y128" s="141" t="n">
        <v>76</v>
      </c>
      <c r="Z128" s="141" t="n">
        <v>73</v>
      </c>
      <c r="AA128" s="141" t="n">
        <v>69</v>
      </c>
      <c r="AB128" s="141" t="n">
        <v>69</v>
      </c>
      <c r="AC128" s="141" t="n">
        <v>58</v>
      </c>
      <c r="AD128" s="141" t="n">
        <v>58</v>
      </c>
      <c r="AE128" s="141" t="n">
        <v>56</v>
      </c>
      <c r="AF128" s="141" t="n">
        <v>0</v>
      </c>
      <c r="AG128" s="141" t="n">
        <v>0</v>
      </c>
      <c r="AH128" s="141" t="n">
        <v>0</v>
      </c>
      <c r="AI128" s="141" t="n">
        <v>0</v>
      </c>
      <c r="AJ128" s="141" t="n">
        <v>0</v>
      </c>
      <c r="AK128" s="141" t="n">
        <v>0</v>
      </c>
      <c r="AL128" s="141" t="n">
        <v>0</v>
      </c>
      <c r="AM128" s="141" t="n">
        <v>0</v>
      </c>
      <c r="AN128" s="141" t="n">
        <v>0</v>
      </c>
      <c r="AO128" s="141" t="n">
        <v>0</v>
      </c>
      <c r="AP128" s="141" t="n">
        <v>0</v>
      </c>
      <c r="AQ128" s="141" t="n">
        <v>0</v>
      </c>
      <c r="AR128" s="141" t="n"/>
      <c r="AS128" s="141" t="n"/>
      <c r="AT128" s="141" t="n"/>
      <c r="AU128" s="141" t="n"/>
      <c r="AV128" s="141" t="n"/>
      <c r="AW128" s="141" t="n"/>
      <c r="AX128" s="141" t="n"/>
      <c r="AY128" s="141" t="n"/>
      <c r="AZ128" s="141" t="n"/>
      <c r="BA128" s="141" t="n"/>
      <c r="BB128" s="141" t="n"/>
      <c r="BC128" s="141" t="n"/>
      <c r="BD128" s="141" t="n"/>
      <c r="BE128" s="141" t="n"/>
      <c r="BF128" s="141" t="n"/>
      <c r="BG128" s="141" t="n"/>
      <c r="BH128" s="141" t="n"/>
      <c r="BI128" s="141" t="n"/>
      <c r="BJ128" s="141" t="n"/>
      <c r="BK128" s="141" t="n"/>
      <c r="BL128" s="141" t="n"/>
      <c r="BM128" s="141" t="n"/>
      <c r="BN128" s="141" t="n"/>
      <c r="BO128" s="141" t="n"/>
      <c r="BP128" s="141" t="n"/>
      <c r="BQ128" s="141" t="n"/>
      <c r="BR128" s="141" t="n"/>
      <c r="BS128" s="141" t="n"/>
      <c r="BT128" s="141" t="n"/>
      <c r="BU128" s="141" t="n"/>
      <c r="BV128" s="141" t="n"/>
      <c r="BW128" s="141" t="n"/>
      <c r="BX128" s="141" t="n"/>
      <c r="BY128" s="141" t="n"/>
    </row>
    <row r="129">
      <c r="A129" s="781" t="inlineStr">
        <is>
          <t>QUASAR DEEP BLUE</t>
        </is>
      </c>
      <c r="B129" s="731" t="n"/>
      <c r="C129" s="731" t="n"/>
      <c r="D129" s="775" t="n"/>
      <c r="S129" s="141" t="n">
        <v>0</v>
      </c>
      <c r="T129" s="141" t="n">
        <v>68</v>
      </c>
      <c r="U129" s="141" t="n">
        <v>65</v>
      </c>
      <c r="V129" s="141" t="n">
        <v>65</v>
      </c>
      <c r="W129" s="141" t="n">
        <v>65</v>
      </c>
      <c r="X129" s="141" t="n">
        <v>65</v>
      </c>
      <c r="Y129" s="141" t="n">
        <v>60</v>
      </c>
      <c r="Z129" s="141" t="n">
        <v>59</v>
      </c>
      <c r="AA129" s="141" t="n">
        <v>58</v>
      </c>
      <c r="AB129" s="141" t="n">
        <v>57</v>
      </c>
      <c r="AC129" s="141" t="n">
        <v>55</v>
      </c>
      <c r="AD129" s="141" t="n">
        <v>45</v>
      </c>
      <c r="AE129" s="141" t="n">
        <v>45</v>
      </c>
      <c r="AF129" s="141" t="n">
        <v>45</v>
      </c>
      <c r="AG129" s="141" t="n">
        <v>42</v>
      </c>
      <c r="AH129" s="141" t="n">
        <v>42</v>
      </c>
      <c r="AI129" s="141" t="n">
        <v>40</v>
      </c>
      <c r="AJ129" s="141" t="n">
        <v>37</v>
      </c>
      <c r="AK129" s="141" t="n">
        <v>35</v>
      </c>
      <c r="AL129" s="141" t="n">
        <v>22</v>
      </c>
      <c r="AM129" s="141" t="n">
        <v>20</v>
      </c>
      <c r="AN129" s="141" t="n">
        <v>18</v>
      </c>
      <c r="AO129" s="141" t="n">
        <v>18</v>
      </c>
      <c r="AP129" s="141" t="n">
        <v>17</v>
      </c>
      <c r="AQ129" s="141" t="n">
        <v>17</v>
      </c>
      <c r="AR129" s="141" t="n">
        <v>17</v>
      </c>
      <c r="AS129" s="141" t="n">
        <v>17</v>
      </c>
      <c r="AT129" s="141" t="n">
        <v>15</v>
      </c>
      <c r="AU129" s="141" t="n">
        <v>10</v>
      </c>
      <c r="AV129" s="141" t="n">
        <v>8</v>
      </c>
      <c r="AW129" s="141" t="n">
        <v>8</v>
      </c>
      <c r="AX129" s="141" t="n">
        <v>8</v>
      </c>
      <c r="AY129" s="141" t="n">
        <v>7</v>
      </c>
      <c r="AZ129" s="141" t="n">
        <v>6</v>
      </c>
      <c r="BA129" s="141" t="n">
        <v>6</v>
      </c>
      <c r="BB129" s="141" t="n">
        <v>6</v>
      </c>
      <c r="BC129" s="141" t="n">
        <v>6</v>
      </c>
      <c r="BD129" s="141" t="n">
        <v>6</v>
      </c>
      <c r="BE129" s="141" t="n">
        <v>0</v>
      </c>
      <c r="BF129" s="141" t="n">
        <v>0</v>
      </c>
      <c r="BG129" s="141" t="n">
        <v>0</v>
      </c>
      <c r="BH129" s="141" t="n">
        <v>0</v>
      </c>
      <c r="BI129" s="141" t="n">
        <v>0</v>
      </c>
      <c r="BJ129" s="141" t="n">
        <v>0</v>
      </c>
      <c r="BK129" s="141" t="n">
        <v>0</v>
      </c>
      <c r="BL129" s="141" t="n">
        <v>0</v>
      </c>
      <c r="BM129" s="141" t="n">
        <v>0</v>
      </c>
      <c r="BN129" s="141" t="n">
        <v>0</v>
      </c>
      <c r="BO129" s="141" t="n">
        <v>0</v>
      </c>
      <c r="BP129" s="141" t="n">
        <v>0</v>
      </c>
      <c r="BQ129" s="141" t="n">
        <v>0</v>
      </c>
      <c r="BR129" s="141" t="n">
        <v>0</v>
      </c>
      <c r="BS129" s="141" t="n">
        <v>0</v>
      </c>
      <c r="BT129" s="141" t="n">
        <v>0</v>
      </c>
      <c r="BU129" s="141" t="n">
        <v>0</v>
      </c>
      <c r="BV129" s="141" t="n">
        <v>0</v>
      </c>
      <c r="BW129" s="141" t="n">
        <v>0</v>
      </c>
      <c r="BX129" s="141" t="n">
        <v>0</v>
      </c>
      <c r="BY129" s="141" t="n">
        <v>0</v>
      </c>
    </row>
    <row r="130">
      <c r="A130" s="781" t="inlineStr">
        <is>
          <t>ARBO ATLANTICA</t>
        </is>
      </c>
      <c r="B130" s="731" t="n"/>
      <c r="C130" s="731" t="n"/>
      <c r="D130" s="775" t="n"/>
      <c r="S130" s="141" t="n">
        <v>0</v>
      </c>
      <c r="T130" s="141" t="n">
        <v>70</v>
      </c>
      <c r="U130" s="141" t="n">
        <v>70</v>
      </c>
      <c r="V130" s="141" t="n">
        <v>70</v>
      </c>
      <c r="W130" s="141" t="n">
        <v>69</v>
      </c>
      <c r="X130" s="141" t="n">
        <v>69</v>
      </c>
      <c r="Y130" s="141" t="n">
        <v>53</v>
      </c>
      <c r="Z130" s="141" t="n">
        <v>62</v>
      </c>
      <c r="AA130" s="141" t="n">
        <v>56</v>
      </c>
      <c r="AB130" s="141" t="n">
        <v>56</v>
      </c>
      <c r="AC130" s="141" t="n">
        <v>56</v>
      </c>
      <c r="AD130" s="141" t="n">
        <v>54</v>
      </c>
      <c r="AE130" s="141" t="n">
        <v>52</v>
      </c>
      <c r="AF130" s="141" t="n">
        <v>53</v>
      </c>
      <c r="AG130" s="141" t="n">
        <v>50</v>
      </c>
      <c r="AH130" s="141" t="n">
        <v>46</v>
      </c>
      <c r="AI130" s="141" t="n">
        <v>43</v>
      </c>
      <c r="AJ130" s="141" t="n">
        <v>43</v>
      </c>
      <c r="AK130" s="141" t="n">
        <v>40</v>
      </c>
      <c r="AL130" s="141" t="n">
        <v>28</v>
      </c>
      <c r="AM130" s="141" t="n">
        <v>27</v>
      </c>
      <c r="AN130" s="141" t="n">
        <v>22</v>
      </c>
      <c r="AO130" s="141" t="n">
        <v>21</v>
      </c>
      <c r="AP130" s="141" t="n">
        <v>21</v>
      </c>
      <c r="AQ130" s="141" t="n">
        <v>21</v>
      </c>
      <c r="AR130" s="141" t="n">
        <v>21</v>
      </c>
      <c r="AS130" s="141" t="n">
        <v>21</v>
      </c>
      <c r="AT130" s="141" t="n">
        <v>19</v>
      </c>
      <c r="AU130" s="141" t="n">
        <v>15</v>
      </c>
      <c r="AV130" s="141" t="n">
        <v>12</v>
      </c>
      <c r="AW130" s="141" t="n">
        <v>13</v>
      </c>
      <c r="AX130" s="141" t="n">
        <v>12</v>
      </c>
      <c r="AY130" s="141" t="n">
        <v>12</v>
      </c>
      <c r="AZ130" s="141" t="n">
        <v>11</v>
      </c>
      <c r="BA130" s="141" t="n">
        <v>9</v>
      </c>
      <c r="BB130" s="141" t="n">
        <v>9</v>
      </c>
      <c r="BC130" s="141" t="n">
        <v>9</v>
      </c>
      <c r="BD130" s="141" t="n">
        <v>9</v>
      </c>
      <c r="BE130" s="141" t="n">
        <v>8</v>
      </c>
      <c r="BF130" s="141" t="n">
        <v>8</v>
      </c>
      <c r="BG130" s="141" t="n">
        <v>8</v>
      </c>
      <c r="BH130" s="141" t="n">
        <v>5</v>
      </c>
      <c r="BI130" s="141" t="n">
        <v>3</v>
      </c>
      <c r="BJ130" s="141" t="n">
        <v>3</v>
      </c>
      <c r="BK130" s="141" t="n">
        <v>3</v>
      </c>
      <c r="BL130" s="141" t="n">
        <v>3</v>
      </c>
      <c r="BM130" s="141" t="n">
        <v>3</v>
      </c>
      <c r="BN130" s="141" t="n">
        <v>3</v>
      </c>
      <c r="BO130" s="141" t="n">
        <v>3</v>
      </c>
      <c r="BP130" s="141" t="n">
        <v>3</v>
      </c>
      <c r="BQ130" s="141" t="n">
        <v>3</v>
      </c>
      <c r="BR130" s="141" t="n">
        <v>0</v>
      </c>
      <c r="BS130" s="141" t="n">
        <v>0</v>
      </c>
      <c r="BT130" s="141" t="n">
        <v>0</v>
      </c>
      <c r="BU130" s="141" t="n">
        <v>0</v>
      </c>
      <c r="BV130" s="141" t="n">
        <v>0</v>
      </c>
      <c r="BW130" s="141" t="n">
        <v>0</v>
      </c>
      <c r="BX130" s="141" t="n">
        <v>0</v>
      </c>
      <c r="BY130" s="141" t="n">
        <v>0</v>
      </c>
    </row>
    <row r="131" hidden="1" ht="18.75" customHeight="1">
      <c r="A131" s="781" t="inlineStr">
        <is>
          <t>BOTICA 214 SEVILLA DOURADA FEM</t>
        </is>
      </c>
      <c r="B131" s="731" t="n"/>
      <c r="C131" s="731" t="n"/>
      <c r="D131" s="775" t="n"/>
      <c r="V131" s="141" t="n">
        <v>0</v>
      </c>
      <c r="W131" s="141" t="n">
        <v>15</v>
      </c>
      <c r="X131" s="141" t="n">
        <v>9</v>
      </c>
      <c r="Y131" s="141" t="n">
        <v>1</v>
      </c>
      <c r="Z131" s="141" t="n">
        <v>0</v>
      </c>
      <c r="AA131" s="141" t="n">
        <v>0</v>
      </c>
      <c r="AB131" s="141" t="n">
        <v>0</v>
      </c>
      <c r="AC131" s="141" t="n">
        <v>0</v>
      </c>
      <c r="AD131" s="141" t="n">
        <v>0</v>
      </c>
      <c r="AE131" s="141" t="n">
        <v>0</v>
      </c>
      <c r="AF131" s="141" t="n">
        <v>0</v>
      </c>
      <c r="AG131" s="141" t="n">
        <v>0</v>
      </c>
      <c r="AH131" s="141" t="n">
        <v>0</v>
      </c>
      <c r="AI131" s="141" t="n">
        <v>0</v>
      </c>
      <c r="AJ131" s="141" t="n">
        <v>0</v>
      </c>
      <c r="AK131" s="141" t="n">
        <v>0</v>
      </c>
      <c r="AL131" s="141" t="n">
        <v>0</v>
      </c>
      <c r="AM131" s="141" t="n">
        <v>0</v>
      </c>
      <c r="AN131" s="141" t="n">
        <v>0</v>
      </c>
      <c r="AO131" s="141" t="n">
        <v>0</v>
      </c>
      <c r="AP131" s="141" t="n">
        <v>0</v>
      </c>
      <c r="AQ131" s="141" t="n">
        <v>0</v>
      </c>
      <c r="AR131" s="141" t="n"/>
      <c r="AS131" s="141" t="n"/>
      <c r="AT131" s="141" t="n"/>
      <c r="AU131" s="141" t="n"/>
      <c r="AV131" s="141" t="n"/>
      <c r="AW131" s="141" t="n"/>
      <c r="AX131" s="141" t="n"/>
      <c r="AY131" s="141" t="n"/>
      <c r="AZ131" s="141" t="n"/>
      <c r="BA131" s="141" t="n"/>
      <c r="BB131" s="141" t="n"/>
      <c r="BC131" s="141" t="n"/>
      <c r="BD131" s="141" t="n"/>
      <c r="BE131" s="141" t="n"/>
      <c r="BF131" s="141" t="n"/>
      <c r="BG131" s="141" t="n"/>
      <c r="BH131" s="141" t="n"/>
      <c r="BI131" s="141" t="n"/>
      <c r="BJ131" s="141" t="n"/>
      <c r="BK131" s="141" t="n"/>
      <c r="BL131" s="141" t="n"/>
      <c r="BM131" s="141" t="n"/>
      <c r="BN131" s="141" t="n"/>
      <c r="BO131" s="141" t="n"/>
      <c r="BP131" s="141" t="n"/>
      <c r="BQ131" s="141" t="n"/>
      <c r="BR131" s="141" t="n"/>
      <c r="BS131" s="141" t="n"/>
      <c r="BT131" s="141" t="n"/>
      <c r="BU131" s="141" t="n"/>
      <c r="BV131" s="141" t="n"/>
      <c r="BW131" s="141" t="n"/>
      <c r="BX131" s="141" t="n"/>
      <c r="BY131" s="141" t="n"/>
    </row>
    <row r="132" hidden="1" ht="18.75" customHeight="1">
      <c r="A132" s="781" t="inlineStr">
        <is>
          <t>BOTICA 214 SEVILLA DOURADA MASC</t>
        </is>
      </c>
      <c r="B132" s="731" t="n"/>
      <c r="C132" s="731" t="n"/>
      <c r="D132" s="775" t="n"/>
      <c r="V132" s="141" t="n"/>
      <c r="W132" s="141" t="n"/>
      <c r="X132" s="141" t="n"/>
      <c r="Y132" s="141" t="n"/>
      <c r="Z132" s="141" t="n">
        <v>0</v>
      </c>
      <c r="AA132" s="141" t="n">
        <v>4</v>
      </c>
      <c r="AB132" s="141" t="n">
        <v>4</v>
      </c>
      <c r="AC132" s="141" t="n">
        <v>2</v>
      </c>
      <c r="AD132" s="141" t="n">
        <v>1</v>
      </c>
      <c r="AE132" s="141" t="n">
        <v>1</v>
      </c>
      <c r="AF132" s="141" t="n">
        <v>0</v>
      </c>
      <c r="AG132" s="141" t="n">
        <v>0</v>
      </c>
      <c r="AH132" s="141" t="n">
        <v>0</v>
      </c>
      <c r="AI132" s="141" t="n">
        <v>0</v>
      </c>
      <c r="AJ132" s="141" t="n">
        <v>0</v>
      </c>
      <c r="AK132" s="141" t="n">
        <v>0</v>
      </c>
      <c r="AL132" s="141" t="n">
        <v>0</v>
      </c>
      <c r="AM132" s="141" t="n">
        <v>0</v>
      </c>
      <c r="AN132" s="141" t="n">
        <v>0</v>
      </c>
      <c r="AO132" s="141" t="n">
        <v>0</v>
      </c>
      <c r="AP132" s="141" t="n">
        <v>0</v>
      </c>
      <c r="AQ132" s="141" t="n">
        <v>0</v>
      </c>
      <c r="AR132" s="141" t="n"/>
      <c r="AS132" s="141" t="n"/>
      <c r="AT132" s="141" t="n"/>
      <c r="AU132" s="141" t="n"/>
      <c r="AV132" s="141" t="n"/>
      <c r="AW132" s="141" t="n"/>
      <c r="AX132" s="141" t="n"/>
      <c r="AY132" s="141" t="n"/>
      <c r="AZ132" s="141" t="n"/>
      <c r="BA132" s="141" t="n"/>
      <c r="BB132" s="141" t="n"/>
      <c r="BC132" s="141" t="n"/>
      <c r="BD132" s="141" t="n"/>
      <c r="BE132" s="141" t="n"/>
      <c r="BF132" s="141" t="n"/>
      <c r="BG132" s="141" t="n"/>
      <c r="BH132" s="141" t="n"/>
      <c r="BI132" s="141" t="n"/>
      <c r="BJ132" s="141" t="n"/>
      <c r="BK132" s="141" t="n"/>
      <c r="BL132" s="141" t="n"/>
      <c r="BM132" s="141" t="n"/>
      <c r="BN132" s="141" t="n"/>
      <c r="BO132" s="141" t="n"/>
      <c r="BP132" s="141" t="n"/>
      <c r="BQ132" s="141" t="n"/>
      <c r="BR132" s="141" t="n"/>
      <c r="BS132" s="141" t="n"/>
      <c r="BT132" s="141" t="n"/>
      <c r="BU132" s="141" t="n"/>
      <c r="BV132" s="141" t="n"/>
      <c r="BW132" s="141" t="n"/>
      <c r="BX132" s="141" t="n"/>
      <c r="BY132" s="141" t="n"/>
    </row>
    <row r="133" hidden="1" ht="18.75" customHeight="1">
      <c r="A133" s="781" t="inlineStr">
        <is>
          <t>COR 1.0</t>
        </is>
      </c>
      <c r="B133" s="731" t="n"/>
      <c r="C133" s="731" t="n"/>
      <c r="D133" s="775" t="n"/>
      <c r="Z133" s="414" t="n">
        <v>0</v>
      </c>
      <c r="AA133" s="141" t="n">
        <v>0</v>
      </c>
      <c r="AB133" s="141" t="n">
        <v>4</v>
      </c>
      <c r="AC133" s="141" t="n">
        <v>5</v>
      </c>
      <c r="AD133" s="141" t="n">
        <v>5</v>
      </c>
      <c r="AE133" s="141" t="n">
        <v>5</v>
      </c>
      <c r="AF133" s="141" t="n">
        <v>5</v>
      </c>
      <c r="AG133" s="141" t="n">
        <v>6</v>
      </c>
      <c r="AH133" s="141" t="n">
        <v>6</v>
      </c>
      <c r="AI133" s="141" t="n">
        <v>5</v>
      </c>
      <c r="AJ133" s="141" t="n">
        <v>5</v>
      </c>
      <c r="AK133" s="141" t="n">
        <v>5</v>
      </c>
      <c r="AL133" s="141" t="n">
        <v>3</v>
      </c>
      <c r="AM133" s="141" t="n">
        <v>1</v>
      </c>
      <c r="AN133" s="141" t="n">
        <v>1</v>
      </c>
      <c r="AO133" s="141" t="n">
        <v>1</v>
      </c>
      <c r="AP133" s="141" t="n">
        <v>1</v>
      </c>
      <c r="AQ133" s="141" t="n">
        <v>1</v>
      </c>
      <c r="AR133" s="141" t="n">
        <v>1</v>
      </c>
      <c r="AS133" s="141" t="n">
        <v>1</v>
      </c>
      <c r="AT133" s="141" t="n">
        <v>0</v>
      </c>
      <c r="AU133" s="141" t="n">
        <v>0</v>
      </c>
      <c r="AV133" s="141" t="n">
        <v>0</v>
      </c>
      <c r="AW133" s="141" t="n">
        <v>0</v>
      </c>
      <c r="AX133" s="141" t="n">
        <v>0</v>
      </c>
      <c r="AY133" s="141" t="n">
        <v>0</v>
      </c>
      <c r="AZ133" s="141" t="n">
        <v>0</v>
      </c>
      <c r="BA133" s="141" t="n">
        <v>0</v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/>
      <c r="BG133" s="141" t="n"/>
      <c r="BH133" s="141" t="n"/>
      <c r="BI133" s="141" t="n"/>
      <c r="BJ133" s="141" t="n"/>
      <c r="BK133" s="141" t="n"/>
      <c r="BL133" s="141" t="n"/>
      <c r="BM133" s="141" t="n"/>
      <c r="BN133" s="141" t="n"/>
      <c r="BO133" s="141" t="n"/>
      <c r="BP133" s="141" t="n"/>
      <c r="BQ133" s="141" t="n"/>
      <c r="BR133" s="141" t="n"/>
      <c r="BS133" s="141" t="n"/>
      <c r="BT133" s="141" t="n"/>
      <c r="BU133" s="141" t="n"/>
      <c r="BV133" s="141" t="n"/>
      <c r="BW133" s="141" t="n"/>
      <c r="BX133" s="141" t="n"/>
      <c r="BY133" s="141" t="n"/>
    </row>
    <row r="134" hidden="1" ht="18.75" customHeight="1">
      <c r="A134" s="781" t="inlineStr">
        <is>
          <t>COR 2.0</t>
        </is>
      </c>
      <c r="B134" s="731" t="n"/>
      <c r="C134" s="731" t="n"/>
      <c r="D134" s="775" t="n"/>
      <c r="Z134" s="414" t="n">
        <v>0</v>
      </c>
      <c r="AA134" s="141" t="n">
        <v>0</v>
      </c>
      <c r="AB134" s="141" t="n">
        <v>2</v>
      </c>
      <c r="AC134" s="141" t="n">
        <v>3</v>
      </c>
      <c r="AD134" s="141" t="n">
        <v>3</v>
      </c>
      <c r="AE134" s="141" t="n">
        <v>3</v>
      </c>
      <c r="AF134" s="141" t="n">
        <v>3</v>
      </c>
      <c r="AG134" s="141" t="n">
        <v>2</v>
      </c>
      <c r="AH134" s="141" t="n">
        <v>0</v>
      </c>
      <c r="AI134" s="141" t="n">
        <v>0</v>
      </c>
      <c r="AJ134" s="141" t="n">
        <v>0</v>
      </c>
      <c r="AK134" s="141" t="n">
        <v>0</v>
      </c>
      <c r="AL134" s="141" t="n">
        <v>0</v>
      </c>
      <c r="AM134" s="141" t="n">
        <v>0</v>
      </c>
      <c r="AN134" s="141" t="n">
        <v>0</v>
      </c>
      <c r="AO134" s="141" t="n">
        <v>0</v>
      </c>
      <c r="AP134" s="141" t="n">
        <v>0</v>
      </c>
      <c r="AQ134" s="141" t="n">
        <v>0</v>
      </c>
      <c r="AR134" s="141" t="n"/>
      <c r="AS134" s="141" t="n"/>
      <c r="AT134" s="141" t="n"/>
      <c r="AU134" s="141" t="n"/>
      <c r="AV134" s="141" t="n"/>
      <c r="AW134" s="141" t="n"/>
      <c r="AX134" s="141" t="n"/>
      <c r="AY134" s="141" t="n"/>
      <c r="AZ134" s="141" t="n"/>
      <c r="BA134" s="141" t="n"/>
      <c r="BB134" s="141" t="n"/>
      <c r="BC134" s="141" t="n"/>
      <c r="BD134" s="141" t="n"/>
      <c r="BE134" s="141" t="n"/>
      <c r="BF134" s="141" t="n"/>
      <c r="BG134" s="141" t="n"/>
      <c r="BH134" s="141" t="n"/>
      <c r="BI134" s="141" t="n"/>
      <c r="BJ134" s="141" t="n"/>
      <c r="BK134" s="141" t="n"/>
      <c r="BL134" s="141" t="n"/>
      <c r="BM134" s="141" t="n"/>
      <c r="BN134" s="141" t="n"/>
      <c r="BO134" s="141" t="n"/>
      <c r="BP134" s="141" t="n"/>
      <c r="BQ134" s="141" t="n"/>
      <c r="BR134" s="141" t="n"/>
      <c r="BS134" s="141" t="n"/>
      <c r="BT134" s="141" t="n"/>
      <c r="BU134" s="141" t="n"/>
      <c r="BV134" s="141" t="n"/>
      <c r="BW134" s="141" t="n"/>
      <c r="BX134" s="141" t="n"/>
      <c r="BY134" s="141" t="n"/>
    </row>
    <row r="135" hidden="1" ht="18.75" customHeight="1">
      <c r="A135" s="781" t="inlineStr">
        <is>
          <t>COR 3.0</t>
        </is>
      </c>
      <c r="B135" s="731" t="n"/>
      <c r="C135" s="731" t="n"/>
      <c r="D135" s="775" t="n"/>
      <c r="Z135" s="414" t="n">
        <v>0</v>
      </c>
      <c r="AA135" s="141" t="n">
        <v>0</v>
      </c>
      <c r="AB135" s="141" t="n">
        <v>5</v>
      </c>
      <c r="AC135" s="141" t="n">
        <v>5</v>
      </c>
      <c r="AD135" s="141" t="n">
        <v>3</v>
      </c>
      <c r="AE135" s="141" t="n">
        <v>3</v>
      </c>
      <c r="AF135" s="141" t="n">
        <v>2</v>
      </c>
      <c r="AG135" s="141" t="n">
        <v>0</v>
      </c>
      <c r="AH135" s="141" t="n">
        <v>0</v>
      </c>
      <c r="AI135" s="141" t="n">
        <v>0</v>
      </c>
      <c r="AJ135" s="141" t="n">
        <v>0</v>
      </c>
      <c r="AK135" s="141" t="n">
        <v>0</v>
      </c>
      <c r="AL135" s="141" t="n">
        <v>0</v>
      </c>
      <c r="AM135" s="141" t="n">
        <v>0</v>
      </c>
      <c r="AN135" s="141" t="n">
        <v>0</v>
      </c>
      <c r="AO135" s="141" t="n">
        <v>0</v>
      </c>
      <c r="AP135" s="141" t="n">
        <v>0</v>
      </c>
      <c r="AQ135" s="141" t="n">
        <v>0</v>
      </c>
      <c r="AR135" s="141" t="n"/>
      <c r="AS135" s="141" t="n"/>
      <c r="AT135" s="141" t="n"/>
      <c r="AU135" s="141" t="n"/>
      <c r="AV135" s="141" t="n"/>
      <c r="AW135" s="141" t="n"/>
      <c r="AX135" s="141" t="n"/>
      <c r="AY135" s="141" t="n"/>
      <c r="AZ135" s="141" t="n"/>
      <c r="BA135" s="141" t="n"/>
      <c r="BB135" s="141" t="n"/>
      <c r="BC135" s="141" t="n"/>
      <c r="BD135" s="141" t="n"/>
      <c r="BE135" s="141" t="n"/>
      <c r="BF135" s="141" t="n"/>
      <c r="BG135" s="141" t="n"/>
      <c r="BH135" s="141" t="n"/>
      <c r="BI135" s="141" t="n"/>
      <c r="BJ135" s="141" t="n"/>
      <c r="BK135" s="141" t="n"/>
      <c r="BL135" s="141" t="n"/>
      <c r="BM135" s="141" t="n"/>
      <c r="BN135" s="141" t="n"/>
      <c r="BO135" s="141" t="n"/>
      <c r="BP135" s="141" t="n"/>
      <c r="BQ135" s="141" t="n"/>
      <c r="BR135" s="141" t="n"/>
      <c r="BS135" s="141" t="n"/>
      <c r="BT135" s="141" t="n"/>
      <c r="BU135" s="141" t="n"/>
      <c r="BV135" s="141" t="n"/>
      <c r="BW135" s="141" t="n"/>
      <c r="BX135" s="141" t="n"/>
      <c r="BY135" s="141" t="n"/>
    </row>
    <row r="136" hidden="1" ht="18.75" customHeight="1">
      <c r="A136" s="781" t="inlineStr">
        <is>
          <t>COR 4.0</t>
        </is>
      </c>
      <c r="B136" s="731" t="n"/>
      <c r="C136" s="731" t="n"/>
      <c r="D136" s="775" t="n"/>
      <c r="Z136" s="414" t="n">
        <v>0</v>
      </c>
      <c r="AA136" s="141" t="n">
        <v>0</v>
      </c>
      <c r="AB136" s="141" t="n">
        <v>0</v>
      </c>
      <c r="AC136" s="141" t="n">
        <v>0</v>
      </c>
      <c r="AD136" s="141" t="n">
        <v>0</v>
      </c>
      <c r="AE136" s="141" t="n">
        <v>0</v>
      </c>
      <c r="AF136" s="141" t="n">
        <v>1</v>
      </c>
      <c r="AG136" s="141" t="n">
        <v>0</v>
      </c>
      <c r="AH136" s="141" t="n">
        <v>0</v>
      </c>
      <c r="AI136" s="141" t="n">
        <v>0</v>
      </c>
      <c r="AJ136" s="141" t="n">
        <v>0</v>
      </c>
      <c r="AK136" s="141" t="n">
        <v>0</v>
      </c>
      <c r="AL136" s="141" t="n">
        <v>0</v>
      </c>
      <c r="AM136" s="141" t="n">
        <v>0</v>
      </c>
      <c r="AN136" s="141" t="n">
        <v>0</v>
      </c>
      <c r="AO136" s="141" t="n">
        <v>0</v>
      </c>
      <c r="AP136" s="141" t="n">
        <v>0</v>
      </c>
      <c r="AQ136" s="141" t="n">
        <v>0</v>
      </c>
      <c r="AR136" s="141" t="n"/>
      <c r="AS136" s="141" t="n"/>
      <c r="AT136" s="141" t="n"/>
      <c r="AU136" s="141" t="n"/>
      <c r="AV136" s="141" t="n"/>
      <c r="AW136" s="141" t="n"/>
      <c r="AX136" s="141" t="n"/>
      <c r="AY136" s="141" t="n"/>
      <c r="AZ136" s="141" t="n"/>
      <c r="BA136" s="141" t="n"/>
      <c r="BB136" s="141" t="n"/>
      <c r="BC136" s="141" t="n"/>
      <c r="BD136" s="141" t="n"/>
      <c r="BE136" s="141" t="n"/>
      <c r="BF136" s="141" t="n"/>
      <c r="BG136" s="141" t="n"/>
      <c r="BH136" s="141" t="n"/>
      <c r="BI136" s="141" t="n"/>
      <c r="BJ136" s="141" t="n"/>
      <c r="BK136" s="141" t="n"/>
      <c r="BL136" s="141" t="n"/>
      <c r="BM136" s="141" t="n"/>
      <c r="BN136" s="141" t="n"/>
      <c r="BO136" s="141" t="n"/>
      <c r="BP136" s="141" t="n"/>
      <c r="BQ136" s="141" t="n"/>
      <c r="BR136" s="141" t="n"/>
      <c r="BS136" s="141" t="n"/>
      <c r="BT136" s="141" t="n"/>
      <c r="BU136" s="141" t="n"/>
      <c r="BV136" s="141" t="n"/>
      <c r="BW136" s="141" t="n"/>
      <c r="BX136" s="141" t="n"/>
      <c r="BY136" s="141" t="n"/>
    </row>
    <row r="137" hidden="1" ht="18.75" customHeight="1">
      <c r="A137" s="781" t="inlineStr">
        <is>
          <t>COR 5.0</t>
        </is>
      </c>
      <c r="B137" s="731" t="n"/>
      <c r="C137" s="731" t="n"/>
      <c r="D137" s="775" t="n"/>
      <c r="Z137" s="414" t="n">
        <v>0</v>
      </c>
      <c r="AA137" s="141" t="n">
        <v>0</v>
      </c>
      <c r="AB137" s="141" t="n">
        <v>1</v>
      </c>
      <c r="AC137" s="141" t="n">
        <v>3</v>
      </c>
      <c r="AD137" s="141" t="n">
        <v>1</v>
      </c>
      <c r="AE137" s="141" t="n">
        <v>0</v>
      </c>
      <c r="AF137" s="141" t="n">
        <v>1</v>
      </c>
      <c r="AG137" s="141" t="n">
        <v>1</v>
      </c>
      <c r="AH137" s="141" t="n">
        <v>1</v>
      </c>
      <c r="AI137" s="141" t="n">
        <v>0</v>
      </c>
      <c r="AJ137" s="141" t="n">
        <v>0</v>
      </c>
      <c r="AK137" s="141" t="n">
        <v>0</v>
      </c>
      <c r="AL137" s="141" t="n">
        <v>0</v>
      </c>
      <c r="AM137" s="141" t="n">
        <v>0</v>
      </c>
      <c r="AN137" s="141" t="n">
        <v>0</v>
      </c>
      <c r="AO137" s="141" t="n">
        <v>0</v>
      </c>
      <c r="AP137" s="141" t="n">
        <v>0</v>
      </c>
      <c r="AQ137" s="141" t="n">
        <v>0</v>
      </c>
      <c r="AR137" s="141" t="n"/>
      <c r="AS137" s="141" t="n"/>
      <c r="AT137" s="141" t="n"/>
      <c r="AU137" s="141" t="n"/>
      <c r="AV137" s="141" t="n"/>
      <c r="AW137" s="141" t="n"/>
      <c r="AX137" s="141" t="n"/>
      <c r="AY137" s="141" t="n"/>
      <c r="AZ137" s="141" t="n"/>
      <c r="BA137" s="141" t="n"/>
      <c r="BB137" s="141" t="n"/>
      <c r="BC137" s="141" t="n"/>
      <c r="BD137" s="141" t="n"/>
      <c r="BE137" s="141" t="n"/>
      <c r="BF137" s="141" t="n"/>
      <c r="BG137" s="141" t="n"/>
      <c r="BH137" s="141" t="n"/>
      <c r="BI137" s="141" t="n"/>
      <c r="BJ137" s="141" t="n"/>
      <c r="BK137" s="141" t="n"/>
      <c r="BL137" s="141" t="n"/>
      <c r="BM137" s="141" t="n"/>
      <c r="BN137" s="141" t="n"/>
      <c r="BO137" s="141" t="n"/>
      <c r="BP137" s="141" t="n"/>
      <c r="BQ137" s="141" t="n"/>
      <c r="BR137" s="141" t="n"/>
      <c r="BS137" s="141" t="n"/>
      <c r="BT137" s="141" t="n"/>
      <c r="BU137" s="141" t="n"/>
      <c r="BV137" s="141" t="n"/>
      <c r="BW137" s="141" t="n"/>
      <c r="BX137" s="141" t="n"/>
      <c r="BY137" s="141" t="n"/>
    </row>
    <row r="138" hidden="1" ht="18.75" customHeight="1">
      <c r="A138" s="781" t="inlineStr">
        <is>
          <t>COR 6.0</t>
        </is>
      </c>
      <c r="B138" s="731" t="n"/>
      <c r="C138" s="731" t="n"/>
      <c r="D138" s="775" t="n"/>
      <c r="Z138" s="414" t="n">
        <v>0</v>
      </c>
      <c r="AA138" s="141" t="n">
        <v>0</v>
      </c>
      <c r="AB138" s="141" t="n">
        <v>1</v>
      </c>
      <c r="AC138" s="141" t="n">
        <v>2</v>
      </c>
      <c r="AD138" s="141" t="n">
        <v>0</v>
      </c>
      <c r="AE138" s="141" t="n">
        <v>0</v>
      </c>
      <c r="AF138" s="141" t="n">
        <v>0</v>
      </c>
      <c r="AG138" s="141" t="n">
        <v>0</v>
      </c>
      <c r="AH138" s="141" t="n">
        <v>0</v>
      </c>
      <c r="AI138" s="141" t="n">
        <v>0</v>
      </c>
      <c r="AJ138" s="141" t="n">
        <v>0</v>
      </c>
      <c r="AK138" s="141" t="n">
        <v>0</v>
      </c>
      <c r="AL138" s="141" t="n">
        <v>0</v>
      </c>
      <c r="AM138" s="141" t="n">
        <v>0</v>
      </c>
      <c r="AN138" s="141" t="n">
        <v>0</v>
      </c>
      <c r="AO138" s="141" t="n">
        <v>0</v>
      </c>
      <c r="AP138" s="141" t="n">
        <v>0</v>
      </c>
      <c r="AQ138" s="141" t="n">
        <v>0</v>
      </c>
      <c r="AR138" s="141" t="n"/>
      <c r="AS138" s="141" t="n"/>
      <c r="AT138" s="141" t="n"/>
      <c r="AU138" s="141" t="n"/>
      <c r="AV138" s="141" t="n"/>
      <c r="AW138" s="141" t="n"/>
      <c r="AX138" s="141" t="n"/>
      <c r="AY138" s="141" t="n"/>
      <c r="AZ138" s="141" t="n"/>
      <c r="BA138" s="141" t="n"/>
      <c r="BB138" s="141" t="n"/>
      <c r="BC138" s="141" t="n"/>
      <c r="BD138" s="141" t="n"/>
      <c r="BE138" s="141" t="n"/>
      <c r="BF138" s="141" t="n"/>
      <c r="BG138" s="141" t="n"/>
      <c r="BH138" s="141" t="n"/>
      <c r="BI138" s="141" t="n"/>
      <c r="BJ138" s="141" t="n"/>
      <c r="BK138" s="141" t="n"/>
      <c r="BL138" s="141" t="n"/>
      <c r="BM138" s="141" t="n"/>
      <c r="BN138" s="141" t="n"/>
      <c r="BO138" s="141" t="n"/>
      <c r="BP138" s="141" t="n"/>
      <c r="BQ138" s="141" t="n"/>
      <c r="BR138" s="141" t="n"/>
      <c r="BS138" s="141" t="n"/>
      <c r="BT138" s="141" t="n"/>
      <c r="BU138" s="141" t="n"/>
      <c r="BV138" s="141" t="n"/>
      <c r="BW138" s="141" t="n"/>
      <c r="BX138" s="141" t="n"/>
      <c r="BY138" s="141" t="n"/>
    </row>
    <row r="139" hidden="1" ht="18.75" customHeight="1">
      <c r="A139" s="781" t="inlineStr">
        <is>
          <t xml:space="preserve">COR 7.0 </t>
        </is>
      </c>
      <c r="B139" s="731" t="n"/>
      <c r="C139" s="731" t="n"/>
      <c r="D139" s="775" t="n"/>
      <c r="Z139" s="414" t="n">
        <v>0</v>
      </c>
      <c r="AA139" s="141" t="n">
        <v>0</v>
      </c>
      <c r="AB139" s="141" t="n">
        <v>1</v>
      </c>
      <c r="AC139" s="141" t="n">
        <v>2</v>
      </c>
      <c r="AD139" s="141" t="n">
        <v>2</v>
      </c>
      <c r="AE139" s="141" t="n">
        <v>0</v>
      </c>
      <c r="AF139" s="141" t="n">
        <v>0</v>
      </c>
      <c r="AG139" s="141" t="n">
        <v>0</v>
      </c>
      <c r="AH139" s="141" t="n">
        <v>0</v>
      </c>
      <c r="AI139" s="141" t="n">
        <v>0</v>
      </c>
      <c r="AJ139" s="141" t="n">
        <v>0</v>
      </c>
      <c r="AK139" s="141" t="n">
        <v>0</v>
      </c>
      <c r="AL139" s="141" t="n">
        <v>0</v>
      </c>
      <c r="AM139" s="141" t="n">
        <v>0</v>
      </c>
      <c r="AN139" s="141" t="n">
        <v>0</v>
      </c>
      <c r="AO139" s="141" t="n">
        <v>0</v>
      </c>
      <c r="AP139" s="141" t="n">
        <v>0</v>
      </c>
      <c r="AQ139" s="141" t="n">
        <v>0</v>
      </c>
      <c r="AR139" s="141" t="n"/>
      <c r="AS139" s="141" t="n"/>
      <c r="AT139" s="141" t="n"/>
      <c r="AU139" s="141" t="n"/>
      <c r="AV139" s="141" t="n"/>
      <c r="AW139" s="141" t="n"/>
      <c r="AX139" s="141" t="n"/>
      <c r="AY139" s="141" t="n"/>
      <c r="AZ139" s="141" t="n"/>
      <c r="BA139" s="141" t="n"/>
      <c r="BB139" s="141" t="n"/>
      <c r="BC139" s="141" t="n"/>
      <c r="BD139" s="141" t="n"/>
      <c r="BE139" s="141" t="n"/>
      <c r="BF139" s="141" t="n"/>
      <c r="BG139" s="141" t="n"/>
      <c r="BH139" s="141" t="n"/>
      <c r="BI139" s="141" t="n"/>
      <c r="BJ139" s="141" t="n"/>
      <c r="BK139" s="141" t="n"/>
      <c r="BL139" s="141" t="n"/>
      <c r="BM139" s="141" t="n"/>
      <c r="BN139" s="141" t="n"/>
      <c r="BO139" s="141" t="n"/>
      <c r="BP139" s="141" t="n"/>
      <c r="BQ139" s="141" t="n"/>
      <c r="BR139" s="141" t="n"/>
      <c r="BS139" s="141" t="n"/>
      <c r="BT139" s="141" t="n"/>
      <c r="BU139" s="141" t="n"/>
      <c r="BV139" s="141" t="n"/>
      <c r="BW139" s="141" t="n"/>
      <c r="BX139" s="141" t="n"/>
      <c r="BY139" s="141" t="n"/>
    </row>
    <row r="140" hidden="1" ht="18.75" customHeight="1">
      <c r="A140" s="781" t="inlineStr">
        <is>
          <t>ZAAD INTENSE</t>
        </is>
      </c>
      <c r="B140" s="731" t="n"/>
      <c r="C140" s="731" t="n"/>
      <c r="D140" s="775" t="n"/>
      <c r="AG140" s="141" t="n">
        <v>0</v>
      </c>
      <c r="AH140" s="141" t="n">
        <v>10</v>
      </c>
      <c r="AI140" s="141" t="n">
        <v>5</v>
      </c>
      <c r="AJ140" s="141" t="n">
        <v>8</v>
      </c>
      <c r="AK140" s="141" t="n">
        <v>8</v>
      </c>
      <c r="AL140" s="141" t="n">
        <v>4</v>
      </c>
      <c r="AM140" s="141" t="n">
        <v>2</v>
      </c>
      <c r="AN140" s="141" t="n">
        <v>2</v>
      </c>
      <c r="AO140" s="141" t="n">
        <v>2</v>
      </c>
      <c r="AP140" s="141" t="n">
        <v>2</v>
      </c>
      <c r="AQ140" s="141" t="n">
        <v>2</v>
      </c>
      <c r="AR140" s="141" t="n">
        <v>2</v>
      </c>
      <c r="AS140" s="141" t="n">
        <v>2</v>
      </c>
      <c r="AT140" s="141" t="n">
        <v>2</v>
      </c>
      <c r="AU140" s="141" t="n">
        <v>1</v>
      </c>
      <c r="AV140" s="141" t="n">
        <v>0</v>
      </c>
      <c r="AW140" s="141" t="n">
        <v>0</v>
      </c>
      <c r="AX140" s="141" t="n">
        <v>0</v>
      </c>
      <c r="AY140" s="141" t="n">
        <v>0</v>
      </c>
      <c r="AZ140" s="141" t="n">
        <v>0</v>
      </c>
      <c r="BA140" s="141" t="n">
        <v>0</v>
      </c>
      <c r="BB140" s="141" t="n">
        <v>0</v>
      </c>
      <c r="BC140" s="141" t="n">
        <v>0</v>
      </c>
      <c r="BD140" s="141" t="n">
        <v>0</v>
      </c>
      <c r="BE140" s="141" t="n">
        <v>0</v>
      </c>
      <c r="BF140" s="141" t="n"/>
      <c r="BG140" s="141" t="n"/>
      <c r="BH140" s="141" t="n"/>
      <c r="BI140" s="141" t="n"/>
      <c r="BJ140" s="141" t="n"/>
      <c r="BK140" s="141" t="n"/>
      <c r="BL140" s="141" t="n"/>
      <c r="BM140" s="141" t="n"/>
      <c r="BN140" s="141" t="n"/>
      <c r="BO140" s="141" t="n"/>
      <c r="BP140" s="141" t="n"/>
      <c r="BQ140" s="141" t="n"/>
      <c r="BR140" s="141" t="n"/>
      <c r="BS140" s="141" t="n"/>
      <c r="BT140" s="141" t="n"/>
      <c r="BU140" s="141" t="n"/>
      <c r="BV140" s="141" t="n"/>
      <c r="BW140" s="141" t="n"/>
      <c r="BX140" s="141" t="n"/>
      <c r="BY140" s="141" t="n"/>
    </row>
    <row r="141" hidden="1" ht="18.75" customHeight="1">
      <c r="A141" s="781" t="inlineStr">
        <is>
          <t>EGEO COGU</t>
        </is>
      </c>
      <c r="B141" s="731" t="n"/>
      <c r="C141" s="731" t="n"/>
      <c r="D141" s="775" t="n"/>
      <c r="AG141" s="141" t="n">
        <v>0</v>
      </c>
      <c r="AH141" s="141" t="n">
        <v>45</v>
      </c>
      <c r="AI141" s="141" t="n">
        <v>43</v>
      </c>
      <c r="AJ141" s="141" t="n">
        <v>38</v>
      </c>
      <c r="AK141" s="141" t="n">
        <v>35</v>
      </c>
      <c r="AL141" s="141" t="n">
        <v>27</v>
      </c>
      <c r="AM141" s="141" t="n">
        <v>24</v>
      </c>
      <c r="AN141" s="141" t="n">
        <v>23</v>
      </c>
      <c r="AO141" s="141" t="n">
        <v>13</v>
      </c>
      <c r="AP141" s="141" t="n">
        <v>11</v>
      </c>
      <c r="AQ141" s="141" t="n">
        <v>11</v>
      </c>
      <c r="AR141" s="141" t="n">
        <v>11</v>
      </c>
      <c r="AS141" s="141" t="n">
        <v>11</v>
      </c>
      <c r="AT141" s="141" t="n">
        <v>10</v>
      </c>
      <c r="AU141" s="141" t="n">
        <v>10</v>
      </c>
      <c r="AV141" s="141" t="n">
        <v>9</v>
      </c>
      <c r="AW141" s="141" t="n">
        <v>0</v>
      </c>
      <c r="AX141" s="141" t="n">
        <v>6</v>
      </c>
      <c r="AY141" s="141" t="n">
        <v>5</v>
      </c>
      <c r="AZ141" s="141" t="n">
        <v>3</v>
      </c>
      <c r="BA141" s="141" t="n">
        <v>0</v>
      </c>
      <c r="BB141" s="141" t="n">
        <v>0</v>
      </c>
      <c r="BC141" s="141" t="n">
        <v>0</v>
      </c>
      <c r="BD141" s="141" t="n">
        <v>0</v>
      </c>
      <c r="BE141" s="141" t="n">
        <v>0</v>
      </c>
      <c r="BF141" s="141" t="n"/>
      <c r="BG141" s="141" t="n"/>
      <c r="BH141" s="141" t="n"/>
      <c r="BI141" s="141" t="n"/>
      <c r="BJ141" s="141" t="n"/>
      <c r="BK141" s="141" t="n"/>
      <c r="BL141" s="141" t="n"/>
      <c r="BM141" s="141" t="n"/>
      <c r="BN141" s="141" t="n"/>
      <c r="BO141" s="141" t="n"/>
      <c r="BP141" s="141" t="n"/>
      <c r="BQ141" s="141" t="n"/>
      <c r="BR141" s="141" t="n"/>
      <c r="BS141" s="141" t="n"/>
      <c r="BT141" s="141" t="n"/>
      <c r="BU141" s="141" t="n"/>
      <c r="BV141" s="141" t="n"/>
      <c r="BW141" s="141" t="n"/>
      <c r="BX141" s="141" t="n"/>
      <c r="BY141" s="141" t="n"/>
    </row>
    <row r="142">
      <c r="A142" s="781" t="inlineStr">
        <is>
          <t>HER CODE CLIMAX</t>
        </is>
      </c>
      <c r="B142" s="731" t="n"/>
      <c r="C142" s="731" t="n"/>
      <c r="D142" s="775" t="n"/>
      <c r="AN142" s="141" t="n">
        <v>0</v>
      </c>
      <c r="AO142" s="141" t="n">
        <v>26</v>
      </c>
      <c r="AP142" s="141" t="n">
        <v>20</v>
      </c>
      <c r="AQ142" s="141" t="n">
        <v>20</v>
      </c>
      <c r="AR142" s="141" t="n">
        <v>19</v>
      </c>
      <c r="AS142" s="141" t="n">
        <v>18</v>
      </c>
      <c r="AT142" s="141" t="n">
        <v>14</v>
      </c>
      <c r="AU142" s="141" t="n">
        <v>14</v>
      </c>
      <c r="AV142" s="141" t="n">
        <v>12</v>
      </c>
      <c r="AW142" s="141" t="n">
        <v>10</v>
      </c>
      <c r="AX142" s="141" t="n">
        <v>10</v>
      </c>
      <c r="AY142" s="141" t="n">
        <v>5</v>
      </c>
      <c r="AZ142" s="141" t="n">
        <v>3</v>
      </c>
      <c r="BA142" s="141" t="n">
        <v>1</v>
      </c>
      <c r="BB142" s="141" t="n">
        <v>0</v>
      </c>
      <c r="BC142" s="141" t="n">
        <v>0</v>
      </c>
      <c r="BD142" s="141" t="n">
        <v>0</v>
      </c>
      <c r="BE142" s="141" t="n">
        <v>0</v>
      </c>
      <c r="BF142" s="141" t="n">
        <v>0</v>
      </c>
      <c r="BG142" s="141" t="n">
        <v>0</v>
      </c>
      <c r="BH142" s="141" t="n">
        <v>0</v>
      </c>
      <c r="BI142" s="141" t="n">
        <v>0</v>
      </c>
      <c r="BJ142" s="141" t="n">
        <v>0</v>
      </c>
      <c r="BK142" s="141" t="n">
        <v>0</v>
      </c>
      <c r="BL142" s="141" t="n">
        <v>0</v>
      </c>
      <c r="BM142" s="141" t="n">
        <v>0</v>
      </c>
      <c r="BN142" s="141" t="n">
        <v>0</v>
      </c>
      <c r="BO142" s="141" t="n">
        <v>0</v>
      </c>
      <c r="BP142" s="141" t="n">
        <v>0</v>
      </c>
      <c r="BQ142" s="141" t="n">
        <v>0</v>
      </c>
      <c r="BR142" s="141" t="n">
        <v>0</v>
      </c>
      <c r="BS142" s="141" t="n">
        <v>0</v>
      </c>
      <c r="BT142" s="141" t="n">
        <v>0</v>
      </c>
      <c r="BU142" s="141" t="n">
        <v>0</v>
      </c>
      <c r="BV142" s="141" t="n">
        <v>0</v>
      </c>
      <c r="BW142" s="141" t="n">
        <v>0</v>
      </c>
      <c r="BX142" s="141" t="n">
        <v>0</v>
      </c>
      <c r="BY142" s="141" t="n">
        <v>0</v>
      </c>
    </row>
    <row r="143" hidden="1" ht="18.75" customHeight="1">
      <c r="A143" s="781" t="inlineStr">
        <is>
          <t>FLORATTA BOUQUET</t>
        </is>
      </c>
      <c r="B143" s="731" t="n"/>
      <c r="C143" s="731" t="n"/>
      <c r="D143" s="775" t="n"/>
      <c r="AP143" s="141" t="n">
        <v>0</v>
      </c>
      <c r="AQ143" s="141" t="n">
        <v>29</v>
      </c>
      <c r="AR143" s="141" t="n">
        <v>28</v>
      </c>
      <c r="AS143" s="141" t="n">
        <v>27</v>
      </c>
      <c r="AT143" s="141" t="n">
        <v>18</v>
      </c>
      <c r="AU143" s="141" t="n">
        <v>14</v>
      </c>
      <c r="AV143" s="141" t="n">
        <v>7</v>
      </c>
      <c r="AW143" s="141" t="n">
        <v>6</v>
      </c>
      <c r="AX143" s="141" t="n">
        <v>5</v>
      </c>
      <c r="AY143" s="141" t="n">
        <v>0</v>
      </c>
      <c r="AZ143" s="141" t="n">
        <v>0</v>
      </c>
      <c r="BA143" s="141" t="n">
        <v>0</v>
      </c>
      <c r="BB143" s="141" t="n">
        <v>0</v>
      </c>
      <c r="BC143" s="141" t="n">
        <v>0</v>
      </c>
      <c r="BD143" s="141" t="n">
        <v>0</v>
      </c>
      <c r="BE143" s="141" t="n">
        <v>0</v>
      </c>
      <c r="BF143" s="141" t="n"/>
      <c r="BG143" s="141" t="n"/>
      <c r="BH143" s="141" t="n"/>
      <c r="BI143" s="141" t="n"/>
      <c r="BJ143" s="141" t="n"/>
      <c r="BK143" s="141" t="n"/>
      <c r="BL143" s="141" t="n"/>
      <c r="BM143" s="141" t="n"/>
      <c r="BN143" s="141" t="n"/>
      <c r="BO143" s="141" t="n"/>
      <c r="BP143" s="141" t="n"/>
      <c r="BQ143" s="141" t="n"/>
      <c r="BR143" s="141" t="n"/>
      <c r="BS143" s="141" t="n"/>
      <c r="BT143" s="141" t="n"/>
      <c r="BU143" s="141" t="n"/>
      <c r="BV143" s="141" t="n"/>
      <c r="BW143" s="141" t="n"/>
      <c r="BX143" s="141" t="n"/>
      <c r="BY143" s="141" t="n"/>
    </row>
    <row r="144">
      <c r="A144" s="781" t="inlineStr">
        <is>
          <t>EGEO DOLCE ILUSION</t>
        </is>
      </c>
      <c r="B144" s="731" t="n"/>
      <c r="C144" s="731" t="n"/>
      <c r="D144" s="775" t="n"/>
      <c r="AP144" s="141" t="n"/>
      <c r="AQ144" s="141" t="n"/>
      <c r="AR144" s="141" t="n"/>
      <c r="AS144" s="141" t="n"/>
      <c r="AT144" s="141" t="n"/>
      <c r="AU144" s="141" t="n"/>
      <c r="AV144" s="141" t="n"/>
      <c r="AW144" s="141" t="n"/>
      <c r="AX144" s="141" t="n"/>
      <c r="AY144" s="141" t="n"/>
      <c r="AZ144" s="141" t="n">
        <v>0</v>
      </c>
      <c r="BA144" s="141" t="n">
        <v>93</v>
      </c>
      <c r="BB144" s="141" t="n">
        <v>153</v>
      </c>
      <c r="BC144" s="141" t="n">
        <v>153</v>
      </c>
      <c r="BD144" s="141" t="n">
        <v>153</v>
      </c>
      <c r="BE144" s="141" t="n">
        <v>150</v>
      </c>
      <c r="BF144" s="141" t="n">
        <v>141</v>
      </c>
      <c r="BG144" s="141" t="n">
        <v>141</v>
      </c>
      <c r="BH144" s="141" t="n">
        <v>141</v>
      </c>
      <c r="BI144" s="141" t="n">
        <v>135</v>
      </c>
      <c r="BJ144" s="141" t="n">
        <v>79</v>
      </c>
      <c r="BK144" s="141" t="n">
        <v>79</v>
      </c>
      <c r="BL144" s="141" t="n">
        <v>61</v>
      </c>
      <c r="BM144" s="141" t="n">
        <v>56</v>
      </c>
      <c r="BN144" s="141" t="n">
        <v>56</v>
      </c>
      <c r="BO144" s="141" t="n">
        <v>48</v>
      </c>
      <c r="BP144" s="141" t="n">
        <v>22</v>
      </c>
      <c r="BQ144" s="141" t="n">
        <v>20</v>
      </c>
      <c r="BR144" s="141" t="n">
        <v>17</v>
      </c>
      <c r="BS144" s="141" t="n">
        <v>14</v>
      </c>
      <c r="BT144" s="141" t="n">
        <v>14</v>
      </c>
      <c r="BU144" s="141" t="n">
        <v>11</v>
      </c>
      <c r="BV144" s="141" t="n">
        <v>9</v>
      </c>
      <c r="BW144" s="141" t="n">
        <v>7</v>
      </c>
      <c r="BX144" s="141" t="n">
        <v>5</v>
      </c>
      <c r="BY144" s="141" t="n">
        <v>3</v>
      </c>
    </row>
    <row r="145">
      <c r="A145" s="781" t="inlineStr">
        <is>
          <t>HADYA</t>
        </is>
      </c>
      <c r="B145" s="731" t="n"/>
      <c r="C145" s="731" t="n"/>
      <c r="D145" s="775" t="n"/>
      <c r="AP145" s="141" t="n"/>
      <c r="AQ145" s="141" t="n"/>
      <c r="AR145" s="141" t="n"/>
      <c r="AS145" s="141" t="n"/>
      <c r="AT145" s="141" t="n"/>
      <c r="AU145" s="141" t="n"/>
      <c r="AV145" s="141" t="n"/>
      <c r="AW145" s="141" t="n"/>
      <c r="AX145" s="141" t="n"/>
      <c r="AY145" s="141" t="n"/>
      <c r="AZ145" s="141" t="n"/>
      <c r="BA145" s="141" t="n">
        <v>0</v>
      </c>
      <c r="BB145" s="141" t="n">
        <v>115</v>
      </c>
      <c r="BC145" s="141" t="n">
        <v>68</v>
      </c>
      <c r="BD145" s="141" t="n">
        <v>62</v>
      </c>
      <c r="BE145" s="141" t="n">
        <v>56</v>
      </c>
      <c r="BF145" s="141" t="n">
        <v>55</v>
      </c>
      <c r="BG145" s="141" t="n">
        <v>52</v>
      </c>
      <c r="BH145" s="141" t="n">
        <v>49</v>
      </c>
      <c r="BI145" s="141" t="n">
        <v>41</v>
      </c>
      <c r="BJ145" s="141" t="n">
        <v>35</v>
      </c>
      <c r="BK145" s="141" t="n">
        <v>29</v>
      </c>
      <c r="BL145" s="141" t="n">
        <v>21</v>
      </c>
      <c r="BM145" s="141" t="n">
        <v>20</v>
      </c>
      <c r="BN145" s="141" t="n">
        <v>20</v>
      </c>
      <c r="BO145" s="141" t="n">
        <v>15</v>
      </c>
      <c r="BP145" s="141" t="n">
        <v>15</v>
      </c>
      <c r="BQ145" s="141" t="n">
        <v>12</v>
      </c>
      <c r="BR145" s="141" t="n">
        <v>10</v>
      </c>
      <c r="BS145" s="141" t="n">
        <v>10</v>
      </c>
      <c r="BT145" s="141" t="n">
        <v>10</v>
      </c>
      <c r="BU145" s="141" t="n">
        <v>8</v>
      </c>
      <c r="BV145" s="141" t="n">
        <v>6</v>
      </c>
      <c r="BW145" s="141" t="n">
        <v>3</v>
      </c>
      <c r="BX145" s="141" t="n">
        <v>3</v>
      </c>
      <c r="BY145" s="141" t="n">
        <v>1</v>
      </c>
    </row>
    <row r="146">
      <c r="A146" s="781" t="inlineStr">
        <is>
          <t>SERUM HIALURÔNICO</t>
        </is>
      </c>
      <c r="B146" s="731" t="n"/>
      <c r="C146" s="731" t="n"/>
      <c r="D146" s="775" t="n"/>
      <c r="AP146" s="141" t="n"/>
      <c r="AQ146" s="141" t="n"/>
      <c r="AR146" s="141" t="n"/>
      <c r="AS146" s="141" t="n"/>
      <c r="AT146" s="141" t="n"/>
      <c r="AU146" s="141" t="n"/>
      <c r="AV146" s="141" t="n"/>
      <c r="AW146" s="141" t="n"/>
      <c r="AX146" s="141" t="n"/>
      <c r="AY146" s="141" t="n"/>
      <c r="AZ146" s="141" t="n"/>
      <c r="BA146" s="141" t="n"/>
      <c r="BB146" s="141" t="n"/>
      <c r="BC146" s="141" t="n"/>
      <c r="BD146" s="141" t="n"/>
      <c r="BE146" s="141" t="n"/>
      <c r="BF146" s="141" t="n"/>
      <c r="BG146" s="141" t="n"/>
      <c r="BH146" s="141" t="n"/>
      <c r="BI146" s="141" t="n"/>
      <c r="BJ146" s="141" t="n"/>
      <c r="BK146" s="141" t="n">
        <v>0</v>
      </c>
      <c r="BL146" s="141" t="n">
        <v>35</v>
      </c>
      <c r="BM146" s="141" t="n">
        <v>42</v>
      </c>
      <c r="BN146" s="141" t="n">
        <v>47</v>
      </c>
      <c r="BO146" s="141" t="n">
        <v>47</v>
      </c>
      <c r="BP146" s="141" t="n">
        <v>47</v>
      </c>
      <c r="BQ146" s="141" t="n">
        <v>45</v>
      </c>
      <c r="BR146" s="141" t="n">
        <v>65</v>
      </c>
      <c r="BS146" s="141" t="n">
        <v>65</v>
      </c>
      <c r="BT146" s="141" t="n">
        <v>65</v>
      </c>
      <c r="BU146" s="141" t="n">
        <v>65</v>
      </c>
      <c r="BV146" s="141" t="n">
        <v>64</v>
      </c>
      <c r="BW146" s="141" t="n">
        <v>59</v>
      </c>
      <c r="BX146" s="141" t="n">
        <v>57</v>
      </c>
      <c r="BY146" s="141" t="n">
        <v>47</v>
      </c>
    </row>
    <row r="147">
      <c r="A147" s="781" t="inlineStr">
        <is>
          <t>CLASH</t>
        </is>
      </c>
      <c r="B147" s="731" t="n"/>
      <c r="C147" s="731" t="n"/>
      <c r="D147" s="775" t="n"/>
      <c r="BK147" s="141" t="n">
        <v>0</v>
      </c>
      <c r="BL147" s="141" t="n">
        <v>0</v>
      </c>
      <c r="BM147" s="141" t="n">
        <v>23</v>
      </c>
      <c r="BN147" s="141" t="n">
        <v>13</v>
      </c>
      <c r="BO147" s="141" t="n">
        <v>11</v>
      </c>
      <c r="BP147" s="141" t="n">
        <v>11</v>
      </c>
      <c r="BQ147" s="141" t="n">
        <v>8</v>
      </c>
      <c r="BR147" s="141" t="n">
        <v>5</v>
      </c>
      <c r="BS147" s="141" t="n">
        <v>5</v>
      </c>
      <c r="BT147" s="141" t="n">
        <v>5</v>
      </c>
      <c r="BU147" s="141" t="n">
        <v>3</v>
      </c>
      <c r="BV147" s="141" t="n">
        <v>3</v>
      </c>
      <c r="BW147" s="141" t="n">
        <v>3</v>
      </c>
      <c r="BX147" s="141" t="n">
        <v>0</v>
      </c>
      <c r="BY147" s="141" t="n">
        <v>0</v>
      </c>
    </row>
    <row r="148">
      <c r="A148" s="781" t="inlineStr">
        <is>
          <t>CEREJA DE FASES</t>
        </is>
      </c>
      <c r="B148" s="731" t="n"/>
      <c r="C148" s="731" t="n"/>
      <c r="D148" s="775" t="n"/>
      <c r="BK148" s="141" t="n"/>
      <c r="BL148" s="141" t="n"/>
      <c r="BM148" s="141" t="n">
        <v>0</v>
      </c>
      <c r="BN148" s="141" t="n">
        <v>0</v>
      </c>
      <c r="BO148" s="141" t="n">
        <v>0</v>
      </c>
      <c r="BP148" s="141" t="n">
        <v>0</v>
      </c>
      <c r="BQ148" s="141" t="n">
        <v>0</v>
      </c>
      <c r="BR148" s="141" t="n">
        <v>0</v>
      </c>
      <c r="BS148" s="141" t="n">
        <v>140</v>
      </c>
      <c r="BT148" s="141" t="n">
        <v>140</v>
      </c>
      <c r="BU148" s="141" t="n">
        <v>136</v>
      </c>
      <c r="BV148" s="141" t="n">
        <v>132</v>
      </c>
      <c r="BW148" s="141" t="n">
        <v>128</v>
      </c>
      <c r="BX148" s="141" t="n">
        <v>122</v>
      </c>
      <c r="BY148" s="141" t="n">
        <v>96</v>
      </c>
    </row>
    <row r="149">
      <c r="A149" s="482" t="inlineStr">
        <is>
          <t>resveratrol serum</t>
        </is>
      </c>
      <c r="B149" s="483" t="n"/>
      <c r="C149" s="483" t="n"/>
      <c r="D149" s="484" t="n"/>
      <c r="BM149" s="141" t="n"/>
      <c r="BN149" s="141" t="n"/>
      <c r="BO149" s="141" t="n"/>
      <c r="BP149" s="141" t="n"/>
      <c r="BQ149" s="141" t="n">
        <v>0</v>
      </c>
      <c r="BR149" s="141" t="n">
        <v>0</v>
      </c>
      <c r="BS149" s="141" t="n">
        <v>0</v>
      </c>
      <c r="BT149" s="141" t="n">
        <v>0</v>
      </c>
      <c r="BU149" s="141" t="n">
        <v>0</v>
      </c>
      <c r="BV149" s="141" t="n">
        <v>0</v>
      </c>
      <c r="BW149" s="141" t="n">
        <v>0</v>
      </c>
      <c r="BX149" s="141" t="n">
        <v>4</v>
      </c>
      <c r="BY149" s="141" t="n">
        <v>3</v>
      </c>
    </row>
    <row r="150">
      <c r="A150" s="781" t="n"/>
      <c r="B150" s="731" t="n"/>
      <c r="C150" s="731" t="n"/>
      <c r="D150" s="775" t="n"/>
      <c r="BM150" s="141" t="n"/>
      <c r="BN150" s="141" t="n"/>
      <c r="BO150" s="141" t="n"/>
      <c r="BP150" s="141" t="n"/>
      <c r="BQ150" s="141" t="n"/>
      <c r="BR150" s="141" t="n"/>
      <c r="BS150" s="141" t="n"/>
      <c r="BT150" s="141" t="n"/>
      <c r="BU150" s="141" t="n"/>
      <c r="BV150" s="141" t="n"/>
      <c r="BW150" s="141" t="n"/>
      <c r="BX150" s="141" t="n"/>
      <c r="BY150" s="141" t="n"/>
    </row>
  </sheetData>
  <mergeCells count="97">
    <mergeCell ref="A150:D150"/>
    <mergeCell ref="A144:D144"/>
    <mergeCell ref="A122:D122"/>
    <mergeCell ref="A97:D97"/>
    <mergeCell ref="A72:D72"/>
    <mergeCell ref="A134:D134"/>
    <mergeCell ref="A112:D112"/>
    <mergeCell ref="A81:D81"/>
    <mergeCell ref="A121:D121"/>
    <mergeCell ref="A114:D114"/>
    <mergeCell ref="A64:D64"/>
    <mergeCell ref="A73:D73"/>
    <mergeCell ref="A107:D107"/>
    <mergeCell ref="A70:D70"/>
    <mergeCell ref="A124:D124"/>
    <mergeCell ref="A99:D99"/>
    <mergeCell ref="A108:D108"/>
    <mergeCell ref="A101:D101"/>
    <mergeCell ref="A85:D85"/>
    <mergeCell ref="A126:D126"/>
    <mergeCell ref="A141:D141"/>
    <mergeCell ref="A135:D135"/>
    <mergeCell ref="A62:D62"/>
    <mergeCell ref="A125:D125"/>
    <mergeCell ref="A117:D117"/>
    <mergeCell ref="A111:D111"/>
    <mergeCell ref="A1:BZ1"/>
    <mergeCell ref="A127:D127"/>
    <mergeCell ref="A142:D142"/>
    <mergeCell ref="A98:D98"/>
    <mergeCell ref="A79:D79"/>
    <mergeCell ref="A61:D61"/>
    <mergeCell ref="A88:D88"/>
    <mergeCell ref="A128:D128"/>
    <mergeCell ref="A137:D137"/>
    <mergeCell ref="A90:D90"/>
    <mergeCell ref="A136:D136"/>
    <mergeCell ref="A105:D105"/>
    <mergeCell ref="A74:D74"/>
    <mergeCell ref="A145:D145"/>
    <mergeCell ref="A139:D139"/>
    <mergeCell ref="A129:D129"/>
    <mergeCell ref="A71:D71"/>
    <mergeCell ref="A76:D76"/>
    <mergeCell ref="C5:C6"/>
    <mergeCell ref="A116:D116"/>
    <mergeCell ref="A91:D91"/>
    <mergeCell ref="A131:D131"/>
    <mergeCell ref="A100:D100"/>
    <mergeCell ref="A140:D140"/>
    <mergeCell ref="A109:D109"/>
    <mergeCell ref="A63:D63"/>
    <mergeCell ref="A115:D115"/>
    <mergeCell ref="A93:D93"/>
    <mergeCell ref="A68:D68"/>
    <mergeCell ref="A102:D102"/>
    <mergeCell ref="A77:D77"/>
    <mergeCell ref="A83:D83"/>
    <mergeCell ref="A143:D143"/>
    <mergeCell ref="A92:D92"/>
    <mergeCell ref="A103:D103"/>
    <mergeCell ref="A94:D94"/>
    <mergeCell ref="A69:D69"/>
    <mergeCell ref="A78:D78"/>
    <mergeCell ref="A87:D87"/>
    <mergeCell ref="A65:D65"/>
    <mergeCell ref="ER7:EZ7"/>
    <mergeCell ref="A133:D133"/>
    <mergeCell ref="A80:D80"/>
    <mergeCell ref="A120:D120"/>
    <mergeCell ref="A89:D89"/>
    <mergeCell ref="A104:D104"/>
    <mergeCell ref="A113:D113"/>
    <mergeCell ref="A106:D106"/>
    <mergeCell ref="A96:D96"/>
    <mergeCell ref="A147:D147"/>
    <mergeCell ref="A67:D67"/>
    <mergeCell ref="A130:D130"/>
    <mergeCell ref="A148:D148"/>
    <mergeCell ref="A82:D82"/>
    <mergeCell ref="A123:D123"/>
    <mergeCell ref="A138:D138"/>
    <mergeCell ref="A5:A6"/>
    <mergeCell ref="A132:D132"/>
    <mergeCell ref="A110:D110"/>
    <mergeCell ref="A146:D146"/>
    <mergeCell ref="A119:D119"/>
    <mergeCell ref="A84:D84"/>
    <mergeCell ref="B5:B6"/>
    <mergeCell ref="A66:D66"/>
    <mergeCell ref="D5:D6"/>
    <mergeCell ref="A118:D118"/>
    <mergeCell ref="A75:D75"/>
    <mergeCell ref="B3:D3"/>
    <mergeCell ref="A86:D86"/>
    <mergeCell ref="A95:D95"/>
    <mergeCell ref="B2:D2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</worksheet>
</file>

<file path=xl/worksheets/sheet19.xml><?xml version="1.0" encoding="utf-8"?>
<worksheet xmlns="http://schemas.openxmlformats.org/spreadsheetml/2006/main">
  <sheetPr codeName="Planilha3">
    <tabColor theme="9"/>
    <outlinePr summaryBelow="1" summaryRight="1"/>
    <pageSetUpPr/>
  </sheetPr>
  <dimension ref="A1:ET93"/>
  <sheetViews>
    <sheetView showGridLines="0" zoomScale="80" zoomScaleNormal="80" workbookViewId="0">
      <selection activeCell="CE9" sqref="CE6:CE9"/>
    </sheetView>
  </sheetViews>
  <sheetFormatPr baseColWidth="8" defaultColWidth="9.140625" defaultRowHeight="18.75"/>
  <cols>
    <col width="30.85546875" customWidth="1" min="1" max="1"/>
    <col width="9.28515625" customWidth="1" min="2" max="2"/>
    <col width="14.42578125" customWidth="1" min="3" max="3"/>
    <col width="14.42578125" customWidth="1" min="4" max="4"/>
    <col width="2.28515625" customWidth="1" min="5" max="5"/>
    <col hidden="1" width="9.140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.140625" customWidth="1" min="77" max="77"/>
    <col hidden="1" width="13" customWidth="1" min="78" max="78"/>
    <col width="13" customWidth="1" min="79" max="79"/>
    <col width="13" customWidth="1" min="80" max="80"/>
    <col width="9.85546875" customWidth="1" min="81" max="81"/>
    <col width="1.7109375" customWidth="1" min="82" max="82"/>
    <col width="14.28515625" customWidth="1" min="83" max="83"/>
    <col width="1.7109375" customWidth="1" min="84" max="84"/>
    <col width="15.85546875" customWidth="1" min="85" max="85"/>
    <col width="1.7109375" customWidth="1" min="86" max="86"/>
    <col width="9.28515625" customWidth="1" min="87" max="87"/>
    <col width="13" customWidth="1" min="88" max="88"/>
    <col hidden="1" width="13" customWidth="1" min="89" max="89"/>
    <col hidden="1" width="8.7109375" customWidth="1" min="90" max="90"/>
    <col hidden="1" width="9.28515625" customWidth="1" min="91" max="91"/>
    <col hidden="1" width="9.28515625" customWidth="1" min="92" max="92"/>
    <col hidden="1" width="11" customWidth="1" min="93" max="93"/>
    <col hidden="1" width="9.28515625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8.7109375" customWidth="1" min="102" max="102"/>
    <col hidden="1" width="9.28515625" customWidth="1" min="103" max="103"/>
    <col hidden="1" width="13" customWidth="1" min="104" max="104"/>
    <col hidden="1" width="8.140625" customWidth="1" min="105" max="105"/>
    <col hidden="1" width="14.42578125" customWidth="1" min="106" max="106"/>
    <col hidden="1" width="9.28515625" customWidth="1" min="107" max="107"/>
    <col hidden="1" width="13" customWidth="1" min="108" max="108"/>
    <col hidden="1" width="13" customWidth="1" min="109" max="109"/>
    <col hidden="1" width="12" customWidth="1" min="110" max="110"/>
    <col hidden="1" width="13" customWidth="1" min="111" max="111"/>
    <col hidden="1" width="9.28515625" customWidth="1" min="112" max="112"/>
    <col hidden="1" width="17.5703125" customWidth="1" min="113" max="113"/>
    <col hidden="1" width="9.28515625" customWidth="1" min="114" max="114"/>
    <col hidden="1" width="12" customWidth="1" min="115" max="115"/>
    <col hidden="1" width="8.7109375" customWidth="1" min="116" max="116"/>
    <col hidden="1" width="9.28515625" customWidth="1" min="117" max="117"/>
    <col hidden="1" width="13" customWidth="1" min="118" max="118"/>
    <col hidden="1" width="13" customWidth="1" min="119" max="119"/>
    <col hidden="1" width="14.7109375" customWidth="1" min="120" max="120"/>
    <col hidden="1" width="13.5703125" customWidth="1" min="121" max="121"/>
    <col hidden="1" width="9.7109375" customWidth="1" min="122" max="122"/>
    <col hidden="1" width="14.7109375" customWidth="1" min="123" max="123"/>
    <col hidden="1" width="9.28515625" customWidth="1" min="124" max="124"/>
    <col hidden="1" width="14.85546875" customWidth="1" min="125" max="125"/>
    <col hidden="1" width="12" customWidth="1" min="126" max="126"/>
    <col hidden="1" width="9.28515625" customWidth="1" min="127" max="127"/>
    <col hidden="1" width="13" customWidth="1" min="128" max="128"/>
    <col hidden="1" width="14.28515625" customWidth="1" min="129" max="129"/>
    <col hidden="1" width="9.28515625" customWidth="1" min="130" max="130"/>
    <col hidden="1" width="13" customWidth="1" min="131" max="131"/>
    <col hidden="1" width="14.28515625" customWidth="1" min="132" max="132"/>
    <col hidden="1" width="9.28515625" customWidth="1" min="133" max="133"/>
    <col hidden="1" width="14.28515625" customWidth="1" min="134" max="134"/>
    <col hidden="1" width="9.28515625" customWidth="1" min="135" max="135"/>
    <col hidden="1" width="23.7109375" customWidth="1" min="136" max="136"/>
    <col hidden="1" width="9.28515625" customWidth="1" min="137" max="137"/>
    <col width="4.140625" customWidth="1" min="138" max="138"/>
    <col width="21.85546875" customWidth="1" min="139" max="139"/>
    <col width="9.140625" customWidth="1" min="140" max="140"/>
    <col hidden="1" width="13" customWidth="1" min="141" max="141"/>
    <col hidden="1" width="13" customWidth="1" min="142" max="142"/>
    <col hidden="1" width="13" customWidth="1" min="143" max="143"/>
    <col hidden="1" width="13" customWidth="1" min="144" max="144"/>
    <col hidden="1" width="13" customWidth="1" min="145" max="145"/>
    <col hidden="1" width="9.140625" customWidth="1" min="146" max="146"/>
    <col hidden="1" width="13" customWidth="1" min="147" max="147"/>
    <col width="13" customWidth="1" min="148" max="148"/>
    <col width="13" customWidth="1" min="149" max="149"/>
  </cols>
  <sheetData>
    <row r="1" ht="23.25" customHeight="1">
      <c r="A1" s="488" t="inlineStr">
        <is>
          <t>Controle de Contagem Semanal - Antilhas</t>
        </is>
      </c>
      <c r="CD1" s="488" t="n"/>
      <c r="CE1" s="132" t="n"/>
      <c r="CF1" s="149" t="n"/>
      <c r="CG1" s="149" t="n"/>
      <c r="CH1" s="132" t="n"/>
      <c r="CI1" s="132" t="n"/>
      <c r="CJ1" s="132" t="n"/>
      <c r="CK1" s="132" t="n"/>
      <c r="CL1" s="149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49" t="n"/>
      <c r="CY1" s="132" t="n"/>
      <c r="CZ1" s="132" t="n"/>
      <c r="DA1" s="132" t="n"/>
      <c r="DB1" s="149" t="n"/>
      <c r="DC1" s="132" t="n"/>
      <c r="DD1" s="132" t="n"/>
      <c r="DE1" s="132" t="n"/>
      <c r="DF1" s="149" t="n"/>
      <c r="DG1" s="149" t="n"/>
      <c r="DH1" s="132" t="n"/>
      <c r="DI1" s="149" t="n"/>
      <c r="DJ1" s="132" t="n"/>
      <c r="DK1" s="132" t="n"/>
      <c r="DL1" s="149" t="n"/>
      <c r="DM1" s="132" t="n"/>
      <c r="DN1" s="132" t="n"/>
      <c r="DO1" s="132" t="n"/>
      <c r="DP1" s="488" t="n"/>
      <c r="DQ1" s="149" t="n"/>
      <c r="DR1" s="149" t="n"/>
      <c r="DS1" s="488" t="n"/>
      <c r="DT1" s="132" t="n"/>
      <c r="DU1" s="488" t="n"/>
      <c r="DV1" s="488" t="n"/>
      <c r="DW1" s="132" t="n"/>
      <c r="DX1" s="132" t="n"/>
      <c r="DY1" s="132" t="n"/>
      <c r="DZ1" s="132" t="n"/>
      <c r="EA1" s="132" t="n"/>
      <c r="EB1" s="132" t="n"/>
      <c r="EC1" s="132" t="n"/>
      <c r="ED1" s="132" t="n"/>
      <c r="EE1" s="132" t="n"/>
      <c r="EF1" s="149" t="n"/>
      <c r="EG1" s="132" t="n"/>
    </row>
    <row r="2">
      <c r="A2" s="43" t="inlineStr">
        <is>
          <t>LOJA:</t>
        </is>
      </c>
      <c r="B2" s="722" t="inlineStr">
        <is>
          <t>MARY DOTA</t>
        </is>
      </c>
      <c r="C2" s="723" t="n"/>
      <c r="D2" s="724" t="n"/>
      <c r="CD2" s="5" t="n"/>
      <c r="CE2" s="573" t="n"/>
      <c r="CF2" s="5" t="n"/>
      <c r="CG2" s="5" t="n"/>
      <c r="CH2" s="5" t="n"/>
      <c r="DB2" s="5" t="n"/>
      <c r="DQ2" s="5" t="n"/>
      <c r="DR2" s="5" t="n"/>
    </row>
    <row r="3">
      <c r="A3" s="43" t="inlineStr">
        <is>
          <t>Responsável:</t>
        </is>
      </c>
      <c r="B3" s="725" t="inlineStr">
        <is>
          <t>JULIANE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6" t="n"/>
      <c r="CD3" s="5" t="n"/>
      <c r="CE3" s="573" t="n"/>
      <c r="CF3" s="726" t="n"/>
      <c r="CH3" s="5" t="n"/>
      <c r="DB3" s="726" t="n"/>
      <c r="DQ3" s="726" t="n"/>
      <c r="DR3" s="726" t="n"/>
    </row>
    <row r="4" ht="9.75" customHeight="1">
      <c r="CD4" s="5" t="n"/>
      <c r="CE4" s="573" t="n"/>
      <c r="CF4" s="5" t="n"/>
      <c r="CG4" s="5" t="n"/>
      <c r="CL4" s="249" t="n"/>
      <c r="CX4" s="249" t="n"/>
      <c r="DB4" s="5" t="n"/>
      <c r="DF4" s="249" t="n"/>
      <c r="DG4" s="249" t="n"/>
      <c r="DI4" s="249" t="n"/>
      <c r="DL4" s="249" t="n"/>
      <c r="DP4" s="324" t="n"/>
      <c r="DQ4" s="5" t="n"/>
      <c r="DR4" s="5" t="n"/>
      <c r="DS4" s="324" t="n"/>
      <c r="DU4" s="324" t="n"/>
      <c r="DV4" s="324" t="n"/>
      <c r="EF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10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31" t="n"/>
      <c r="CA5" s="732" t="n"/>
      <c r="CB5" s="732" t="n"/>
      <c r="CC5" s="490" t="n"/>
      <c r="CD5" s="5" t="n"/>
      <c r="CE5" s="44" t="inlineStr">
        <is>
          <t>Pendências</t>
        </is>
      </c>
      <c r="CF5" s="5" t="n"/>
      <c r="CG5" s="12" t="inlineStr">
        <is>
          <t>Novo Pedido</t>
        </is>
      </c>
      <c r="CH5" s="733" t="n">
        <v>46161.4808976795</v>
      </c>
      <c r="CI5" s="734" t="n">
        <v>46156</v>
      </c>
      <c r="CJ5" s="734" t="n">
        <v>46142</v>
      </c>
      <c r="CK5" s="734" t="n">
        <v>46114</v>
      </c>
      <c r="CL5" s="735" t="n">
        <v>46065</v>
      </c>
      <c r="CM5" s="734" t="n">
        <v>46092</v>
      </c>
      <c r="CN5" s="734" t="n">
        <v>46071</v>
      </c>
      <c r="CO5" s="736" t="inlineStr">
        <is>
          <t>TRANSF.</t>
        </is>
      </c>
      <c r="CP5" s="734" t="n">
        <v>46056</v>
      </c>
      <c r="CQ5" s="734" t="n">
        <v>46043</v>
      </c>
      <c r="CR5" s="734" t="n">
        <v>46029</v>
      </c>
      <c r="CS5" s="734" t="n">
        <v>46024</v>
      </c>
      <c r="CT5" s="734" t="n">
        <v>46007</v>
      </c>
      <c r="CU5" s="734" t="n">
        <v>46001</v>
      </c>
      <c r="CV5" s="734" t="n">
        <v>45973</v>
      </c>
      <c r="CW5" s="734" t="n">
        <v>45960</v>
      </c>
      <c r="CX5" s="737" t="n">
        <v>45903</v>
      </c>
      <c r="CY5" s="734" t="n">
        <v>45923</v>
      </c>
      <c r="CZ5" s="734" t="n">
        <v>45923</v>
      </c>
      <c r="DA5" s="734" t="n">
        <v>45895</v>
      </c>
      <c r="DB5" s="738" t="inlineStr">
        <is>
          <t>TRANSF.</t>
        </is>
      </c>
      <c r="DC5" s="734" t="n">
        <v>45888</v>
      </c>
      <c r="DD5" s="734" t="n">
        <v>45881</v>
      </c>
      <c r="DE5" s="734" t="n">
        <v>45874</v>
      </c>
      <c r="DF5" s="739" t="inlineStr">
        <is>
          <t>TRANSF.</t>
        </is>
      </c>
      <c r="DG5" s="739" t="inlineStr">
        <is>
          <t>TRANSF.</t>
        </is>
      </c>
      <c r="DH5" s="734" t="n">
        <v>45848</v>
      </c>
      <c r="DI5" s="739" t="inlineStr">
        <is>
          <t>AUTOMÁTICO</t>
        </is>
      </c>
      <c r="DJ5" s="734" t="n">
        <v>45839</v>
      </c>
      <c r="DK5" s="736" t="inlineStr">
        <is>
          <t>TRANSF.</t>
        </is>
      </c>
      <c r="DL5" s="739" t="n">
        <v>45791</v>
      </c>
      <c r="DM5" s="734" t="n">
        <v>45832</v>
      </c>
      <c r="DN5" s="734" t="n">
        <v>45825</v>
      </c>
      <c r="DO5" s="734" t="n">
        <v>45813</v>
      </c>
      <c r="DP5" s="740" t="inlineStr">
        <is>
          <t>TRANSF.</t>
        </is>
      </c>
      <c r="DQ5" s="742" t="inlineStr">
        <is>
          <t>TRANSF.</t>
        </is>
      </c>
      <c r="DR5" s="742" t="n">
        <v>45735</v>
      </c>
      <c r="DS5" s="740" t="inlineStr">
        <is>
          <t>TRANSF.</t>
        </is>
      </c>
      <c r="DT5" s="734" t="n">
        <v>45743</v>
      </c>
      <c r="DU5" s="740" t="inlineStr">
        <is>
          <t>TRANSF.</t>
        </is>
      </c>
      <c r="DV5" s="740" t="n">
        <v>45700</v>
      </c>
      <c r="DW5" s="734" t="n">
        <v>45734</v>
      </c>
      <c r="DX5" s="734" t="n">
        <v>45728</v>
      </c>
      <c r="DY5" s="736" t="inlineStr">
        <is>
          <t>TRANSF.</t>
        </is>
      </c>
      <c r="DZ5" s="734" t="n">
        <v>45722</v>
      </c>
      <c r="EA5" s="734" t="n">
        <v>45699</v>
      </c>
      <c r="EB5" s="736" t="inlineStr">
        <is>
          <t>TRANSF.</t>
        </is>
      </c>
      <c r="EC5" s="734" t="n">
        <v>45685</v>
      </c>
      <c r="ED5" s="736" t="inlineStr">
        <is>
          <t>TRANSF.</t>
        </is>
      </c>
      <c r="EE5" s="734" t="n">
        <v>45660</v>
      </c>
      <c r="EF5" s="744" t="inlineStr">
        <is>
          <t>TRANSF. NATAL/24</t>
        </is>
      </c>
      <c r="EG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46161.48024017361</v>
      </c>
      <c r="CB6" s="747" t="n">
        <v>46161.48089834739</v>
      </c>
      <c r="CC6" s="748" t="inlineStr">
        <is>
          <t>USOU</t>
        </is>
      </c>
      <c r="CD6" s="751" t="n"/>
      <c r="CE6" s="750" t="n">
        <v>46156</v>
      </c>
      <c r="CF6" s="751" t="n"/>
      <c r="CG6" s="752" t="n"/>
      <c r="CH6" s="734" t="n"/>
      <c r="CI6" s="734" t="n"/>
      <c r="CJ6" s="734" t="n">
        <v>46148</v>
      </c>
      <c r="CK6" s="734" t="n">
        <v>46125</v>
      </c>
      <c r="CL6" s="735" t="n">
        <v>46112</v>
      </c>
      <c r="CM6" s="734" t="n">
        <v>46100</v>
      </c>
      <c r="CN6" s="734" t="n">
        <v>46077</v>
      </c>
      <c r="CO6" s="736" t="n">
        <v>46067</v>
      </c>
      <c r="CP6" s="734" t="n">
        <v>46059</v>
      </c>
      <c r="CQ6" s="734" t="n">
        <v>46048</v>
      </c>
      <c r="CR6" s="734" t="n">
        <v>46036</v>
      </c>
      <c r="CS6" s="734" t="n">
        <v>46034</v>
      </c>
      <c r="CT6" s="734" t="n">
        <v>46387</v>
      </c>
      <c r="CU6" s="734" t="n">
        <v>46009</v>
      </c>
      <c r="CV6" s="734" t="n">
        <v>45980</v>
      </c>
      <c r="CW6" s="734" t="n">
        <v>45967</v>
      </c>
      <c r="CX6" s="753" t="n">
        <v>45957</v>
      </c>
      <c r="CY6" s="734" t="n">
        <v>45937</v>
      </c>
      <c r="CZ6" s="734" t="n">
        <v>45926</v>
      </c>
      <c r="DA6" s="734" t="n">
        <v>45898</v>
      </c>
      <c r="DB6" s="754" t="n">
        <v>45923</v>
      </c>
      <c r="DC6" s="734" t="n">
        <v>45890</v>
      </c>
      <c r="DD6" s="734" t="n">
        <v>45888</v>
      </c>
      <c r="DE6" s="734" t="n">
        <v>45876</v>
      </c>
      <c r="DF6" s="739" t="n">
        <v>45861</v>
      </c>
      <c r="DG6" s="739" t="n">
        <v>45861</v>
      </c>
      <c r="DH6" s="734" t="n">
        <v>45852</v>
      </c>
      <c r="DI6" s="739" t="n">
        <v>45852</v>
      </c>
      <c r="DJ6" s="734" t="n">
        <v>45845</v>
      </c>
      <c r="DK6" s="736" t="n">
        <v>45842</v>
      </c>
      <c r="DL6" s="739" t="n">
        <v>45841</v>
      </c>
      <c r="DM6" s="734" t="n">
        <v>45835</v>
      </c>
      <c r="DN6" s="734" t="n">
        <v>45828</v>
      </c>
      <c r="DO6" s="734" t="n">
        <v>45819</v>
      </c>
      <c r="DP6" s="740" t="n">
        <v>45806</v>
      </c>
      <c r="DQ6" s="755" t="n">
        <v>45805</v>
      </c>
      <c r="DR6" s="755" t="n">
        <v>45793</v>
      </c>
      <c r="DS6" s="740" t="n">
        <v>45754</v>
      </c>
      <c r="DT6" s="734" t="n">
        <v>45751</v>
      </c>
      <c r="DU6" s="740" t="n">
        <v>45750</v>
      </c>
      <c r="DV6" s="740" t="n">
        <v>45749</v>
      </c>
      <c r="DW6" s="734" t="n">
        <v>45742</v>
      </c>
      <c r="DX6" s="734" t="n">
        <v>45733</v>
      </c>
      <c r="DY6" s="736" t="n">
        <v>45728</v>
      </c>
      <c r="DZ6" s="734" t="n">
        <v>45729</v>
      </c>
      <c r="EA6" s="734" t="n">
        <v>45702</v>
      </c>
      <c r="EB6" s="736" t="n">
        <v>45693</v>
      </c>
      <c r="EC6" s="734" t="n">
        <v>45691</v>
      </c>
      <c r="ED6" s="736" t="n">
        <v>45670</v>
      </c>
      <c r="EE6" s="734" t="n">
        <v>45665</v>
      </c>
      <c r="EF6" s="744" t="n">
        <v>45663</v>
      </c>
      <c r="EG6" s="734" t="n">
        <v>45653</v>
      </c>
      <c r="EI6" s="5" t="n"/>
      <c r="EJ6" s="5" t="n"/>
      <c r="EK6" s="5" t="n"/>
      <c r="EL6" s="5" t="n"/>
      <c r="EM6" s="5" t="n"/>
      <c r="EN6" s="5" t="n"/>
      <c r="EO6" s="5" t="n"/>
      <c r="EP6" s="5" t="n"/>
      <c r="EQ6" s="5" t="n"/>
      <c r="ER6" s="5" t="n"/>
      <c r="ES6" s="5" t="n"/>
      <c r="ET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E7" s="13" t="n"/>
      <c r="CG7" s="147" t="n"/>
      <c r="CH7" s="13" t="n"/>
      <c r="CI7" s="13" t="n"/>
      <c r="CJ7" s="13" t="n"/>
      <c r="CK7" s="13" t="n"/>
      <c r="CL7" s="13" t="inlineStr">
        <is>
          <t>MÃES</t>
        </is>
      </c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inlineStr">
        <is>
          <t>PAIS/25</t>
        </is>
      </c>
      <c r="DG7" s="13" t="inlineStr">
        <is>
          <t>PAIS/25</t>
        </is>
      </c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inlineStr">
        <is>
          <t>MÃES/25</t>
        </is>
      </c>
      <c r="DQ7" s="13" t="inlineStr">
        <is>
          <t>NAMO/25</t>
        </is>
      </c>
      <c r="DR7" s="320" t="n"/>
      <c r="DS7" s="13" t="inlineStr">
        <is>
          <t>MÃES/25</t>
        </is>
      </c>
      <c r="DT7" s="13" t="n"/>
      <c r="DU7" s="13" t="inlineStr">
        <is>
          <t>MÃES/25</t>
        </is>
      </c>
      <c r="DV7" s="13" t="inlineStr">
        <is>
          <t>MÃES/25</t>
        </is>
      </c>
      <c r="DW7" s="13" t="n"/>
      <c r="DX7" s="13" t="n"/>
      <c r="DY7" s="13" t="n"/>
      <c r="DZ7" s="13" t="n"/>
      <c r="EA7" s="13" t="n"/>
      <c r="EB7" s="13" t="n"/>
      <c r="EC7" s="13" t="n"/>
      <c r="ED7" s="13" t="n"/>
      <c r="EE7" s="13" t="n"/>
      <c r="EF7" s="13" t="n"/>
      <c r="EG7" s="13" t="n"/>
      <c r="EH7" s="782" t="n"/>
      <c r="EI7" s="782" t="n"/>
      <c r="EJ7" s="782" t="n"/>
      <c r="EK7" s="782" t="n"/>
      <c r="EL7" s="782" t="n"/>
      <c r="EM7" s="782" t="n"/>
      <c r="EN7" s="782" t="n"/>
      <c r="EO7" s="782" t="n"/>
      <c r="EP7" s="782" t="n"/>
      <c r="EQ7" s="731" t="n"/>
      <c r="ER7" s="732" t="n"/>
      <c r="ES7" s="732" t="n"/>
      <c r="ET7" s="493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200</v>
      </c>
      <c r="E8" s="5" t="n"/>
      <c r="F8" s="697" t="n">
        <v>1000</v>
      </c>
      <c r="G8" s="697" t="n">
        <v>1000</v>
      </c>
      <c r="H8" s="697" t="n">
        <v>960</v>
      </c>
      <c r="I8" s="697" t="n">
        <v>960</v>
      </c>
      <c r="J8" s="697" t="n">
        <v>960</v>
      </c>
      <c r="K8" s="697" t="n">
        <v>920</v>
      </c>
      <c r="L8" s="697" t="n">
        <v>920</v>
      </c>
      <c r="M8" s="697" t="n">
        <v>900</v>
      </c>
      <c r="N8" s="697" t="n">
        <v>800</v>
      </c>
      <c r="O8" s="697" t="n">
        <v>800</v>
      </c>
      <c r="P8" s="697" t="n">
        <v>800</v>
      </c>
      <c r="Q8" s="697" t="n">
        <v>700</v>
      </c>
      <c r="R8" s="697" t="n">
        <v>700</v>
      </c>
      <c r="S8" s="697" t="n">
        <v>700</v>
      </c>
      <c r="T8" s="697" t="n">
        <v>700</v>
      </c>
      <c r="U8" s="697" t="n">
        <v>700</v>
      </c>
      <c r="V8" s="697" t="n">
        <v>700</v>
      </c>
      <c r="W8" s="697" t="n">
        <v>700</v>
      </c>
      <c r="X8" s="697" t="n">
        <v>700</v>
      </c>
      <c r="Y8" s="697" t="n">
        <v>700</v>
      </c>
      <c r="Z8" s="697" t="n">
        <v>443</v>
      </c>
      <c r="AA8" s="697" t="n">
        <v>440</v>
      </c>
      <c r="AB8" s="697" t="n">
        <v>300</v>
      </c>
      <c r="AC8" s="697" t="n">
        <v>300</v>
      </c>
      <c r="AD8" s="697" t="n">
        <v>280</v>
      </c>
      <c r="AE8" s="697" t="n">
        <v>270</v>
      </c>
      <c r="AF8" s="697" t="n">
        <v>120</v>
      </c>
      <c r="AG8" s="697">
        <f>100+DH8</f>
        <v/>
      </c>
      <c r="AH8" s="697" t="n">
        <v>400</v>
      </c>
      <c r="AI8" s="697" t="n">
        <v>300</v>
      </c>
      <c r="AJ8" s="697" t="n">
        <v>300</v>
      </c>
      <c r="AK8" s="697" t="n">
        <v>300</v>
      </c>
      <c r="AL8" s="697" t="n">
        <v>200</v>
      </c>
      <c r="AM8" s="697" t="n">
        <v>200</v>
      </c>
      <c r="AN8" s="697" t="n">
        <v>150</v>
      </c>
      <c r="AO8" s="697">
        <f>150+CY8</f>
        <v/>
      </c>
      <c r="AP8" s="697" t="n">
        <v>440</v>
      </c>
      <c r="AQ8" s="697" t="n">
        <v>440</v>
      </c>
      <c r="AR8" s="697" t="n">
        <v>440</v>
      </c>
      <c r="AS8" s="697" t="n">
        <v>440</v>
      </c>
      <c r="AT8" s="697" t="n">
        <v>440</v>
      </c>
      <c r="AU8" s="697" t="n">
        <v>440</v>
      </c>
      <c r="AV8" s="697" t="n">
        <v>440</v>
      </c>
      <c r="AW8" s="697" t="n">
        <v>440</v>
      </c>
      <c r="AX8" s="697" t="n">
        <v>340</v>
      </c>
      <c r="AY8" s="697" t="n">
        <v>340</v>
      </c>
      <c r="AZ8" s="697" t="n">
        <v>250</v>
      </c>
      <c r="BA8" s="697" t="n">
        <v>250</v>
      </c>
      <c r="BB8" s="697" t="n">
        <v>250</v>
      </c>
      <c r="BC8" s="697" t="n">
        <v>250</v>
      </c>
      <c r="BD8" s="697" t="n">
        <v>250</v>
      </c>
      <c r="BE8" s="697" t="n">
        <v>550</v>
      </c>
      <c r="BF8" s="697" t="n">
        <v>675</v>
      </c>
      <c r="BG8" s="697" t="n">
        <v>600</v>
      </c>
      <c r="BH8" s="697" t="n">
        <v>600</v>
      </c>
      <c r="BI8" s="697" t="n">
        <v>380</v>
      </c>
      <c r="BJ8" s="697">
        <f>350+CO8</f>
        <v/>
      </c>
      <c r="BK8" s="697" t="n">
        <v>650</v>
      </c>
      <c r="BL8" s="697" t="n">
        <v>650</v>
      </c>
      <c r="BM8" s="697" t="n">
        <v>650</v>
      </c>
      <c r="BN8" s="697" t="n">
        <v>560</v>
      </c>
      <c r="BO8" s="697" t="n">
        <v>520</v>
      </c>
      <c r="BP8" s="697" t="n">
        <v>460</v>
      </c>
      <c r="BQ8" s="697" t="n">
        <v>460</v>
      </c>
      <c r="BR8" s="697" t="n">
        <v>460</v>
      </c>
      <c r="BS8" s="697" t="n">
        <v>340</v>
      </c>
      <c r="BT8" s="697" t="n">
        <v>300</v>
      </c>
      <c r="BU8" s="697" t="n">
        <v>300</v>
      </c>
      <c r="BV8" s="697" t="n">
        <v>260</v>
      </c>
      <c r="BW8" s="697" t="n">
        <v>160</v>
      </c>
      <c r="BX8" s="697">
        <f>160+CH8</f>
        <v/>
      </c>
      <c r="BY8" s="697" t="n">
        <v>360</v>
      </c>
      <c r="BZ8" s="697" t="n"/>
      <c r="CA8" s="699" t="n"/>
      <c r="CB8" s="699" t="n"/>
      <c r="CC8" s="192">
        <f>CA8+IF(NOT(ISBLANK(OFFSET(CC8,0,6))),N(OFFSET(CC8,0,6)),N(OFFSET(CC8,0,7)))-CB8</f>
        <v/>
      </c>
      <c r="CE8" s="22" t="n"/>
      <c r="CG8" s="27" t="n"/>
      <c r="CH8" s="757" t="n">
        <v>0</v>
      </c>
      <c r="CI8" s="23" t="n">
        <v>0</v>
      </c>
      <c r="CJ8" s="23" t="n">
        <v>300</v>
      </c>
      <c r="CK8" s="23" t="n"/>
      <c r="CL8" s="23" t="n"/>
      <c r="CM8" s="23" t="n"/>
      <c r="CN8" s="23" t="n"/>
      <c r="CO8" s="23" t="n"/>
      <c r="CP8" s="23" t="n"/>
      <c r="CQ8" s="23" t="n">
        <v>300</v>
      </c>
      <c r="CR8" s="23" t="n"/>
      <c r="CS8" s="23" t="n"/>
      <c r="CT8" s="23" t="n"/>
      <c r="CU8" s="23" t="n">
        <v>300</v>
      </c>
      <c r="CV8" s="23" t="n"/>
      <c r="CW8" s="23" t="n">
        <v>300</v>
      </c>
      <c r="CX8" s="219" t="n"/>
      <c r="CY8" s="23" t="n"/>
      <c r="CZ8" s="23" t="n"/>
      <c r="DA8" s="23" t="n">
        <v>300</v>
      </c>
      <c r="DB8" s="219" t="n"/>
      <c r="DC8" s="23" t="n"/>
      <c r="DD8" s="23" t="n"/>
      <c r="DE8" s="23" t="n"/>
      <c r="DF8" s="219" t="n"/>
      <c r="DG8" s="219" t="n"/>
      <c r="DH8" s="23" t="n"/>
      <c r="DI8" s="219" t="n"/>
      <c r="DJ8" s="23" t="n">
        <v>300</v>
      </c>
      <c r="DK8" s="23" t="n"/>
      <c r="DL8" s="219" t="n"/>
      <c r="DM8" s="23" t="n"/>
      <c r="DN8" s="23" t="n"/>
      <c r="DO8" s="23" t="n"/>
      <c r="DP8" s="219" t="n"/>
      <c r="DQ8" s="219" t="n"/>
      <c r="DR8" s="219" t="n"/>
      <c r="DS8" s="219" t="n"/>
      <c r="DT8" s="23" t="n"/>
      <c r="DU8" s="219" t="n"/>
      <c r="DV8" s="219" t="n"/>
      <c r="DW8" s="23" t="n"/>
      <c r="DX8" s="23" t="n"/>
      <c r="DY8" s="23" t="n"/>
      <c r="DZ8" s="23" t="n"/>
      <c r="EA8" s="23" t="n"/>
      <c r="EB8" s="23" t="n"/>
      <c r="EC8" s="23" t="n"/>
      <c r="ED8" s="23" t="n"/>
      <c r="EE8" s="23" t="n"/>
      <c r="EF8" s="219" t="n"/>
      <c r="EG8" s="23" t="n">
        <v>900</v>
      </c>
      <c r="EI8" s="304" t="inlineStr">
        <is>
          <t xml:space="preserve">SACOLAS </t>
        </is>
      </c>
      <c r="EJ8" s="235" t="inlineStr">
        <is>
          <t>PCT</t>
        </is>
      </c>
      <c r="EK8" s="746" t="n">
        <v>46118</v>
      </c>
      <c r="EL8" s="746" t="n">
        <v>46125</v>
      </c>
      <c r="EM8" s="746" t="n">
        <v>46132</v>
      </c>
      <c r="EN8" s="746" t="n">
        <v>46139</v>
      </c>
      <c r="EO8" s="746" t="n">
        <v>46146</v>
      </c>
      <c r="EP8" s="746" t="n">
        <v>46154</v>
      </c>
      <c r="EQ8" s="746" t="n">
        <v>46160</v>
      </c>
      <c r="ER8" s="747" t="n">
        <v>46161.4802397338</v>
      </c>
      <c r="ES8" s="747" t="n">
        <v>46161.48089789174</v>
      </c>
      <c r="ET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350</v>
      </c>
      <c r="E9" s="5" t="n"/>
      <c r="F9" s="697" t="n">
        <v>1100</v>
      </c>
      <c r="G9" s="697">
        <f>1100+EC9-400</f>
        <v/>
      </c>
      <c r="H9" s="697" t="n">
        <v>1100</v>
      </c>
      <c r="I9" s="697" t="n">
        <v>1100</v>
      </c>
      <c r="J9" s="697" t="n">
        <v>1040</v>
      </c>
      <c r="K9" s="697" t="n">
        <v>1000</v>
      </c>
      <c r="L9" s="697" t="n">
        <v>1000</v>
      </c>
      <c r="M9" s="697" t="n">
        <v>800</v>
      </c>
      <c r="N9" s="697" t="n">
        <v>700</v>
      </c>
      <c r="O9" s="697" t="n">
        <v>600</v>
      </c>
      <c r="P9" s="697" t="n">
        <v>600</v>
      </c>
      <c r="Q9" s="697" t="n">
        <v>600</v>
      </c>
      <c r="R9" s="697" t="n">
        <v>320</v>
      </c>
      <c r="S9" s="697" t="n">
        <v>300</v>
      </c>
      <c r="T9" s="697" t="n">
        <v>600</v>
      </c>
      <c r="U9" s="697" t="n">
        <v>500</v>
      </c>
      <c r="V9" s="697" t="n">
        <v>500</v>
      </c>
      <c r="W9" s="697" t="n">
        <v>500</v>
      </c>
      <c r="X9" s="697" t="n">
        <v>500</v>
      </c>
      <c r="Y9" s="697" t="n">
        <v>500</v>
      </c>
      <c r="Z9" s="697" t="n">
        <v>400</v>
      </c>
      <c r="AA9" s="697" t="n">
        <v>300</v>
      </c>
      <c r="AB9" s="697" t="n">
        <v>150</v>
      </c>
      <c r="AC9" s="697">
        <f>150+DM9</f>
        <v/>
      </c>
      <c r="AD9" s="697" t="n">
        <v>400</v>
      </c>
      <c r="AE9" s="697" t="n">
        <v>400</v>
      </c>
      <c r="AF9" s="697" t="n">
        <v>370</v>
      </c>
      <c r="AG9" s="697" t="n">
        <v>310</v>
      </c>
      <c r="AH9" s="697">
        <f>290+DF9</f>
        <v/>
      </c>
      <c r="AI9" s="697" t="n">
        <v>600</v>
      </c>
      <c r="AJ9" s="697" t="n">
        <v>600</v>
      </c>
      <c r="AK9" s="697" t="n">
        <v>600</v>
      </c>
      <c r="AL9" s="697" t="n">
        <v>200</v>
      </c>
      <c r="AM9" s="697">
        <f>200+DB9</f>
        <v/>
      </c>
      <c r="AN9" s="697" t="n">
        <v>500</v>
      </c>
      <c r="AO9" s="697" t="n">
        <v>500</v>
      </c>
      <c r="AP9" s="697" t="n">
        <v>400</v>
      </c>
      <c r="AQ9" s="697" t="n">
        <v>400</v>
      </c>
      <c r="AR9" s="697" t="n">
        <v>340</v>
      </c>
      <c r="AS9" s="697" t="n">
        <v>320</v>
      </c>
      <c r="AT9" s="697">
        <f>200+CW9</f>
        <v/>
      </c>
      <c r="AU9" s="697" t="n">
        <v>180</v>
      </c>
      <c r="AV9" s="697" t="n">
        <v>400</v>
      </c>
      <c r="AW9" s="697" t="n">
        <v>400</v>
      </c>
      <c r="AX9" s="697" t="n">
        <v>380</v>
      </c>
      <c r="AY9" s="697" t="n">
        <v>380</v>
      </c>
      <c r="AZ9" s="697" t="n">
        <v>0</v>
      </c>
      <c r="BA9" s="697" t="n">
        <v>0</v>
      </c>
      <c r="BB9" s="697" t="n">
        <v>0</v>
      </c>
      <c r="BC9" s="697" t="n">
        <v>0</v>
      </c>
      <c r="BD9" s="697" t="n">
        <v>0</v>
      </c>
      <c r="BE9" s="697" t="n">
        <v>200</v>
      </c>
      <c r="BF9" s="697" t="n">
        <v>50</v>
      </c>
      <c r="BG9" s="697" t="n">
        <v>150</v>
      </c>
      <c r="BH9" s="697" t="n">
        <v>550</v>
      </c>
      <c r="BI9" s="697" t="n">
        <v>480</v>
      </c>
      <c r="BJ9" s="697" t="n">
        <v>430</v>
      </c>
      <c r="BK9" s="697" t="n">
        <v>350</v>
      </c>
      <c r="BL9" s="697" t="n">
        <v>550</v>
      </c>
      <c r="BM9" s="697" t="n">
        <v>350</v>
      </c>
      <c r="BN9" s="697">
        <f>220+CL9</f>
        <v/>
      </c>
      <c r="BO9" s="697" t="n">
        <v>320</v>
      </c>
      <c r="BP9" s="697" t="n">
        <v>260</v>
      </c>
      <c r="BQ9" s="697">
        <f>200+CK9</f>
        <v/>
      </c>
      <c r="BR9" s="697" t="n">
        <v>350</v>
      </c>
      <c r="BS9" s="697" t="n">
        <v>200</v>
      </c>
      <c r="BT9" s="697" t="n">
        <v>80</v>
      </c>
      <c r="BU9" s="697" t="n">
        <v>60</v>
      </c>
      <c r="BV9" s="697" t="n">
        <v>120</v>
      </c>
      <c r="BW9" s="697" t="n">
        <v>120</v>
      </c>
      <c r="BX9" s="697">
        <f>120+CH9</f>
        <v/>
      </c>
      <c r="BY9" s="697" t="n">
        <v>220</v>
      </c>
      <c r="BZ9" s="697" t="n"/>
      <c r="CA9" s="699" t="n"/>
      <c r="CB9" s="699" t="n"/>
      <c r="CC9" s="192">
        <f>CA9+IF(NOT(ISBLANK(OFFSET(CC9,0,6))),N(OFFSET(CC9,0,6)),N(OFFSET(CC9,0,7)))-CB9</f>
        <v/>
      </c>
      <c r="CE9" s="22" t="n">
        <v>200</v>
      </c>
      <c r="CG9" s="27" t="n"/>
      <c r="CH9" s="757" t="n">
        <v>0</v>
      </c>
      <c r="CI9" s="23" t="n">
        <v>0</v>
      </c>
      <c r="CJ9" s="23" t="n">
        <v>200</v>
      </c>
      <c r="CK9" s="23" t="n"/>
      <c r="CL9" s="219" t="n">
        <v>600</v>
      </c>
      <c r="CM9" s="23" t="n">
        <v>200</v>
      </c>
      <c r="CN9" s="23" t="n">
        <v>200</v>
      </c>
      <c r="CO9" s="23" t="n"/>
      <c r="CP9" s="23" t="n">
        <v>200</v>
      </c>
      <c r="CQ9" s="23" t="n"/>
      <c r="CR9" s="23" t="n">
        <v>200</v>
      </c>
      <c r="CS9" s="23" t="n">
        <v>400</v>
      </c>
      <c r="CT9" s="23" t="n">
        <v>200</v>
      </c>
      <c r="CU9" s="23" t="n">
        <v>200</v>
      </c>
      <c r="CV9" s="23" t="n"/>
      <c r="CW9" s="23" t="n"/>
      <c r="CX9" s="219" t="n">
        <v>800</v>
      </c>
      <c r="CY9" s="23" t="n">
        <v>200</v>
      </c>
      <c r="CZ9" s="23" t="n"/>
      <c r="DA9" s="23" t="n"/>
      <c r="DB9" s="219" t="n"/>
      <c r="DC9" s="23" t="n"/>
      <c r="DD9" s="23" t="n">
        <v>400</v>
      </c>
      <c r="DE9" s="23" t="n"/>
      <c r="DF9" s="219" t="n"/>
      <c r="DG9" s="219" t="n"/>
      <c r="DH9" s="23" t="n">
        <v>400</v>
      </c>
      <c r="DI9" s="219" t="n"/>
      <c r="DJ9" s="23" t="n"/>
      <c r="DK9" s="23" t="n"/>
      <c r="DL9" s="219" t="n"/>
      <c r="DM9" s="23" t="n"/>
      <c r="DN9" s="23" t="n"/>
      <c r="DO9" s="23" t="n">
        <v>400</v>
      </c>
      <c r="DP9" s="219" t="n"/>
      <c r="DQ9" s="219" t="n"/>
      <c r="DR9" s="219" t="n"/>
      <c r="DS9" s="219" t="n"/>
      <c r="DT9" s="23" t="n">
        <v>400</v>
      </c>
      <c r="DU9" s="219" t="n"/>
      <c r="DV9" s="219" t="n">
        <v>600</v>
      </c>
      <c r="DW9" s="23" t="n"/>
      <c r="DX9" s="23" t="n"/>
      <c r="DY9" s="23" t="n"/>
      <c r="DZ9" s="23" t="n"/>
      <c r="EA9" s="23" t="n"/>
      <c r="EB9" s="23" t="n"/>
      <c r="EC9" s="23" t="n"/>
      <c r="ED9" s="282" t="inlineStr">
        <is>
          <t>400 P/ SHN</t>
        </is>
      </c>
      <c r="EE9" s="23" t="n">
        <v>400</v>
      </c>
      <c r="EF9" s="219" t="n"/>
      <c r="EG9" s="23" t="n">
        <v>400</v>
      </c>
      <c r="EI9" s="300" t="inlineStr">
        <is>
          <t xml:space="preserve">SACOLA P </t>
        </is>
      </c>
      <c r="EJ9" s="162" t="n">
        <v>200</v>
      </c>
      <c r="EK9" s="697">
        <f>CJ9</f>
        <v/>
      </c>
      <c r="EL9" s="697" t="n">
        <v>500</v>
      </c>
      <c r="EM9" s="697" t="n">
        <v>400</v>
      </c>
      <c r="EN9" s="697" t="n">
        <v>200</v>
      </c>
      <c r="EO9" s="697" t="n">
        <v>120</v>
      </c>
      <c r="EP9" s="697" t="n"/>
      <c r="EQ9" s="697" t="n"/>
      <c r="ER9" s="699" t="n"/>
      <c r="ES9" s="699" t="n"/>
      <c r="ET9" s="431">
        <f>ER9+IF(NOT(ISBLANK(OFFSET(ET9,0,6))),N(OFFSET(ET9,0,6)),N(OFFSET(ET9,0,7)))-ES9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 t="n">
        <v>260</v>
      </c>
      <c r="G10" s="697">
        <f>220+EC10</f>
        <v/>
      </c>
      <c r="H10" s="697" t="n">
        <v>700</v>
      </c>
      <c r="I10" s="697" t="n">
        <v>700</v>
      </c>
      <c r="J10" s="697" t="n">
        <v>480</v>
      </c>
      <c r="K10" s="697">
        <f>440+EA10</f>
        <v/>
      </c>
      <c r="L10" s="697" t="n">
        <v>640</v>
      </c>
      <c r="M10" s="697" t="n">
        <v>820</v>
      </c>
      <c r="N10" s="697" t="n">
        <v>800</v>
      </c>
      <c r="O10" s="697" t="n">
        <v>680</v>
      </c>
      <c r="P10" s="697" t="n">
        <v>600</v>
      </c>
      <c r="Q10" s="697" t="n">
        <v>600</v>
      </c>
      <c r="R10" s="697" t="n">
        <v>600</v>
      </c>
      <c r="S10" s="697" t="n">
        <v>550</v>
      </c>
      <c r="T10" s="697" t="n">
        <v>550</v>
      </c>
      <c r="U10" s="697" t="n">
        <v>550</v>
      </c>
      <c r="V10" s="697" t="n">
        <v>550</v>
      </c>
      <c r="W10" s="697" t="n">
        <v>550</v>
      </c>
      <c r="X10" s="697" t="n">
        <v>550</v>
      </c>
      <c r="Y10" s="697" t="n">
        <v>550</v>
      </c>
      <c r="Z10" s="697" t="n">
        <v>300</v>
      </c>
      <c r="AA10" s="697" t="n">
        <v>300</v>
      </c>
      <c r="AB10" s="697" t="n">
        <v>300</v>
      </c>
      <c r="AC10" s="697" t="n">
        <v>300</v>
      </c>
      <c r="AD10" s="697" t="n">
        <v>200</v>
      </c>
      <c r="AE10" s="697" t="n">
        <v>400</v>
      </c>
      <c r="AF10" s="697" t="n">
        <v>580</v>
      </c>
      <c r="AG10" s="697" t="n">
        <v>480</v>
      </c>
      <c r="AH10" s="697" t="n">
        <v>347</v>
      </c>
      <c r="AI10" s="697" t="n">
        <v>340</v>
      </c>
      <c r="AJ10" s="697" t="n">
        <v>200</v>
      </c>
      <c r="AK10" s="697" t="n">
        <v>200</v>
      </c>
      <c r="AL10" s="697" t="n">
        <v>200</v>
      </c>
      <c r="AM10" s="697" t="n">
        <v>200</v>
      </c>
      <c r="AN10" s="697" t="n">
        <v>260</v>
      </c>
      <c r="AO10" s="697" t="n">
        <v>460</v>
      </c>
      <c r="AP10" s="697" t="n">
        <v>400</v>
      </c>
      <c r="AQ10" s="697" t="n">
        <v>400</v>
      </c>
      <c r="AR10" s="697" t="n">
        <v>360</v>
      </c>
      <c r="AS10" s="697" t="n">
        <v>360</v>
      </c>
      <c r="AT10" s="697" t="n">
        <v>260</v>
      </c>
      <c r="AU10" s="697" t="n">
        <v>260</v>
      </c>
      <c r="AV10" s="697" t="n">
        <v>320</v>
      </c>
      <c r="AW10" s="697" t="n">
        <v>300</v>
      </c>
      <c r="AX10" s="697" t="n">
        <v>300</v>
      </c>
      <c r="AY10" s="697" t="n">
        <v>300</v>
      </c>
      <c r="AZ10" s="697" t="n">
        <v>180</v>
      </c>
      <c r="BA10" s="697" t="n">
        <v>180</v>
      </c>
      <c r="BB10" s="697" t="n">
        <v>100</v>
      </c>
      <c r="BC10" s="697" t="n">
        <v>100</v>
      </c>
      <c r="BD10" s="697" t="n">
        <v>100</v>
      </c>
      <c r="BE10" s="697" t="n">
        <v>250</v>
      </c>
      <c r="BF10" s="697" t="n">
        <v>50</v>
      </c>
      <c r="BG10" s="697" t="n">
        <v>0</v>
      </c>
      <c r="BH10" s="697" t="n">
        <v>200</v>
      </c>
      <c r="BI10" s="697" t="n">
        <v>200</v>
      </c>
      <c r="BJ10" s="697" t="n">
        <v>200</v>
      </c>
      <c r="BK10" s="697" t="n">
        <v>160</v>
      </c>
      <c r="BL10" s="697" t="n">
        <v>360</v>
      </c>
      <c r="BM10" s="697" t="n">
        <v>360</v>
      </c>
      <c r="BN10" s="697" t="n">
        <v>300</v>
      </c>
      <c r="BO10" s="697" t="n">
        <v>260</v>
      </c>
      <c r="BP10" s="697" t="n">
        <v>200</v>
      </c>
      <c r="BQ10" s="697">
        <f>160+CK10</f>
        <v/>
      </c>
      <c r="BR10" s="697" t="n">
        <v>320</v>
      </c>
      <c r="BS10" s="697" t="n">
        <v>320</v>
      </c>
      <c r="BT10" s="697" t="n">
        <v>240</v>
      </c>
      <c r="BU10" s="697" t="n">
        <v>300</v>
      </c>
      <c r="BV10" s="697" t="n">
        <v>300</v>
      </c>
      <c r="BW10" s="697" t="n">
        <v>300</v>
      </c>
      <c r="BX10" s="697" t="n">
        <v>300</v>
      </c>
      <c r="BY10" s="697" t="n">
        <v>280</v>
      </c>
      <c r="BZ10" s="697" t="n"/>
      <c r="CA10" s="699" t="n"/>
      <c r="CB10" s="699" t="n"/>
      <c r="CC10" s="192">
        <f>CA10+IF(NOT(ISBLANK(OFFSET(CC10,0,6))),N(OFFSET(CC10,0,6)),N(OFFSET(CC10,0,7)))-CB10</f>
        <v/>
      </c>
      <c r="CD10" s="4" t="n"/>
      <c r="CE10" s="22" t="n"/>
      <c r="CF10" s="4" t="n"/>
      <c r="CG10" s="27" t="n"/>
      <c r="CH10" s="23" t="n">
        <v>0</v>
      </c>
      <c r="CI10" s="23" t="n">
        <v>0</v>
      </c>
      <c r="CJ10" s="23" t="n">
        <v>0</v>
      </c>
      <c r="CK10" s="23" t="n"/>
      <c r="CL10" s="219" t="n">
        <v>400</v>
      </c>
      <c r="CM10" s="23" t="n">
        <v>200</v>
      </c>
      <c r="CN10" s="23" t="n"/>
      <c r="CO10" s="23" t="n"/>
      <c r="CP10" s="23" t="n">
        <v>200</v>
      </c>
      <c r="CQ10" s="23" t="n"/>
      <c r="CR10" s="23" t="n"/>
      <c r="CS10" s="23" t="n">
        <v>200</v>
      </c>
      <c r="CT10" s="23" t="n"/>
      <c r="CU10" s="23" t="n">
        <v>200</v>
      </c>
      <c r="CV10" s="23" t="n"/>
      <c r="CW10" s="23" t="n"/>
      <c r="CX10" s="219" t="n">
        <v>400</v>
      </c>
      <c r="CY10" s="23" t="n"/>
      <c r="CZ10" s="23" t="n"/>
      <c r="DA10" s="23" t="n">
        <v>200</v>
      </c>
      <c r="DB10" s="437" t="inlineStr">
        <is>
          <t>100 DE TDQ</t>
        </is>
      </c>
      <c r="DC10" s="23" t="n"/>
      <c r="DD10" s="23" t="n"/>
      <c r="DE10" s="23" t="n"/>
      <c r="DF10" s="219" t="n"/>
      <c r="DG10" s="219" t="n"/>
      <c r="DH10" s="23" t="n"/>
      <c r="DI10" s="219" t="n"/>
      <c r="DJ10" s="23" t="n"/>
      <c r="DK10" s="23" t="n"/>
      <c r="DL10" s="219" t="n">
        <v>400</v>
      </c>
      <c r="DM10" s="23" t="n">
        <v>200</v>
      </c>
      <c r="DN10" s="23" t="n">
        <v>200</v>
      </c>
      <c r="DO10" s="23" t="n"/>
      <c r="DP10" s="219" t="n"/>
      <c r="DQ10" s="219" t="n"/>
      <c r="DR10" s="219" t="n">
        <v>200</v>
      </c>
      <c r="DS10" s="219" t="n"/>
      <c r="DT10" s="23" t="n"/>
      <c r="DU10" s="219" t="n"/>
      <c r="DV10" s="219" t="n">
        <v>400</v>
      </c>
      <c r="DW10" s="23" t="n"/>
      <c r="DX10" s="23" t="n"/>
      <c r="DY10" s="23" t="n"/>
      <c r="DZ10" s="23" t="n"/>
      <c r="EA10" s="23" t="n"/>
      <c r="EB10" s="23" t="n"/>
      <c r="EC10" s="23" t="n">
        <v>200</v>
      </c>
      <c r="ED10" s="23" t="n"/>
      <c r="EE10" s="23" t="n">
        <v>600</v>
      </c>
      <c r="EF10" s="219" t="n"/>
      <c r="EG10" s="23" t="n"/>
      <c r="EI10" s="65" t="inlineStr">
        <is>
          <t xml:space="preserve">SACOLA M </t>
        </is>
      </c>
      <c r="EJ10" s="699" t="n">
        <v>200</v>
      </c>
      <c r="EK10" s="697">
        <f>CJ10</f>
        <v/>
      </c>
      <c r="EL10" s="697" t="n">
        <v>340</v>
      </c>
      <c r="EM10" s="697" t="n">
        <v>200</v>
      </c>
      <c r="EN10" s="697" t="n">
        <v>200</v>
      </c>
      <c r="EO10" s="697" t="n">
        <v>200</v>
      </c>
      <c r="EP10" s="697" t="n"/>
      <c r="EQ10" s="697" t="n"/>
      <c r="ER10" s="699" t="n"/>
      <c r="ES10" s="699" t="n"/>
      <c r="ET10" s="431">
        <f>ER10+IF(NOT(ISBLANK(OFFSET(ET10,0,6))),N(OFFSET(ET10,0,6)),N(OFFSET(ET10,0,7)))-ES10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120</v>
      </c>
      <c r="G11" s="697" t="n">
        <v>120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90</v>
      </c>
      <c r="R11" s="697">
        <f>90+DU11</f>
        <v/>
      </c>
      <c r="S11" s="697" t="n">
        <v>190</v>
      </c>
      <c r="T11" s="697" t="n">
        <v>90</v>
      </c>
      <c r="U11" s="697" t="n">
        <v>90</v>
      </c>
      <c r="V11" s="697" t="n">
        <v>90</v>
      </c>
      <c r="W11" s="697" t="n">
        <v>90</v>
      </c>
      <c r="X11" s="697" t="n">
        <v>90</v>
      </c>
      <c r="Y11" s="697" t="n">
        <v>90</v>
      </c>
      <c r="Z11" s="697" t="n">
        <v>90</v>
      </c>
      <c r="AA11" s="697" t="n">
        <v>90</v>
      </c>
      <c r="AB11" s="697" t="n">
        <v>90</v>
      </c>
      <c r="AC11" s="697" t="n">
        <v>90</v>
      </c>
      <c r="AD11" s="697" t="n">
        <v>90</v>
      </c>
      <c r="AE11" s="697" t="n">
        <v>90</v>
      </c>
      <c r="AF11" s="697" t="n">
        <v>90</v>
      </c>
      <c r="AG11" s="697" t="n">
        <v>90</v>
      </c>
      <c r="AH11" s="697" t="n">
        <v>90</v>
      </c>
      <c r="AI11" s="697" t="n">
        <v>90</v>
      </c>
      <c r="AJ11" s="697" t="n">
        <v>90</v>
      </c>
      <c r="AK11" s="697" t="n">
        <v>90</v>
      </c>
      <c r="AL11" s="697" t="n">
        <v>90</v>
      </c>
      <c r="AM11" s="697" t="n">
        <v>90</v>
      </c>
      <c r="AN11" s="697" t="n">
        <v>90</v>
      </c>
      <c r="AO11" s="697" t="n">
        <v>90</v>
      </c>
      <c r="AP11" s="697" t="n">
        <v>90</v>
      </c>
      <c r="AQ11" s="697" t="n">
        <v>90</v>
      </c>
      <c r="AR11" s="697" t="n">
        <v>90</v>
      </c>
      <c r="AS11" s="697" t="n">
        <v>90</v>
      </c>
      <c r="AT11" s="697" t="n">
        <v>90</v>
      </c>
      <c r="AU11" s="697" t="n">
        <v>90</v>
      </c>
      <c r="AV11" s="697" t="n">
        <v>90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10</v>
      </c>
      <c r="BG11" s="697" t="n">
        <v>10</v>
      </c>
      <c r="BH11" s="697" t="n">
        <v>10</v>
      </c>
      <c r="BI11" s="697" t="n">
        <v>0</v>
      </c>
      <c r="BJ11" s="697">
        <f>0+CO11</f>
        <v/>
      </c>
      <c r="BK11" s="697" t="n">
        <v>40</v>
      </c>
      <c r="BL11" s="697" t="n">
        <v>140</v>
      </c>
      <c r="BM11" s="697" t="n">
        <v>140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120</v>
      </c>
      <c r="BV11" s="697" t="n">
        <v>120</v>
      </c>
      <c r="BW11" s="697" t="n">
        <v>100</v>
      </c>
      <c r="BX11" s="697" t="n">
        <v>100</v>
      </c>
      <c r="BY11" s="697" t="n">
        <v>100</v>
      </c>
      <c r="BZ11" s="697" t="n"/>
      <c r="CA11" s="699" t="n"/>
      <c r="CB11" s="699" t="n"/>
      <c r="CC11" s="192">
        <f>CA11+IF(NOT(ISBLANK(OFFSET(CC11,0,6))),N(OFFSET(CC11,0,6)),N(OFFSET(CC11,0,7)))-CB11</f>
        <v/>
      </c>
      <c r="CD11" s="4" t="n"/>
      <c r="CE11" s="22" t="n"/>
      <c r="CF11" s="4" t="n"/>
      <c r="CG11" s="27" t="n"/>
      <c r="CH11" s="23" t="n">
        <v>0</v>
      </c>
      <c r="CI11" s="23" t="n">
        <v>0</v>
      </c>
      <c r="CJ11" s="23" t="n">
        <v>0</v>
      </c>
      <c r="CK11" s="23" t="n"/>
      <c r="CL11" s="219" t="n">
        <v>100</v>
      </c>
      <c r="CM11" s="23" t="n"/>
      <c r="CN11" s="23" t="n"/>
      <c r="CO11" s="23" t="n"/>
      <c r="CP11" s="23" t="n">
        <v>100</v>
      </c>
      <c r="CQ11" s="23" t="n">
        <v>100</v>
      </c>
      <c r="CR11" s="23" t="n"/>
      <c r="CS11" s="23" t="n"/>
      <c r="CT11" s="23" t="n"/>
      <c r="CU11" s="23" t="n"/>
      <c r="CV11" s="23" t="n"/>
      <c r="CW11" s="23" t="n"/>
      <c r="CX11" s="219" t="n"/>
      <c r="CY11" s="23" t="n"/>
      <c r="CZ11" s="23" t="n"/>
      <c r="DA11" s="23" t="n"/>
      <c r="DB11" s="219" t="n"/>
      <c r="DC11" s="23" t="n"/>
      <c r="DD11" s="23" t="n"/>
      <c r="DE11" s="23" t="n"/>
      <c r="DF11" s="219" t="n"/>
      <c r="DG11" s="219" t="n"/>
      <c r="DH11" s="23" t="n"/>
      <c r="DI11" s="219" t="n"/>
      <c r="DJ11" s="23" t="n"/>
      <c r="DK11" s="23" t="n"/>
      <c r="DL11" s="219" t="n"/>
      <c r="DM11" s="23" t="n"/>
      <c r="DN11" s="23" t="n"/>
      <c r="DO11" s="23" t="n"/>
      <c r="DP11" s="219" t="n"/>
      <c r="DQ11" s="219" t="n"/>
      <c r="DR11" s="219" t="n"/>
      <c r="DS11" s="219" t="n"/>
      <c r="DT11" s="23" t="n"/>
      <c r="DU11" s="219" t="n"/>
      <c r="DV11" s="219" t="n">
        <v>100</v>
      </c>
      <c r="DW11" s="23" t="n">
        <v>100</v>
      </c>
      <c r="DX11" s="23" t="n"/>
      <c r="DY11" s="23" t="n"/>
      <c r="DZ11" s="23" t="n"/>
      <c r="EA11" s="23" t="n"/>
      <c r="EB11" s="23" t="n"/>
      <c r="EC11" s="23" t="n"/>
      <c r="ED11" s="23" t="n"/>
      <c r="EE11" s="23" t="n"/>
      <c r="EF11" s="219" t="n"/>
      <c r="EG11" s="23" t="n"/>
      <c r="EI11" s="66" t="inlineStr">
        <is>
          <t xml:space="preserve">SACOLA G </t>
        </is>
      </c>
      <c r="EJ11" s="699" t="n">
        <v>100</v>
      </c>
      <c r="EK11" s="697">
        <f>CJ11</f>
        <v/>
      </c>
      <c r="EL11" s="697" t="n">
        <v>40</v>
      </c>
      <c r="EM11" s="697" t="n">
        <v>40</v>
      </c>
      <c r="EN11" s="697" t="n">
        <v>20</v>
      </c>
      <c r="EO11" s="697" t="n">
        <v>0</v>
      </c>
      <c r="EP11" s="697" t="n"/>
      <c r="EQ11" s="697" t="n"/>
      <c r="ER11" s="699" t="n"/>
      <c r="ES11" s="699" t="n"/>
      <c r="ET11" s="431">
        <f>ER11+IF(NOT(ISBLANK(OFFSET(ET11,0,6))),N(OFFSET(ET11,0,6)),N(OFFSET(ET11,0,7)))-ES11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D12" s="4" t="n"/>
      <c r="CE12" s="16" t="n"/>
      <c r="CF12" s="4" t="n"/>
      <c r="CG12" s="18" t="n"/>
      <c r="CH12" s="4" t="n"/>
      <c r="CL12" s="47" t="n"/>
      <c r="CX12" s="47" t="n"/>
      <c r="DB12" s="64" t="n"/>
      <c r="DF12" s="47" t="n"/>
      <c r="DG12" s="47" t="n"/>
      <c r="DI12" s="47" t="n"/>
      <c r="DL12" s="47" t="n"/>
      <c r="DP12" s="308" t="n"/>
      <c r="DQ12" s="64" t="n"/>
      <c r="DR12" s="64" t="n"/>
      <c r="DS12" s="308" t="n"/>
      <c r="DU12" s="308" t="n"/>
      <c r="DV12" s="308" t="n"/>
      <c r="EF12" s="47" t="n"/>
      <c r="EI12" s="35" t="n"/>
      <c r="EJ12" s="2" t="n"/>
      <c r="EK12" s="4" t="n"/>
      <c r="EL12" s="4" t="n"/>
      <c r="EM12" s="4" t="n"/>
      <c r="EN12" s="4" t="n"/>
      <c r="EO12" s="4" t="n"/>
      <c r="EP12" s="4" t="n"/>
      <c r="EQ12" s="4" t="n"/>
      <c r="ER12" s="2" t="n"/>
      <c r="ES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46161.48024017361</v>
      </c>
      <c r="CB13" s="747" t="n">
        <v>46161.48089834764</v>
      </c>
      <c r="CC13" s="748" t="inlineStr">
        <is>
          <t>USOU</t>
        </is>
      </c>
      <c r="CD13" s="4" t="n"/>
      <c r="CE13" s="44" t="inlineStr">
        <is>
          <t>Pendências</t>
        </is>
      </c>
      <c r="CF13" s="5" t="n"/>
      <c r="CG13" s="12" t="inlineStr">
        <is>
          <t>Novo Pedido</t>
        </is>
      </c>
      <c r="CH13" s="761" t="n">
        <v>46161.48089767997</v>
      </c>
      <c r="CI13" s="734" t="n">
        <v>46156</v>
      </c>
      <c r="CJ13" s="734" t="n">
        <v>46142</v>
      </c>
      <c r="CK13" s="734" t="n">
        <v>46114</v>
      </c>
      <c r="CL13" s="735" t="n">
        <v>46065</v>
      </c>
      <c r="CM13" s="734" t="n">
        <v>46092</v>
      </c>
      <c r="CN13" s="734" t="n">
        <v>46071</v>
      </c>
      <c r="CO13" s="736" t="n">
        <v>46067</v>
      </c>
      <c r="CP13" s="734" t="n">
        <v>46056</v>
      </c>
      <c r="CQ13" s="734" t="n">
        <v>46043</v>
      </c>
      <c r="CR13" s="734" t="n">
        <v>46029</v>
      </c>
      <c r="CS13" s="734" t="n">
        <v>46024</v>
      </c>
      <c r="CT13" s="734" t="n">
        <v>46007</v>
      </c>
      <c r="CU13" s="734" t="n">
        <v>46001</v>
      </c>
      <c r="CV13" s="734" t="n">
        <v>45973</v>
      </c>
      <c r="CW13" s="734" t="n">
        <v>45960</v>
      </c>
      <c r="CX13" s="737" t="n">
        <v>45903</v>
      </c>
      <c r="CY13" s="734" t="n">
        <v>45923</v>
      </c>
      <c r="CZ13" s="734" t="n">
        <v>45923</v>
      </c>
      <c r="DA13" s="734" t="n">
        <v>45895</v>
      </c>
      <c r="DB13" s="754" t="n">
        <v>45923</v>
      </c>
      <c r="DC13" s="734" t="n">
        <v>45888</v>
      </c>
      <c r="DD13" s="734" t="n">
        <v>45881</v>
      </c>
      <c r="DE13" s="734" t="n">
        <v>45874</v>
      </c>
      <c r="DF13" s="739" t="n">
        <v>45861</v>
      </c>
      <c r="DG13" s="739" t="n">
        <v>45861</v>
      </c>
      <c r="DH13" s="734" t="n">
        <v>45848</v>
      </c>
      <c r="DI13" s="739" t="n">
        <v>45852</v>
      </c>
      <c r="DJ13" s="734" t="n">
        <v>45839</v>
      </c>
      <c r="DK13" s="736" t="n">
        <v>45842</v>
      </c>
      <c r="DL13" s="739" t="n">
        <v>45791</v>
      </c>
      <c r="DM13" s="734" t="n">
        <v>45832</v>
      </c>
      <c r="DN13" s="734" t="n">
        <v>45825</v>
      </c>
      <c r="DO13" s="734" t="n">
        <v>45813</v>
      </c>
      <c r="DP13" s="740" t="n">
        <v>45806</v>
      </c>
      <c r="DQ13" s="755" t="n">
        <v>45805</v>
      </c>
      <c r="DR13" s="742" t="n">
        <v>45735</v>
      </c>
      <c r="DS13" s="740" t="n">
        <v>45754</v>
      </c>
      <c r="DT13" s="734" t="n">
        <v>45743</v>
      </c>
      <c r="DU13" s="740" t="n">
        <v>45750</v>
      </c>
      <c r="DV13" s="740" t="n">
        <v>45700</v>
      </c>
      <c r="DW13" s="734" t="n">
        <v>45734</v>
      </c>
      <c r="DX13" s="734" t="n">
        <v>45728</v>
      </c>
      <c r="DY13" s="736" t="n">
        <v>45728</v>
      </c>
      <c r="DZ13" s="734" t="n">
        <v>45722</v>
      </c>
      <c r="EA13" s="734" t="n">
        <v>45699</v>
      </c>
      <c r="EB13" s="736" t="n">
        <v>45693</v>
      </c>
      <c r="EC13" s="734" t="n">
        <v>45685</v>
      </c>
      <c r="ED13" s="736" t="n">
        <v>45670</v>
      </c>
      <c r="EE13" s="734" t="n">
        <v>45660</v>
      </c>
      <c r="EF13" s="744" t="n">
        <v>45663</v>
      </c>
      <c r="EG13" s="734" t="n">
        <v>45643</v>
      </c>
      <c r="EI13" s="304" t="inlineStr">
        <is>
          <t>DIVERSOS</t>
        </is>
      </c>
      <c r="EJ13" s="235" t="inlineStr">
        <is>
          <t>PCT</t>
        </is>
      </c>
      <c r="EK13" s="746" t="n">
        <v>46118</v>
      </c>
      <c r="EL13" s="746" t="n">
        <v>46125</v>
      </c>
      <c r="EM13" s="746" t="n">
        <v>46132</v>
      </c>
      <c r="EN13" s="746" t="n">
        <v>46139</v>
      </c>
      <c r="EO13" s="746" t="n">
        <v>46146</v>
      </c>
      <c r="EP13" s="746" t="n">
        <v>46154</v>
      </c>
      <c r="EQ13" s="746" t="n">
        <v>46160</v>
      </c>
      <c r="ER13" s="747" t="n">
        <v>46161.4802397338</v>
      </c>
      <c r="ES13" s="747" t="n">
        <v>46161.48089789203</v>
      </c>
      <c r="ET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1</v>
      </c>
      <c r="E14" s="726" t="n"/>
      <c r="F14" s="136" t="n">
        <v>4</v>
      </c>
      <c r="G14" s="136" t="n">
        <v>4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4</v>
      </c>
      <c r="M14" s="136" t="n">
        <v>4</v>
      </c>
      <c r="N14" s="136" t="n">
        <v>4</v>
      </c>
      <c r="O14" s="136" t="n">
        <v>4</v>
      </c>
      <c r="P14" s="136" t="n">
        <v>4</v>
      </c>
      <c r="Q14" s="136" t="n">
        <v>4</v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4</v>
      </c>
      <c r="Z14" s="136" t="n">
        <v>4</v>
      </c>
      <c r="AA14" s="136" t="n">
        <v>4</v>
      </c>
      <c r="AB14" s="136" t="n">
        <v>4</v>
      </c>
      <c r="AC14" s="136" t="n">
        <v>3</v>
      </c>
      <c r="AD14" s="136" t="n">
        <v>3</v>
      </c>
      <c r="AE14" s="136" t="n">
        <v>3</v>
      </c>
      <c r="AF14" s="136" t="n">
        <v>3</v>
      </c>
      <c r="AG14" s="136">
        <f>3+DH14</f>
        <v/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 t="n">
        <v>3</v>
      </c>
      <c r="AM14" s="136" t="n">
        <v>3</v>
      </c>
      <c r="AN14" s="136" t="n">
        <v>3</v>
      </c>
      <c r="AO14" s="136" t="n">
        <v>3</v>
      </c>
      <c r="AP14" s="136" t="n">
        <v>2</v>
      </c>
      <c r="AQ14" s="136" t="n">
        <v>2</v>
      </c>
      <c r="AR14" s="136" t="n">
        <v>2</v>
      </c>
      <c r="AS14" s="136" t="n">
        <v>2</v>
      </c>
      <c r="AT14" s="136" t="n">
        <v>2</v>
      </c>
      <c r="AU14" s="136" t="n">
        <v>1</v>
      </c>
      <c r="AV14" s="136" t="n">
        <v>1</v>
      </c>
      <c r="AW14" s="136" t="n">
        <v>0</v>
      </c>
      <c r="AX14" s="136" t="n">
        <v>0</v>
      </c>
      <c r="AY14" s="136" t="n">
        <v>0</v>
      </c>
      <c r="AZ14" s="136">
        <f>0+CT14</f>
        <v/>
      </c>
      <c r="BA14" s="136" t="n">
        <v>2</v>
      </c>
      <c r="BB14" s="136" t="n">
        <v>2</v>
      </c>
      <c r="BC14" s="136" t="n">
        <v>2</v>
      </c>
      <c r="BD14" s="136" t="n">
        <v>1</v>
      </c>
      <c r="BE14" s="136" t="n">
        <v>1</v>
      </c>
      <c r="BF14" s="136" t="n">
        <v>5</v>
      </c>
      <c r="BG14" s="136" t="n">
        <v>4</v>
      </c>
      <c r="BH14" s="136" t="n">
        <v>6</v>
      </c>
      <c r="BI14" s="136" t="n">
        <v>11</v>
      </c>
      <c r="BJ14" s="136" t="n">
        <v>11</v>
      </c>
      <c r="BK14" s="136" t="n">
        <v>11</v>
      </c>
      <c r="BL14" s="136" t="n">
        <v>11</v>
      </c>
      <c r="BM14" s="136" t="n">
        <v>8</v>
      </c>
      <c r="BN14" s="136">
        <f>8+CL14</f>
        <v/>
      </c>
      <c r="BO14" s="136" t="n">
        <v>11</v>
      </c>
      <c r="BP14" s="136" t="n">
        <v>11</v>
      </c>
      <c r="BQ14" s="136" t="n">
        <v>10</v>
      </c>
      <c r="BR14" s="136" t="n">
        <v>10</v>
      </c>
      <c r="BS14" s="136" t="n">
        <v>9</v>
      </c>
      <c r="BT14" s="136" t="n">
        <v>9</v>
      </c>
      <c r="BU14" s="136" t="n">
        <v>9</v>
      </c>
      <c r="BV14" s="136" t="n">
        <v>9</v>
      </c>
      <c r="BW14" s="136" t="n">
        <v>9</v>
      </c>
      <c r="BX14" s="136" t="n">
        <v>9</v>
      </c>
      <c r="BY14" s="136" t="n">
        <v>9</v>
      </c>
      <c r="BZ14" s="136" t="n"/>
      <c r="CA14" s="789" t="n"/>
      <c r="CB14" s="789" t="n"/>
      <c r="CC14" s="192">
        <f>CA14+IF(NOT(ISBLANK(OFFSET(CC14,0,6))),N(OFFSET(CC14,0,6)),N(OFFSET(CC14,0,7)))-CB14</f>
        <v/>
      </c>
      <c r="CD14" s="4" t="n"/>
      <c r="CE14" s="22" t="n"/>
      <c r="CF14" s="4" t="n"/>
      <c r="CG14" s="27" t="n"/>
      <c r="CH14" s="23" t="n">
        <v>0</v>
      </c>
      <c r="CI14" s="23" t="n">
        <v>0</v>
      </c>
      <c r="CJ14" s="23" t="n">
        <v>0</v>
      </c>
      <c r="CK14" s="23" t="n"/>
      <c r="CL14" s="219" t="n">
        <v>4</v>
      </c>
      <c r="CM14" s="23" t="n"/>
      <c r="CN14" s="23" t="n">
        <v>3</v>
      </c>
      <c r="CO14" s="23" t="n"/>
      <c r="CP14" s="23" t="n"/>
      <c r="CQ14" s="23" t="n"/>
      <c r="CR14" s="23" t="n">
        <v>5</v>
      </c>
      <c r="CS14" s="23" t="n"/>
      <c r="CT14" s="23" t="n">
        <v>3</v>
      </c>
      <c r="CU14" s="23" t="n"/>
      <c r="CV14" s="23" t="n">
        <v>2</v>
      </c>
      <c r="CW14" s="23" t="n">
        <v>2</v>
      </c>
      <c r="CX14" s="219" t="n">
        <v>7</v>
      </c>
      <c r="CY14" s="23" t="n"/>
      <c r="CZ14" s="23" t="n"/>
      <c r="DA14" s="23" t="n"/>
      <c r="DB14" s="437" t="inlineStr">
        <is>
          <t>100 DE TDQ</t>
        </is>
      </c>
      <c r="DC14" s="23" t="n"/>
      <c r="DD14" s="23" t="n"/>
      <c r="DE14" s="23" t="n"/>
      <c r="DF14" s="219" t="n"/>
      <c r="DG14" s="219" t="n"/>
      <c r="DH14" s="23" t="n"/>
      <c r="DI14" s="219" t="n"/>
      <c r="DJ14" s="23" t="n">
        <v>1</v>
      </c>
      <c r="DK14" s="23" t="n"/>
      <c r="DL14" s="219" t="n">
        <v>2</v>
      </c>
      <c r="DM14" s="23" t="n"/>
      <c r="DN14" s="23" t="n"/>
      <c r="DO14" s="23" t="n"/>
      <c r="DP14" s="219" t="n"/>
      <c r="DQ14" s="219" t="n"/>
      <c r="DR14" s="219" t="n">
        <v>1</v>
      </c>
      <c r="DS14" s="219" t="n"/>
      <c r="DT14" s="23" t="n"/>
      <c r="DU14" s="219" t="n"/>
      <c r="DV14" s="219" t="n">
        <v>5</v>
      </c>
      <c r="DW14" s="23" t="n"/>
      <c r="DX14" s="23" t="n"/>
      <c r="DY14" s="23" t="n"/>
      <c r="DZ14" s="23" t="n"/>
      <c r="EA14" s="23" t="n"/>
      <c r="EB14" s="23" t="n"/>
      <c r="EC14" s="23" t="n"/>
      <c r="ED14" s="23" t="n"/>
      <c r="EE14" s="23" t="n"/>
      <c r="EF14" s="219" t="n"/>
      <c r="EG14" s="23" t="n"/>
      <c r="EI14" s="300" t="inlineStr">
        <is>
          <t>PAPEL DE SEDA</t>
        </is>
      </c>
      <c r="EJ14" s="162" t="n">
        <v>200</v>
      </c>
      <c r="EK14" s="697">
        <f>CJ14</f>
        <v/>
      </c>
      <c r="EL14" s="697" t="n">
        <v>3</v>
      </c>
      <c r="EM14" s="697" t="n">
        <v>2</v>
      </c>
      <c r="EN14" s="697" t="n">
        <v>1</v>
      </c>
      <c r="EO14" s="697" t="n">
        <v>2</v>
      </c>
      <c r="EP14" s="697" t="n"/>
      <c r="EQ14" s="697" t="n"/>
      <c r="ER14" s="699" t="n"/>
      <c r="ES14" s="699" t="n"/>
      <c r="ET14" s="431">
        <f>ER14+IF(NOT(ISBLANK(OFFSET(ET14,0,6))),N(OFFSET(ET14,0,6)),N(OFFSET(ET14,0,7)))-ES14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2</v>
      </c>
      <c r="G15" s="136" t="n">
        <v>2</v>
      </c>
      <c r="H15" s="136" t="n">
        <v>1</v>
      </c>
      <c r="I15" s="136" t="n">
        <v>1</v>
      </c>
      <c r="J15" s="136" t="n">
        <v>1</v>
      </c>
      <c r="K15" s="136">
        <f>1+EA15</f>
        <v/>
      </c>
      <c r="L15" s="136" t="n">
        <v>2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2</v>
      </c>
      <c r="R15" s="136">
        <f>2+DU15</f>
        <v/>
      </c>
      <c r="S15" s="136" t="n">
        <v>3</v>
      </c>
      <c r="T15" s="136" t="n">
        <v>3</v>
      </c>
      <c r="U15" s="136" t="n">
        <v>3</v>
      </c>
      <c r="V15" s="136" t="n">
        <v>3</v>
      </c>
      <c r="W15" s="136" t="n">
        <v>3</v>
      </c>
      <c r="X15" s="136" t="n">
        <v>3</v>
      </c>
      <c r="Y15" s="136" t="n">
        <v>3</v>
      </c>
      <c r="Z15" s="136" t="n">
        <v>2</v>
      </c>
      <c r="AA15" s="136" t="n">
        <v>2</v>
      </c>
      <c r="AB15" s="136" t="n">
        <v>2</v>
      </c>
      <c r="AC15" s="136" t="n">
        <v>3</v>
      </c>
      <c r="AD15" s="136" t="n">
        <v>3</v>
      </c>
      <c r="AE15" s="136" t="n">
        <v>3</v>
      </c>
      <c r="AF15" s="136" t="n">
        <v>3</v>
      </c>
      <c r="AG15" s="136" t="n">
        <v>3</v>
      </c>
      <c r="AH15" s="136" t="n">
        <v>3</v>
      </c>
      <c r="AI15" s="136" t="n">
        <v>3</v>
      </c>
      <c r="AJ15" s="136" t="n">
        <v>3</v>
      </c>
      <c r="AK15" s="136" t="n">
        <v>3</v>
      </c>
      <c r="AL15" s="136" t="n">
        <v>3</v>
      </c>
      <c r="AM15" s="136" t="n">
        <v>3</v>
      </c>
      <c r="AN15" s="136" t="n">
        <v>3</v>
      </c>
      <c r="AO15" s="136" t="n">
        <v>3</v>
      </c>
      <c r="AP15" s="136" t="n">
        <v>3</v>
      </c>
      <c r="AQ15" s="136" t="n">
        <v>3</v>
      </c>
      <c r="AR15" s="136" t="n">
        <v>3</v>
      </c>
      <c r="AS15" s="136" t="n">
        <v>3</v>
      </c>
      <c r="AT15" s="136" t="n">
        <v>3</v>
      </c>
      <c r="AU15" s="136" t="n">
        <v>3</v>
      </c>
      <c r="AV15" s="136" t="n">
        <v>3</v>
      </c>
      <c r="AW15" s="136" t="n">
        <v>2</v>
      </c>
      <c r="AX15" s="136" t="n">
        <v>2</v>
      </c>
      <c r="AY15" s="136" t="n">
        <v>2</v>
      </c>
      <c r="AZ15" s="136" t="n">
        <v>2</v>
      </c>
      <c r="BA15" s="136" t="n">
        <v>2</v>
      </c>
      <c r="BB15" s="136" t="n">
        <v>2</v>
      </c>
      <c r="BC15" s="136" t="n">
        <v>2</v>
      </c>
      <c r="BD15" s="136" t="n">
        <v>2</v>
      </c>
      <c r="BE15" s="136" t="n">
        <v>2</v>
      </c>
      <c r="BF15" s="136" t="n">
        <v>2</v>
      </c>
      <c r="BG15" s="136" t="n">
        <v>2</v>
      </c>
      <c r="BH15" s="136" t="n">
        <v>2</v>
      </c>
      <c r="BI15" s="136" t="n">
        <v>2</v>
      </c>
      <c r="BJ15" s="136" t="n">
        <v>2</v>
      </c>
      <c r="BK15" s="136" t="n">
        <v>2</v>
      </c>
      <c r="BL15" s="136" t="n">
        <v>2</v>
      </c>
      <c r="BM15" s="136" t="n">
        <v>2</v>
      </c>
      <c r="BN15" s="136" t="n">
        <v>2</v>
      </c>
      <c r="BO15" s="136" t="n">
        <v>2</v>
      </c>
      <c r="BP15" s="136" t="n">
        <v>2</v>
      </c>
      <c r="BQ15" s="136" t="n">
        <v>2</v>
      </c>
      <c r="BR15" s="136" t="n">
        <v>2</v>
      </c>
      <c r="BS15" s="136" t="n">
        <v>2</v>
      </c>
      <c r="BT15" s="136" t="n">
        <v>2</v>
      </c>
      <c r="BU15" s="136" t="n">
        <v>2</v>
      </c>
      <c r="BV15" s="136" t="n">
        <v>2</v>
      </c>
      <c r="BW15" s="136" t="n">
        <v>2</v>
      </c>
      <c r="BX15" s="136" t="n">
        <v>1</v>
      </c>
      <c r="BY15" s="136" t="n">
        <v>1</v>
      </c>
      <c r="BZ15" s="136" t="n"/>
      <c r="CA15" s="789" t="n"/>
      <c r="CB15" s="789" t="n"/>
      <c r="CC15" s="192">
        <f>CA15+IF(NOT(ISBLANK(OFFSET(CC15,0,6))),N(OFFSET(CC15,0,6)),N(OFFSET(CC15,0,7)))-CB15</f>
        <v/>
      </c>
      <c r="CD15" s="4" t="n"/>
      <c r="CE15" s="22" t="n"/>
      <c r="CF15" s="4" t="n"/>
      <c r="CG15" s="27" t="n"/>
      <c r="CH15" s="23" t="n">
        <v>0</v>
      </c>
      <c r="CI15" s="23" t="n">
        <v>0</v>
      </c>
      <c r="CJ15" s="23" t="n">
        <v>0</v>
      </c>
      <c r="CK15" s="23" t="n"/>
      <c r="CL15" s="219" t="n">
        <v>1</v>
      </c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19" t="n">
        <v>4</v>
      </c>
      <c r="CY15" s="23" t="n"/>
      <c r="CZ15" s="23" t="n"/>
      <c r="DA15" s="23" t="n"/>
      <c r="DB15" s="437" t="inlineStr">
        <is>
          <t>100 DE TDQ</t>
        </is>
      </c>
      <c r="DC15" s="23" t="n"/>
      <c r="DD15" s="23" t="n"/>
      <c r="DE15" s="23" t="n"/>
      <c r="DF15" s="219" t="n"/>
      <c r="DG15" s="219" t="n"/>
      <c r="DH15" s="23" t="n"/>
      <c r="DI15" s="219" t="n"/>
      <c r="DJ15" s="23" t="n"/>
      <c r="DK15" s="23" t="n"/>
      <c r="DL15" s="219" t="n">
        <v>1</v>
      </c>
      <c r="DM15" s="23" t="n"/>
      <c r="DN15" s="23" t="n"/>
      <c r="DO15" s="23" t="n"/>
      <c r="DP15" s="219" t="n"/>
      <c r="DQ15" s="219" t="n"/>
      <c r="DR15" s="219" t="n">
        <v>1</v>
      </c>
      <c r="DS15" s="219" t="n"/>
      <c r="DT15" s="23" t="n"/>
      <c r="DU15" s="219" t="n"/>
      <c r="DV15" s="219" t="n"/>
      <c r="DW15" s="23" t="n">
        <v>1</v>
      </c>
      <c r="DX15" s="23" t="n"/>
      <c r="DY15" s="23" t="n"/>
      <c r="DZ15" s="23" t="n"/>
      <c r="EA15" s="23" t="n">
        <v>1</v>
      </c>
      <c r="EB15" s="23" t="n"/>
      <c r="EC15" s="23" t="n">
        <v>2</v>
      </c>
      <c r="ED15" s="23" t="n"/>
      <c r="EE15" s="23" t="n"/>
      <c r="EF15" s="219" t="n"/>
      <c r="EG15" s="23" t="n"/>
      <c r="EI15" s="65" t="inlineStr">
        <is>
          <t>ADESIVOS</t>
        </is>
      </c>
      <c r="EJ15" s="699" t="n">
        <v>200</v>
      </c>
      <c r="EK15" s="697">
        <f>CJ15</f>
        <v/>
      </c>
      <c r="EL15" s="697" t="n">
        <v>1</v>
      </c>
      <c r="EM15" s="697" t="n">
        <v>1</v>
      </c>
      <c r="EN15" s="697" t="n">
        <v>1</v>
      </c>
      <c r="EO15" s="697" t="n">
        <v>0</v>
      </c>
      <c r="EP15" s="697" t="n"/>
      <c r="EQ15" s="697" t="n"/>
      <c r="ER15" s="699" t="n"/>
      <c r="ES15" s="699" t="n"/>
      <c r="ET15" s="431">
        <f>ER15+IF(NOT(ISBLANK(OFFSET(ET15,0,6))),N(OFFSET(ET15,0,6)),N(OFFSET(ET15,0,7)))-ES15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2</v>
      </c>
      <c r="E16" s="2" t="n"/>
      <c r="F16" s="136" t="n">
        <v>2</v>
      </c>
      <c r="G16" s="136">
        <f>2+EC16</f>
        <v/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 t="n">
        <v>2</v>
      </c>
      <c r="Q16" s="136" t="n">
        <v>2</v>
      </c>
      <c r="R16" s="136" t="n">
        <v>2</v>
      </c>
      <c r="S16" s="136" t="n">
        <v>2</v>
      </c>
      <c r="T16" s="136" t="n">
        <v>5</v>
      </c>
      <c r="U16" s="136" t="n">
        <v>5</v>
      </c>
      <c r="V16" s="136" t="n">
        <v>5</v>
      </c>
      <c r="W16" s="136" t="n">
        <v>5</v>
      </c>
      <c r="X16" s="136" t="n">
        <v>5</v>
      </c>
      <c r="Y16" s="136" t="n">
        <v>5</v>
      </c>
      <c r="Z16" s="136" t="n">
        <v>4</v>
      </c>
      <c r="AA16" s="136" t="n">
        <v>3</v>
      </c>
      <c r="AB16" s="136" t="n">
        <v>3</v>
      </c>
      <c r="AC16" s="136" t="n">
        <v>3</v>
      </c>
      <c r="AD16" s="136" t="n">
        <v>1</v>
      </c>
      <c r="AE16" s="136" t="n">
        <v>3</v>
      </c>
      <c r="AF16" s="136" t="n">
        <v>3</v>
      </c>
      <c r="AG16" s="136" t="n">
        <v>2</v>
      </c>
      <c r="AH16" s="136" t="n">
        <v>2</v>
      </c>
      <c r="AI16" s="136" t="n">
        <v>2</v>
      </c>
      <c r="AJ16" s="136" t="n">
        <v>2</v>
      </c>
      <c r="AK16" s="136" t="n">
        <v>2</v>
      </c>
      <c r="AL16" s="136" t="n">
        <v>1</v>
      </c>
      <c r="AM16" s="136">
        <f>1+DB16</f>
        <v/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1</v>
      </c>
      <c r="AS16" s="136">
        <f>1+CX16</f>
        <v/>
      </c>
      <c r="AT16" s="136" t="n">
        <v>1</v>
      </c>
      <c r="AU16" s="136" t="n">
        <v>1</v>
      </c>
      <c r="AV16" s="136" t="n">
        <v>1</v>
      </c>
      <c r="AW16" s="136" t="n">
        <v>1</v>
      </c>
      <c r="AX16" s="136" t="n">
        <v>1</v>
      </c>
      <c r="AY16" s="136" t="n">
        <v>1</v>
      </c>
      <c r="AZ16" s="136">
        <f>1+CT16</f>
        <v/>
      </c>
      <c r="BA16" s="136" t="n">
        <v>2</v>
      </c>
      <c r="BB16" s="136" t="n">
        <v>2</v>
      </c>
      <c r="BC16" s="136" t="n">
        <v>1</v>
      </c>
      <c r="BD16" s="136" t="n">
        <v>1</v>
      </c>
      <c r="BE16" s="136" t="n">
        <v>2</v>
      </c>
      <c r="BF16" s="136" t="n">
        <v>1</v>
      </c>
      <c r="BG16" s="136" t="n">
        <v>0</v>
      </c>
      <c r="BH16" s="136" t="n">
        <v>3</v>
      </c>
      <c r="BI16" s="136" t="n">
        <v>2</v>
      </c>
      <c r="BJ16" s="136">
        <f>2+CO16</f>
        <v/>
      </c>
      <c r="BK16" s="136" t="n">
        <v>3</v>
      </c>
      <c r="BL16" s="136" t="n">
        <v>3</v>
      </c>
      <c r="BM16" s="136" t="n">
        <v>2</v>
      </c>
      <c r="BN16" s="136">
        <f>2+CL16</f>
        <v/>
      </c>
      <c r="BO16" s="136" t="n">
        <v>2</v>
      </c>
      <c r="BP16" s="136" t="n">
        <v>2</v>
      </c>
      <c r="BQ16" s="136" t="n">
        <v>1</v>
      </c>
      <c r="BR16" s="136" t="n">
        <v>1</v>
      </c>
      <c r="BS16" s="136" t="n">
        <v>1</v>
      </c>
      <c r="BT16" s="136" t="n">
        <v>1</v>
      </c>
      <c r="BU16" s="136" t="n">
        <v>1</v>
      </c>
      <c r="BV16" s="136" t="n">
        <v>0</v>
      </c>
      <c r="BW16" s="136" t="n">
        <v>0</v>
      </c>
      <c r="BX16" s="136">
        <f>0+CH16</f>
        <v/>
      </c>
      <c r="BY16" s="136" t="n">
        <v>0</v>
      </c>
      <c r="BZ16" s="136" t="n"/>
      <c r="CA16" s="789" t="n"/>
      <c r="CB16" s="789" t="n"/>
      <c r="CC16" s="192">
        <f>CA16+IF(NOT(ISBLANK(OFFSET(CC16,0,6))),N(OFFSET(CC16,0,6)),N(OFFSET(CC16,0,7)))-CB16</f>
        <v/>
      </c>
      <c r="CD16" s="4" t="n"/>
      <c r="CE16" s="22" t="n">
        <v>2</v>
      </c>
      <c r="CF16" s="4" t="n"/>
      <c r="CG16" s="27" t="n"/>
      <c r="CH16" s="23" t="n">
        <v>0</v>
      </c>
      <c r="CI16" s="23" t="n">
        <v>0</v>
      </c>
      <c r="CJ16" s="23" t="n">
        <v>2</v>
      </c>
      <c r="CK16" s="23" t="n"/>
      <c r="CL16" s="23" t="n"/>
      <c r="CM16" s="23" t="n"/>
      <c r="CN16" s="23" t="n">
        <v>1</v>
      </c>
      <c r="CO16" s="23" t="n"/>
      <c r="CP16" s="23" t="n"/>
      <c r="CQ16" s="23" t="n">
        <v>1</v>
      </c>
      <c r="CR16" s="23" t="n"/>
      <c r="CS16" s="23" t="n">
        <v>3</v>
      </c>
      <c r="CT16" s="23" t="n"/>
      <c r="CU16" s="23" t="n">
        <v>2</v>
      </c>
      <c r="CV16" s="23" t="n">
        <v>2</v>
      </c>
      <c r="CW16" s="23" t="n">
        <v>1</v>
      </c>
      <c r="CX16" s="219" t="n"/>
      <c r="CY16" s="23" t="n"/>
      <c r="CZ16" s="23" t="n">
        <v>1</v>
      </c>
      <c r="DA16" s="23" t="n"/>
      <c r="DB16" s="219" t="n"/>
      <c r="DC16" s="23" t="n"/>
      <c r="DD16" s="23" t="n">
        <v>2</v>
      </c>
      <c r="DE16" s="23" t="n"/>
      <c r="DF16" s="219" t="n"/>
      <c r="DG16" s="219" t="n"/>
      <c r="DH16" s="23" t="n"/>
      <c r="DI16" s="219" t="n"/>
      <c r="DJ16" s="23" t="n"/>
      <c r="DK16" s="23" t="n"/>
      <c r="DL16" s="219" t="n"/>
      <c r="DM16" s="23" t="n"/>
      <c r="DN16" s="23" t="n">
        <v>2</v>
      </c>
      <c r="DO16" s="23" t="n"/>
      <c r="DP16" s="219" t="n"/>
      <c r="DQ16" s="219" t="n"/>
      <c r="DR16" s="219" t="n"/>
      <c r="DS16" s="219" t="n"/>
      <c r="DT16" s="23" t="n">
        <v>4</v>
      </c>
      <c r="DU16" s="219" t="n"/>
      <c r="DV16" s="219" t="n">
        <v>300</v>
      </c>
      <c r="DW16" s="23" t="n"/>
      <c r="DX16" s="23" t="n"/>
      <c r="DY16" s="23" t="n"/>
      <c r="DZ16" s="23" t="n"/>
      <c r="EA16" s="23" t="n"/>
      <c r="EB16" s="23" t="n"/>
      <c r="EC16" s="23" t="n"/>
      <c r="ED16" s="23" t="n"/>
      <c r="EE16" s="23" t="n">
        <v>3</v>
      </c>
      <c r="EF16" s="219" t="n"/>
      <c r="EG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216" t="n">
        <v>2</v>
      </c>
      <c r="G17" s="216">
        <f>2+EC17</f>
        <v/>
      </c>
      <c r="H17" s="216" t="n">
        <v>3</v>
      </c>
      <c r="I17" s="216" t="n">
        <v>3</v>
      </c>
      <c r="J17" s="216" t="n">
        <v>3</v>
      </c>
      <c r="K17" s="216" t="n">
        <v>3</v>
      </c>
      <c r="L17" s="216" t="n">
        <v>3</v>
      </c>
      <c r="M17" s="216" t="n">
        <v>3</v>
      </c>
      <c r="N17" s="216" t="n">
        <v>3</v>
      </c>
      <c r="O17" s="216" t="n">
        <v>3</v>
      </c>
      <c r="P17" s="216" t="n">
        <v>3</v>
      </c>
      <c r="Q17" s="216" t="n">
        <v>2</v>
      </c>
      <c r="R17" s="216">
        <f>1+DU17</f>
        <v/>
      </c>
      <c r="S17" s="216" t="n">
        <v>2</v>
      </c>
      <c r="T17" s="216" t="n">
        <v>2</v>
      </c>
      <c r="U17" s="216" t="n">
        <v>2</v>
      </c>
      <c r="V17" s="216" t="n">
        <v>2</v>
      </c>
      <c r="W17" s="216" t="n">
        <v>2</v>
      </c>
      <c r="X17" s="216" t="n">
        <v>2</v>
      </c>
      <c r="Y17" s="216" t="n">
        <v>2</v>
      </c>
      <c r="Z17" s="216" t="n">
        <v>2</v>
      </c>
      <c r="AA17" s="216" t="n">
        <v>1</v>
      </c>
      <c r="AB17" s="216" t="n">
        <v>1</v>
      </c>
      <c r="AC17" s="216" t="n">
        <v>3</v>
      </c>
      <c r="AD17" s="216" t="n">
        <v>3</v>
      </c>
      <c r="AE17" s="216" t="n">
        <v>3</v>
      </c>
      <c r="AF17" s="216" t="n">
        <v>2</v>
      </c>
      <c r="AG17" s="216" t="n">
        <v>2</v>
      </c>
      <c r="AH17" s="216" t="n">
        <v>2</v>
      </c>
      <c r="AI17" s="216" t="n">
        <v>2</v>
      </c>
      <c r="AJ17" s="216" t="n">
        <v>2</v>
      </c>
      <c r="AK17" s="216" t="n">
        <v>2</v>
      </c>
      <c r="AL17" s="216" t="n">
        <v>2</v>
      </c>
      <c r="AM17" s="216" t="n">
        <v>2</v>
      </c>
      <c r="AN17" s="216" t="n">
        <v>2</v>
      </c>
      <c r="AO17" s="216" t="n">
        <v>1</v>
      </c>
      <c r="AP17" s="216" t="n">
        <v>1</v>
      </c>
      <c r="AQ17" s="216" t="n">
        <v>1</v>
      </c>
      <c r="AR17" s="216" t="n">
        <v>1</v>
      </c>
      <c r="AS17" s="216">
        <f>1+CX17</f>
        <v/>
      </c>
      <c r="AT17" s="216" t="n">
        <v>1</v>
      </c>
      <c r="AU17" s="216" t="n">
        <v>1</v>
      </c>
      <c r="AV17" s="216" t="n">
        <v>1</v>
      </c>
      <c r="AW17" s="216" t="n">
        <v>0</v>
      </c>
      <c r="AX17" s="216" t="n">
        <v>0</v>
      </c>
      <c r="AY17" s="216" t="n">
        <v>0</v>
      </c>
      <c r="AZ17" s="216">
        <f>0+CT17</f>
        <v/>
      </c>
      <c r="BA17" s="216" t="n">
        <v>2</v>
      </c>
      <c r="BB17" s="216" t="n">
        <v>2</v>
      </c>
      <c r="BC17" s="216" t="n">
        <v>2</v>
      </c>
      <c r="BD17" s="216" t="n">
        <v>2</v>
      </c>
      <c r="BE17" s="216" t="n">
        <v>2</v>
      </c>
      <c r="BF17" s="216" t="n">
        <v>2</v>
      </c>
      <c r="BG17" s="216" t="n">
        <v>2</v>
      </c>
      <c r="BH17" s="216" t="n">
        <v>2</v>
      </c>
      <c r="BI17" s="216" t="n">
        <v>2</v>
      </c>
      <c r="BJ17" s="216" t="n">
        <v>2</v>
      </c>
      <c r="BK17" s="216" t="n">
        <v>2</v>
      </c>
      <c r="BL17" s="216" t="n">
        <v>2</v>
      </c>
      <c r="BM17" s="216" t="n">
        <v>1</v>
      </c>
      <c r="BN17" s="216">
        <f>1+CL17</f>
        <v/>
      </c>
      <c r="BO17" s="216" t="n">
        <v>2</v>
      </c>
      <c r="BP17" s="216" t="n">
        <v>2</v>
      </c>
      <c r="BQ17" s="216" t="n">
        <v>1</v>
      </c>
      <c r="BR17" s="216" t="n">
        <v>1</v>
      </c>
      <c r="BS17" s="216" t="n">
        <v>1</v>
      </c>
      <c r="BT17" s="216" t="n">
        <v>1</v>
      </c>
      <c r="BU17" s="216" t="n">
        <v>1</v>
      </c>
      <c r="BV17" s="216" t="n">
        <v>1</v>
      </c>
      <c r="BW17" s="216" t="n">
        <v>1</v>
      </c>
      <c r="BX17" s="216" t="n">
        <v>1</v>
      </c>
      <c r="BY17" s="216" t="n">
        <v>0</v>
      </c>
      <c r="BZ17" s="216" t="n"/>
      <c r="CA17" s="790" t="n"/>
      <c r="CB17" s="790" t="n"/>
      <c r="CC17" s="198">
        <f>CA17+IF(NOT(ISBLANK(OFFSET(CC17,0,6))),N(OFFSET(CC17,0,6)),N(OFFSET(CC17,0,7)))-CB17</f>
        <v/>
      </c>
      <c r="CD17" s="4" t="n"/>
      <c r="CE17" s="22" t="n">
        <v>1</v>
      </c>
      <c r="CF17" s="4" t="n"/>
      <c r="CG17" s="27" t="n"/>
      <c r="CH17" s="23" t="n">
        <v>0</v>
      </c>
      <c r="CI17" s="23" t="n">
        <v>0</v>
      </c>
      <c r="CJ17" s="23" t="n">
        <v>0</v>
      </c>
      <c r="CK17" s="23" t="n"/>
      <c r="CL17" s="23" t="n"/>
      <c r="CM17" s="23" t="n"/>
      <c r="CN17" s="23" t="n">
        <v>1</v>
      </c>
      <c r="CO17" s="23" t="n"/>
      <c r="CP17" s="23" t="n"/>
      <c r="CQ17" s="23" t="n"/>
      <c r="CR17" s="23" t="n"/>
      <c r="CS17" s="23" t="n"/>
      <c r="CT17" s="23" t="n"/>
      <c r="CU17" s="23" t="n"/>
      <c r="CV17" s="23" t="n">
        <v>2</v>
      </c>
      <c r="CW17" s="23" t="n">
        <v>1</v>
      </c>
      <c r="CX17" s="219" t="n"/>
      <c r="CY17" s="23" t="n"/>
      <c r="CZ17" s="23" t="n">
        <v>1</v>
      </c>
      <c r="DA17" s="23" t="n"/>
      <c r="DB17" s="219" t="n"/>
      <c r="DC17" s="23" t="n"/>
      <c r="DD17" s="23" t="n"/>
      <c r="DE17" s="23" t="n"/>
      <c r="DF17" s="219" t="n"/>
      <c r="DG17" s="219" t="n"/>
      <c r="DH17" s="23" t="n"/>
      <c r="DI17" s="219" t="n"/>
      <c r="DJ17" s="23" t="n"/>
      <c r="DK17" s="23" t="n"/>
      <c r="DL17" s="219" t="n"/>
      <c r="DM17" s="23" t="n"/>
      <c r="DN17" s="23" t="n"/>
      <c r="DO17" s="23" t="n"/>
      <c r="DP17" s="219" t="n"/>
      <c r="DQ17" s="219" t="n"/>
      <c r="DR17" s="219" t="n"/>
      <c r="DS17" s="219" t="n"/>
      <c r="DT17" s="23" t="n"/>
      <c r="DU17" s="219" t="n"/>
      <c r="DV17" s="219" t="n"/>
      <c r="DW17" s="23" t="n">
        <v>2</v>
      </c>
      <c r="DX17" s="23" t="n"/>
      <c r="DY17" s="23" t="n"/>
      <c r="DZ17" s="23" t="n"/>
      <c r="EA17" s="23" t="n"/>
      <c r="EB17" s="23" t="n"/>
      <c r="EC17" s="23" t="n"/>
      <c r="ED17" s="23" t="n"/>
      <c r="EE17" s="23" t="n">
        <v>1</v>
      </c>
      <c r="EF17" s="219" t="n"/>
      <c r="EG17" s="23" t="n"/>
    </row>
    <row r="18" ht="14.25" customFormat="1" customHeight="1" s="3">
      <c r="A18" s="35" t="n"/>
      <c r="C18" s="763" t="n"/>
      <c r="D18" s="450" t="n"/>
      <c r="F18" s="139" t="n"/>
      <c r="G18" s="139" t="n"/>
      <c r="H18" s="139" t="n"/>
      <c r="I18" s="139" t="n"/>
      <c r="J18" s="139" t="n"/>
      <c r="K18" s="139" t="n"/>
      <c r="L18" s="139" t="n"/>
      <c r="M18" s="139" t="n"/>
      <c r="N18" s="139" t="n"/>
      <c r="O18" s="139" t="n"/>
      <c r="P18" s="139" t="n"/>
      <c r="Q18" s="139" t="n"/>
      <c r="R18" s="139" t="n"/>
      <c r="S18" s="139" t="n"/>
      <c r="T18" s="139" t="n"/>
      <c r="U18" s="139" t="n"/>
      <c r="V18" s="139" t="n"/>
      <c r="W18" s="139" t="n"/>
      <c r="X18" s="139" t="n"/>
      <c r="Y18" s="139" t="n"/>
      <c r="Z18" s="139" t="n"/>
      <c r="AA18" s="139" t="n"/>
      <c r="AB18" s="139" t="n"/>
      <c r="AC18" s="139" t="n"/>
      <c r="AD18" s="139" t="n"/>
      <c r="AE18" s="139" t="n"/>
      <c r="AF18" s="139" t="n"/>
      <c r="AG18" s="139" t="n"/>
      <c r="AH18" s="139" t="n"/>
      <c r="AI18" s="139" t="n"/>
      <c r="AJ18" s="139" t="n"/>
      <c r="AK18" s="139" t="n"/>
      <c r="AL18" s="139" t="n"/>
      <c r="AM18" s="139" t="n"/>
      <c r="AN18" s="139" t="n"/>
      <c r="AO18" s="139" t="n"/>
      <c r="AP18" s="139" t="n"/>
      <c r="AQ18" s="139" t="n"/>
      <c r="AR18" s="139" t="n"/>
      <c r="AS18" s="139" t="n"/>
      <c r="AT18" s="139" t="n"/>
      <c r="AU18" s="139" t="n"/>
      <c r="AV18" s="139" t="n"/>
      <c r="AW18" s="139" t="n"/>
      <c r="AX18" s="139" t="n"/>
      <c r="AY18" s="139" t="n"/>
      <c r="AZ18" s="139" t="n"/>
      <c r="BA18" s="139" t="n"/>
      <c r="BB18" s="139" t="n"/>
      <c r="BC18" s="139" t="n"/>
      <c r="BD18" s="139" t="n"/>
      <c r="BE18" s="139" t="n"/>
      <c r="BF18" s="139" t="n"/>
      <c r="BG18" s="139" t="n"/>
      <c r="BH18" s="139" t="n"/>
      <c r="BI18" s="139" t="n"/>
      <c r="BJ18" s="139" t="n"/>
      <c r="BK18" s="139" t="n"/>
      <c r="BL18" s="139" t="n"/>
      <c r="BM18" s="139" t="n"/>
      <c r="BN18" s="139" t="n"/>
      <c r="BO18" s="139" t="n"/>
      <c r="BP18" s="139" t="n"/>
      <c r="BQ18" s="139" t="n"/>
      <c r="BR18" s="139" t="n"/>
      <c r="BS18" s="139" t="n"/>
      <c r="BT18" s="139" t="n"/>
      <c r="BU18" s="139" t="n"/>
      <c r="BV18" s="139" t="n"/>
      <c r="BW18" s="139" t="n"/>
      <c r="BX18" s="139" t="n"/>
      <c r="BY18" s="139" t="n"/>
      <c r="BZ18" s="139" t="n"/>
      <c r="CA18" s="791" t="n"/>
      <c r="CB18" s="791" t="n"/>
      <c r="CC18" s="140" t="n"/>
      <c r="CE18" s="26" t="n"/>
      <c r="CG18" s="28" t="n"/>
      <c r="CL18" s="250" t="n"/>
      <c r="DB18" s="372" t="n"/>
      <c r="DF18" s="250" t="n"/>
      <c r="DG18" s="250" t="n"/>
      <c r="DI18" s="250" t="n"/>
      <c r="DL18" s="250" t="n"/>
      <c r="DP18" s="19" t="n"/>
      <c r="DQ18" s="372" t="n"/>
      <c r="DR18" s="372" t="n"/>
      <c r="DS18" s="19" t="n"/>
      <c r="DU18" s="19" t="n"/>
      <c r="DV18" s="19" t="n"/>
      <c r="EF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46161.48024017361</v>
      </c>
      <c r="CB19" s="747" t="n">
        <v>46161.48089834778</v>
      </c>
      <c r="CC19" s="748" t="inlineStr">
        <is>
          <t>USOU</t>
        </is>
      </c>
      <c r="CD19" s="4" t="n"/>
      <c r="CE19" s="44" t="inlineStr">
        <is>
          <t>Pendências</t>
        </is>
      </c>
      <c r="CF19" s="5" t="n"/>
      <c r="CG19" s="12" t="inlineStr">
        <is>
          <t>Novo Pedido</t>
        </is>
      </c>
      <c r="CH19" s="761" t="n">
        <v>46161.48089768025</v>
      </c>
      <c r="CI19" s="734" t="n">
        <v>46156</v>
      </c>
      <c r="CJ19" s="734" t="n">
        <v>46142</v>
      </c>
      <c r="CK19" s="734" t="n">
        <v>46114</v>
      </c>
      <c r="CL19" s="735" t="n">
        <v>46065</v>
      </c>
      <c r="CM19" s="734" t="n">
        <v>46092</v>
      </c>
      <c r="CN19" s="734" t="n">
        <v>46071</v>
      </c>
      <c r="CO19" s="736" t="n">
        <v>46067</v>
      </c>
      <c r="CP19" s="734" t="n">
        <v>46056</v>
      </c>
      <c r="CQ19" s="734" t="n">
        <v>46043</v>
      </c>
      <c r="CR19" s="734" t="n">
        <v>46029</v>
      </c>
      <c r="CS19" s="734" t="n">
        <v>46024</v>
      </c>
      <c r="CT19" s="734" t="n">
        <v>46007</v>
      </c>
      <c r="CU19" s="734" t="n">
        <v>46001</v>
      </c>
      <c r="CV19" s="734" t="n">
        <v>45973</v>
      </c>
      <c r="CW19" s="734" t="n">
        <v>45960</v>
      </c>
      <c r="CX19" s="737" t="n">
        <v>45903</v>
      </c>
      <c r="CY19" s="734" t="n">
        <v>45923</v>
      </c>
      <c r="CZ19" s="734" t="n">
        <v>45923</v>
      </c>
      <c r="DA19" s="734" t="n">
        <v>45895</v>
      </c>
      <c r="DB19" s="754" t="n">
        <v>45923</v>
      </c>
      <c r="DC19" s="734" t="n">
        <v>45888</v>
      </c>
      <c r="DD19" s="734" t="n">
        <v>45881</v>
      </c>
      <c r="DE19" s="734" t="n">
        <v>45874</v>
      </c>
      <c r="DF19" s="739" t="n">
        <v>45861</v>
      </c>
      <c r="DG19" s="739" t="n">
        <v>45861</v>
      </c>
      <c r="DH19" s="734" t="n">
        <v>45848</v>
      </c>
      <c r="DI19" s="739" t="n">
        <v>45852</v>
      </c>
      <c r="DJ19" s="734" t="n">
        <v>45839</v>
      </c>
      <c r="DK19" s="736" t="n">
        <v>45842</v>
      </c>
      <c r="DL19" s="739" t="n">
        <v>45791</v>
      </c>
      <c r="DM19" s="734" t="n">
        <v>45832</v>
      </c>
      <c r="DN19" s="734" t="n">
        <v>45825</v>
      </c>
      <c r="DO19" s="734" t="n">
        <v>45813</v>
      </c>
      <c r="DP19" s="740" t="n">
        <v>45806</v>
      </c>
      <c r="DQ19" s="755" t="n">
        <v>45805</v>
      </c>
      <c r="DR19" s="742" t="n">
        <v>45735</v>
      </c>
      <c r="DS19" s="740" t="n">
        <v>45754</v>
      </c>
      <c r="DT19" s="734" t="n">
        <v>45743</v>
      </c>
      <c r="DU19" s="740" t="n">
        <v>45750</v>
      </c>
      <c r="DV19" s="740" t="n">
        <v>45700</v>
      </c>
      <c r="DW19" s="734" t="n">
        <v>45734</v>
      </c>
      <c r="DX19" s="734" t="n">
        <v>45728</v>
      </c>
      <c r="DY19" s="736" t="n">
        <v>45728</v>
      </c>
      <c r="DZ19" s="734" t="n">
        <v>45722</v>
      </c>
      <c r="EA19" s="734" t="n">
        <v>45699</v>
      </c>
      <c r="EB19" s="736" t="n">
        <v>45693</v>
      </c>
      <c r="EC19" s="734" t="n">
        <v>45685</v>
      </c>
      <c r="ED19" s="736" t="n">
        <v>45670</v>
      </c>
      <c r="EE19" s="734" t="n">
        <v>45660</v>
      </c>
      <c r="EF19" s="744" t="n">
        <v>45663</v>
      </c>
      <c r="EG19" s="734" t="n">
        <v>45643</v>
      </c>
      <c r="EI19" s="304" t="inlineStr">
        <is>
          <t>CAIXAS</t>
        </is>
      </c>
      <c r="EJ19" s="235" t="inlineStr">
        <is>
          <t>PCT</t>
        </is>
      </c>
      <c r="EK19" s="746" t="n">
        <v>46118</v>
      </c>
      <c r="EL19" s="746" t="n">
        <v>46125</v>
      </c>
      <c r="EM19" s="746" t="n">
        <v>46132</v>
      </c>
      <c r="EN19" s="746" t="n">
        <v>46139</v>
      </c>
      <c r="EO19" s="746" t="n">
        <v>46146</v>
      </c>
      <c r="EP19" s="746" t="n">
        <v>46154</v>
      </c>
      <c r="EQ19" s="746" t="n">
        <v>46160</v>
      </c>
      <c r="ER19" s="747" t="n">
        <v>46161.4802397338</v>
      </c>
      <c r="ES19" s="747" t="n">
        <v>46161.48089789216</v>
      </c>
      <c r="ET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60</v>
      </c>
      <c r="E20" s="2" t="n"/>
      <c r="F20" s="697" t="n">
        <v>144</v>
      </c>
      <c r="G20" s="697" t="n">
        <v>144</v>
      </c>
      <c r="H20" s="697" t="n">
        <v>143</v>
      </c>
      <c r="I20" s="697" t="n">
        <v>143</v>
      </c>
      <c r="J20" s="697" t="n">
        <v>140</v>
      </c>
      <c r="K20" s="697" t="n">
        <v>135</v>
      </c>
      <c r="L20" s="697" t="n">
        <v>128</v>
      </c>
      <c r="M20" s="697" t="n">
        <v>121</v>
      </c>
      <c r="N20" s="697" t="n">
        <v>116</v>
      </c>
      <c r="O20" s="697" t="n">
        <v>111</v>
      </c>
      <c r="P20" s="697" t="n">
        <v>111</v>
      </c>
      <c r="Q20" s="697" t="n">
        <v>111</v>
      </c>
      <c r="R20" s="697" t="n">
        <v>106</v>
      </c>
      <c r="S20" s="697" t="n">
        <v>99</v>
      </c>
      <c r="T20" s="697" t="n">
        <v>97</v>
      </c>
      <c r="U20" s="697" t="n">
        <v>89</v>
      </c>
      <c r="V20" s="697" t="n">
        <v>89</v>
      </c>
      <c r="W20" s="697" t="n">
        <v>89</v>
      </c>
      <c r="X20" s="697" t="n">
        <v>88</v>
      </c>
      <c r="Y20" s="697" t="n">
        <v>89</v>
      </c>
      <c r="Z20" s="697" t="n">
        <v>88</v>
      </c>
      <c r="AA20" s="697" t="n">
        <v>88</v>
      </c>
      <c r="AB20" s="697" t="n">
        <v>85</v>
      </c>
      <c r="AC20" s="697" t="n">
        <v>77</v>
      </c>
      <c r="AD20" s="697" t="n">
        <v>36</v>
      </c>
      <c r="AE20" s="697" t="n">
        <v>174</v>
      </c>
      <c r="AF20" s="697" t="n">
        <v>169</v>
      </c>
      <c r="AG20" s="697" t="n">
        <v>148</v>
      </c>
      <c r="AH20" s="697" t="n">
        <v>158</v>
      </c>
      <c r="AI20" s="697" t="n">
        <v>140</v>
      </c>
      <c r="AJ20" s="697" t="n">
        <v>131</v>
      </c>
      <c r="AK20" s="697" t="n">
        <v>128</v>
      </c>
      <c r="AL20" s="697" t="n">
        <v>128</v>
      </c>
      <c r="AM20" s="697" t="n">
        <v>113</v>
      </c>
      <c r="AN20" s="697" t="n">
        <v>105</v>
      </c>
      <c r="AO20" s="697" t="n">
        <v>99</v>
      </c>
      <c r="AP20" s="697" t="n">
        <v>85</v>
      </c>
      <c r="AQ20" s="697" t="n">
        <v>70</v>
      </c>
      <c r="AR20" s="697" t="n">
        <v>59</v>
      </c>
      <c r="AS20" s="697" t="n">
        <v>195</v>
      </c>
      <c r="AT20" s="697" t="n">
        <v>185</v>
      </c>
      <c r="AU20" s="697" t="n">
        <v>160</v>
      </c>
      <c r="AV20" s="697" t="n">
        <v>147</v>
      </c>
      <c r="AW20" s="697" t="n">
        <v>137</v>
      </c>
      <c r="AX20" s="697" t="n">
        <v>130</v>
      </c>
      <c r="AY20" s="697" t="n">
        <v>128</v>
      </c>
      <c r="AZ20" s="697" t="n">
        <v>115</v>
      </c>
      <c r="BA20" s="697" t="n">
        <v>110</v>
      </c>
      <c r="BB20" s="697" t="n">
        <v>106</v>
      </c>
      <c r="BC20" s="697" t="n">
        <v>114</v>
      </c>
      <c r="BD20" s="697" t="n">
        <v>107</v>
      </c>
      <c r="BE20" s="697" t="n">
        <v>107</v>
      </c>
      <c r="BF20" s="697" t="n">
        <v>103</v>
      </c>
      <c r="BG20" s="697" t="n">
        <v>115</v>
      </c>
      <c r="BH20" s="697" t="n">
        <v>109</v>
      </c>
      <c r="BI20" s="697" t="n">
        <v>93</v>
      </c>
      <c r="BJ20" s="697" t="n">
        <v>87</v>
      </c>
      <c r="BK20" s="697" t="n">
        <v>78</v>
      </c>
      <c r="BL20" s="697" t="n">
        <v>110</v>
      </c>
      <c r="BM20" s="697" t="n">
        <v>97</v>
      </c>
      <c r="BN20" s="697" t="n">
        <v>90</v>
      </c>
      <c r="BO20" s="697" t="n">
        <v>69</v>
      </c>
      <c r="BP20" s="697" t="n">
        <v>39</v>
      </c>
      <c r="BQ20" s="314" t="n">
        <v>76</v>
      </c>
      <c r="BR20" s="697" t="n">
        <v>45</v>
      </c>
      <c r="BS20" s="697" t="n">
        <v>21</v>
      </c>
      <c r="BT20" s="697" t="n"/>
      <c r="BU20" s="697" t="n"/>
      <c r="BV20" s="697" t="n"/>
      <c r="BW20" s="697" t="n">
        <v>160</v>
      </c>
      <c r="BX20" s="697" t="n">
        <v>155</v>
      </c>
      <c r="BY20" s="697" t="n">
        <v>166</v>
      </c>
      <c r="BZ20" s="697" t="n">
        <v>166</v>
      </c>
      <c r="CA20" s="699" t="n">
        <v>166</v>
      </c>
      <c r="CB20" s="699" t="n">
        <v>166</v>
      </c>
      <c r="CC20" s="192">
        <f>CA20+IF(NOT(ISBLANK(OFFSET(CC20,0,6))),N(OFFSET(CC20,0,6)),N(OFFSET(CC20,0,7)))-CB20</f>
        <v/>
      </c>
      <c r="CD20" s="4" t="n"/>
      <c r="CE20" s="22" t="n"/>
      <c r="CF20" s="4" t="n"/>
      <c r="CG20" s="27" t="n"/>
      <c r="CH20" s="23" t="n">
        <v>0</v>
      </c>
      <c r="CI20" s="23" t="n">
        <v>0</v>
      </c>
      <c r="CJ20" s="23" t="n">
        <v>0</v>
      </c>
      <c r="CK20" s="23" t="n">
        <v>150</v>
      </c>
      <c r="CL20" s="219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19" t="n"/>
      <c r="CY20" s="23" t="n"/>
      <c r="CZ20" s="23" t="n">
        <v>150</v>
      </c>
      <c r="DA20" s="23" t="n"/>
      <c r="DB20" s="219" t="n"/>
      <c r="DC20" s="23" t="n"/>
      <c r="DD20" s="23" t="n"/>
      <c r="DE20" s="23" t="n"/>
      <c r="DF20" s="219" t="n"/>
      <c r="DG20" s="219" t="n"/>
      <c r="DH20" s="23" t="n"/>
      <c r="DI20" s="219" t="n"/>
      <c r="DJ20" s="23" t="n"/>
      <c r="DK20" s="23" t="n"/>
      <c r="DL20" s="219" t="n"/>
      <c r="DM20" s="23" t="n"/>
      <c r="DN20" s="23" t="n">
        <v>150</v>
      </c>
      <c r="DO20" s="23" t="n"/>
      <c r="DP20" s="292" t="inlineStr">
        <is>
          <t>45 P/ SHN</t>
        </is>
      </c>
      <c r="DQ20" s="219" t="n"/>
      <c r="DR20" s="219" t="n"/>
      <c r="DS20" s="292" t="inlineStr">
        <is>
          <t>100 DE TDQ</t>
        </is>
      </c>
      <c r="DT20" s="23" t="n"/>
      <c r="DU20" s="219" t="n"/>
      <c r="DV20" s="219" t="n"/>
      <c r="DW20" s="23" t="n"/>
      <c r="DX20" s="23" t="n"/>
      <c r="DY20" s="23" t="n"/>
      <c r="DZ20" s="23" t="n"/>
      <c r="EA20" s="23" t="n"/>
      <c r="EB20" s="23" t="n"/>
      <c r="EC20" s="23" t="n"/>
      <c r="ED20" s="23" t="n"/>
      <c r="EE20" s="23" t="n"/>
      <c r="EF20" s="219" t="n"/>
      <c r="EG20" s="23" t="n"/>
      <c r="EI20" s="300" t="inlineStr">
        <is>
          <t>CAIXA P</t>
        </is>
      </c>
      <c r="EJ20" s="162" t="n">
        <v>150</v>
      </c>
      <c r="EK20" s="697" t="n">
        <v>0</v>
      </c>
      <c r="EL20" s="697" t="n"/>
      <c r="EM20" s="697" t="n"/>
      <c r="EN20" s="697" t="n">
        <v>43</v>
      </c>
      <c r="EO20" s="697" t="n">
        <v>38</v>
      </c>
      <c r="EP20" s="697" t="n">
        <v>21</v>
      </c>
      <c r="EQ20" s="697" t="n">
        <v>20</v>
      </c>
      <c r="ER20" s="699" t="n"/>
      <c r="ES20" s="699" t="n"/>
      <c r="ET20" s="431">
        <f>ER20+IF(NOT(ISBLANK(OFFSET(ET20,0,6))),N(OFFSET(ET20,0,6)),N(OFFSET(ET20,0,7)))-ES20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60</v>
      </c>
      <c r="E21" s="2" t="n"/>
      <c r="F21" s="697" t="n">
        <v>154</v>
      </c>
      <c r="G21" s="697" t="n">
        <v>155</v>
      </c>
      <c r="H21" s="697" t="n">
        <v>155</v>
      </c>
      <c r="I21" s="697" t="n">
        <v>153</v>
      </c>
      <c r="J21" s="697" t="n">
        <v>145</v>
      </c>
      <c r="K21" s="697">
        <f>129-70</f>
        <v/>
      </c>
      <c r="L21" s="697" t="n">
        <v>38</v>
      </c>
      <c r="M21" s="697" t="n">
        <v>128</v>
      </c>
      <c r="N21" s="697" t="n">
        <v>115</v>
      </c>
      <c r="O21" s="697" t="n">
        <v>96</v>
      </c>
      <c r="P21" s="697">
        <f>67+DX21+87</f>
        <v/>
      </c>
      <c r="Q21" s="697">
        <f>241+87</f>
        <v/>
      </c>
      <c r="R21" s="697" t="n">
        <v>322</v>
      </c>
      <c r="S21" s="697">
        <f>311-82</f>
        <v/>
      </c>
      <c r="T21" s="697" t="n">
        <v>215</v>
      </c>
      <c r="U21" s="697" t="n">
        <v>207</v>
      </c>
      <c r="V21" s="697" t="n">
        <v>205</v>
      </c>
      <c r="W21" s="697" t="n">
        <v>204</v>
      </c>
      <c r="X21" s="697" t="n">
        <v>204</v>
      </c>
      <c r="Y21" s="697" t="n">
        <v>184</v>
      </c>
      <c r="Z21" s="697" t="n">
        <v>175</v>
      </c>
      <c r="AA21" s="697" t="n">
        <v>173</v>
      </c>
      <c r="AB21" s="697" t="n">
        <v>167</v>
      </c>
      <c r="AC21" s="697" t="n">
        <v>160</v>
      </c>
      <c r="AD21" s="697" t="n">
        <v>139</v>
      </c>
      <c r="AE21" s="697" t="n">
        <v>111</v>
      </c>
      <c r="AF21" s="697" t="n">
        <v>92</v>
      </c>
      <c r="AG21" s="697" t="n">
        <v>80</v>
      </c>
      <c r="AH21" s="697" t="n">
        <v>85</v>
      </c>
      <c r="AI21" s="697" t="n">
        <v>64</v>
      </c>
      <c r="AJ21" s="697" t="n">
        <v>53</v>
      </c>
      <c r="AK21" s="697" t="n">
        <v>38</v>
      </c>
      <c r="AL21" s="697" t="n">
        <v>83</v>
      </c>
      <c r="AM21" s="697" t="n">
        <v>53</v>
      </c>
      <c r="AN21" s="697" t="n">
        <v>127</v>
      </c>
      <c r="AO21" s="697" t="n">
        <v>109</v>
      </c>
      <c r="AP21" s="697" t="n">
        <v>117</v>
      </c>
      <c r="AQ21" s="697" t="n">
        <v>96</v>
      </c>
      <c r="AR21" s="697" t="n">
        <v>71</v>
      </c>
      <c r="AS21" s="697" t="n">
        <v>148</v>
      </c>
      <c r="AT21" s="697" t="n">
        <v>119</v>
      </c>
      <c r="AU21" s="697" t="n">
        <v>103</v>
      </c>
      <c r="AV21" s="697" t="n">
        <v>87</v>
      </c>
      <c r="AW21" s="697" t="n">
        <v>69</v>
      </c>
      <c r="AX21" s="697" t="n">
        <v>49</v>
      </c>
      <c r="AY21" s="314" t="n">
        <v>78</v>
      </c>
      <c r="AZ21" s="697" t="n">
        <v>69</v>
      </c>
      <c r="BA21" s="697" t="n">
        <v>11</v>
      </c>
      <c r="BB21" s="697" t="n">
        <v>8</v>
      </c>
      <c r="BC21" s="314" t="n">
        <v>64</v>
      </c>
      <c r="BD21" s="697" t="n">
        <v>63</v>
      </c>
      <c r="BE21" s="697" t="n">
        <v>62</v>
      </c>
      <c r="BF21" s="697" t="n">
        <v>62</v>
      </c>
      <c r="BG21" s="697" t="n">
        <v>64</v>
      </c>
      <c r="BH21" s="697" t="n">
        <v>63</v>
      </c>
      <c r="BI21" s="697" t="n">
        <v>62</v>
      </c>
      <c r="BJ21" s="697" t="n">
        <v>52</v>
      </c>
      <c r="BK21" s="697" t="n">
        <v>46</v>
      </c>
      <c r="BL21" s="697" t="n">
        <v>33</v>
      </c>
      <c r="BM21" s="697" t="n">
        <v>32</v>
      </c>
      <c r="BN21" s="697">
        <f>29+CL21</f>
        <v/>
      </c>
      <c r="BO21" s="697" t="n">
        <v>121</v>
      </c>
      <c r="BP21" s="697" t="n">
        <v>105</v>
      </c>
      <c r="BQ21" s="697" t="n">
        <v>103</v>
      </c>
      <c r="BR21" s="697" t="n">
        <v>73</v>
      </c>
      <c r="BS21" s="697" t="n">
        <v>72</v>
      </c>
      <c r="BT21" s="697" t="n"/>
      <c r="BU21" s="697" t="n"/>
      <c r="BV21" s="697" t="n"/>
      <c r="BW21" s="697" t="n">
        <v>70</v>
      </c>
      <c r="BX21" s="697" t="n">
        <v>70</v>
      </c>
      <c r="BY21" s="697" t="n">
        <v>68</v>
      </c>
      <c r="BZ21" s="697" t="n">
        <v>68</v>
      </c>
      <c r="CA21" s="699" t="n">
        <v>68</v>
      </c>
      <c r="CB21" s="699" t="n">
        <v>68</v>
      </c>
      <c r="CC21" s="192">
        <f>CA21+IF(NOT(ISBLANK(OFFSET(CC21,0,6))),N(OFFSET(CC21,0,6)),N(OFFSET(CC21,0,7)))-CB21</f>
        <v/>
      </c>
      <c r="CD21" s="4" t="n"/>
      <c r="CE21" s="22" t="n"/>
      <c r="CF21" s="4" t="n"/>
      <c r="CG21" s="27" t="n"/>
      <c r="CH21" s="23" t="n">
        <v>0</v>
      </c>
      <c r="CI21" s="23" t="n">
        <v>0</v>
      </c>
      <c r="CJ21" s="23" t="n">
        <v>0</v>
      </c>
      <c r="CK21" s="23" t="n"/>
      <c r="CL21" s="219" t="n"/>
      <c r="CM21" s="23" t="n"/>
      <c r="CN21" s="23" t="n">
        <v>100</v>
      </c>
      <c r="CO21" s="23" t="n"/>
      <c r="CP21" s="23" t="n"/>
      <c r="CQ21" s="23" t="n"/>
      <c r="CR21" s="23" t="n"/>
      <c r="CS21" s="23" t="n"/>
      <c r="CT21" s="23" t="n"/>
      <c r="CU21" s="23" t="n"/>
      <c r="CV21" s="23" t="n"/>
      <c r="CW21" s="23" t="n"/>
      <c r="CX21" s="219" t="n">
        <v>100</v>
      </c>
      <c r="CY21" s="23" t="n"/>
      <c r="CZ21" s="23" t="n">
        <v>100</v>
      </c>
      <c r="DA21" s="23" t="n"/>
      <c r="DB21" s="437" t="inlineStr">
        <is>
          <t>05 DE SHN</t>
        </is>
      </c>
      <c r="DC21" s="23" t="n">
        <v>100</v>
      </c>
      <c r="DD21" s="23" t="n"/>
      <c r="DE21" s="23" t="n">
        <v>100</v>
      </c>
      <c r="DF21" s="219" t="n"/>
      <c r="DG21" s="292" t="inlineStr">
        <is>
          <t>20 DE TTR</t>
        </is>
      </c>
      <c r="DH21" s="23" t="n"/>
      <c r="DI21" s="219" t="n"/>
      <c r="DJ21" s="23" t="n"/>
      <c r="DK21" s="23" t="n"/>
      <c r="DL21" s="219" t="n"/>
      <c r="DM21" s="23" t="n"/>
      <c r="DN21" s="23" t="n"/>
      <c r="DO21" s="23" t="n"/>
      <c r="DP21" s="219" t="n"/>
      <c r="DQ21" s="376" t="inlineStr">
        <is>
          <t>25 DE TTR</t>
        </is>
      </c>
      <c r="DR21" s="219" t="n"/>
      <c r="DS21" s="219" t="n"/>
      <c r="DT21" s="23" t="n"/>
      <c r="DU21" s="292" t="inlineStr">
        <is>
          <t>50 DE GV</t>
        </is>
      </c>
      <c r="DV21" s="219" t="n"/>
      <c r="DW21" s="23" t="n"/>
      <c r="DX21" s="23" t="n">
        <v>100</v>
      </c>
      <c r="DY21" s="282" t="inlineStr">
        <is>
          <t>87 - inve</t>
        </is>
      </c>
      <c r="DZ21" s="23" t="n">
        <v>100</v>
      </c>
      <c r="EA21" s="23" t="n">
        <v>100</v>
      </c>
      <c r="EB21" s="282" t="inlineStr">
        <is>
          <t>70 P/ SHN</t>
        </is>
      </c>
      <c r="EC21" s="23" t="n"/>
      <c r="ED21" s="23" t="n"/>
      <c r="EE21" s="23" t="n"/>
      <c r="EF21" s="260" t="inlineStr">
        <is>
          <t>54 P/ SHN</t>
        </is>
      </c>
      <c r="EG21" s="23" t="n"/>
      <c r="EI21" s="65" t="inlineStr">
        <is>
          <t>CAIXA M</t>
        </is>
      </c>
      <c r="EJ21" s="699" t="n">
        <v>100</v>
      </c>
      <c r="EK21" s="697" t="n">
        <v>0</v>
      </c>
      <c r="EL21" s="697" t="n"/>
      <c r="EM21" s="697" t="n"/>
      <c r="EN21" s="697" t="n">
        <v>43</v>
      </c>
      <c r="EO21" s="697" t="n">
        <v>41</v>
      </c>
      <c r="EP21" s="697" t="n">
        <v>9</v>
      </c>
      <c r="EQ21" s="697" t="n">
        <v>9</v>
      </c>
      <c r="ER21" s="699" t="n"/>
      <c r="ES21" s="699" t="n"/>
      <c r="ET21" s="431">
        <f>ER21+IF(NOT(ISBLANK(OFFSET(ET21,0,6))),N(OFFSET(ET21,0,6)),N(OFFSET(ET21,0,7)))-ES21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7</v>
      </c>
      <c r="G22" s="697" t="n">
        <v>14</v>
      </c>
      <c r="H22" s="697" t="n">
        <v>14</v>
      </c>
      <c r="I22" s="697" t="n">
        <v>14</v>
      </c>
      <c r="J22" s="697" t="n">
        <v>14</v>
      </c>
      <c r="K22" s="697" t="n">
        <v>12</v>
      </c>
      <c r="L22" s="697" t="n">
        <v>14</v>
      </c>
      <c r="M22" s="697" t="n">
        <v>14</v>
      </c>
      <c r="N22" s="697" t="n">
        <v>14</v>
      </c>
      <c r="O22" s="697" t="n">
        <v>14</v>
      </c>
      <c r="P22" s="697" t="n">
        <v>14</v>
      </c>
      <c r="Q22" s="697" t="n">
        <v>14</v>
      </c>
      <c r="R22" s="697" t="n">
        <v>14</v>
      </c>
      <c r="S22" s="697" t="n">
        <v>14</v>
      </c>
      <c r="T22" s="697" t="n">
        <v>10</v>
      </c>
      <c r="U22" s="697" t="n">
        <v>10</v>
      </c>
      <c r="V22" s="697" t="n">
        <v>10</v>
      </c>
      <c r="W22" s="697" t="n">
        <v>10</v>
      </c>
      <c r="X22" s="697" t="n">
        <v>5</v>
      </c>
      <c r="Y22" s="697" t="n">
        <v>4</v>
      </c>
      <c r="Z22" s="697" t="n">
        <v>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4</v>
      </c>
      <c r="AF22" s="697">
        <f>4+15</f>
        <v/>
      </c>
      <c r="AG22" s="697" t="n">
        <v>18</v>
      </c>
      <c r="AH22" s="697" t="n">
        <v>18</v>
      </c>
      <c r="AI22" s="697" t="n">
        <v>18</v>
      </c>
      <c r="AJ22" s="697" t="n">
        <v>18</v>
      </c>
      <c r="AK22" s="697" t="n">
        <v>18</v>
      </c>
      <c r="AL22" s="697" t="n">
        <v>18</v>
      </c>
      <c r="AM22" s="697" t="n">
        <v>18</v>
      </c>
      <c r="AN22" s="697" t="n">
        <v>18</v>
      </c>
      <c r="AO22" s="697" t="n">
        <v>18</v>
      </c>
      <c r="AP22" s="697" t="n">
        <v>18</v>
      </c>
      <c r="AQ22" s="697" t="n">
        <v>18</v>
      </c>
      <c r="AR22" s="697" t="n">
        <v>18</v>
      </c>
      <c r="AS22" s="697" t="n">
        <v>18</v>
      </c>
      <c r="AT22" s="697" t="n">
        <v>18</v>
      </c>
      <c r="AU22" s="697" t="n">
        <v>18</v>
      </c>
      <c r="AV22" s="697" t="n">
        <v>18</v>
      </c>
      <c r="AW22" s="697" t="n">
        <v>15</v>
      </c>
      <c r="AX22" s="697" t="n">
        <v>15</v>
      </c>
      <c r="AY22" s="697" t="n">
        <v>15</v>
      </c>
      <c r="AZ22" s="697" t="n">
        <v>15</v>
      </c>
      <c r="BA22" s="697" t="n">
        <v>15</v>
      </c>
      <c r="BB22" s="697" t="n">
        <v>15</v>
      </c>
      <c r="BC22" s="697" t="n">
        <v>15</v>
      </c>
      <c r="BD22" s="697" t="n">
        <v>15</v>
      </c>
      <c r="BE22" s="697" t="n">
        <v>15</v>
      </c>
      <c r="BF22" s="697" t="n">
        <v>15</v>
      </c>
      <c r="BG22" s="697" t="n">
        <v>15</v>
      </c>
      <c r="BH22" s="697" t="n">
        <v>15</v>
      </c>
      <c r="BI22" s="697" t="n">
        <v>8</v>
      </c>
      <c r="BJ22" s="697" t="n">
        <v>8</v>
      </c>
      <c r="BK22" s="697" t="n">
        <v>8</v>
      </c>
      <c r="BL22" s="697" t="n">
        <v>8</v>
      </c>
      <c r="BM22" s="697" t="n">
        <v>8</v>
      </c>
      <c r="BN22" s="697" t="n">
        <v>8</v>
      </c>
      <c r="BO22" s="697" t="n">
        <v>8</v>
      </c>
      <c r="BP22" s="697" t="n">
        <v>8</v>
      </c>
      <c r="BQ22" s="697" t="n">
        <v>8</v>
      </c>
      <c r="BR22" s="697" t="n">
        <v>8</v>
      </c>
      <c r="BS22" s="697" t="n">
        <v>8</v>
      </c>
      <c r="BT22" s="697" t="n">
        <v>8</v>
      </c>
      <c r="BU22" s="697" t="n">
        <v>8</v>
      </c>
      <c r="BV22" s="697" t="n">
        <v>8</v>
      </c>
      <c r="BW22" s="697" t="n">
        <v>8</v>
      </c>
      <c r="BX22" s="697" t="n">
        <v>8</v>
      </c>
      <c r="BY22" s="697" t="n">
        <v>8</v>
      </c>
      <c r="BZ22" s="697" t="n">
        <v>8</v>
      </c>
      <c r="CA22" s="699" t="n">
        <v>8</v>
      </c>
      <c r="CB22" s="699" t="n">
        <v>8</v>
      </c>
      <c r="CC22" s="192">
        <f>CA22+IF(NOT(ISBLANK(OFFSET(CC22,0,6))),N(OFFSET(CC22,0,6)),N(OFFSET(CC22,0,7)))-CB22</f>
        <v/>
      </c>
      <c r="CD22" s="4" t="n"/>
      <c r="CE22" s="22" t="n"/>
      <c r="CF22" s="4" t="n"/>
      <c r="CG22" s="27" t="n"/>
      <c r="CH22" s="23" t="n">
        <v>0</v>
      </c>
      <c r="CI22" s="23" t="n">
        <v>0</v>
      </c>
      <c r="CJ22" s="23" t="n">
        <v>0</v>
      </c>
      <c r="CK22" s="23" t="n"/>
      <c r="CL22" s="219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443" t="n">
        <v>200</v>
      </c>
      <c r="CY22" s="23" t="n"/>
      <c r="CZ22" s="23" t="n"/>
      <c r="DA22" s="23" t="n"/>
      <c r="DB22" s="219" t="n"/>
      <c r="DC22" s="23" t="n"/>
      <c r="DD22" s="23" t="n"/>
      <c r="DE22" s="23" t="n"/>
      <c r="DF22" s="219" t="n"/>
      <c r="DG22" s="219" t="n"/>
      <c r="DH22" s="23" t="n"/>
      <c r="DI22" s="219" t="n"/>
      <c r="DJ22" s="23" t="n"/>
      <c r="DK22" s="282" t="inlineStr">
        <is>
          <t>15 DE TTR</t>
        </is>
      </c>
      <c r="DL22" s="219" t="n"/>
      <c r="DM22" s="23" t="n"/>
      <c r="DN22" s="23" t="n"/>
      <c r="DO22" s="23" t="n"/>
      <c r="DP22" s="219" t="n"/>
      <c r="DQ22" s="376" t="inlineStr">
        <is>
          <t>50 DE TTR</t>
        </is>
      </c>
      <c r="DR22" s="219" t="n"/>
      <c r="DS22" s="219" t="n"/>
      <c r="DT22" s="23" t="n"/>
      <c r="DU22" s="219" t="n"/>
      <c r="DV22" s="219" t="n"/>
      <c r="DW22" s="23" t="n"/>
      <c r="DX22" s="23" t="n"/>
      <c r="DY22" s="23" t="n"/>
      <c r="DZ22" s="23" t="n"/>
      <c r="EA22" s="23" t="n"/>
      <c r="EB22" s="23" t="n"/>
      <c r="EC22" s="23" t="n"/>
      <c r="ED22" s="23" t="n"/>
      <c r="EE22" s="23" t="n"/>
      <c r="EF22" s="219" t="n"/>
      <c r="EG22" s="23" t="n"/>
      <c r="EI22" s="66" t="inlineStr">
        <is>
          <t>CARTUCHO P</t>
        </is>
      </c>
      <c r="EJ22" s="699" t="n">
        <v>200</v>
      </c>
      <c r="EK22" s="697" t="n">
        <v>0</v>
      </c>
      <c r="EL22" s="697" t="n"/>
      <c r="EM22" s="697" t="n"/>
      <c r="EN22" s="697" t="n">
        <v>88</v>
      </c>
      <c r="EO22" s="697" t="n">
        <v>80</v>
      </c>
      <c r="EP22" s="697" t="n">
        <v>27</v>
      </c>
      <c r="EQ22" s="697" t="n">
        <v>22</v>
      </c>
      <c r="ER22" s="699" t="n"/>
      <c r="ES22" s="699" t="n"/>
      <c r="ET22" s="431">
        <f>ER22+IF(NOT(ISBLANK(OFFSET(ET22,0,6))),N(OFFSET(ET22,0,6)),N(OFFSET(ET22,0,7)))-ES22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/>
      <c r="BI23" s="697" t="n"/>
      <c r="BJ23" s="697" t="n">
        <v>0</v>
      </c>
      <c r="BK23" s="697" t="n">
        <v>0</v>
      </c>
      <c r="BL23" s="697">
        <f>0+50</f>
        <v/>
      </c>
      <c r="BM23" s="697" t="n">
        <v>50</v>
      </c>
      <c r="BN23" s="697" t="n">
        <v>46</v>
      </c>
      <c r="BO23" s="697" t="n">
        <v>43</v>
      </c>
      <c r="BP23" s="697" t="n">
        <v>39</v>
      </c>
      <c r="BQ23" s="697" t="n">
        <v>37</v>
      </c>
      <c r="BR23" s="697" t="n">
        <v>35</v>
      </c>
      <c r="BS23" s="697" t="n">
        <v>33</v>
      </c>
      <c r="BT23" s="697" t="n"/>
      <c r="BU23" s="697" t="n"/>
      <c r="BV23" s="697" t="n"/>
      <c r="BW23" s="697" t="n">
        <v>23</v>
      </c>
      <c r="BX23" s="697" t="n">
        <v>23</v>
      </c>
      <c r="BY23" s="697" t="n">
        <v>23</v>
      </c>
      <c r="BZ23" s="697" t="n">
        <v>23</v>
      </c>
      <c r="CA23" s="699" t="n">
        <v>23</v>
      </c>
      <c r="CB23" s="699" t="n">
        <v>23</v>
      </c>
      <c r="CC23" s="192">
        <f>CA23+IF(NOT(ISBLANK(OFFSET(CC23,0,6))),N(OFFSET(CC23,0,6)),N(OFFSET(CC23,0,7)))-CB23</f>
        <v/>
      </c>
      <c r="CE23" s="22" t="n"/>
      <c r="CG23" s="27" t="n"/>
      <c r="CH23" s="757" t="n">
        <v>0</v>
      </c>
      <c r="CI23" s="23" t="n">
        <v>0</v>
      </c>
      <c r="CJ23" s="23" t="n">
        <v>0</v>
      </c>
      <c r="CK23" s="23" t="n"/>
      <c r="CL23" s="219" t="n">
        <v>150</v>
      </c>
      <c r="CM23" s="23" t="n"/>
      <c r="CN23" s="23" t="n"/>
      <c r="CO23" s="192" t="inlineStr">
        <is>
          <t>50 DE Q7</t>
        </is>
      </c>
      <c r="CP23" s="23" t="n"/>
      <c r="CQ23" s="23" t="n"/>
      <c r="CR23" s="23" t="n"/>
      <c r="CS23" s="23" t="n"/>
      <c r="CT23" s="23" t="n"/>
      <c r="CU23" s="23" t="n"/>
      <c r="CV23" s="29" t="n"/>
      <c r="CW23" s="29" t="n"/>
      <c r="CX23" s="326" t="n">
        <v>150</v>
      </c>
      <c r="CY23" s="29" t="n"/>
      <c r="CZ23" s="29" t="n"/>
      <c r="DA23" s="29" t="n"/>
      <c r="DB23" s="5" t="n"/>
      <c r="DC23" s="29" t="n"/>
      <c r="DD23" s="29" t="n"/>
      <c r="DE23" s="29" t="n"/>
      <c r="DF23" s="292" t="inlineStr">
        <is>
          <t>15 P/ GV</t>
        </is>
      </c>
      <c r="DG23" s="5" t="n"/>
      <c r="DH23" s="29" t="n"/>
      <c r="DI23" s="219" t="n">
        <v>25</v>
      </c>
      <c r="DJ23" s="29" t="n"/>
      <c r="DK23" s="29" t="n"/>
      <c r="DL23" s="5" t="n"/>
      <c r="DM23" s="29" t="n"/>
      <c r="DN23" s="29" t="n"/>
      <c r="DO23" s="29" t="n"/>
      <c r="DP23" s="292" t="inlineStr">
        <is>
          <t>71 P/ TTR</t>
        </is>
      </c>
      <c r="DQ23" s="5" t="n"/>
      <c r="DR23" s="5" t="n"/>
      <c r="DV23" s="326" t="n">
        <v>200</v>
      </c>
      <c r="EI23" s="66" t="inlineStr">
        <is>
          <t>CARTUCHO M</t>
        </is>
      </c>
      <c r="EJ23" s="699" t="n">
        <v>150</v>
      </c>
      <c r="EK23" s="697">
        <f>CJ23</f>
        <v/>
      </c>
      <c r="EL23" s="697" t="n"/>
      <c r="EM23" s="697" t="n"/>
      <c r="EN23" s="697" t="n">
        <v>142</v>
      </c>
      <c r="EO23" s="697" t="n">
        <v>137</v>
      </c>
      <c r="EP23" s="697" t="n">
        <v>95</v>
      </c>
      <c r="EQ23" s="697" t="n">
        <v>94</v>
      </c>
      <c r="ER23" s="699" t="n"/>
      <c r="ES23" s="699" t="n"/>
      <c r="ET23" s="431">
        <f>ER23+IF(NOT(ISBLANK(OFFSET(ET23,0,6))),N(OFFSET(ET23,0,6)),N(OFFSET(ET23,0,7)))-ES23</f>
        <v/>
      </c>
    </row>
    <row r="24">
      <c r="CH24" s="5" t="n"/>
      <c r="CI24" s="29" t="n"/>
      <c r="CJ24" s="29" t="n"/>
      <c r="CK24" s="29" t="n"/>
      <c r="CL24" s="5" t="n"/>
      <c r="CM24" s="29" t="n"/>
      <c r="CN24" s="29" t="n"/>
      <c r="CV24" s="29" t="n"/>
      <c r="CW24" s="29" t="n"/>
      <c r="CX24" s="327" t="n"/>
      <c r="CY24" s="29" t="n"/>
      <c r="CZ24" s="29" t="n"/>
      <c r="DA24" s="29" t="n"/>
      <c r="DB24" s="5" t="n"/>
      <c r="DC24" s="29" t="n"/>
      <c r="DD24" s="29" t="n"/>
      <c r="DE24" s="29" t="n"/>
      <c r="DF24" s="292" t="n"/>
      <c r="DG24" s="5" t="n"/>
      <c r="DH24" s="29" t="n"/>
      <c r="DI24" s="219" t="n"/>
      <c r="DJ24" s="29" t="n"/>
      <c r="DK24" s="29" t="n"/>
      <c r="DL24" s="5" t="n"/>
      <c r="DM24" s="29" t="n"/>
      <c r="DN24" s="29" t="n"/>
      <c r="DO24" s="29" t="n"/>
      <c r="DP24" s="292" t="n"/>
      <c r="DQ24" s="5" t="n"/>
      <c r="DR24" s="5" t="n"/>
      <c r="DV24" s="326" t="n"/>
      <c r="EI24" s="5" t="n"/>
      <c r="EJ24" s="5" t="n"/>
      <c r="EK24" s="5" t="n"/>
      <c r="EL24" s="5" t="n"/>
      <c r="EM24" s="5" t="n"/>
      <c r="EN24" s="5" t="n"/>
      <c r="EO24" s="5" t="n"/>
      <c r="EP24" s="5" t="n"/>
      <c r="EQ24" s="5" t="n"/>
      <c r="ER24" s="5" t="n"/>
      <c r="ES24" s="5" t="n"/>
      <c r="ET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46161.48024017361</v>
      </c>
      <c r="CB25" s="747" t="n">
        <v>46161.480898348</v>
      </c>
      <c r="CC25" s="758" t="inlineStr">
        <is>
          <t>USOU</t>
        </is>
      </c>
      <c r="CH25" s="5" t="n"/>
      <c r="CI25" s="29" t="n"/>
      <c r="CJ25" s="29" t="n"/>
      <c r="CK25" s="29" t="n"/>
      <c r="CL25" s="5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5" t="n"/>
      <c r="CY25" s="29" t="n"/>
      <c r="CZ25" s="29" t="n"/>
      <c r="DA25" s="29" t="n"/>
      <c r="DB25" s="5" t="n"/>
      <c r="DC25" s="29" t="n"/>
      <c r="DD25" s="29" t="n"/>
      <c r="DE25" s="29" t="n"/>
      <c r="DF25" s="292" t="inlineStr">
        <is>
          <t>13 P/ GV</t>
        </is>
      </c>
      <c r="DG25" s="5" t="n"/>
      <c r="DH25" s="29" t="n"/>
      <c r="DI25" s="219" t="n">
        <v>25</v>
      </c>
      <c r="DJ25" s="29" t="n"/>
      <c r="DK25" s="29" t="n"/>
      <c r="DL25" s="5" t="n"/>
      <c r="DM25" s="29" t="n"/>
      <c r="DN25" s="29" t="n"/>
      <c r="DO25" s="29" t="n"/>
      <c r="DP25" s="292" t="inlineStr">
        <is>
          <t>31 P/ TTR</t>
        </is>
      </c>
      <c r="DQ25" s="5" t="n"/>
      <c r="DR25" s="5" t="n"/>
      <c r="DV25" s="326" t="n">
        <v>150</v>
      </c>
      <c r="EI25" s="5" t="n"/>
      <c r="EJ25" s="5" t="n"/>
      <c r="EK25" s="5" t="n"/>
      <c r="EL25" s="5" t="n"/>
      <c r="EM25" s="5" t="n"/>
      <c r="EN25" s="5" t="n"/>
      <c r="EO25" s="5" t="n"/>
      <c r="EP25" s="5" t="n"/>
      <c r="EQ25" s="5" t="n"/>
      <c r="ER25" s="5" t="n"/>
      <c r="ES25" s="5" t="n"/>
      <c r="ET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192">
        <f>CA26+IF(NOT(ISBLANK(OFFSET(CC26,0,6))),N(OFFSET(CC26,0,6)),N(OFFSET(CC26,0,7)))-CB26</f>
        <v/>
      </c>
      <c r="CH26" s="5" t="n"/>
      <c r="CI26" s="29" t="n"/>
      <c r="CJ26" s="29" t="n"/>
      <c r="CK26" s="29" t="n"/>
      <c r="CL26" s="5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5" t="n"/>
      <c r="CY26" s="29" t="n"/>
      <c r="CZ26" s="29" t="n"/>
      <c r="DA26" s="29" t="n"/>
      <c r="DB26" s="5" t="n"/>
      <c r="DC26" s="29" t="n"/>
      <c r="DD26" s="29" t="n"/>
      <c r="DE26" s="29" t="n"/>
      <c r="DF26" s="292" t="inlineStr">
        <is>
          <t>12 P/ GV</t>
        </is>
      </c>
      <c r="DG26" s="5" t="n"/>
      <c r="DH26" s="29" t="n"/>
      <c r="DI26" s="219" t="n">
        <v>25</v>
      </c>
      <c r="DJ26" s="29" t="n"/>
      <c r="DK26" s="29" t="n"/>
      <c r="DL26" s="5" t="n"/>
      <c r="DM26" s="29" t="n"/>
      <c r="DN26" s="29" t="n"/>
      <c r="DO26" s="29" t="n"/>
      <c r="DP26" s="327" t="n"/>
      <c r="DQ26" s="5" t="n"/>
      <c r="DR26" s="5" t="n"/>
      <c r="DS26" s="327" t="n"/>
      <c r="DU26" s="327" t="n"/>
      <c r="DV26" s="327" t="n"/>
      <c r="EI26" s="5" t="n"/>
      <c r="EJ26" s="5" t="n"/>
      <c r="EK26" s="5" t="n"/>
      <c r="EL26" s="5" t="n"/>
      <c r="EM26" s="5" t="n"/>
      <c r="EN26" s="5" t="n"/>
      <c r="EO26" s="5" t="n"/>
      <c r="EP26" s="5" t="n"/>
      <c r="EQ26" s="5" t="n"/>
      <c r="ER26" s="5" t="n"/>
      <c r="ES26" s="5" t="n"/>
      <c r="ET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171</v>
      </c>
      <c r="G27" s="697" t="n">
        <v>171</v>
      </c>
      <c r="H27" s="697" t="n">
        <v>160</v>
      </c>
      <c r="I27" s="697" t="n">
        <v>160</v>
      </c>
      <c r="J27" s="697" t="n">
        <v>160</v>
      </c>
      <c r="K27" s="697" t="n">
        <v>160</v>
      </c>
      <c r="L27" s="697" t="n">
        <v>160</v>
      </c>
      <c r="M27" s="697" t="n">
        <v>160</v>
      </c>
      <c r="N27" s="697" t="n">
        <v>160</v>
      </c>
      <c r="O27" s="697" t="n">
        <v>160</v>
      </c>
      <c r="P27" s="697" t="n">
        <v>160</v>
      </c>
      <c r="Q27" s="697" t="n">
        <v>160</v>
      </c>
      <c r="R27" s="697" t="n">
        <v>160</v>
      </c>
      <c r="S27" s="697" t="n">
        <v>160</v>
      </c>
      <c r="T27" s="697" t="n">
        <v>155</v>
      </c>
      <c r="U27" s="697" t="n">
        <v>155</v>
      </c>
      <c r="V27" s="697" t="n">
        <v>155</v>
      </c>
      <c r="W27" s="697" t="n">
        <v>155</v>
      </c>
      <c r="X27" s="697" t="n">
        <v>155</v>
      </c>
      <c r="Y27" s="697" t="n">
        <v>155</v>
      </c>
      <c r="Z27" s="697" t="n">
        <v>155</v>
      </c>
      <c r="AA27" s="697" t="n">
        <v>150</v>
      </c>
      <c r="AB27" s="697" t="n">
        <v>150</v>
      </c>
      <c r="AC27" s="697" t="n">
        <v>150</v>
      </c>
      <c r="AD27" s="697" t="n">
        <v>150</v>
      </c>
      <c r="AE27" s="697" t="n">
        <v>150</v>
      </c>
      <c r="AF27" s="697" t="n">
        <v>152</v>
      </c>
      <c r="AG27" s="697" t="n">
        <v>152</v>
      </c>
      <c r="AH27" s="697" t="n">
        <v>152</v>
      </c>
      <c r="AI27" s="697" t="n">
        <v>152</v>
      </c>
      <c r="AJ27" s="697" t="n">
        <v>152</v>
      </c>
      <c r="AK27" s="697" t="n">
        <v>152</v>
      </c>
      <c r="AL27" s="697" t="n">
        <v>152</v>
      </c>
      <c r="AM27" s="697" t="n">
        <v>152</v>
      </c>
      <c r="AN27" s="697" t="n">
        <v>152</v>
      </c>
      <c r="AO27" s="697" t="n">
        <v>152</v>
      </c>
      <c r="AP27" s="697" t="n">
        <v>152</v>
      </c>
      <c r="AQ27" s="697" t="n">
        <v>152</v>
      </c>
      <c r="AR27" s="697" t="n">
        <v>152</v>
      </c>
      <c r="AS27" s="697" t="n">
        <v>152</v>
      </c>
      <c r="AT27" s="697" t="n">
        <v>152</v>
      </c>
      <c r="AU27" s="697" t="n">
        <v>152</v>
      </c>
      <c r="AV27" s="697" t="n">
        <v>152</v>
      </c>
      <c r="AW27" s="697" t="n">
        <v>150</v>
      </c>
      <c r="AX27" s="697" t="n">
        <v>150</v>
      </c>
      <c r="AY27" s="697" t="n">
        <v>150</v>
      </c>
      <c r="AZ27" s="697" t="n">
        <v>150</v>
      </c>
      <c r="BA27" s="697" t="n">
        <v>150</v>
      </c>
      <c r="BB27" s="697" t="n">
        <v>140</v>
      </c>
      <c r="BC27" s="697" t="n">
        <v>140</v>
      </c>
      <c r="BD27" s="697" t="n">
        <v>140</v>
      </c>
      <c r="BE27" s="697" t="n">
        <v>140</v>
      </c>
      <c r="BF27" s="697" t="n">
        <v>140</v>
      </c>
      <c r="BG27" s="697" t="n">
        <v>140</v>
      </c>
      <c r="BH27" s="697" t="n">
        <v>140</v>
      </c>
      <c r="BI27" s="697" t="n">
        <v>100</v>
      </c>
      <c r="BJ27" s="697" t="n">
        <v>100</v>
      </c>
      <c r="BK27" s="697" t="n">
        <v>100</v>
      </c>
      <c r="BL27" s="697" t="n">
        <v>100</v>
      </c>
      <c r="BM27" s="697" t="n">
        <v>100</v>
      </c>
      <c r="BN27" s="697" t="n">
        <v>133</v>
      </c>
      <c r="BO27" s="697" t="n">
        <v>133</v>
      </c>
      <c r="BP27" s="697" t="n">
        <v>133</v>
      </c>
      <c r="BQ27" s="697" t="n">
        <v>133</v>
      </c>
      <c r="BR27" s="697" t="n">
        <v>133</v>
      </c>
      <c r="BS27" s="697" t="n">
        <v>133</v>
      </c>
      <c r="BT27" s="697" t="n">
        <v>133</v>
      </c>
      <c r="BU27" s="697" t="n">
        <v>133</v>
      </c>
      <c r="BV27" s="697" t="n">
        <v>133</v>
      </c>
      <c r="BW27" s="697" t="n">
        <v>133</v>
      </c>
      <c r="BX27" s="697" t="n">
        <v>133</v>
      </c>
      <c r="BY27" s="697" t="n">
        <v>133</v>
      </c>
      <c r="BZ27" s="697" t="n">
        <v>133</v>
      </c>
      <c r="CA27" s="699" t="n">
        <v>133</v>
      </c>
      <c r="CB27" s="699" t="n">
        <v>133</v>
      </c>
      <c r="CC27" s="192">
        <f>CA27+IF(NOT(ISBLANK(OFFSET(CC27,0,6))),N(OFFSET(CC27,0,6)),N(OFFSET(CC27,0,7)))-CB27</f>
        <v/>
      </c>
      <c r="CH27" s="5" t="n"/>
      <c r="CI27" s="29" t="n"/>
      <c r="CJ27" s="29" t="n"/>
      <c r="CK27" s="29" t="n"/>
      <c r="CL27" s="5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5" t="n"/>
      <c r="CY27" s="29" t="n"/>
      <c r="CZ27" s="29" t="n"/>
      <c r="DA27" s="29" t="n"/>
      <c r="DB27" s="5" t="n"/>
      <c r="DC27" s="29" t="n"/>
      <c r="DD27" s="29" t="n"/>
      <c r="DE27" s="29" t="n"/>
      <c r="DF27" s="5" t="n"/>
      <c r="DG27" s="5" t="n"/>
      <c r="DH27" s="29" t="n"/>
      <c r="DI27" s="5" t="n"/>
      <c r="DJ27" s="29" t="n"/>
      <c r="DK27" s="29" t="n"/>
      <c r="DL27" s="5" t="n"/>
      <c r="DM27" s="29" t="n"/>
      <c r="DN27" s="29" t="n"/>
      <c r="DO27" s="29" t="n"/>
      <c r="DP27" s="327" t="n"/>
      <c r="DQ27" s="5" t="n"/>
      <c r="DR27" s="5" t="n"/>
      <c r="DS27" s="327" t="n"/>
      <c r="DU27" s="327" t="n"/>
      <c r="DV27" s="327" t="n"/>
      <c r="EI27" s="5" t="n"/>
      <c r="EJ27" s="5" t="n"/>
      <c r="EK27" s="5" t="n"/>
      <c r="EL27" s="5" t="n"/>
      <c r="EM27" s="5" t="n"/>
      <c r="EN27" s="5" t="n"/>
      <c r="EO27" s="5" t="n"/>
      <c r="EP27" s="5" t="n"/>
      <c r="EQ27" s="5" t="n"/>
      <c r="ER27" s="5" t="n"/>
      <c r="ES27" s="5" t="n"/>
      <c r="ET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12</v>
      </c>
      <c r="G28" s="699" t="n">
        <v>10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192">
        <f>CA28+IF(NOT(ISBLANK(OFFSET(CC28,0,6))),N(OFFSET(CC28,0,6)),N(OFFSET(CC28,0,7)))-CB28</f>
        <v/>
      </c>
      <c r="CH28" s="5" t="n"/>
      <c r="CI28" s="29" t="n"/>
      <c r="CJ28" s="29" t="n"/>
      <c r="CK28" s="29" t="n"/>
      <c r="CL28" s="5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5" t="n"/>
      <c r="CY28" s="29" t="n"/>
      <c r="CZ28" s="29" t="n"/>
      <c r="DA28" s="29" t="n"/>
      <c r="DB28" s="5" t="n"/>
      <c r="DC28" s="29" t="n"/>
      <c r="DD28" s="29" t="n"/>
      <c r="DE28" s="29" t="n"/>
      <c r="DF28" s="5" t="n"/>
      <c r="DG28" s="5" t="n"/>
      <c r="DH28" s="29" t="n"/>
      <c r="DI28" s="5" t="n"/>
      <c r="DJ28" s="29" t="n"/>
      <c r="DK28" s="29" t="n"/>
      <c r="DL28" s="5" t="n"/>
      <c r="DM28" s="29" t="n"/>
      <c r="DN28" s="29" t="n"/>
      <c r="DO28" s="29" t="n"/>
      <c r="DP28" s="327" t="n"/>
      <c r="DQ28" s="5" t="n"/>
      <c r="DR28" s="5" t="n"/>
      <c r="DS28" s="327" t="n"/>
      <c r="DU28" s="327" t="n"/>
      <c r="DV28" s="327" t="n"/>
      <c r="EI28" s="5" t="n"/>
      <c r="EJ28" s="5" t="n"/>
      <c r="EK28" s="5" t="n"/>
      <c r="EL28" s="5" t="n"/>
      <c r="EM28" s="5" t="n"/>
      <c r="EN28" s="5" t="n"/>
      <c r="EO28" s="5" t="n"/>
      <c r="EP28" s="5" t="n"/>
      <c r="EQ28" s="5" t="n"/>
      <c r="ER28" s="5" t="n"/>
      <c r="ES28" s="5" t="n"/>
      <c r="ET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88</v>
      </c>
      <c r="G29" s="699" t="n">
        <v>27</v>
      </c>
      <c r="H29" s="697" t="n">
        <v>21</v>
      </c>
      <c r="I29" s="697" t="n">
        <v>10</v>
      </c>
      <c r="J29" s="697" t="n">
        <v>9</v>
      </c>
      <c r="K29" s="697" t="n">
        <v>7</v>
      </c>
      <c r="L29" s="697" t="n">
        <v>6</v>
      </c>
      <c r="M29" s="697" t="n">
        <v>4</v>
      </c>
      <c r="N29" s="697" t="n">
        <v>3</v>
      </c>
      <c r="O29" s="697" t="n">
        <v>2</v>
      </c>
      <c r="P29" s="697" t="n">
        <v>1</v>
      </c>
      <c r="Q29" s="697" t="n">
        <v>1</v>
      </c>
      <c r="R29" s="697" t="n">
        <v>1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192">
        <f>CA29+IF(NOT(ISBLANK(OFFSET(CC29,0,6))),N(OFFSET(CC29,0,6)),N(OFFSET(CC29,0,7)))-CB29</f>
        <v/>
      </c>
      <c r="CH29" s="5" t="n"/>
      <c r="CI29" s="29" t="n"/>
      <c r="CJ29" s="29" t="n"/>
      <c r="CK29" s="29" t="n"/>
      <c r="CL29" s="5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5" t="n"/>
      <c r="CY29" s="29" t="n"/>
      <c r="CZ29" s="29" t="n"/>
      <c r="DA29" s="29" t="n"/>
      <c r="DB29" s="5" t="n"/>
      <c r="DC29" s="29" t="n"/>
      <c r="DD29" s="29" t="n"/>
      <c r="DE29" s="29" t="n"/>
      <c r="DF29" s="5" t="n"/>
      <c r="DG29" s="5" t="n"/>
      <c r="DH29" s="29" t="n"/>
      <c r="DI29" s="5" t="n"/>
      <c r="DJ29" s="29" t="n"/>
      <c r="DK29" s="29" t="n"/>
      <c r="DL29" s="5" t="n"/>
      <c r="DM29" s="29" t="n"/>
      <c r="DN29" s="29" t="n"/>
      <c r="DO29" s="29" t="n"/>
      <c r="DP29" s="327" t="n"/>
      <c r="DQ29" s="5" t="n"/>
      <c r="DR29" s="5" t="n"/>
      <c r="DS29" s="327" t="n"/>
      <c r="DU29" s="327" t="n"/>
      <c r="DV29" s="327" t="n"/>
      <c r="EI29" s="5" t="n"/>
      <c r="EJ29" s="5" t="n"/>
      <c r="EK29" s="5" t="n"/>
      <c r="EL29" s="5" t="n"/>
      <c r="EM29" s="5" t="n"/>
      <c r="EN29" s="5" t="n"/>
      <c r="EO29" s="5" t="n"/>
      <c r="EP29" s="5" t="n"/>
      <c r="EQ29" s="5" t="n"/>
      <c r="ER29" s="5" t="n"/>
      <c r="ES29" s="5" t="n"/>
      <c r="ET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192">
        <f>CA30+IF(NOT(ISBLANK(OFFSET(CC30,0,6))),N(OFFSET(CC30,0,6)),N(OFFSET(CC30,0,7)))-CB30</f>
        <v/>
      </c>
      <c r="CH30" s="5" t="n"/>
      <c r="CI30" s="29" t="n"/>
      <c r="CJ30" s="29" t="n"/>
      <c r="CK30" s="29" t="n"/>
      <c r="CL30" s="5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5" t="n"/>
      <c r="CY30" s="29" t="n"/>
      <c r="CZ30" s="29" t="n"/>
      <c r="DA30" s="29" t="n"/>
      <c r="DB30" s="29" t="n"/>
      <c r="DC30" s="29" t="n"/>
      <c r="DD30" s="29" t="n"/>
      <c r="DE30" s="29" t="n"/>
      <c r="DF30" s="5" t="n"/>
      <c r="DG30" s="5" t="n"/>
      <c r="DH30" s="29" t="n"/>
      <c r="DI30" s="5" t="n"/>
      <c r="DJ30" s="29" t="n"/>
      <c r="DK30" s="29" t="n"/>
      <c r="DL30" s="5" t="n"/>
      <c r="DM30" s="29" t="n"/>
      <c r="DN30" s="29" t="n"/>
      <c r="DO30" s="29" t="n"/>
      <c r="DP30" s="327" t="n"/>
      <c r="DQ30" s="29" t="n"/>
      <c r="DR30" s="29" t="n"/>
      <c r="DS30" s="327" t="n"/>
      <c r="DU30" s="327" t="n"/>
      <c r="DV30" s="327" t="n"/>
      <c r="EI30" s="5" t="n"/>
      <c r="EJ30" s="5" t="n"/>
      <c r="EK30" s="5" t="n"/>
      <c r="EL30" s="5" t="n"/>
      <c r="EM30" s="5" t="n"/>
      <c r="EN30" s="5" t="n"/>
      <c r="EO30" s="5" t="n"/>
      <c r="EP30" s="5" t="n"/>
      <c r="EQ30" s="5" t="n"/>
      <c r="ER30" s="5" t="n"/>
      <c r="ES30" s="5" t="n"/>
      <c r="ET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12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192">
        <f>CA31+IF(NOT(ISBLANK(OFFSET(CC31,0,6))),N(OFFSET(CC31,0,6)),N(OFFSET(CC31,0,7)))-CB31</f>
        <v/>
      </c>
      <c r="CH31" s="5" t="n"/>
      <c r="CI31" s="29" t="n"/>
      <c r="CJ31" s="29" t="n"/>
      <c r="CK31" s="29" t="n"/>
      <c r="CL31" s="5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5" t="n"/>
      <c r="CY31" s="29" t="n"/>
      <c r="CZ31" s="29" t="n"/>
      <c r="DA31" s="29" t="n"/>
      <c r="DC31" s="29" t="n"/>
      <c r="DD31" s="29" t="n"/>
      <c r="DE31" s="29" t="n"/>
      <c r="DF31" s="5" t="n"/>
      <c r="DG31" s="5" t="n"/>
      <c r="DH31" s="29" t="n"/>
      <c r="DI31" s="5" t="n"/>
      <c r="DJ31" s="29" t="n"/>
      <c r="DK31" s="29" t="n"/>
      <c r="DL31" s="5" t="n"/>
      <c r="DM31" s="29" t="n"/>
      <c r="DN31" s="29" t="n"/>
      <c r="DO31" s="29" t="n"/>
      <c r="DP31" s="327" t="n"/>
      <c r="DS31" s="327" t="n"/>
      <c r="DU31" s="327" t="n"/>
      <c r="DV31" s="327" t="n"/>
      <c r="EI31" s="5" t="n"/>
      <c r="EJ31" s="5" t="n"/>
      <c r="EK31" s="5" t="n"/>
      <c r="EL31" s="5" t="n"/>
      <c r="EM31" s="5" t="n"/>
      <c r="EN31" s="5" t="n"/>
      <c r="EO31" s="5" t="n"/>
      <c r="EP31" s="5" t="n"/>
      <c r="EQ31" s="5" t="n"/>
      <c r="ER31" s="5" t="n"/>
      <c r="ES31" s="5" t="n"/>
      <c r="ET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2</v>
      </c>
      <c r="G32" s="699" t="n">
        <v>2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192">
        <f>CA32+IF(NOT(ISBLANK(OFFSET(CC32,0,6))),N(OFFSET(CC32,0,6)),N(OFFSET(CC32,0,7)))-CB32</f>
        <v/>
      </c>
      <c r="CH32" s="5" t="n"/>
      <c r="CI32" s="29" t="n"/>
      <c r="CJ32" s="29" t="n"/>
      <c r="CK32" s="29" t="n"/>
      <c r="CL32" s="5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5" t="n"/>
      <c r="CY32" s="29" t="n"/>
      <c r="CZ32" s="29" t="n"/>
      <c r="DA32" s="29" t="n"/>
      <c r="DC32" s="29" t="n"/>
      <c r="DD32" s="29" t="n"/>
      <c r="DE32" s="29" t="n"/>
      <c r="DF32" s="5" t="n"/>
      <c r="DG32" s="5" t="n"/>
      <c r="DH32" s="29" t="n"/>
      <c r="DI32" s="5" t="n"/>
      <c r="DJ32" s="29" t="n"/>
      <c r="DK32" s="29" t="n"/>
      <c r="DL32" s="5" t="n"/>
      <c r="DM32" s="29" t="n"/>
      <c r="DN32" s="29" t="n"/>
      <c r="DO32" s="29" t="n"/>
      <c r="DP32" s="327" t="n"/>
      <c r="DS32" s="327" t="n"/>
      <c r="DU32" s="327" t="n"/>
      <c r="DV32" s="327" t="n"/>
      <c r="EI32" s="5" t="n"/>
      <c r="EJ32" s="5" t="n"/>
      <c r="EK32" s="5" t="n"/>
      <c r="EL32" s="5" t="n"/>
      <c r="EM32" s="5" t="n"/>
      <c r="EN32" s="5" t="n"/>
      <c r="EO32" s="5" t="n"/>
      <c r="EP32" s="5" t="n"/>
      <c r="EQ32" s="5" t="n"/>
      <c r="ER32" s="5" t="n"/>
      <c r="ES32" s="5" t="n"/>
      <c r="ET32" s="5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>
        <v>0</v>
      </c>
      <c r="BB33" s="697" t="n">
        <v>15</v>
      </c>
      <c r="BC33" s="697" t="n">
        <v>9</v>
      </c>
      <c r="BD33" s="697" t="n">
        <v>9</v>
      </c>
      <c r="BE33" s="697" t="n">
        <v>9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697" t="n">
        <v>8</v>
      </c>
      <c r="CA33" s="699" t="n">
        <v>8</v>
      </c>
      <c r="CB33" s="699" t="n">
        <v>8</v>
      </c>
      <c r="CC33" s="192">
        <f>CA33+IF(NOT(ISBLANK(OFFSET(CC33,0,6))),N(OFFSET(CC33,0,6)),N(OFFSET(CC33,0,7)))-CB33</f>
        <v/>
      </c>
      <c r="CH33" s="5" t="n"/>
      <c r="CI33" s="29" t="n"/>
      <c r="CJ33" s="29" t="n"/>
      <c r="CK33" s="29" t="n"/>
      <c r="CL33" s="5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5" t="n"/>
      <c r="CY33" s="29" t="n"/>
      <c r="CZ33" s="29" t="n"/>
      <c r="DA33" s="29" t="n"/>
      <c r="DC33" s="29" t="n"/>
      <c r="DD33" s="29" t="n"/>
      <c r="DE33" s="29" t="n"/>
      <c r="DF33" s="5" t="n"/>
      <c r="DG33" s="5" t="n"/>
      <c r="DH33" s="29" t="n"/>
      <c r="DI33" s="5" t="n"/>
      <c r="DJ33" s="29" t="n"/>
      <c r="DK33" s="29" t="n"/>
      <c r="DL33" s="5" t="n"/>
      <c r="DM33" s="29" t="n"/>
      <c r="DN33" s="29" t="n"/>
      <c r="DO33" s="29" t="n"/>
      <c r="DP33" s="327" t="n"/>
      <c r="DS33" s="327" t="n"/>
      <c r="DU33" s="327" t="n"/>
      <c r="DV33" s="327" t="n"/>
      <c r="EI33" s="5" t="n"/>
      <c r="EJ33" s="5" t="n"/>
      <c r="EK33" s="5" t="n"/>
      <c r="EL33" s="5" t="n"/>
      <c r="EM33" s="5" t="n"/>
      <c r="EN33" s="5" t="n"/>
      <c r="EO33" s="5" t="n"/>
      <c r="EP33" s="5" t="n"/>
      <c r="EQ33" s="5" t="n"/>
      <c r="ER33" s="5" t="n"/>
      <c r="ES33" s="5" t="n"/>
      <c r="ET33" s="5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>
        <v>0</v>
      </c>
      <c r="BB34" s="697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>
        <v>0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192">
        <f>CA34+IF(NOT(ISBLANK(OFFSET(CC34,0,6))),N(OFFSET(CC34,0,6)),N(OFFSET(CC34,0,7)))-CB34</f>
        <v/>
      </c>
      <c r="CH34" s="5" t="n"/>
      <c r="CI34" s="29" t="n"/>
      <c r="CJ34" s="29" t="n"/>
      <c r="CK34" s="29" t="n"/>
      <c r="CL34" s="5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5" t="n"/>
      <c r="CY34" s="29" t="n"/>
      <c r="CZ34" s="29" t="n"/>
      <c r="DA34" s="29" t="n"/>
      <c r="DC34" s="29" t="n"/>
      <c r="DD34" s="29" t="n"/>
      <c r="DE34" s="29" t="n"/>
      <c r="DF34" s="5" t="n"/>
      <c r="DG34" s="5" t="n"/>
      <c r="DH34" s="29" t="n"/>
      <c r="DI34" s="5" t="n"/>
      <c r="DJ34" s="29" t="n"/>
      <c r="DK34" s="29" t="n"/>
      <c r="DL34" s="5" t="n"/>
      <c r="DM34" s="29" t="n"/>
      <c r="DN34" s="29" t="n"/>
      <c r="DO34" s="29" t="n"/>
      <c r="DP34" s="327" t="n"/>
      <c r="DS34" s="327" t="n"/>
      <c r="DU34" s="327" t="n"/>
      <c r="DV34" s="327" t="n"/>
      <c r="EI34" s="5" t="n"/>
      <c r="EJ34" s="5" t="n"/>
      <c r="EK34" s="5" t="n"/>
      <c r="EL34" s="5" t="n"/>
      <c r="EM34" s="5" t="n"/>
      <c r="EN34" s="5" t="n"/>
      <c r="EO34" s="5" t="n"/>
      <c r="EP34" s="5" t="n"/>
      <c r="EQ34" s="5" t="n"/>
      <c r="ER34" s="5" t="n"/>
      <c r="ES34" s="5" t="n"/>
      <c r="ET34" s="5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70-45</f>
        <v/>
      </c>
      <c r="AB35" s="699" t="n">
        <v>24</v>
      </c>
      <c r="AC35" s="699" t="n">
        <v>17</v>
      </c>
      <c r="AD35" s="699" t="n">
        <v>1</v>
      </c>
      <c r="AE35" s="699" t="n">
        <v>1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192">
        <f>CA35+IF(NOT(ISBLANK(OFFSET(CC35,0,6))),N(OFFSET(CC35,0,6)),N(OFFSET(CC35,0,7)))-CB35</f>
        <v/>
      </c>
      <c r="CH35" s="5" t="n"/>
      <c r="CI35" s="29" t="n"/>
      <c r="CJ35" s="29" t="n"/>
      <c r="CK35" s="29" t="n"/>
      <c r="CL35" s="5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5" t="n"/>
      <c r="CY35" s="29" t="n"/>
      <c r="CZ35" s="29" t="n"/>
      <c r="DA35" s="29" t="n"/>
      <c r="DC35" s="29" t="n"/>
      <c r="DD35" s="29" t="n"/>
      <c r="DE35" s="29" t="n"/>
      <c r="DF35" s="5" t="n"/>
      <c r="DG35" s="5" t="n"/>
      <c r="DH35" s="29" t="n"/>
      <c r="DI35" s="5" t="n"/>
      <c r="DJ35" s="29" t="n"/>
      <c r="DK35" s="29" t="n"/>
      <c r="DL35" s="5" t="n"/>
      <c r="DM35" s="29" t="n"/>
      <c r="DN35" s="29" t="n"/>
      <c r="DO35" s="29" t="n"/>
      <c r="DP35" s="327" t="n"/>
      <c r="DS35" s="327" t="n"/>
      <c r="DU35" s="327" t="n"/>
      <c r="DV35" s="327" t="n"/>
      <c r="EI35" s="5" t="n"/>
      <c r="EJ35" s="5" t="n"/>
      <c r="EK35" s="5" t="n"/>
      <c r="EL35" s="5" t="n"/>
      <c r="EM35" s="5" t="n"/>
      <c r="EN35" s="5" t="n"/>
      <c r="EO35" s="5" t="n"/>
      <c r="EP35" s="5" t="n"/>
      <c r="EQ35" s="5" t="n"/>
      <c r="ER35" s="5" t="n"/>
      <c r="ES35" s="5" t="n"/>
      <c r="ET35" s="5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</v>
      </c>
      <c r="AA36" s="699" t="n">
        <v>0</v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192">
        <f>CA36+IF(NOT(ISBLANK(OFFSET(CC36,0,6))),N(OFFSET(CC36,0,6)),N(OFFSET(CC36,0,7)))-CB36</f>
        <v/>
      </c>
      <c r="CH36" s="5" t="n"/>
      <c r="CI36" s="29" t="n"/>
      <c r="CJ36" s="29" t="n"/>
      <c r="CK36" s="29" t="n"/>
      <c r="CL36" s="5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5" t="n"/>
      <c r="CY36" s="29" t="n"/>
      <c r="CZ36" s="29" t="n"/>
      <c r="DA36" s="29" t="n"/>
      <c r="DC36" s="29" t="n"/>
      <c r="DD36" s="29" t="n"/>
      <c r="DE36" s="29" t="n"/>
      <c r="DF36" s="5" t="n"/>
      <c r="DG36" s="5" t="n"/>
      <c r="DH36" s="29" t="n"/>
      <c r="DI36" s="5" t="n"/>
      <c r="DJ36" s="29" t="n"/>
      <c r="DK36" s="29" t="n"/>
      <c r="DL36" s="5" t="n"/>
      <c r="DM36" s="29" t="n"/>
      <c r="DN36" s="29" t="n"/>
      <c r="DO36" s="29" t="n"/>
      <c r="DP36" s="327" t="n"/>
      <c r="DS36" s="327" t="n"/>
      <c r="DU36" s="327" t="n"/>
      <c r="DV36" s="327" t="n"/>
      <c r="EI36" s="5" t="n"/>
      <c r="EJ36" s="5" t="n"/>
      <c r="EK36" s="5" t="n"/>
      <c r="EL36" s="5" t="n"/>
      <c r="EM36" s="5" t="n"/>
      <c r="EN36" s="5" t="n"/>
      <c r="EO36" s="5" t="n"/>
      <c r="EP36" s="5" t="n"/>
      <c r="EQ36" s="5" t="n"/>
      <c r="ER36" s="5" t="n"/>
      <c r="ES36" s="5" t="n"/>
      <c r="ET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192">
        <f>CA37+IF(NOT(ISBLANK(OFFSET(CC37,0,6))),N(OFFSET(CC37,0,6)),N(OFFSET(CC37,0,7)))-CB37</f>
        <v/>
      </c>
      <c r="CH37" s="5" t="n"/>
      <c r="CI37" s="29" t="n"/>
      <c r="CJ37" s="29" t="n"/>
      <c r="CK37" s="29" t="n"/>
      <c r="CL37" s="5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5" t="n"/>
      <c r="CY37" s="29" t="n"/>
      <c r="CZ37" s="29" t="n"/>
      <c r="DA37" s="29" t="n"/>
      <c r="DC37" s="29" t="n"/>
      <c r="DD37" s="29" t="n"/>
      <c r="DE37" s="29" t="n"/>
      <c r="DF37" s="5" t="n"/>
      <c r="DG37" s="5" t="n"/>
      <c r="DH37" s="29" t="n"/>
      <c r="DI37" s="5" t="n"/>
      <c r="DJ37" s="29" t="n"/>
      <c r="DK37" s="29" t="n"/>
      <c r="DL37" s="5" t="n"/>
      <c r="DM37" s="29" t="n"/>
      <c r="DN37" s="29" t="n"/>
      <c r="DO37" s="29" t="n"/>
      <c r="DP37" s="327" t="n"/>
      <c r="DS37" s="327" t="n"/>
      <c r="DU37" s="327" t="n"/>
      <c r="DV37" s="327" t="n"/>
      <c r="EI37" s="5" t="n"/>
      <c r="EJ37" s="5" t="n"/>
      <c r="EK37" s="5" t="n"/>
      <c r="EL37" s="5" t="n"/>
      <c r="EM37" s="5" t="n"/>
      <c r="EN37" s="5" t="n"/>
      <c r="EO37" s="5" t="n"/>
      <c r="EP37" s="5" t="n"/>
      <c r="EQ37" s="5" t="n"/>
      <c r="ER37" s="5" t="n"/>
      <c r="ES37" s="5" t="n"/>
      <c r="ET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95</v>
      </c>
      <c r="AA38" s="699">
        <f>85-71</f>
        <v/>
      </c>
      <c r="AB38" s="699" t="n">
        <v>4</v>
      </c>
      <c r="AC38" s="699" t="n">
        <v>4</v>
      </c>
      <c r="AD38" s="699" t="n">
        <v>3</v>
      </c>
      <c r="AE38" s="699" t="n">
        <v>2</v>
      </c>
      <c r="AF38" s="699" t="n">
        <v>2</v>
      </c>
      <c r="AG38" s="699" t="n">
        <v>2</v>
      </c>
      <c r="AH38" s="699" t="n">
        <v>0</v>
      </c>
      <c r="AI38" s="699" t="n">
        <v>0</v>
      </c>
      <c r="AJ38" s="699" t="n">
        <v>0</v>
      </c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192">
        <f>CA38+IF(NOT(ISBLANK(OFFSET(CC38,0,6))),N(OFFSET(CC38,0,6)),N(OFFSET(CC38,0,7)))-CB38</f>
        <v/>
      </c>
      <c r="CH38" s="5" t="n"/>
      <c r="CI38" s="29" t="n"/>
      <c r="CJ38" s="29" t="n"/>
      <c r="CK38" s="29" t="n"/>
      <c r="CL38" s="5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5" t="n"/>
      <c r="CY38" s="29" t="n"/>
      <c r="CZ38" s="29" t="n"/>
      <c r="DA38" s="29" t="n"/>
      <c r="DC38" s="29" t="n"/>
      <c r="DD38" s="29" t="n"/>
      <c r="DE38" s="29" t="n"/>
      <c r="DF38" s="5" t="n"/>
      <c r="DG38" s="5" t="n"/>
      <c r="DH38" s="29" t="n"/>
      <c r="DI38" s="5" t="n"/>
      <c r="DJ38" s="29" t="n"/>
      <c r="DK38" s="29" t="n"/>
      <c r="DL38" s="5" t="n"/>
      <c r="DM38" s="29" t="n"/>
      <c r="DN38" s="29" t="n"/>
      <c r="DO38" s="29" t="n"/>
      <c r="DP38" s="327" t="n"/>
      <c r="DS38" s="327" t="n"/>
      <c r="DU38" s="327" t="n"/>
      <c r="DV38" s="327" t="n"/>
      <c r="EI38" s="5" t="n"/>
      <c r="EJ38" s="5" t="n"/>
      <c r="EK38" s="5" t="n"/>
      <c r="EL38" s="5" t="n"/>
      <c r="EM38" s="5" t="n"/>
      <c r="EN38" s="5" t="n"/>
      <c r="EO38" s="5" t="n"/>
      <c r="EP38" s="5" t="n"/>
      <c r="EQ38" s="5" t="n"/>
      <c r="ER38" s="5" t="n"/>
      <c r="ES38" s="5" t="n"/>
      <c r="ET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38</v>
      </c>
      <c r="AA39" s="699">
        <f>33-31</f>
        <v/>
      </c>
      <c r="AB39" s="218" t="n">
        <v>-2</v>
      </c>
      <c r="AC39" s="699" t="n">
        <v>2</v>
      </c>
      <c r="AD39" s="699" t="n">
        <v>2</v>
      </c>
      <c r="AE39" s="699" t="n">
        <v>2</v>
      </c>
      <c r="AF39" s="699" t="n">
        <v>2</v>
      </c>
      <c r="AG39" s="699" t="n">
        <v>2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192">
        <f>CA39+IF(NOT(ISBLANK(OFFSET(CC39,0,6))),N(OFFSET(CC39,0,6)),N(OFFSET(CC39,0,7)))-CB39</f>
        <v/>
      </c>
      <c r="CH39" s="5" t="n"/>
      <c r="CI39" s="29" t="n"/>
      <c r="CJ39" s="29" t="n"/>
      <c r="CK39" s="29" t="n"/>
      <c r="CL39" s="51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5" t="n"/>
      <c r="CY39" s="29" t="n"/>
      <c r="CZ39" s="29" t="n"/>
      <c r="DA39" s="29" t="n"/>
      <c r="DC39" s="29" t="n"/>
      <c r="DD39" s="29" t="n"/>
      <c r="DE39" s="29" t="n"/>
      <c r="DF39" s="5" t="n"/>
      <c r="DG39" s="5" t="n"/>
      <c r="DH39" s="29" t="n"/>
      <c r="DI39" s="5" t="n"/>
      <c r="DJ39" s="29" t="n"/>
      <c r="DK39" s="29" t="n"/>
      <c r="DL39" s="5" t="n"/>
      <c r="DM39" s="29" t="n"/>
      <c r="DN39" s="29" t="n"/>
      <c r="DO39" s="29" t="n"/>
      <c r="DP39" s="327" t="n"/>
      <c r="DS39" s="327" t="n"/>
      <c r="DU39" s="327" t="n"/>
      <c r="DV39" s="327" t="n"/>
      <c r="EI39" s="5" t="n"/>
      <c r="EJ39" s="5" t="n"/>
      <c r="EK39" s="5" t="n"/>
      <c r="EL39" s="5" t="n"/>
      <c r="EM39" s="5" t="n"/>
      <c r="EN39" s="5" t="n"/>
      <c r="EO39" s="5" t="n"/>
      <c r="EP39" s="5" t="n"/>
      <c r="EQ39" s="5" t="n"/>
      <c r="ER39" s="5" t="n"/>
      <c r="ES39" s="5" t="n"/>
      <c r="ET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218" t="n"/>
      <c r="AC40" s="699" t="n"/>
      <c r="AD40" s="699" t="n"/>
      <c r="AE40" s="699" t="n"/>
      <c r="AF40" s="699" t="n">
        <v>2</v>
      </c>
      <c r="AG40" s="699" t="n">
        <v>1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192">
        <f>CA40+IF(NOT(ISBLANK(OFFSET(CC40,0,6))),N(OFFSET(CC40,0,6)),N(OFFSET(CC40,0,7)))-CB40</f>
        <v/>
      </c>
      <c r="CH40" s="5" t="n"/>
      <c r="CI40" s="29" t="n"/>
      <c r="CJ40" s="29" t="n"/>
      <c r="CK40" s="29" t="n"/>
      <c r="CL40" s="51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5" t="n"/>
      <c r="CY40" s="29" t="n"/>
      <c r="CZ40" s="29" t="n"/>
      <c r="DA40" s="29" t="n"/>
      <c r="DC40" s="29" t="n"/>
      <c r="DD40" s="29" t="n"/>
      <c r="DE40" s="29" t="n"/>
      <c r="DF40" s="5" t="n"/>
      <c r="DG40" s="5" t="n"/>
      <c r="DH40" s="29" t="n"/>
      <c r="DI40" s="5" t="n"/>
      <c r="DJ40" s="29" t="n"/>
      <c r="DK40" s="29" t="n"/>
      <c r="DL40" s="5" t="n"/>
      <c r="DM40" s="29" t="n"/>
      <c r="DN40" s="29" t="n"/>
      <c r="DO40" s="29" t="n"/>
      <c r="DP40" s="327" t="n"/>
      <c r="DS40" s="327" t="n"/>
      <c r="DU40" s="327" t="n"/>
      <c r="DV40" s="327" t="n"/>
      <c r="EI40" s="5" t="n"/>
      <c r="EJ40" s="5" t="n"/>
      <c r="EK40" s="5" t="n"/>
      <c r="EL40" s="5" t="n"/>
      <c r="EM40" s="5" t="n"/>
      <c r="EN40" s="5" t="n"/>
      <c r="EO40" s="5" t="n"/>
      <c r="EP40" s="5" t="n"/>
      <c r="EQ40" s="5" t="n"/>
      <c r="ER40" s="5" t="n"/>
      <c r="ES40" s="5" t="n"/>
      <c r="ET40" s="5" t="n"/>
    </row>
    <row r="41" hidden="1">
      <c r="A41" s="400" t="inlineStr">
        <is>
          <t>CARTUCHO M NAMO/25</t>
        </is>
      </c>
      <c r="B41" s="357" t="n">
        <v>150</v>
      </c>
      <c r="C41" s="771" t="n">
        <v>289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/>
      <c r="AA41" s="699" t="n"/>
      <c r="AB41" s="218" t="n"/>
      <c r="AC41" s="699" t="n"/>
      <c r="AD41" s="699" t="n"/>
      <c r="AE41" s="699" t="n"/>
      <c r="AF41" s="699" t="n">
        <v>3</v>
      </c>
      <c r="AG41" s="699" t="n">
        <v>3</v>
      </c>
      <c r="AH41" s="699" t="n">
        <v>1</v>
      </c>
      <c r="AI41" s="699" t="n">
        <v>1</v>
      </c>
      <c r="AJ41" s="699" t="n">
        <v>1</v>
      </c>
      <c r="AK41" s="699" t="n">
        <v>1</v>
      </c>
      <c r="AL41" s="699" t="n">
        <v>1</v>
      </c>
      <c r="AM41" s="699" t="n">
        <v>1</v>
      </c>
      <c r="AN41" s="699" t="n">
        <v>1</v>
      </c>
      <c r="AO41" s="699" t="n">
        <v>1</v>
      </c>
      <c r="AP41" s="699" t="n">
        <v>-1</v>
      </c>
      <c r="AQ41" s="699" t="n">
        <v>-1</v>
      </c>
      <c r="AR41" s="699" t="n">
        <v>0</v>
      </c>
      <c r="AS41" s="699" t="n">
        <v>0</v>
      </c>
      <c r="AT41" s="699" t="n">
        <v>0</v>
      </c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192">
        <f>CA41+IF(NOT(ISBLANK(OFFSET(CC41,0,6))),N(OFFSET(CC41,0,6)),N(OFFSET(CC41,0,7)))-CB41</f>
        <v/>
      </c>
      <c r="CH41" s="5" t="n"/>
      <c r="CI41" s="29" t="n"/>
      <c r="CJ41" s="29" t="n"/>
      <c r="CK41" s="29" t="n"/>
      <c r="CL41" s="573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5" t="n"/>
      <c r="CY41" s="29" t="n"/>
      <c r="CZ41" s="29" t="n"/>
      <c r="DA41" s="29" t="n"/>
      <c r="DC41" s="29" t="n"/>
      <c r="DD41" s="29" t="n"/>
      <c r="DE41" s="29" t="n"/>
      <c r="DF41" s="5" t="n"/>
      <c r="DG41" s="5" t="n"/>
      <c r="DH41" s="29" t="n"/>
      <c r="DI41" s="51" t="n"/>
      <c r="DJ41" s="29" t="n"/>
      <c r="DK41" s="29" t="n"/>
      <c r="DL41" s="5" t="n"/>
      <c r="DM41" s="29" t="n"/>
      <c r="DN41" s="29" t="n"/>
      <c r="DO41" s="29" t="n"/>
      <c r="DP41" s="327" t="n"/>
      <c r="DS41" s="327" t="n"/>
      <c r="DU41" s="327" t="n"/>
      <c r="DV41" s="327" t="n"/>
      <c r="EI41" s="573" t="n"/>
      <c r="EJ41" s="573" t="n"/>
      <c r="EK41" s="573" t="n"/>
      <c r="EL41" s="573" t="n"/>
      <c r="EM41" s="573" t="n"/>
      <c r="EN41" s="573" t="n"/>
      <c r="EO41" s="573" t="n"/>
      <c r="EP41" s="573" t="n"/>
      <c r="EQ41" s="573" t="n"/>
      <c r="ER41" s="573" t="n"/>
      <c r="ES41" s="573" t="n"/>
      <c r="ET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28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3</v>
      </c>
      <c r="AP42" s="699" t="n">
        <v>2</v>
      </c>
      <c r="AQ42" s="699" t="n">
        <v>2</v>
      </c>
      <c r="AR42" s="699" t="n">
        <v>2</v>
      </c>
      <c r="AS42" s="699" t="n">
        <v>2</v>
      </c>
      <c r="AT42" s="699" t="n">
        <v>1</v>
      </c>
      <c r="AU42" s="699" t="n">
        <v>0</v>
      </c>
      <c r="AV42" s="699" t="n">
        <v>0</v>
      </c>
      <c r="AW42" s="699" t="n">
        <v>0</v>
      </c>
      <c r="AX42" s="699" t="n">
        <v>0</v>
      </c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192">
        <f>CA42+IF(NOT(ISBLANK(OFFSET(CC42,0,6))),N(OFFSET(CC42,0,6)),N(OFFSET(CC42,0,7)))-CB42</f>
        <v/>
      </c>
      <c r="CH42" s="5" t="n"/>
      <c r="CI42" s="29" t="n"/>
      <c r="CJ42" s="29" t="n"/>
      <c r="CK42" s="29" t="n"/>
      <c r="CL42" s="573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5" t="n"/>
      <c r="CY42" s="29" t="n"/>
      <c r="CZ42" s="29" t="n"/>
      <c r="DA42" s="29" t="n"/>
      <c r="DC42" s="29" t="n"/>
      <c r="DD42" s="29" t="n"/>
      <c r="DE42" s="29" t="n"/>
      <c r="DF42" s="5" t="n"/>
      <c r="DG42" s="5" t="n"/>
      <c r="DH42" s="29" t="n"/>
      <c r="DI42" s="51" t="n"/>
      <c r="DJ42" s="29" t="n"/>
      <c r="DK42" s="29" t="n"/>
      <c r="DL42" s="5" t="n"/>
      <c r="DM42" s="29" t="n"/>
      <c r="DN42" s="29" t="n"/>
      <c r="DO42" s="29" t="n"/>
      <c r="DP42" s="327" t="n"/>
      <c r="DS42" s="327" t="n"/>
      <c r="DU42" s="327" t="n"/>
      <c r="DV42" s="327" t="n"/>
      <c r="EI42" s="573" t="n"/>
      <c r="EJ42" s="573" t="n"/>
      <c r="EK42" s="573" t="n"/>
      <c r="EL42" s="573" t="n"/>
      <c r="EM42" s="573" t="n"/>
      <c r="EN42" s="573" t="n"/>
      <c r="EO42" s="573" t="n"/>
      <c r="EP42" s="573" t="n"/>
      <c r="EQ42" s="573" t="n"/>
      <c r="ER42" s="573" t="n"/>
      <c r="ES42" s="573" t="n"/>
      <c r="ET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28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192">
        <f>CA43+IF(NOT(ISBLANK(OFFSET(CC43,0,6))),N(OFFSET(CC43,0,6)),N(OFFSET(CC43,0,7)))-CB43</f>
        <v/>
      </c>
      <c r="CH43" s="5" t="n"/>
      <c r="CI43" s="29" t="n"/>
      <c r="CJ43" s="29" t="n"/>
      <c r="CK43" s="29" t="n"/>
      <c r="CL43" s="573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5" t="n"/>
      <c r="CY43" s="29" t="n"/>
      <c r="CZ43" s="29" t="n"/>
      <c r="DA43" s="29" t="n"/>
      <c r="DC43" s="29" t="n"/>
      <c r="DD43" s="29" t="n"/>
      <c r="DE43" s="29" t="n"/>
      <c r="DF43" s="5" t="n"/>
      <c r="DG43" s="5" t="n"/>
      <c r="DH43" s="29" t="n"/>
      <c r="DI43" s="51" t="n"/>
      <c r="DJ43" s="29" t="n"/>
      <c r="DK43" s="29" t="n"/>
      <c r="DL43" s="5" t="n"/>
      <c r="DM43" s="29" t="n"/>
      <c r="DN43" s="29" t="n"/>
      <c r="DO43" s="29" t="n"/>
      <c r="DP43" s="327" t="n"/>
      <c r="DS43" s="327" t="n"/>
      <c r="DU43" s="327" t="n"/>
      <c r="DV43" s="327" t="n"/>
      <c r="EI43" s="573" t="n"/>
      <c r="EJ43" s="573" t="n"/>
      <c r="EK43" s="573" t="n"/>
      <c r="EL43" s="573" t="n"/>
      <c r="EM43" s="573" t="n"/>
      <c r="EN43" s="573" t="n"/>
      <c r="EO43" s="573" t="n"/>
      <c r="EP43" s="573" t="n"/>
      <c r="EQ43" s="573" t="n"/>
      <c r="ER43" s="573" t="n"/>
      <c r="ES43" s="573" t="n"/>
      <c r="ET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428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9</v>
      </c>
      <c r="AP44" s="699" t="n">
        <v>0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/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192">
        <f>CA44+IF(NOT(ISBLANK(OFFSET(CC44,0,6))),N(OFFSET(CC44,0,6)),N(OFFSET(CC44,0,7)))-CB44</f>
        <v/>
      </c>
      <c r="CH44" s="5" t="n"/>
      <c r="CI44" s="29" t="n"/>
      <c r="CJ44" s="29" t="n"/>
      <c r="CK44" s="29" t="n"/>
      <c r="CL44" s="573" t="n"/>
      <c r="CM44" s="29" t="n"/>
      <c r="CN44" s="29" t="n"/>
      <c r="CO44" s="29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5" t="n"/>
      <c r="CY44" s="29" t="n"/>
      <c r="CZ44" s="29" t="n"/>
      <c r="DA44" s="29" t="n"/>
      <c r="DC44" s="29" t="n"/>
      <c r="DD44" s="29" t="n"/>
      <c r="DE44" s="29" t="n"/>
      <c r="DF44" s="5" t="n"/>
      <c r="DG44" s="5" t="n"/>
      <c r="DH44" s="29" t="n"/>
      <c r="DI44" s="51" t="n"/>
      <c r="DJ44" s="29" t="n"/>
      <c r="DK44" s="29" t="n"/>
      <c r="DL44" s="5" t="n"/>
      <c r="DM44" s="29" t="n"/>
      <c r="DN44" s="29" t="n"/>
      <c r="DO44" s="29" t="n"/>
      <c r="DP44" s="327" t="n"/>
      <c r="DS44" s="327" t="n"/>
      <c r="DU44" s="327" t="n"/>
      <c r="DV44" s="327" t="n"/>
      <c r="EI44" s="573" t="n"/>
      <c r="EJ44" s="573" t="n"/>
      <c r="EK44" s="573" t="n"/>
      <c r="EL44" s="573" t="n"/>
      <c r="EM44" s="573" t="n"/>
      <c r="EN44" s="573" t="n"/>
      <c r="EO44" s="573" t="n"/>
      <c r="EP44" s="573" t="n"/>
      <c r="EQ44" s="573" t="n"/>
      <c r="ER44" s="573" t="n"/>
      <c r="ES44" s="573" t="n"/>
      <c r="ET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428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1</v>
      </c>
      <c r="AP45" s="699" t="n">
        <v>0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/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192">
        <f>CA45+IF(NOT(ISBLANK(OFFSET(CC45,0,6))),N(OFFSET(CC45,0,6)),N(OFFSET(CC45,0,7)))-CB45</f>
        <v/>
      </c>
      <c r="CH45" s="5" t="n"/>
      <c r="CI45" s="29" t="n"/>
      <c r="CJ45" s="29" t="n"/>
      <c r="CK45" s="29" t="n"/>
      <c r="CM45" s="29" t="n"/>
      <c r="CN45" s="29" t="n"/>
      <c r="CO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51" t="n"/>
      <c r="CY45" s="29" t="n"/>
      <c r="CZ45" s="29" t="n"/>
      <c r="DA45" s="29" t="n"/>
      <c r="DC45" s="29" t="n"/>
      <c r="DD45" s="29" t="n"/>
      <c r="DE45" s="29" t="n"/>
      <c r="DF45" s="5" t="n"/>
      <c r="DG45" s="5" t="n"/>
      <c r="DH45" s="29" t="n"/>
      <c r="DI45" s="51" t="n"/>
      <c r="DJ45" s="29" t="n"/>
      <c r="DK45" s="29" t="n"/>
      <c r="DL45" s="5" t="n"/>
      <c r="DM45" s="29" t="n"/>
      <c r="DN45" s="29" t="n"/>
      <c r="DO45" s="29" t="n"/>
      <c r="DP45" s="327" t="n"/>
      <c r="DS45" s="327" t="n"/>
      <c r="DU45" s="327" t="n"/>
      <c r="DV45" s="327" t="n"/>
    </row>
    <row r="46" hidden="1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87</v>
      </c>
      <c r="BE46" s="699" t="n">
        <v>82</v>
      </c>
      <c r="BF46" s="699" t="n">
        <v>73</v>
      </c>
      <c r="BG46" s="699" t="n">
        <v>19</v>
      </c>
      <c r="BH46" s="699" t="n">
        <v>15</v>
      </c>
      <c r="BI46" s="699" t="n">
        <v>11</v>
      </c>
      <c r="BJ46" s="699" t="n">
        <v>8</v>
      </c>
      <c r="BK46" s="699" t="n">
        <v>6</v>
      </c>
      <c r="BL46" s="699" t="n">
        <v>1</v>
      </c>
      <c r="BM46" s="699" t="n">
        <v>1</v>
      </c>
      <c r="BN46" s="699" t="n">
        <v>1</v>
      </c>
      <c r="BO46" s="699" t="n">
        <v>1</v>
      </c>
      <c r="BP46" s="699" t="n">
        <v>0</v>
      </c>
      <c r="BQ46" s="699" t="n">
        <v>0</v>
      </c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192">
        <f>CA46+IF(NOT(ISBLANK(OFFSET(CC46,0,6))),N(OFFSET(CC46,0,6)),N(OFFSET(CC46,0,7)))-CB46</f>
        <v/>
      </c>
      <c r="CX46" s="51" t="n"/>
      <c r="DF46" s="51" t="n"/>
      <c r="DG46" s="51" t="n"/>
      <c r="DI46" s="51" t="n"/>
      <c r="DL46" s="51" t="n"/>
      <c r="DP46" s="327" t="n"/>
      <c r="DQ46" s="173" t="n"/>
      <c r="DR46" s="173" t="n"/>
      <c r="DS46" s="327" t="n"/>
      <c r="DU46" s="327" t="n"/>
      <c r="DV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72</v>
      </c>
      <c r="BE47" s="699" t="n">
        <v>61</v>
      </c>
      <c r="BF47" s="699" t="n">
        <v>33</v>
      </c>
      <c r="BG47" s="699" t="n">
        <v>28</v>
      </c>
      <c r="BH47" s="699" t="n">
        <v>17</v>
      </c>
      <c r="BI47" s="699" t="n">
        <v>12</v>
      </c>
      <c r="BJ47" s="699" t="n">
        <v>10</v>
      </c>
      <c r="BK47" s="699" t="n">
        <v>7</v>
      </c>
      <c r="BL47" s="699" t="n">
        <v>10</v>
      </c>
      <c r="BM47" s="699" t="n">
        <v>9</v>
      </c>
      <c r="BN47" s="699" t="n">
        <v>9</v>
      </c>
      <c r="BO47" s="699" t="n">
        <v>8</v>
      </c>
      <c r="BP47" s="699" t="n">
        <v>6</v>
      </c>
      <c r="BQ47" s="699" t="n">
        <v>4</v>
      </c>
      <c r="BR47" s="699" t="n">
        <v>2</v>
      </c>
      <c r="BS47" s="699" t="n">
        <v>2</v>
      </c>
      <c r="BT47" s="699" t="n">
        <v>1</v>
      </c>
      <c r="BU47" s="699" t="n">
        <v>1</v>
      </c>
      <c r="BV47" s="699" t="n">
        <v>1</v>
      </c>
      <c r="BW47" s="699" t="n">
        <v>1</v>
      </c>
      <c r="BX47" s="699" t="n">
        <v>1</v>
      </c>
      <c r="BY47" s="699" t="n">
        <v>1</v>
      </c>
      <c r="BZ47" s="699" t="n">
        <v>1</v>
      </c>
      <c r="CA47" s="699" t="n">
        <v>1</v>
      </c>
      <c r="CB47" s="699" t="n">
        <v>1</v>
      </c>
      <c r="CC47" s="192">
        <f>CA47+IF(NOT(ISBLANK(OFFSET(CC47,0,6))),N(OFFSET(CC47,0,6)),N(OFFSET(CC47,0,7)))-CB47</f>
        <v/>
      </c>
      <c r="CL47" s="5" t="n"/>
      <c r="CX47" s="51" t="n"/>
      <c r="DF47" s="51" t="n"/>
      <c r="DG47" s="51" t="n"/>
      <c r="DI47" s="51" t="n"/>
      <c r="DL47" s="51" t="n"/>
      <c r="DP47" s="327" t="n"/>
      <c r="DQ47" s="173" t="n"/>
      <c r="DR47" s="173" t="n"/>
      <c r="DS47" s="327" t="n"/>
      <c r="DU47" s="327" t="n"/>
      <c r="DV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135</v>
      </c>
      <c r="BE48" s="699" t="n">
        <v>62</v>
      </c>
      <c r="BF48" s="699" t="n">
        <v>9</v>
      </c>
      <c r="BG48" s="699" t="n">
        <v>11</v>
      </c>
      <c r="BH48" s="699" t="n">
        <v>10</v>
      </c>
      <c r="BI48" s="699" t="n">
        <v>10</v>
      </c>
      <c r="BJ48" s="699" t="n">
        <v>6</v>
      </c>
      <c r="BK48" s="699" t="n">
        <v>5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>
        <v>0</v>
      </c>
      <c r="BQ48" s="699" t="n">
        <v>0</v>
      </c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699" t="n"/>
      <c r="CB48" s="699" t="n"/>
      <c r="CC48" s="192">
        <f>CA48+IF(NOT(ISBLANK(OFFSET(CC48,0,6))),N(OFFSET(CC48,0,6)),N(OFFSET(CC48,0,7)))-CB48</f>
        <v/>
      </c>
      <c r="CX48" s="51" t="n"/>
      <c r="DF48" s="51" t="n"/>
      <c r="DG48" s="51" t="n"/>
      <c r="DI48" s="51" t="n"/>
      <c r="DL48" s="51" t="n"/>
      <c r="DP48" s="327" t="n"/>
      <c r="DQ48" s="173" t="n"/>
      <c r="DR48" s="173" t="n"/>
      <c r="DS48" s="327" t="n"/>
      <c r="DU48" s="327" t="n"/>
      <c r="DV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116</v>
      </c>
      <c r="BE49" s="699" t="n">
        <v>56</v>
      </c>
      <c r="BF49" s="699" t="n">
        <v>26</v>
      </c>
      <c r="BG49" s="699" t="n">
        <v>17</v>
      </c>
      <c r="BH49" s="699" t="n">
        <v>12</v>
      </c>
      <c r="BI49" s="699" t="n">
        <v>7</v>
      </c>
      <c r="BJ49" s="699" t="n">
        <v>7</v>
      </c>
      <c r="BK49" s="699" t="n">
        <v>5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192">
        <f>CA49+IF(NOT(ISBLANK(OFFSET(CC49,0,6))),N(OFFSET(CC49,0,6)),N(OFFSET(CC49,0,7)))-CB49</f>
        <v/>
      </c>
      <c r="CX49" s="51" t="n"/>
      <c r="DF49" s="51" t="n"/>
      <c r="DG49" s="51" t="n"/>
      <c r="DI49" s="51" t="n"/>
      <c r="DL49" s="51" t="n"/>
      <c r="DP49" s="327" t="n"/>
      <c r="DQ49" s="173" t="n"/>
      <c r="DR49" s="173" t="n"/>
      <c r="DS49" s="327" t="n"/>
      <c r="DU49" s="327" t="n"/>
      <c r="DV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>
        <v>0</v>
      </c>
      <c r="BG50" s="699" t="n">
        <v>0</v>
      </c>
      <c r="BH50" s="699" t="n">
        <v>0</v>
      </c>
      <c r="BI50" s="699" t="n">
        <v>0</v>
      </c>
      <c r="BJ50" s="699" t="n">
        <v>0</v>
      </c>
      <c r="BK50" s="699" t="n">
        <v>0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>
        <v>0</v>
      </c>
      <c r="BQ50" s="699" t="n">
        <v>0</v>
      </c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192">
        <f>CA50+IF(NOT(ISBLANK(OFFSET(CC50,0,6))),N(OFFSET(CC50,0,6)),N(OFFSET(CC50,0,7)))-CB50</f>
        <v/>
      </c>
      <c r="CX50" s="51" t="n"/>
      <c r="DF50" s="51" t="n"/>
      <c r="DG50" s="51" t="n"/>
      <c r="DI50" s="51" t="n"/>
      <c r="DL50" s="51" t="n"/>
      <c r="DP50" s="327" t="n"/>
      <c r="DQ50" s="173" t="n"/>
      <c r="DR50" s="173" t="n"/>
      <c r="DS50" s="327" t="n"/>
      <c r="DU50" s="327" t="n"/>
      <c r="DV50" s="327" t="n"/>
    </row>
    <row r="51">
      <c r="C51" s="726" t="n"/>
      <c r="CX51" s="51" t="n"/>
      <c r="DF51" s="51" t="n"/>
      <c r="DG51" s="51" t="n"/>
      <c r="DI51" s="51" t="n"/>
      <c r="DL51" s="51" t="n"/>
      <c r="DP51" s="327" t="n"/>
      <c r="DQ51" s="173" t="n"/>
      <c r="DR51" s="173" t="n"/>
      <c r="DS51" s="327" t="n"/>
      <c r="DU51" s="327" t="n"/>
      <c r="DV51" s="327" t="n"/>
    </row>
    <row r="52">
      <c r="C52" s="726" t="n"/>
      <c r="CX52" s="51" t="n"/>
      <c r="DF52" s="51" t="n"/>
      <c r="DG52" s="51" t="n"/>
      <c r="DI52" s="51" t="n"/>
      <c r="DL52" s="51" t="n"/>
      <c r="DP52" s="327" t="n"/>
      <c r="DQ52" s="173" t="n"/>
      <c r="DR52" s="173" t="n"/>
      <c r="DS52" s="327" t="n"/>
      <c r="DU52" s="327" t="n"/>
      <c r="DV52" s="327" t="n"/>
    </row>
    <row r="53">
      <c r="C53" s="726" t="n"/>
      <c r="CX53" s="51" t="n"/>
      <c r="DF53" s="51" t="n"/>
      <c r="DG53" s="51" t="n"/>
      <c r="DI53" s="51" t="n"/>
      <c r="DL53" s="51" t="n"/>
      <c r="DP53" s="327" t="n"/>
      <c r="DQ53" s="173" t="n"/>
      <c r="DR53" s="173" t="n"/>
      <c r="DS53" s="327" t="n"/>
      <c r="DU53" s="327" t="n"/>
      <c r="DV53" s="327" t="n"/>
    </row>
    <row r="54">
      <c r="C54" s="726" t="n"/>
      <c r="CH54" s="573" t="n"/>
      <c r="CI54" s="59" t="n"/>
      <c r="CJ54" s="59" t="n"/>
      <c r="CK54" s="59" t="n"/>
      <c r="CM54" s="59" t="n"/>
      <c r="CN54" s="59" t="n"/>
      <c r="CX54" s="51" t="n"/>
      <c r="DF54" s="51" t="n"/>
      <c r="DG54" s="51" t="n"/>
      <c r="DI54" s="51" t="n"/>
      <c r="DL54" s="51" t="n"/>
      <c r="DP54" s="327" t="n"/>
      <c r="DQ54" s="173" t="n"/>
      <c r="DR54" s="173" t="n"/>
      <c r="DS54" s="327" t="n"/>
      <c r="DU54" s="327" t="n"/>
      <c r="DV54" s="327" t="n"/>
    </row>
    <row r="55" ht="21" customHeight="1">
      <c r="A55" s="380" t="inlineStr">
        <is>
          <t>SOBRAS DATAS COMEMORATIVAS</t>
        </is>
      </c>
      <c r="B55" s="380" t="n"/>
      <c r="C55" s="380" t="n"/>
      <c r="CH55" s="573" t="n"/>
      <c r="CI55" s="573" t="n"/>
      <c r="CJ55" s="573" t="n"/>
      <c r="CK55" s="573" t="n"/>
      <c r="CM55" s="573" t="n"/>
      <c r="CN55" s="573" t="n"/>
      <c r="CX55" s="573" t="n"/>
      <c r="DA55" s="59" t="n"/>
      <c r="DB55" s="173" t="n"/>
      <c r="DC55" s="59" t="n"/>
      <c r="DD55" s="59" t="n"/>
      <c r="DE55" s="59" t="n"/>
      <c r="DF55" s="51" t="n"/>
      <c r="DG55" s="51" t="n"/>
      <c r="DI55" s="573" t="n"/>
      <c r="DK55" s="59" t="n"/>
      <c r="DL55" s="51" t="n"/>
      <c r="DP55" s="327" t="n"/>
      <c r="DQ55" s="174" t="n"/>
      <c r="DR55" s="174" t="n"/>
      <c r="DS55" s="327" t="n"/>
      <c r="DU55" s="327" t="n"/>
      <c r="DV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CH56" s="573" t="n"/>
      <c r="CI56" s="573" t="n"/>
      <c r="CJ56" s="573" t="n"/>
      <c r="CK56" s="573" t="n"/>
      <c r="CM56" s="573" t="n"/>
      <c r="CN56" s="573" t="n"/>
      <c r="CX56" s="573" t="n"/>
      <c r="DA56" s="573" t="n"/>
      <c r="DB56" s="174" t="n"/>
      <c r="DC56" s="573" t="n"/>
      <c r="DD56" s="573" t="n"/>
      <c r="DE56" s="573" t="n"/>
      <c r="DF56" s="573" t="n"/>
      <c r="DG56" s="573" t="n"/>
      <c r="DI56" s="573" t="n"/>
      <c r="DK56" s="573" t="n"/>
      <c r="DL56" s="573" t="n"/>
      <c r="DM56" s="59" t="n"/>
      <c r="DN56" s="59" t="n"/>
      <c r="DO56" s="59" t="n"/>
      <c r="DP56" s="327" t="n"/>
      <c r="DQ56" s="174" t="n"/>
      <c r="DR56" s="174" t="n"/>
      <c r="DS56" s="327" t="n"/>
      <c r="DU56" s="327" t="n"/>
      <c r="DV56" s="327" t="n"/>
    </row>
    <row r="57">
      <c r="A57" s="170" t="inlineStr">
        <is>
          <t>OVERBAG G PAIS/22</t>
        </is>
      </c>
      <c r="B57" s="171" t="n"/>
      <c r="C57" s="172" t="n">
        <v>20</v>
      </c>
      <c r="CP57" s="59" t="n"/>
      <c r="CQ57" s="59" t="n"/>
      <c r="CR57" s="59" t="n"/>
      <c r="CS57" s="59" t="n"/>
      <c r="CT57" s="59" t="n"/>
      <c r="CU57" s="59" t="n"/>
      <c r="CV57" s="59" t="n"/>
      <c r="CW57" s="59" t="n"/>
      <c r="CX57" s="573" t="n"/>
      <c r="CY57" s="59" t="n"/>
      <c r="CZ57" s="59" t="n"/>
      <c r="DA57" s="573" t="n"/>
      <c r="DB57" s="174" t="n"/>
      <c r="DC57" s="573" t="n"/>
      <c r="DD57" s="573" t="n"/>
      <c r="DE57" s="573" t="n"/>
      <c r="DF57" s="573" t="n"/>
      <c r="DG57" s="573" t="n"/>
      <c r="DI57" s="573" t="n"/>
      <c r="DK57" s="573" t="n"/>
      <c r="DL57" s="573" t="n"/>
      <c r="DM57" s="573" t="n"/>
      <c r="DN57" s="573" t="n"/>
      <c r="DO57" s="573" t="n"/>
      <c r="DP57" s="327" t="n"/>
      <c r="DS57" s="327" t="n"/>
      <c r="DT57" s="59" t="n"/>
      <c r="DU57" s="327" t="n"/>
      <c r="DV57" s="327" t="n"/>
      <c r="DW57" s="59" t="n"/>
      <c r="DX57" s="59" t="n"/>
      <c r="DY57" s="59" t="n"/>
      <c r="DZ57" s="59" t="n"/>
      <c r="EA57" s="59" t="n"/>
      <c r="EB57" s="59" t="n"/>
      <c r="EC57" s="59" t="n"/>
      <c r="ED57" s="59" t="n"/>
      <c r="EE57" s="59" t="n"/>
      <c r="EG57" s="59" t="n"/>
    </row>
    <row r="58">
      <c r="A58" s="172" t="n"/>
      <c r="B58" s="171" t="n"/>
      <c r="C58" s="172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E58" s="573" t="n"/>
      <c r="CP58" s="573" t="n"/>
      <c r="CQ58" s="573" t="n"/>
      <c r="CR58" s="573" t="n"/>
      <c r="CS58" s="573" t="n"/>
      <c r="CT58" s="573" t="n"/>
      <c r="CU58" s="573" t="n"/>
      <c r="CV58" s="573" t="n"/>
      <c r="CW58" s="573" t="n"/>
      <c r="CX58" s="573" t="n"/>
      <c r="CY58" s="573" t="n"/>
      <c r="CZ58" s="573" t="n"/>
      <c r="DF58" s="573" t="n"/>
      <c r="DG58" s="573" t="n"/>
      <c r="DH58" s="59" t="n"/>
      <c r="DI58" s="573" t="n"/>
      <c r="DJ58" s="59" t="n"/>
      <c r="DL58" s="573" t="n"/>
      <c r="DM58" s="573" t="n"/>
      <c r="DN58" s="573" t="n"/>
      <c r="DO58" s="573" t="n"/>
      <c r="DP58" s="327" t="n"/>
      <c r="DS58" s="327" t="n"/>
      <c r="DT58" s="573" t="n"/>
      <c r="DU58" s="327" t="n"/>
      <c r="DV58" s="327" t="n"/>
      <c r="DW58" s="573" t="n"/>
      <c r="DX58" s="573" t="n"/>
      <c r="DY58" s="573" t="n"/>
      <c r="DZ58" s="573" t="n"/>
      <c r="EA58" s="573" t="n"/>
      <c r="EB58" s="573" t="n"/>
      <c r="EC58" s="573" t="n"/>
      <c r="ED58" s="573" t="n"/>
      <c r="EE58" s="573" t="n"/>
      <c r="EF58" s="573" t="n"/>
      <c r="EG58" s="573" t="n"/>
    </row>
    <row r="59">
      <c r="A59" s="175" t="inlineStr">
        <is>
          <t>ADESIVOS NAMORADOS/23</t>
        </is>
      </c>
      <c r="B59" s="171" t="n"/>
      <c r="C59" s="172" t="n">
        <v>46</v>
      </c>
      <c r="CE59" s="573" t="n"/>
      <c r="CP59" s="573" t="n"/>
      <c r="CQ59" s="573" t="n"/>
      <c r="CR59" s="573" t="n"/>
      <c r="CS59" s="573" t="n"/>
      <c r="CT59" s="573" t="n"/>
      <c r="CU59" s="573" t="n"/>
      <c r="CV59" s="573" t="n"/>
      <c r="CW59" s="573" t="n"/>
      <c r="CX59" s="573" t="n"/>
      <c r="CY59" s="573" t="n"/>
      <c r="CZ59" s="573" t="n"/>
      <c r="DF59" s="573" t="n"/>
      <c r="DG59" s="573" t="n"/>
      <c r="DH59" s="573" t="n"/>
      <c r="DI59" s="573" t="n"/>
      <c r="DJ59" s="573" t="n"/>
      <c r="DL59" s="573" t="n"/>
      <c r="DP59" s="327" t="n"/>
      <c r="DS59" s="327" t="n"/>
      <c r="DT59" s="573" t="n"/>
      <c r="DU59" s="327" t="n"/>
      <c r="DV59" s="327" t="n"/>
      <c r="DW59" s="573" t="n"/>
      <c r="DX59" s="573" t="n"/>
      <c r="DY59" s="573" t="n"/>
      <c r="DZ59" s="573" t="n"/>
      <c r="EA59" s="573" t="n"/>
      <c r="EB59" s="573" t="n"/>
      <c r="EC59" s="573" t="n"/>
      <c r="ED59" s="573" t="n"/>
      <c r="EE59" s="573" t="n"/>
      <c r="EF59" s="573" t="n"/>
      <c r="EG59" s="573" t="n"/>
    </row>
    <row r="60">
      <c r="A60" s="175" t="inlineStr">
        <is>
          <t>TAG NAMORADOS/2023</t>
        </is>
      </c>
      <c r="B60" s="171" t="n"/>
      <c r="C60" s="172" t="n">
        <v>150</v>
      </c>
      <c r="CE60" s="573" t="n"/>
      <c r="CX60" s="5" t="n"/>
      <c r="DF60" s="573" t="n"/>
      <c r="DG60" s="573" t="n"/>
      <c r="DH60" s="573" t="n"/>
      <c r="DI60" s="573" t="n"/>
      <c r="DJ60" s="573" t="n"/>
      <c r="DL60" s="573" t="n"/>
      <c r="DP60" s="327" t="n"/>
      <c r="DS60" s="327" t="n"/>
      <c r="DT60" s="573" t="n"/>
      <c r="DU60" s="327" t="n"/>
      <c r="DV60" s="327" t="n"/>
      <c r="DW60" s="573" t="n"/>
      <c r="DX60" s="573" t="n"/>
      <c r="DY60" s="573" t="n"/>
      <c r="DZ60" s="573" t="n"/>
      <c r="EA60" s="573" t="n"/>
      <c r="EB60" s="573" t="n"/>
      <c r="EC60" s="573" t="n"/>
      <c r="ED60" s="573" t="n"/>
      <c r="EE60" s="573" t="n"/>
      <c r="EF60" s="573" t="n"/>
      <c r="EG60" s="573" t="n"/>
    </row>
    <row r="61">
      <c r="CE61" s="573" t="n"/>
      <c r="CX61" s="41" t="n"/>
      <c r="DF61" s="573" t="n"/>
      <c r="DG61" s="573" t="n"/>
      <c r="DI61" s="573" t="n"/>
      <c r="DL61" s="573" t="n"/>
      <c r="DP61" s="327" t="n"/>
      <c r="DQ61" s="5" t="n"/>
      <c r="DR61" s="5" t="n"/>
      <c r="DS61" s="327" t="n"/>
      <c r="DU61" s="327" t="n"/>
      <c r="DV61" s="327" t="n"/>
      <c r="EF61" s="573" t="n"/>
    </row>
    <row r="62">
      <c r="A62" s="485" t="inlineStr">
        <is>
          <t>FLACONETES</t>
        </is>
      </c>
      <c r="B62" s="486" t="n"/>
      <c r="C62" s="487" t="n"/>
      <c r="D62" s="487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46092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BZ62" s="776" t="n">
        <v>46160</v>
      </c>
      <c r="CA62" s="779" t="n">
        <v>46161.48024017361</v>
      </c>
      <c r="CB62" s="779" t="n">
        <v>46161.48089834838</v>
      </c>
      <c r="CE62" s="68" t="n"/>
      <c r="CX62" s="41" t="n"/>
      <c r="DB62" s="5" t="n"/>
      <c r="DF62" s="573" t="n"/>
      <c r="DG62" s="573" t="n"/>
      <c r="DI62" s="573" t="n"/>
      <c r="DL62" s="573" t="n"/>
      <c r="DP62" s="327" t="n"/>
      <c r="DQ62" s="5" t="n"/>
      <c r="DR62" s="5" t="n"/>
      <c r="DS62" s="327" t="n"/>
      <c r="DU62" s="327" t="n"/>
      <c r="DV62" s="327" t="n"/>
      <c r="EF62" s="573" t="n"/>
    </row>
    <row r="63" hidden="1" ht="18.75" customHeight="1">
      <c r="A63" s="482" t="inlineStr">
        <is>
          <t xml:space="preserve">214 FUJI WOMAN </t>
        </is>
      </c>
      <c r="B63" s="483" t="n"/>
      <c r="C63" s="484" t="n"/>
      <c r="D63" s="484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697" t="n"/>
      <c r="CA63" s="699" t="n"/>
      <c r="CB63" s="699" t="n"/>
      <c r="CE63" s="68" t="n"/>
      <c r="DB63" s="5" t="n"/>
      <c r="DF63" s="573" t="n"/>
      <c r="DG63" s="573" t="n"/>
      <c r="DI63" s="5" t="n"/>
      <c r="DL63" s="573" t="n"/>
      <c r="DP63" s="327" t="n"/>
      <c r="DQ63" s="5" t="n"/>
      <c r="DR63" s="5" t="n"/>
      <c r="DS63" s="327" t="n"/>
      <c r="DU63" s="327" t="n"/>
      <c r="DV63" s="327" t="n"/>
      <c r="EF63" s="5" t="n"/>
    </row>
    <row r="64" hidden="1" ht="18.75" customHeight="1">
      <c r="A64" s="482" t="inlineStr">
        <is>
          <t>214 FUJI MAN</t>
        </is>
      </c>
      <c r="B64" s="483" t="n"/>
      <c r="C64" s="484" t="n"/>
      <c r="D64" s="484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DB64" s="5" t="n"/>
      <c r="DF64" s="5" t="n"/>
      <c r="DG64" s="5" t="n"/>
      <c r="DI64" s="5" t="n"/>
      <c r="DL64" s="5" t="n"/>
      <c r="DP64" s="327" t="n"/>
      <c r="DQ64" s="5" t="n"/>
      <c r="DR64" s="5" t="n"/>
      <c r="DS64" s="327" t="n"/>
      <c r="DU64" s="327" t="n"/>
      <c r="DV64" s="327" t="n"/>
      <c r="EF64" s="5" t="n"/>
    </row>
    <row r="65" hidden="1" ht="18.75" customHeight="1">
      <c r="A65" s="482" t="inlineStr">
        <is>
          <t xml:space="preserve">LIZ INTENSO </t>
        </is>
      </c>
      <c r="B65" s="483" t="n"/>
      <c r="C65" s="484" t="n"/>
      <c r="D65" s="484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DB65" s="5" t="n"/>
      <c r="DF65" s="5" t="n"/>
      <c r="DG65" s="5" t="n"/>
      <c r="DI65" s="41" t="n"/>
      <c r="DL65" s="5" t="n"/>
      <c r="DP65" s="327" t="n"/>
      <c r="DQ65" s="5" t="n"/>
      <c r="DR65" s="5" t="n"/>
      <c r="DS65" s="327" t="n"/>
      <c r="DU65" s="327" t="n"/>
      <c r="DV65" s="327" t="n"/>
      <c r="EF65" s="41" t="n"/>
    </row>
    <row r="66" hidden="1" ht="18.75" customHeight="1">
      <c r="A66" s="482" t="inlineStr">
        <is>
          <t>CELEBRE AGORA WOMAN</t>
        </is>
      </c>
      <c r="B66" s="483" t="n"/>
      <c r="C66" s="484" t="n"/>
      <c r="D66" s="484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DB66" s="5" t="n"/>
      <c r="DF66" s="41" t="n"/>
      <c r="DG66" s="41" t="n"/>
      <c r="DI66" s="41" t="n"/>
      <c r="DL66" s="41" t="n"/>
      <c r="DP66" s="327" t="n"/>
      <c r="DQ66" s="5" t="n"/>
      <c r="DR66" s="5" t="n"/>
      <c r="DS66" s="327" t="n"/>
      <c r="DU66" s="327" t="n"/>
      <c r="DV66" s="327" t="n"/>
      <c r="EF66" s="41" t="n"/>
    </row>
    <row r="67" hidden="1" ht="18.75" customHeight="1">
      <c r="A67" s="482" t="inlineStr">
        <is>
          <t>GLAMOUR MIDNIGHT</t>
        </is>
      </c>
      <c r="B67" s="483" t="n"/>
      <c r="C67" s="484" t="n"/>
      <c r="D67" s="484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X67" s="5" t="n"/>
      <c r="DB67" s="5" t="n"/>
      <c r="DF67" s="41" t="n"/>
      <c r="DG67" s="41" t="n"/>
      <c r="DI67" s="41" t="n"/>
      <c r="DL67" s="41" t="n"/>
      <c r="DP67" s="327" t="n"/>
      <c r="DQ67" s="5" t="n"/>
      <c r="DR67" s="5" t="n"/>
      <c r="DS67" s="327" t="n"/>
      <c r="DU67" s="327" t="n"/>
      <c r="DV67" s="327" t="n"/>
    </row>
    <row r="68" hidden="1" ht="18.75" customHeight="1">
      <c r="A68" s="482" t="inlineStr">
        <is>
          <t>MALBEC ELEGANT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X68" s="5" t="n"/>
      <c r="DB68" s="5" t="n"/>
      <c r="DF68" s="41" t="n"/>
      <c r="DG68" s="41" t="n"/>
      <c r="DL68" s="41" t="n"/>
      <c r="DP68" s="328" t="n"/>
      <c r="DQ68" s="5" t="n"/>
      <c r="DR68" s="5" t="n"/>
      <c r="DS68" s="328" t="n"/>
      <c r="DU68" s="328" t="n"/>
      <c r="DV68" s="328" t="n"/>
    </row>
    <row r="69" hidden="1" ht="18.75" customHeight="1">
      <c r="A69" s="482" t="inlineStr">
        <is>
          <t>EGEO FREE FIRE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X69" s="5" t="n"/>
      <c r="DB69" s="5" t="n"/>
      <c r="DP69" s="328" t="n"/>
      <c r="DQ69" s="5" t="n"/>
      <c r="DR69" s="5" t="n"/>
      <c r="DS69" s="328" t="n"/>
      <c r="DU69" s="328" t="n"/>
      <c r="DV69" s="328" t="n"/>
    </row>
    <row r="70" hidden="1" ht="18.75" customHeight="1">
      <c r="A70" s="482" t="inlineStr">
        <is>
          <t xml:space="preserve">VITAMINA C BOTIC </t>
        </is>
      </c>
      <c r="B70" s="483" t="n"/>
      <c r="C70" s="484" t="n"/>
      <c r="D70" s="484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DB70" s="5" t="n"/>
      <c r="DP70" s="329" t="n"/>
      <c r="DS70" s="329" t="n"/>
      <c r="DU70" s="329" t="n"/>
      <c r="DV70" s="329" t="n"/>
    </row>
    <row r="71" hidden="1" ht="18.75" customHeight="1">
      <c r="A71" s="482" t="inlineStr">
        <is>
          <t>HER CODE</t>
        </is>
      </c>
      <c r="B71" s="483" t="n"/>
      <c r="C71" s="484" t="n"/>
      <c r="D71" s="484" t="n"/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DB71" s="5" t="n"/>
      <c r="DP71" s="329" t="n"/>
      <c r="DQ71" s="5" t="n"/>
      <c r="DR71" s="5" t="n"/>
      <c r="DS71" s="329" t="n"/>
      <c r="DU71" s="329" t="n"/>
      <c r="DV71" s="329" t="n"/>
    </row>
    <row r="72">
      <c r="A72" s="781" t="inlineStr">
        <is>
          <t xml:space="preserve">CONJ. CABELO MALBEC ANTIQUEDA 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>
        <v>0</v>
      </c>
      <c r="V72" s="697" t="n">
        <v>0</v>
      </c>
      <c r="W72" s="697" t="n">
        <v>0</v>
      </c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697" t="n">
        <v>0</v>
      </c>
      <c r="BZ72" s="697" t="n"/>
      <c r="CA72" s="699" t="n"/>
      <c r="CB72" s="699" t="n"/>
      <c r="DB72" s="5" t="n"/>
      <c r="DP72" s="329" t="n"/>
      <c r="DS72" s="329" t="n"/>
      <c r="DU72" s="329" t="n"/>
      <c r="DV72" s="329" t="n"/>
    </row>
    <row r="73" hidden="1" ht="18.75" customHeight="1">
      <c r="A73" s="482" t="inlineStr">
        <is>
          <t xml:space="preserve">CONJ. CABELO ANTICASPA </t>
        </is>
      </c>
      <c r="B73" s="483" t="n"/>
      <c r="C73" s="484" t="n"/>
      <c r="D73" s="484" t="n"/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DP73" s="329" t="n"/>
      <c r="DS73" s="329" t="n"/>
      <c r="DU73" s="329" t="n"/>
      <c r="DV73" s="329" t="n"/>
      <c r="EF73" s="5" t="n"/>
    </row>
    <row r="74" hidden="1" ht="18.75" customHeight="1">
      <c r="A74" s="781" t="inlineStr">
        <is>
          <t xml:space="preserve">Quasar Vision </t>
        </is>
      </c>
      <c r="B74" s="731" t="n"/>
      <c r="C74" s="731" t="n"/>
      <c r="D74" s="775" t="n"/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BZ74" s="697" t="n"/>
      <c r="CA74" s="699" t="n"/>
      <c r="CB74" s="699" t="n"/>
      <c r="DB74" s="5" t="n"/>
      <c r="DI74" s="5" t="n"/>
      <c r="DP74" s="329" t="n"/>
      <c r="DQ74" s="173" t="n"/>
      <c r="DR74" s="173" t="n"/>
      <c r="DS74" s="329" t="n"/>
      <c r="DU74" s="329" t="n"/>
      <c r="DV74" s="329" t="n"/>
      <c r="EF74" s="5" t="n"/>
    </row>
    <row r="75" hidden="1" ht="18.75" customHeight="1">
      <c r="A75" s="482" t="inlineStr">
        <is>
          <t>Portinari</t>
        </is>
      </c>
      <c r="B75" s="483" t="n"/>
      <c r="C75" s="484" t="n"/>
      <c r="D75" s="484" t="n"/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DF75" s="5" t="n"/>
      <c r="DG75" s="5" t="n"/>
      <c r="DI75" s="5" t="n"/>
      <c r="DL75" s="5" t="n"/>
      <c r="DP75" s="329" t="n"/>
      <c r="DQ75" s="173" t="n"/>
      <c r="DR75" s="173" t="n"/>
      <c r="DS75" s="329" t="n"/>
      <c r="DU75" s="329" t="n"/>
      <c r="DV75" s="329" t="n"/>
      <c r="EF75" s="5" t="n"/>
    </row>
    <row r="76" hidden="1" ht="18.75" customHeight="1">
      <c r="A76" s="482" t="inlineStr">
        <is>
          <t>quasar blue</t>
        </is>
      </c>
      <c r="B76" s="483" t="n"/>
      <c r="C76" s="484" t="n"/>
      <c r="D76" s="484" t="n"/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BZ76" s="697" t="n"/>
      <c r="CA76" s="699" t="n"/>
      <c r="CB76" s="699" t="n"/>
      <c r="DF76" s="5" t="n"/>
      <c r="DG76" s="5" t="n"/>
      <c r="DI76" s="5" t="n"/>
      <c r="DL76" s="5" t="n"/>
      <c r="DP76" s="327" t="n"/>
      <c r="DQ76" s="173" t="n"/>
      <c r="DR76" s="173" t="n"/>
      <c r="DS76" s="327" t="n"/>
      <c r="DU76" s="327" t="n"/>
      <c r="DV76" s="327" t="n"/>
    </row>
    <row r="77" hidden="1" ht="18.75" customHeight="1">
      <c r="A77" s="482" t="inlineStr">
        <is>
          <t>arbo</t>
        </is>
      </c>
      <c r="B77" s="483" t="n"/>
      <c r="C77" s="484" t="n"/>
      <c r="D77" s="484" t="n"/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DB77" s="173" t="n"/>
      <c r="DF77" s="5" t="n"/>
      <c r="DG77" s="5" t="n"/>
      <c r="DL77" s="5" t="n"/>
      <c r="DP77" s="327" t="n"/>
      <c r="DS77" s="327" t="n"/>
      <c r="DU77" s="327" t="n"/>
      <c r="DV77" s="327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BZ78" s="697" t="n"/>
      <c r="CA78" s="699" t="n"/>
      <c r="CB78" s="699" t="n"/>
      <c r="DB78" s="173" t="n"/>
      <c r="DP78" s="327" t="n"/>
      <c r="DS78" s="327" t="n"/>
      <c r="DU78" s="327" t="n"/>
      <c r="DV78" s="327" t="n"/>
    </row>
    <row r="79" hidden="1" ht="18.75" customHeight="1">
      <c r="A79" s="482" t="inlineStr">
        <is>
          <t>shampoo banana</t>
        </is>
      </c>
      <c r="B79" s="483" t="n"/>
      <c r="C79" s="484" t="n"/>
      <c r="D79" s="484" t="n"/>
      <c r="F79" s="697" t="n"/>
      <c r="G79" s="697" t="n"/>
      <c r="H79" s="697" t="n"/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BZ79" s="697" t="n"/>
      <c r="CA79" s="699" t="n"/>
      <c r="CB79" s="699" t="n"/>
      <c r="DB79" s="173" t="n"/>
    </row>
    <row r="80" hidden="1" ht="18.75" customHeight="1">
      <c r="A80" s="482" t="inlineStr">
        <is>
          <t>hidratante feira</t>
        </is>
      </c>
      <c r="B80" s="483" t="n"/>
      <c r="C80" s="484" t="n"/>
      <c r="D80" s="484" t="n"/>
      <c r="F80" s="697" t="n"/>
      <c r="G80" s="697" t="n"/>
      <c r="H80" s="697" t="n"/>
      <c r="I80" s="697" t="n"/>
      <c r="J80" s="697" t="n"/>
      <c r="K80" s="697" t="n"/>
      <c r="L80" s="697" t="n"/>
      <c r="M80" s="697" t="n"/>
      <c r="N80" s="697" t="n"/>
      <c r="O80" s="697" t="n"/>
      <c r="P80" s="697" t="n"/>
      <c r="Q80" s="697" t="n"/>
      <c r="R80" s="697" t="n"/>
      <c r="S80" s="697" t="n"/>
      <c r="T80" s="697" t="n"/>
      <c r="U80" s="697" t="n"/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  <c r="BZ80" s="697" t="n"/>
      <c r="CA80" s="699" t="n"/>
      <c r="CB80" s="699" t="n"/>
    </row>
    <row r="81" hidden="1" ht="18.75" customHeight="1">
      <c r="A81" s="781" t="inlineStr">
        <is>
          <t>malbec shampoo + condicionador</t>
        </is>
      </c>
      <c r="B81" s="731" t="n"/>
      <c r="C81" s="731" t="n"/>
      <c r="D81" s="775" t="n"/>
      <c r="F81" s="697" t="n"/>
      <c r="G81" s="697" t="n"/>
      <c r="H81" s="697" t="n"/>
      <c r="I81" s="697" t="n"/>
      <c r="J81" s="697" t="n"/>
      <c r="K81" s="697" t="n"/>
      <c r="L81" s="697" t="n"/>
      <c r="M81" s="697" t="n"/>
      <c r="N81" s="697" t="n"/>
      <c r="O81" s="697" t="n"/>
      <c r="P81" s="697" t="n"/>
      <c r="Q81" s="697" t="n"/>
      <c r="R81" s="697" t="n"/>
      <c r="S81" s="697" t="n"/>
      <c r="T81" s="697" t="n"/>
      <c r="U81" s="697" t="n"/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  <c r="BZ81" s="697" t="n"/>
      <c r="CA81" s="699" t="n"/>
      <c r="CB81" s="699" t="n"/>
    </row>
    <row r="82" hidden="1" ht="18.75" customHeight="1">
      <c r="A82" s="781" t="inlineStr">
        <is>
          <t>LILAC</t>
        </is>
      </c>
      <c r="B82" s="731" t="n"/>
      <c r="C82" s="731" t="n"/>
      <c r="D82" s="775" t="n"/>
      <c r="F82" s="697" t="n"/>
      <c r="G82" s="697" t="n"/>
      <c r="H82" s="697" t="n"/>
      <c r="I82" s="697" t="n"/>
      <c r="J82" s="697" t="n"/>
      <c r="K82" s="697" t="n"/>
      <c r="L82" s="697" t="n"/>
      <c r="M82" s="697" t="n"/>
      <c r="N82" s="697" t="n"/>
      <c r="O82" s="697" t="n"/>
      <c r="P82" s="697" t="n"/>
      <c r="Q82" s="697" t="n"/>
      <c r="R82" s="697" t="n"/>
      <c r="S82" s="697" t="n"/>
      <c r="T82" s="697" t="n"/>
      <c r="U82" s="697" t="n"/>
      <c r="V82" s="697" t="n"/>
      <c r="W82" s="697" t="n"/>
      <c r="X82" s="697" t="n"/>
      <c r="Y82" s="697" t="n"/>
      <c r="Z82" s="697" t="n"/>
      <c r="AA82" s="697" t="n"/>
      <c r="AB82" s="697" t="n"/>
      <c r="AC82" s="697" t="n"/>
      <c r="AD82" s="697" t="n"/>
      <c r="AE82" s="697" t="n"/>
      <c r="AF82" s="697" t="n"/>
      <c r="AG82" s="697" t="n"/>
      <c r="AH82" s="697" t="n"/>
      <c r="AI82" s="697" t="n"/>
      <c r="AJ82" s="697" t="n"/>
      <c r="AK82" s="697" t="n"/>
      <c r="AL82" s="697" t="n"/>
      <c r="AM82" s="697" t="n"/>
      <c r="AN82" s="697" t="n"/>
      <c r="AO82" s="697" t="n"/>
      <c r="AP82" s="697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/>
      <c r="BA82" s="697" t="n"/>
      <c r="BB82" s="697" t="n"/>
      <c r="BC82" s="697" t="n"/>
      <c r="BD82" s="697" t="n"/>
      <c r="BE82" s="697" t="n"/>
      <c r="BF82" s="697" t="n"/>
      <c r="BG82" s="697" t="n"/>
      <c r="BH82" s="697" t="n"/>
      <c r="BI82" s="697" t="n"/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697" t="n"/>
      <c r="BZ82" s="697" t="n"/>
      <c r="CA82" s="699" t="n"/>
      <c r="CB82" s="699" t="n"/>
    </row>
    <row r="83">
      <c r="A83" s="781" t="inlineStr">
        <is>
          <t>UOMINI SPIRIT</t>
        </is>
      </c>
      <c r="B83" s="731" t="n"/>
      <c r="C83" s="731" t="n"/>
      <c r="D83" s="775" t="n"/>
      <c r="F83" s="697" t="n">
        <v>0</v>
      </c>
      <c r="G83" s="697" t="n">
        <v>0</v>
      </c>
      <c r="H83" s="697" t="n">
        <v>0</v>
      </c>
      <c r="I83" s="697" t="n">
        <v>0</v>
      </c>
      <c r="J83" s="697" t="n">
        <v>0</v>
      </c>
      <c r="K83" s="697" t="n">
        <v>0</v>
      </c>
      <c r="L83" s="697" t="n">
        <v>0</v>
      </c>
      <c r="M83" s="697" t="n">
        <v>0</v>
      </c>
      <c r="N83" s="697" t="n">
        <v>0</v>
      </c>
      <c r="O83" s="697" t="n">
        <v>0</v>
      </c>
      <c r="P83" s="697" t="n">
        <v>0</v>
      </c>
      <c r="Q83" s="697" t="n">
        <v>0</v>
      </c>
      <c r="R83" s="697" t="n">
        <v>0</v>
      </c>
      <c r="S83" s="697" t="n">
        <v>0</v>
      </c>
      <c r="T83" s="697" t="n">
        <v>0</v>
      </c>
      <c r="U83" s="697" t="n">
        <v>0</v>
      </c>
      <c r="V83" s="697" t="n">
        <v>0</v>
      </c>
      <c r="W83" s="697" t="n">
        <v>0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</row>
    <row r="84">
      <c r="A84" s="781" t="inlineStr">
        <is>
          <t>GLAMOUR SECRETS</t>
        </is>
      </c>
      <c r="B84" s="731" t="n"/>
      <c r="C84" s="731" t="n"/>
      <c r="D84" s="775" t="n"/>
      <c r="F84" s="697" t="n">
        <v>0</v>
      </c>
      <c r="G84" s="697" t="n">
        <v>0</v>
      </c>
      <c r="H84" s="697" t="n">
        <v>0</v>
      </c>
      <c r="I84" s="697" t="n">
        <v>0</v>
      </c>
      <c r="J84" s="697" t="n">
        <v>0</v>
      </c>
      <c r="K84" s="697" t="n">
        <v>0</v>
      </c>
      <c r="L84" s="697" t="n">
        <v>0</v>
      </c>
      <c r="M84" s="697" t="n">
        <v>0</v>
      </c>
      <c r="N84" s="697" t="n">
        <v>0</v>
      </c>
      <c r="O84" s="697" t="n">
        <v>0</v>
      </c>
      <c r="P84" s="697" t="n">
        <v>0</v>
      </c>
      <c r="Q84" s="697" t="n">
        <v>0</v>
      </c>
      <c r="R84" s="697" t="n">
        <v>0</v>
      </c>
      <c r="S84" s="697" t="n">
        <v>0</v>
      </c>
      <c r="T84" s="697" t="n">
        <v>0</v>
      </c>
      <c r="U84" s="697" t="n">
        <v>0</v>
      </c>
      <c r="V84" s="697" t="n">
        <v>0</v>
      </c>
      <c r="W84" s="697" t="n">
        <v>0</v>
      </c>
      <c r="X84" s="697" t="n">
        <v>0</v>
      </c>
      <c r="Y84" s="697" t="n">
        <v>0</v>
      </c>
      <c r="Z84" s="697" t="n">
        <v>0</v>
      </c>
      <c r="AA84" s="697" t="n">
        <v>0</v>
      </c>
      <c r="AB84" s="697" t="n">
        <v>0</v>
      </c>
      <c r="AC84" s="697" t="n">
        <v>0</v>
      </c>
      <c r="AD84" s="697" t="n">
        <v>0</v>
      </c>
      <c r="AE84" s="697" t="n">
        <v>0</v>
      </c>
      <c r="AF84" s="697" t="n">
        <v>0</v>
      </c>
      <c r="AG84" s="697" t="n">
        <v>0</v>
      </c>
      <c r="AH84" s="697" t="n">
        <v>0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  <c r="BZ84" s="697" t="n"/>
      <c r="CA84" s="699" t="n"/>
      <c r="CB84" s="699" t="n"/>
    </row>
    <row r="85">
      <c r="A85" s="781" t="inlineStr">
        <is>
          <t>MALBEC ICON</t>
        </is>
      </c>
      <c r="B85" s="731" t="n"/>
      <c r="C85" s="731" t="n"/>
      <c r="D85" s="775" t="n"/>
      <c r="F85" s="697" t="n"/>
      <c r="G85" s="697" t="n">
        <v>0</v>
      </c>
      <c r="H85" s="697" t="n">
        <v>10</v>
      </c>
      <c r="I85" s="697" t="n">
        <v>10</v>
      </c>
      <c r="J85" s="697" t="n">
        <v>10</v>
      </c>
      <c r="K85" s="697" t="n">
        <v>0</v>
      </c>
      <c r="L85" s="697" t="n">
        <v>0</v>
      </c>
      <c r="M85" s="697" t="n">
        <v>0</v>
      </c>
      <c r="N85" s="697" t="n">
        <v>0</v>
      </c>
      <c r="O85" s="697" t="n">
        <v>0</v>
      </c>
      <c r="P85" s="697" t="n">
        <v>0</v>
      </c>
      <c r="Q85" s="697" t="n">
        <v>0</v>
      </c>
      <c r="R85" s="697" t="n">
        <v>0</v>
      </c>
      <c r="S85" s="697" t="n">
        <v>0</v>
      </c>
      <c r="T85" s="697" t="n">
        <v>0</v>
      </c>
      <c r="U85" s="697" t="n">
        <v>0</v>
      </c>
      <c r="V85" s="697" t="n">
        <v>0</v>
      </c>
      <c r="W85" s="697" t="n">
        <v>0</v>
      </c>
      <c r="X85" s="697" t="n">
        <v>0</v>
      </c>
      <c r="Y85" s="697" t="n">
        <v>0</v>
      </c>
      <c r="Z85" s="697" t="n">
        <v>0</v>
      </c>
      <c r="AA85" s="697" t="n">
        <v>0</v>
      </c>
      <c r="AB85" s="697" t="n">
        <v>0</v>
      </c>
      <c r="AC85" s="697" t="n">
        <v>0</v>
      </c>
      <c r="AD85" s="697" t="n">
        <v>0</v>
      </c>
      <c r="AE85" s="697" t="n">
        <v>0</v>
      </c>
      <c r="AF85" s="697" t="n">
        <v>0</v>
      </c>
      <c r="AG85" s="697" t="n">
        <v>0</v>
      </c>
      <c r="AH85" s="697" t="n">
        <v>0</v>
      </c>
      <c r="AI85" s="697" t="n">
        <v>0</v>
      </c>
      <c r="AJ85" s="697" t="n">
        <v>0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697" t="n"/>
      <c r="CA85" s="699" t="n"/>
      <c r="CB85" s="699" t="n"/>
      <c r="CC85" s="29" t="n"/>
    </row>
    <row r="86">
      <c r="A86" s="781" t="inlineStr">
        <is>
          <t>FLORATTA RED PASSION</t>
        </is>
      </c>
      <c r="B86" s="731" t="n"/>
      <c r="C86" s="731" t="n"/>
      <c r="D86" s="775" t="n"/>
      <c r="F86" s="697" t="n"/>
      <c r="G86" s="697" t="n">
        <v>0</v>
      </c>
      <c r="H86" s="697" t="n">
        <v>30</v>
      </c>
      <c r="I86" s="697" t="n">
        <v>20</v>
      </c>
      <c r="J86" s="697" t="n">
        <v>20</v>
      </c>
      <c r="K86" s="697" t="n">
        <v>10</v>
      </c>
      <c r="L86" s="697" t="n">
        <v>10</v>
      </c>
      <c r="M86" s="697" t="n">
        <v>10</v>
      </c>
      <c r="N86" s="697" t="n">
        <v>10</v>
      </c>
      <c r="O86" s="697" t="n">
        <v>0</v>
      </c>
      <c r="P86" s="697" t="n">
        <v>0</v>
      </c>
      <c r="Q86" s="697" t="n">
        <v>0</v>
      </c>
      <c r="R86" s="697" t="n">
        <v>0</v>
      </c>
      <c r="S86" s="697" t="n">
        <v>0</v>
      </c>
      <c r="T86" s="697" t="n">
        <v>0</v>
      </c>
      <c r="U86" s="697" t="n">
        <v>0</v>
      </c>
      <c r="V86" s="697" t="n">
        <v>0</v>
      </c>
      <c r="W86" s="697" t="n">
        <v>0</v>
      </c>
      <c r="X86" s="697" t="n">
        <v>0</v>
      </c>
      <c r="Y86" s="697" t="n">
        <v>0</v>
      </c>
      <c r="Z86" s="697" t="n">
        <v>0</v>
      </c>
      <c r="AA86" s="697" t="n">
        <v>0</v>
      </c>
      <c r="AB86" s="697" t="n">
        <v>0</v>
      </c>
      <c r="AC86" s="697" t="n">
        <v>0</v>
      </c>
      <c r="AD86" s="697" t="n">
        <v>0</v>
      </c>
      <c r="AE86" s="697" t="n">
        <v>0</v>
      </c>
      <c r="AF86" s="697" t="n">
        <v>0</v>
      </c>
      <c r="AG86" s="697" t="n">
        <v>0</v>
      </c>
      <c r="AH86" s="697" t="n">
        <v>0</v>
      </c>
      <c r="AI86" s="697" t="n">
        <v>0</v>
      </c>
      <c r="AJ86" s="697" t="n">
        <v>0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  <c r="BZ86" s="697" t="n"/>
      <c r="CA86" s="699" t="n"/>
      <c r="CB86" s="699" t="n"/>
    </row>
    <row r="87">
      <c r="A87" s="781" t="inlineStr">
        <is>
          <t>CBEM HIDR. DOCURA NA PESSEGURA</t>
        </is>
      </c>
      <c r="B87" s="731" t="n"/>
      <c r="C87" s="731" t="n"/>
      <c r="D87" s="775" t="n"/>
      <c r="J87" s="697" t="n">
        <v>0</v>
      </c>
      <c r="K87" s="697" t="n">
        <v>15</v>
      </c>
      <c r="L87" s="697" t="n">
        <v>10</v>
      </c>
      <c r="M87" s="697" t="n">
        <v>10</v>
      </c>
      <c r="N87" s="697" t="n">
        <v>10</v>
      </c>
      <c r="O87" s="697" t="n">
        <v>5</v>
      </c>
      <c r="P87" s="697" t="n">
        <v>0</v>
      </c>
      <c r="Q87" s="697" t="n">
        <v>0</v>
      </c>
      <c r="R87" s="697" t="n">
        <v>0</v>
      </c>
      <c r="S87" s="697" t="n">
        <v>0</v>
      </c>
      <c r="T87" s="697" t="n">
        <v>0</v>
      </c>
      <c r="U87" s="697" t="n">
        <v>0</v>
      </c>
      <c r="V87" s="697" t="n">
        <v>0</v>
      </c>
      <c r="W87" s="697" t="n">
        <v>0</v>
      </c>
      <c r="X87" s="697" t="n">
        <v>0</v>
      </c>
      <c r="Y87" s="697" t="n">
        <v>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  <c r="BZ87" s="697" t="n"/>
      <c r="CA87" s="699" t="n"/>
      <c r="CB87" s="699" t="n"/>
    </row>
    <row r="88">
      <c r="A88" s="781" t="inlineStr">
        <is>
          <t>SACHÊ SERUM BOTIK</t>
        </is>
      </c>
      <c r="B88" s="731" t="n"/>
      <c r="C88" s="731" t="n"/>
      <c r="D88" s="775" t="n"/>
      <c r="BM88" s="697" t="n">
        <v>0</v>
      </c>
      <c r="BN88" s="697" t="n">
        <v>95</v>
      </c>
      <c r="BO88" s="697" t="n">
        <v>100</v>
      </c>
      <c r="BP88" s="697" t="n">
        <v>95</v>
      </c>
      <c r="BQ88" s="697" t="n">
        <v>90</v>
      </c>
      <c r="BR88" s="697" t="n">
        <v>85</v>
      </c>
      <c r="BS88" s="697" t="n">
        <v>85</v>
      </c>
      <c r="BT88" s="697" t="n">
        <v>85</v>
      </c>
      <c r="BU88" s="697" t="n">
        <v>80</v>
      </c>
      <c r="BV88" s="697" t="n">
        <v>65</v>
      </c>
      <c r="BW88" s="697" t="n">
        <v>65</v>
      </c>
      <c r="BX88" s="697" t="n">
        <v>11</v>
      </c>
      <c r="BY88" s="697" t="n">
        <v>11</v>
      </c>
      <c r="BZ88" s="697" t="n"/>
      <c r="CA88" s="699" t="n"/>
      <c r="CB88" s="699" t="n"/>
    </row>
    <row r="89">
      <c r="A89" s="781" t="inlineStr">
        <is>
          <t xml:space="preserve">EGEO DOLCE </t>
        </is>
      </c>
      <c r="B89" s="731" t="n"/>
      <c r="C89" s="731" t="n"/>
      <c r="D89" s="775" t="n"/>
      <c r="BM89" s="697" t="n">
        <v>0</v>
      </c>
      <c r="BN89" s="697" t="n">
        <v>45</v>
      </c>
      <c r="BO89" s="697" t="n">
        <v>45</v>
      </c>
      <c r="BP89" s="697" t="n">
        <v>40</v>
      </c>
      <c r="BQ89" s="697" t="n">
        <v>30</v>
      </c>
      <c r="BR89" s="697" t="n">
        <v>20</v>
      </c>
      <c r="BS89" s="697" t="n">
        <v>15</v>
      </c>
      <c r="BT89" s="697" t="n">
        <v>15</v>
      </c>
      <c r="BU89" s="697" t="n">
        <v>2</v>
      </c>
      <c r="BV89" s="697" t="n">
        <v>0</v>
      </c>
      <c r="BW89" s="697" t="n">
        <v>0</v>
      </c>
      <c r="BX89" s="697" t="n">
        <v>0</v>
      </c>
      <c r="BY89" s="697" t="n">
        <v>0</v>
      </c>
      <c r="BZ89" s="697" t="n"/>
      <c r="CA89" s="699" t="n"/>
      <c r="CB89" s="699" t="n"/>
    </row>
    <row r="90">
      <c r="A90" s="781" t="inlineStr">
        <is>
          <t>CLASH</t>
        </is>
      </c>
      <c r="B90" s="731" t="n"/>
      <c r="C90" s="731" t="n"/>
      <c r="D90" s="775" t="n"/>
      <c r="BM90" s="697" t="n">
        <v>0</v>
      </c>
      <c r="BN90" s="697" t="n">
        <v>15</v>
      </c>
      <c r="BO90" s="697" t="n">
        <v>15</v>
      </c>
      <c r="BP90" s="697" t="n">
        <v>10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697" t="n"/>
      <c r="CA90" s="699" t="n"/>
      <c r="CB90" s="699" t="n"/>
    </row>
    <row r="91">
      <c r="A91" s="781" t="inlineStr">
        <is>
          <t xml:space="preserve">HIDRATANTE CEREJA DE FASE </t>
        </is>
      </c>
      <c r="B91" s="731" t="n"/>
      <c r="C91" s="731" t="n"/>
      <c r="D91" s="775" t="n"/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104</v>
      </c>
      <c r="BS91" s="697" t="n">
        <v>100</v>
      </c>
      <c r="BT91" s="697" t="n">
        <v>100</v>
      </c>
      <c r="BU91" s="697" t="n">
        <v>100</v>
      </c>
      <c r="BV91" s="697" t="n">
        <v>84</v>
      </c>
      <c r="BW91" s="697" t="n">
        <v>84</v>
      </c>
      <c r="BX91" s="697" t="n">
        <v>19</v>
      </c>
      <c r="BY91" s="697" t="n">
        <v>18</v>
      </c>
      <c r="BZ91" s="697" t="n"/>
      <c r="CA91" s="699" t="n"/>
      <c r="CB91" s="699" t="n"/>
    </row>
    <row r="92">
      <c r="A92" s="781" t="n"/>
      <c r="B92" s="731" t="n"/>
      <c r="C92" s="731" t="n"/>
      <c r="D92" s="775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  <c r="BZ92" s="697" t="n"/>
      <c r="CA92" s="699" t="n"/>
      <c r="CB92" s="699" t="n"/>
    </row>
    <row r="93">
      <c r="A93" s="781" t="n"/>
      <c r="B93" s="731" t="n"/>
      <c r="C93" s="731" t="n"/>
      <c r="D93" s="775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/>
      <c r="BY93" s="697" t="n"/>
      <c r="BZ93" s="697" t="n"/>
      <c r="CA93" s="699" t="n"/>
      <c r="CB93" s="699" t="n"/>
    </row>
  </sheetData>
  <mergeCells count="25">
    <mergeCell ref="A91:D91"/>
    <mergeCell ref="F5:BZ5"/>
    <mergeCell ref="A72:D72"/>
    <mergeCell ref="A81:D81"/>
    <mergeCell ref="A93:D93"/>
    <mergeCell ref="A83:D83"/>
    <mergeCell ref="A92:D92"/>
    <mergeCell ref="A82:D82"/>
    <mergeCell ref="A5:A6"/>
    <mergeCell ref="A88:D88"/>
    <mergeCell ref="A78:D78"/>
    <mergeCell ref="A87:D87"/>
    <mergeCell ref="B5:B6"/>
    <mergeCell ref="A90:D90"/>
    <mergeCell ref="A84:D84"/>
    <mergeCell ref="D5:D6"/>
    <mergeCell ref="B3:D3"/>
    <mergeCell ref="A89:D89"/>
    <mergeCell ref="A74:D74"/>
    <mergeCell ref="EG7:EO7"/>
    <mergeCell ref="A86:D86"/>
    <mergeCell ref="A1:CA1"/>
    <mergeCell ref="A85:D85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Planilha31">
    <tabColor theme="9"/>
    <outlinePr summaryBelow="1" summaryRight="1"/>
    <pageSetUpPr/>
  </sheetPr>
  <dimension ref="A1:EN93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30.85546875" customWidth="1" style="42" min="1" max="1"/>
    <col width="9.28515625" customWidth="1" style="5" min="2" max="2"/>
    <col width="14.42578125" customWidth="1" style="5" min="3" max="3"/>
    <col width="14.42578125" bestFit="1" customWidth="1" style="5" min="4" max="4"/>
    <col width="2.28515625" customWidth="1" style="5" min="5" max="5"/>
    <col hidden="1" width="9.140625" customWidth="1" style="5" min="6" max="75"/>
    <col width="9.140625" customWidth="1" style="5" min="76" max="77"/>
    <col width="9.85546875" customWidth="1" style="5" min="78" max="78"/>
    <col width="1.7109375" customWidth="1" style="29" min="79" max="79"/>
    <col width="14.28515625" bestFit="1" customWidth="1" style="5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6"/>
    <col width="8.7109375" customWidth="1" style="59" min="87" max="87"/>
    <col width="9.28515625" customWidth="1" style="29" min="88" max="88"/>
    <col hidden="1" width="9.28515625" customWidth="1" style="29" min="89" max="89"/>
    <col hidden="1" width="11" customWidth="1" style="29" min="90" max="90"/>
    <col hidden="1" width="9.28515625" customWidth="1" style="29" min="91" max="98"/>
    <col hidden="1" width="8.7109375" customWidth="1" style="59" min="99" max="99"/>
    <col hidden="1" width="9.28515625" customWidth="1" style="29" min="100" max="101"/>
    <col hidden="1" width="8.140625" customWidth="1" style="29" min="102" max="102"/>
    <col hidden="1" width="14.42578125" customWidth="1" style="29" min="103" max="103"/>
    <col hidden="1" width="9.28515625" customWidth="1" style="29" min="104" max="106"/>
    <col hidden="1" width="12" customWidth="1" style="59" min="107" max="108"/>
    <col hidden="1" width="9.28515625" customWidth="1" style="29" min="109" max="109"/>
    <col hidden="1" width="17.5703125" customWidth="1" style="59" min="110" max="110"/>
    <col hidden="1" width="9.28515625" customWidth="1" style="29" min="111" max="111"/>
    <col hidden="1" width="12" customWidth="1" style="29" min="112" max="112"/>
    <col hidden="1" width="8.7109375" customWidth="1" style="59" min="113" max="113"/>
    <col hidden="1" width="9.28515625" customWidth="1" style="29" min="114" max="116"/>
    <col hidden="1" width="14.7109375" customWidth="1" style="323" min="117" max="117"/>
    <col hidden="1" width="13.5703125" customWidth="1" style="29" min="118" max="118"/>
    <col hidden="1" width="9.7109375" customWidth="1" style="29" min="119" max="119"/>
    <col hidden="1" width="14.7109375" customWidth="1" style="323" min="120" max="120"/>
    <col hidden="1" width="9.28515625" customWidth="1" style="29" min="121" max="121"/>
    <col hidden="1" width="14.85546875" customWidth="1" style="323" min="122" max="122"/>
    <col hidden="1" width="12" customWidth="1" style="323" min="123" max="123"/>
    <col hidden="1" width="9.28515625" customWidth="1" style="29" min="124" max="125"/>
    <col hidden="1" width="14.28515625" customWidth="1" style="29" min="126" max="126"/>
    <col hidden="1" width="9.28515625" customWidth="1" style="29" min="127" max="128"/>
    <col hidden="1" width="14.28515625" customWidth="1" style="29" min="129" max="129"/>
    <col hidden="1" width="9.28515625" customWidth="1" style="29" min="130" max="130"/>
    <col hidden="1" width="14.28515625" customWidth="1" style="29" min="131" max="131"/>
    <col hidden="1" width="9.28515625" customWidth="1" style="29" min="132" max="132"/>
    <col hidden="1" width="23.7109375" customWidth="1" style="59" min="133" max="133"/>
    <col hidden="1" width="9.28515625" customWidth="1" style="29" min="134" max="134"/>
    <col width="4.140625" customWidth="1" style="5" min="135" max="135"/>
    <col width="21.85546875" bestFit="1" customWidth="1" style="5" min="136" max="136"/>
    <col width="9.140625" customWidth="1" style="5" min="137" max="137"/>
    <col hidden="1" width="13" customWidth="1" style="5" min="138" max="141"/>
    <col width="9.140625" customWidth="1" style="5" min="142" max="16384"/>
  </cols>
  <sheetData>
    <row r="1" ht="23.25" customHeight="1">
      <c r="A1" s="488" t="inlineStr">
        <is>
          <t>Controle de Contagem Semanal - Antilhas</t>
        </is>
      </c>
      <c r="CB1" s="132" t="n"/>
      <c r="CC1" s="149" t="n"/>
      <c r="CD1" s="149" t="n"/>
      <c r="CE1" s="149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49" t="n"/>
      <c r="CV1" s="132" t="n"/>
      <c r="CW1" s="132" t="n"/>
      <c r="CX1" s="132" t="n"/>
      <c r="CY1" s="149" t="n"/>
      <c r="CZ1" s="132" t="n"/>
      <c r="DA1" s="132" t="n"/>
      <c r="DB1" s="132" t="n"/>
      <c r="DC1" s="149" t="n"/>
      <c r="DD1" s="149" t="n"/>
      <c r="DE1" s="132" t="n"/>
      <c r="DF1" s="149" t="n"/>
      <c r="DG1" s="132" t="n"/>
      <c r="DH1" s="132" t="n"/>
      <c r="DI1" s="149" t="n"/>
      <c r="DJ1" s="132" t="n"/>
      <c r="DK1" s="132" t="n"/>
      <c r="DL1" s="132" t="n"/>
      <c r="DM1" s="488" t="n"/>
      <c r="DN1" s="149" t="n"/>
      <c r="DO1" s="149" t="n"/>
      <c r="DP1" s="488" t="n"/>
      <c r="DQ1" s="132" t="n"/>
      <c r="DR1" s="488" t="n"/>
      <c r="DS1" s="488" t="n"/>
      <c r="DT1" s="132" t="n"/>
      <c r="DU1" s="132" t="n"/>
      <c r="DV1" s="132" t="n"/>
      <c r="DW1" s="132" t="n"/>
      <c r="DX1" s="132" t="n"/>
      <c r="DY1" s="132" t="n"/>
      <c r="DZ1" s="132" t="n"/>
      <c r="EA1" s="132" t="n"/>
      <c r="EB1" s="132" t="n"/>
      <c r="EC1" s="149" t="n"/>
      <c r="ED1" s="132" t="n"/>
    </row>
    <row r="2">
      <c r="A2" s="43" t="inlineStr">
        <is>
          <t>LOJA:</t>
        </is>
      </c>
      <c r="B2" s="722" t="inlineStr">
        <is>
          <t>MARY DOTA</t>
        </is>
      </c>
      <c r="C2" s="723" t="n"/>
      <c r="D2" s="724" t="n"/>
      <c r="CA2" s="5" t="n"/>
      <c r="CB2" s="573" t="n"/>
      <c r="CC2" s="5" t="n"/>
      <c r="CD2" s="5" t="n"/>
      <c r="CE2" s="5" t="n"/>
      <c r="CY2" s="5" t="n"/>
      <c r="DN2" s="5" t="n"/>
      <c r="DO2" s="5" t="n"/>
    </row>
    <row r="3">
      <c r="A3" s="43" t="inlineStr">
        <is>
          <t>Responsável:</t>
        </is>
      </c>
      <c r="B3" s="725" t="inlineStr">
        <is>
          <t>JULIANE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5" t="n"/>
      <c r="CB3" s="573" t="n"/>
      <c r="CC3" s="726" t="n"/>
      <c r="CE3" s="5" t="n"/>
      <c r="CY3" s="726" t="n"/>
      <c r="DN3" s="726" t="n"/>
      <c r="DO3" s="726" t="n"/>
    </row>
    <row r="4" ht="9.75" customHeight="1">
      <c r="CA4" s="5" t="n"/>
      <c r="CB4" s="573" t="n"/>
      <c r="CC4" s="5" t="n"/>
      <c r="CD4" s="5" t="n"/>
      <c r="CI4" s="249" t="n"/>
      <c r="CU4" s="249" t="n"/>
      <c r="CY4" s="5" t="n"/>
      <c r="DC4" s="249" t="n"/>
      <c r="DD4" s="249" t="n"/>
      <c r="DF4" s="249" t="n"/>
      <c r="DI4" s="249" t="n"/>
      <c r="DM4" s="324" t="n"/>
      <c r="DN4" s="5" t="n"/>
      <c r="DO4" s="5" t="n"/>
      <c r="DP4" s="324" t="n"/>
      <c r="DR4" s="324" t="n"/>
      <c r="DS4" s="324" t="n"/>
      <c r="EC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792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75" t="n"/>
      <c r="CA5" s="5" t="n"/>
      <c r="CB5" s="44" t="inlineStr">
        <is>
          <t>Pendências</t>
        </is>
      </c>
      <c r="CC5" s="5" t="n"/>
      <c r="CD5" s="12" t="inlineStr">
        <is>
          <t>Novo Pedido</t>
        </is>
      </c>
      <c r="CF5" s="734" t="n"/>
      <c r="CG5" s="734" t="n">
        <v>46142</v>
      </c>
      <c r="CH5" s="734" t="n">
        <v>46114</v>
      </c>
      <c r="CI5" s="735" t="n">
        <v>46065</v>
      </c>
      <c r="CJ5" s="734" t="n">
        <v>46092</v>
      </c>
      <c r="CK5" s="734" t="n">
        <v>46071</v>
      </c>
      <c r="CL5" s="736" t="inlineStr">
        <is>
          <t>TRANSF.</t>
        </is>
      </c>
      <c r="CM5" s="734" t="n">
        <v>46056</v>
      </c>
      <c r="CN5" s="734" t="n">
        <v>46043</v>
      </c>
      <c r="CO5" s="734" t="n">
        <v>46029</v>
      </c>
      <c r="CP5" s="734" t="n">
        <v>46024</v>
      </c>
      <c r="CQ5" s="734" t="n">
        <v>46007</v>
      </c>
      <c r="CR5" s="734" t="n">
        <v>46001</v>
      </c>
      <c r="CS5" s="734" t="n">
        <v>45973</v>
      </c>
      <c r="CT5" s="734" t="n">
        <v>45960</v>
      </c>
      <c r="CU5" s="737" t="n">
        <v>45903</v>
      </c>
      <c r="CV5" s="734" t="n">
        <v>45923</v>
      </c>
      <c r="CW5" s="734" t="n">
        <v>45923</v>
      </c>
      <c r="CX5" s="734" t="n">
        <v>45895</v>
      </c>
      <c r="CY5" s="738" t="inlineStr">
        <is>
          <t>TRANSF.</t>
        </is>
      </c>
      <c r="CZ5" s="734" t="n">
        <v>45888</v>
      </c>
      <c r="DA5" s="734" t="n">
        <v>45881</v>
      </c>
      <c r="DB5" s="734" t="n">
        <v>45874</v>
      </c>
      <c r="DC5" s="739" t="inlineStr">
        <is>
          <t>TRANSF.</t>
        </is>
      </c>
      <c r="DD5" s="739" t="inlineStr">
        <is>
          <t>TRANSF.</t>
        </is>
      </c>
      <c r="DE5" s="734" t="n">
        <v>45848</v>
      </c>
      <c r="DF5" s="739" t="inlineStr">
        <is>
          <t>AUTOMÁTICO</t>
        </is>
      </c>
      <c r="DG5" s="734" t="n">
        <v>45839</v>
      </c>
      <c r="DH5" s="736" t="inlineStr">
        <is>
          <t>TRANSF.</t>
        </is>
      </c>
      <c r="DI5" s="739" t="n">
        <v>45791</v>
      </c>
      <c r="DJ5" s="734" t="n">
        <v>45832</v>
      </c>
      <c r="DK5" s="734" t="n">
        <v>45825</v>
      </c>
      <c r="DL5" s="734" t="n">
        <v>45813</v>
      </c>
      <c r="DM5" s="740" t="inlineStr">
        <is>
          <t>TRANSF.</t>
        </is>
      </c>
      <c r="DN5" s="742" t="inlineStr">
        <is>
          <t>TRANSF.</t>
        </is>
      </c>
      <c r="DO5" s="742" t="n">
        <v>45735</v>
      </c>
      <c r="DP5" s="740" t="inlineStr">
        <is>
          <t>TRANSF.</t>
        </is>
      </c>
      <c r="DQ5" s="734" t="n">
        <v>45743</v>
      </c>
      <c r="DR5" s="740" t="inlineStr">
        <is>
          <t>TRANSF.</t>
        </is>
      </c>
      <c r="DS5" s="740" t="n">
        <v>45700</v>
      </c>
      <c r="DT5" s="734" t="n">
        <v>45734</v>
      </c>
      <c r="DU5" s="734" t="n">
        <v>45728</v>
      </c>
      <c r="DV5" s="736" t="inlineStr">
        <is>
          <t>TRANSF.</t>
        </is>
      </c>
      <c r="DW5" s="734" t="n">
        <v>45722</v>
      </c>
      <c r="DX5" s="734" t="n">
        <v>45699</v>
      </c>
      <c r="DY5" s="736" t="inlineStr">
        <is>
          <t>TRANSF.</t>
        </is>
      </c>
      <c r="DZ5" s="734" t="n">
        <v>45685</v>
      </c>
      <c r="EA5" s="736" t="inlineStr">
        <is>
          <t>TRANSF.</t>
        </is>
      </c>
      <c r="EB5" s="734" t="n">
        <v>45660</v>
      </c>
      <c r="EC5" s="744" t="inlineStr">
        <is>
          <t>TRANSF. NATAL/24</t>
        </is>
      </c>
      <c r="ED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51" t="n"/>
      <c r="CB6" s="750" t="n"/>
      <c r="CC6" s="751" t="n"/>
      <c r="CD6" s="752" t="n">
        <v>46156</v>
      </c>
      <c r="CF6" s="734" t="n"/>
      <c r="CG6" s="734" t="n">
        <v>46148</v>
      </c>
      <c r="CH6" s="734" t="n">
        <v>46125</v>
      </c>
      <c r="CI6" s="735" t="n">
        <v>46112</v>
      </c>
      <c r="CJ6" s="734" t="n">
        <v>46100</v>
      </c>
      <c r="CK6" s="734" t="n">
        <v>46077</v>
      </c>
      <c r="CL6" s="736" t="n">
        <v>46067</v>
      </c>
      <c r="CM6" s="734" t="n">
        <v>46059</v>
      </c>
      <c r="CN6" s="734" t="n">
        <v>46048</v>
      </c>
      <c r="CO6" s="734" t="n">
        <v>46036</v>
      </c>
      <c r="CP6" s="734" t="n">
        <v>46034</v>
      </c>
      <c r="CQ6" s="734" t="n">
        <v>46387</v>
      </c>
      <c r="CR6" s="734" t="n">
        <v>46009</v>
      </c>
      <c r="CS6" s="734" t="n">
        <v>45980</v>
      </c>
      <c r="CT6" s="734" t="n">
        <v>45967</v>
      </c>
      <c r="CU6" s="753" t="n">
        <v>45957</v>
      </c>
      <c r="CV6" s="734" t="n">
        <v>45937</v>
      </c>
      <c r="CW6" s="734" t="n">
        <v>45926</v>
      </c>
      <c r="CX6" s="734" t="n">
        <v>45898</v>
      </c>
      <c r="CY6" s="754" t="n">
        <v>45923</v>
      </c>
      <c r="CZ6" s="734" t="n">
        <v>45890</v>
      </c>
      <c r="DA6" s="734" t="n">
        <v>45888</v>
      </c>
      <c r="DB6" s="734" t="n">
        <v>45876</v>
      </c>
      <c r="DC6" s="739" t="n">
        <v>45861</v>
      </c>
      <c r="DD6" s="739" t="n">
        <v>45861</v>
      </c>
      <c r="DE6" s="734" t="n">
        <v>45852</v>
      </c>
      <c r="DF6" s="739" t="n">
        <v>45852</v>
      </c>
      <c r="DG6" s="734" t="n">
        <v>45845</v>
      </c>
      <c r="DH6" s="736" t="n">
        <v>45842</v>
      </c>
      <c r="DI6" s="739" t="n">
        <v>45841</v>
      </c>
      <c r="DJ6" s="734" t="n">
        <v>45835</v>
      </c>
      <c r="DK6" s="734" t="n">
        <v>45828</v>
      </c>
      <c r="DL6" s="734" t="n">
        <v>45819</v>
      </c>
      <c r="DM6" s="740" t="n">
        <v>45806</v>
      </c>
      <c r="DN6" s="755" t="n">
        <v>45805</v>
      </c>
      <c r="DO6" s="755" t="n">
        <v>45793</v>
      </c>
      <c r="DP6" s="740" t="n">
        <v>45754</v>
      </c>
      <c r="DQ6" s="734" t="n">
        <v>45751</v>
      </c>
      <c r="DR6" s="740" t="n">
        <v>45750</v>
      </c>
      <c r="DS6" s="740" t="n">
        <v>45749</v>
      </c>
      <c r="DT6" s="734" t="n">
        <v>45742</v>
      </c>
      <c r="DU6" s="734" t="n">
        <v>45733</v>
      </c>
      <c r="DV6" s="736" t="n">
        <v>45728</v>
      </c>
      <c r="DW6" s="734" t="n">
        <v>45729</v>
      </c>
      <c r="DX6" s="734" t="n">
        <v>45702</v>
      </c>
      <c r="DY6" s="736" t="n">
        <v>45693</v>
      </c>
      <c r="DZ6" s="734" t="n">
        <v>45691</v>
      </c>
      <c r="EA6" s="736" t="n">
        <v>45670</v>
      </c>
      <c r="EB6" s="734" t="n">
        <v>45665</v>
      </c>
      <c r="EC6" s="744" t="n">
        <v>45663</v>
      </c>
      <c r="ED6" s="734" t="n">
        <v>45653</v>
      </c>
      <c r="EF6" s="5" t="n"/>
      <c r="EG6" s="5" t="n"/>
      <c r="EH6" s="5" t="n"/>
      <c r="EI6" s="5" t="n"/>
      <c r="EJ6" s="5" t="n"/>
      <c r="EK6" s="5" t="n"/>
      <c r="EL6" s="5" t="n"/>
      <c r="EM6" s="5" t="n"/>
      <c r="EN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B7" s="13" t="n"/>
      <c r="CD7" s="147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inlineStr">
        <is>
          <t>PAIS/25</t>
        </is>
      </c>
      <c r="DD7" s="13" t="inlineStr">
        <is>
          <t>PAIS/25</t>
        </is>
      </c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inlineStr">
        <is>
          <t>MÃES/25</t>
        </is>
      </c>
      <c r="DN7" s="13" t="inlineStr">
        <is>
          <t>NAMO/25</t>
        </is>
      </c>
      <c r="DO7" s="320" t="n"/>
      <c r="DP7" s="13" t="inlineStr">
        <is>
          <t>MÃES/25</t>
        </is>
      </c>
      <c r="DQ7" s="13" t="n"/>
      <c r="DR7" s="13" t="inlineStr">
        <is>
          <t>MÃES/25</t>
        </is>
      </c>
      <c r="DS7" s="13" t="inlineStr">
        <is>
          <t>MÃES/25</t>
        </is>
      </c>
      <c r="DT7" s="13" t="n"/>
      <c r="DU7" s="13" t="n"/>
      <c r="DV7" s="13" t="n"/>
      <c r="DW7" s="13" t="n"/>
      <c r="DX7" s="13" t="n"/>
      <c r="DY7" s="13" t="n"/>
      <c r="DZ7" s="13" t="n"/>
      <c r="EA7" s="13" t="n"/>
      <c r="EB7" s="13" t="n"/>
      <c r="EC7" s="13" t="n"/>
      <c r="ED7" s="13" t="n"/>
      <c r="EF7" s="235" t="inlineStr">
        <is>
          <t>MÃES 2026</t>
        </is>
      </c>
      <c r="EG7" s="731" t="n"/>
      <c r="EH7" s="731" t="n"/>
      <c r="EI7" s="731" t="n"/>
      <c r="EJ7" s="731" t="n"/>
      <c r="EK7" s="731" t="n"/>
      <c r="EL7" s="731" t="n"/>
      <c r="EM7" s="731" t="n"/>
      <c r="EN7" s="775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200</v>
      </c>
      <c r="E8" s="5" t="n"/>
      <c r="F8" s="697" t="n">
        <v>1000</v>
      </c>
      <c r="G8" s="697" t="n">
        <v>1000</v>
      </c>
      <c r="H8" s="697" t="n">
        <v>960</v>
      </c>
      <c r="I8" s="697" t="n">
        <v>960</v>
      </c>
      <c r="J8" s="697" t="n">
        <v>960</v>
      </c>
      <c r="K8" s="697" t="n">
        <v>920</v>
      </c>
      <c r="L8" s="697" t="n">
        <v>920</v>
      </c>
      <c r="M8" s="697" t="n">
        <v>900</v>
      </c>
      <c r="N8" s="697" t="n">
        <v>800</v>
      </c>
      <c r="O8" s="697" t="n">
        <v>800</v>
      </c>
      <c r="P8" s="697" t="n">
        <v>800</v>
      </c>
      <c r="Q8" s="697" t="n">
        <v>700</v>
      </c>
      <c r="R8" s="697" t="n">
        <v>700</v>
      </c>
      <c r="S8" s="697" t="n">
        <v>700</v>
      </c>
      <c r="T8" s="697" t="n">
        <v>700</v>
      </c>
      <c r="U8" s="697" t="n">
        <v>700</v>
      </c>
      <c r="V8" s="697" t="n">
        <v>700</v>
      </c>
      <c r="W8" s="697" t="n">
        <v>700</v>
      </c>
      <c r="X8" s="697" t="n">
        <v>700</v>
      </c>
      <c r="Y8" s="697" t="n">
        <v>700</v>
      </c>
      <c r="Z8" s="697" t="n">
        <v>443</v>
      </c>
      <c r="AA8" s="697" t="n">
        <v>440</v>
      </c>
      <c r="AB8" s="697" t="n">
        <v>300</v>
      </c>
      <c r="AC8" s="697" t="n">
        <v>300</v>
      </c>
      <c r="AD8" s="697" t="n">
        <v>280</v>
      </c>
      <c r="AE8" s="697" t="n">
        <v>270</v>
      </c>
      <c r="AF8" s="697" t="n">
        <v>120</v>
      </c>
      <c r="AG8" s="697">
        <f>100+DG8</f>
        <v/>
      </c>
      <c r="AH8" s="697" t="n">
        <v>400</v>
      </c>
      <c r="AI8" s="697" t="n">
        <v>300</v>
      </c>
      <c r="AJ8" s="697" t="n">
        <v>300</v>
      </c>
      <c r="AK8" s="697" t="n">
        <v>300</v>
      </c>
      <c r="AL8" s="697" t="n">
        <v>200</v>
      </c>
      <c r="AM8" s="697" t="n">
        <v>200</v>
      </c>
      <c r="AN8" s="697" t="n">
        <v>150</v>
      </c>
      <c r="AO8" s="697">
        <f>150+CX8</f>
        <v/>
      </c>
      <c r="AP8" s="697" t="n">
        <v>440</v>
      </c>
      <c r="AQ8" s="697" t="n">
        <v>440</v>
      </c>
      <c r="AR8" s="697" t="n">
        <v>440</v>
      </c>
      <c r="AS8" s="697" t="n">
        <v>440</v>
      </c>
      <c r="AT8" s="697" t="n">
        <v>440</v>
      </c>
      <c r="AU8" s="697" t="n">
        <v>440</v>
      </c>
      <c r="AV8" s="697" t="n">
        <v>440</v>
      </c>
      <c r="AW8" s="697" t="n">
        <v>440</v>
      </c>
      <c r="AX8" s="697" t="n">
        <v>340</v>
      </c>
      <c r="AY8" s="697" t="n">
        <v>340</v>
      </c>
      <c r="AZ8" s="697" t="n">
        <v>250</v>
      </c>
      <c r="BA8" s="697" t="n">
        <v>250</v>
      </c>
      <c r="BB8" s="697" t="n">
        <v>250</v>
      </c>
      <c r="BC8" s="697" t="n">
        <v>250</v>
      </c>
      <c r="BD8" s="697" t="n">
        <v>250</v>
      </c>
      <c r="BE8" s="697" t="n">
        <v>550</v>
      </c>
      <c r="BF8" s="697" t="n">
        <v>675</v>
      </c>
      <c r="BG8" s="697" t="n">
        <v>600</v>
      </c>
      <c r="BH8" s="697" t="n">
        <v>600</v>
      </c>
      <c r="BI8" s="697" t="n">
        <v>380</v>
      </c>
      <c r="BJ8" s="697">
        <f>350+CN8</f>
        <v/>
      </c>
      <c r="BK8" s="697" t="n">
        <v>650</v>
      </c>
      <c r="BL8" s="697" t="n">
        <v>650</v>
      </c>
      <c r="BM8" s="697" t="n">
        <v>650</v>
      </c>
      <c r="BN8" s="697" t="n">
        <v>560</v>
      </c>
      <c r="BO8" s="697" t="n">
        <v>520</v>
      </c>
      <c r="BP8" s="697" t="n">
        <v>460</v>
      </c>
      <c r="BQ8" s="697" t="n">
        <v>460</v>
      </c>
      <c r="BR8" s="697" t="n">
        <v>460</v>
      </c>
      <c r="BS8" s="697" t="n">
        <v>340</v>
      </c>
      <c r="BT8" s="697" t="n">
        <v>300</v>
      </c>
      <c r="BU8" s="697" t="n">
        <v>300</v>
      </c>
      <c r="BV8" s="697" t="n">
        <v>260</v>
      </c>
      <c r="BW8" s="697" t="n">
        <v>160</v>
      </c>
      <c r="BX8" s="697">
        <f>160+CG8</f>
        <v/>
      </c>
      <c r="BY8" s="697" t="n">
        <v>360</v>
      </c>
      <c r="BZ8" s="192">
        <f>BX8+IF(NOT(ISBLANK(OFFSET(BZ8,0,6))),N(OFFSET(BZ8,0,6)),N(OFFSET(BZ8,0,7)))-BY8</f>
        <v/>
      </c>
      <c r="CB8" s="22" t="n"/>
      <c r="CD8" s="27" t="n"/>
      <c r="CF8" s="23" t="n">
        <v>0</v>
      </c>
      <c r="CG8" s="23" t="n">
        <v>300</v>
      </c>
      <c r="CH8" s="23" t="n"/>
      <c r="CI8" s="23" t="n"/>
      <c r="CJ8" s="23" t="n"/>
      <c r="CK8" s="23" t="n"/>
      <c r="CL8" s="23" t="n"/>
      <c r="CM8" s="23" t="n"/>
      <c r="CN8" s="23" t="n">
        <v>300</v>
      </c>
      <c r="CO8" s="23" t="n"/>
      <c r="CP8" s="23" t="n"/>
      <c r="CQ8" s="23" t="n"/>
      <c r="CR8" s="23" t="n">
        <v>300</v>
      </c>
      <c r="CS8" s="23" t="n"/>
      <c r="CT8" s="23" t="n">
        <v>300</v>
      </c>
      <c r="CU8" s="219" t="n"/>
      <c r="CV8" s="23" t="n"/>
      <c r="CW8" s="23" t="n"/>
      <c r="CX8" s="23" t="n">
        <v>300</v>
      </c>
      <c r="CY8" s="219" t="n"/>
      <c r="CZ8" s="23" t="n"/>
      <c r="DA8" s="23" t="n"/>
      <c r="DB8" s="23" t="n"/>
      <c r="DC8" s="219" t="n"/>
      <c r="DD8" s="219" t="n"/>
      <c r="DE8" s="23" t="n"/>
      <c r="DF8" s="219" t="n"/>
      <c r="DG8" s="23" t="n">
        <v>300</v>
      </c>
      <c r="DH8" s="23" t="n"/>
      <c r="DI8" s="219" t="n"/>
      <c r="DJ8" s="23" t="n"/>
      <c r="DK8" s="23" t="n"/>
      <c r="DL8" s="23" t="n"/>
      <c r="DM8" s="219" t="n"/>
      <c r="DN8" s="219" t="n"/>
      <c r="DO8" s="219" t="n"/>
      <c r="DP8" s="219" t="n"/>
      <c r="DQ8" s="23" t="n"/>
      <c r="DR8" s="219" t="n"/>
      <c r="DS8" s="219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/>
      <c r="EC8" s="219" t="n"/>
      <c r="ED8" s="23" t="n">
        <v>900</v>
      </c>
      <c r="EF8" s="304" t="inlineStr">
        <is>
          <t xml:space="preserve">SACOLAS </t>
        </is>
      </c>
      <c r="EG8" s="235" t="inlineStr">
        <is>
          <t>PCT</t>
        </is>
      </c>
      <c r="EH8" s="746" t="n">
        <v>46118</v>
      </c>
      <c r="EI8" s="746" t="n">
        <v>46125</v>
      </c>
      <c r="EJ8" s="746" t="n">
        <v>46132</v>
      </c>
      <c r="EK8" s="746" t="n">
        <v>46139</v>
      </c>
      <c r="EL8" s="746" t="n">
        <v>46146</v>
      </c>
      <c r="EM8" s="746" t="n">
        <v>46154</v>
      </c>
      <c r="EN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350</v>
      </c>
      <c r="E9" s="5" t="n"/>
      <c r="F9" s="697" t="n">
        <v>1100</v>
      </c>
      <c r="G9" s="697">
        <f>1100+EB9-400</f>
        <v/>
      </c>
      <c r="H9" s="697" t="n">
        <v>1100</v>
      </c>
      <c r="I9" s="697" t="n">
        <v>1100</v>
      </c>
      <c r="J9" s="697" t="n">
        <v>1040</v>
      </c>
      <c r="K9" s="697" t="n">
        <v>1000</v>
      </c>
      <c r="L9" s="697" t="n">
        <v>1000</v>
      </c>
      <c r="M9" s="697" t="n">
        <v>800</v>
      </c>
      <c r="N9" s="697" t="n">
        <v>700</v>
      </c>
      <c r="O9" s="697" t="n">
        <v>600</v>
      </c>
      <c r="P9" s="697" t="n">
        <v>600</v>
      </c>
      <c r="Q9" s="697" t="n">
        <v>600</v>
      </c>
      <c r="R9" s="697" t="n">
        <v>320</v>
      </c>
      <c r="S9" s="697" t="n">
        <v>300</v>
      </c>
      <c r="T9" s="697" t="n">
        <v>600</v>
      </c>
      <c r="U9" s="697" t="n">
        <v>500</v>
      </c>
      <c r="V9" s="697" t="n">
        <v>500</v>
      </c>
      <c r="W9" s="697" t="n">
        <v>500</v>
      </c>
      <c r="X9" s="697" t="n">
        <v>500</v>
      </c>
      <c r="Y9" s="697" t="n">
        <v>500</v>
      </c>
      <c r="Z9" s="697" t="n">
        <v>400</v>
      </c>
      <c r="AA9" s="697" t="n">
        <v>300</v>
      </c>
      <c r="AB9" s="697" t="n">
        <v>150</v>
      </c>
      <c r="AC9" s="697">
        <f>150+DL9</f>
        <v/>
      </c>
      <c r="AD9" s="697" t="n">
        <v>400</v>
      </c>
      <c r="AE9" s="697" t="n">
        <v>400</v>
      </c>
      <c r="AF9" s="697" t="n">
        <v>370</v>
      </c>
      <c r="AG9" s="697" t="n">
        <v>310</v>
      </c>
      <c r="AH9" s="697">
        <f>290+DE9</f>
        <v/>
      </c>
      <c r="AI9" s="697" t="n">
        <v>600</v>
      </c>
      <c r="AJ9" s="697" t="n">
        <v>600</v>
      </c>
      <c r="AK9" s="697" t="n">
        <v>600</v>
      </c>
      <c r="AL9" s="697" t="n">
        <v>200</v>
      </c>
      <c r="AM9" s="697">
        <f>200+DA9</f>
        <v/>
      </c>
      <c r="AN9" s="697" t="n">
        <v>500</v>
      </c>
      <c r="AO9" s="697" t="n">
        <v>500</v>
      </c>
      <c r="AP9" s="697" t="n">
        <v>400</v>
      </c>
      <c r="AQ9" s="697" t="n">
        <v>400</v>
      </c>
      <c r="AR9" s="697" t="n">
        <v>340</v>
      </c>
      <c r="AS9" s="697" t="n">
        <v>320</v>
      </c>
      <c r="AT9" s="697">
        <f>200+CV9</f>
        <v/>
      </c>
      <c r="AU9" s="697" t="n">
        <v>180</v>
      </c>
      <c r="AV9" s="697" t="n">
        <v>400</v>
      </c>
      <c r="AW9" s="697" t="n">
        <v>400</v>
      </c>
      <c r="AX9" s="697" t="n">
        <v>380</v>
      </c>
      <c r="AY9" s="697" t="n">
        <v>380</v>
      </c>
      <c r="AZ9" s="697" t="n">
        <v>0</v>
      </c>
      <c r="BA9" s="697" t="n">
        <v>0</v>
      </c>
      <c r="BB9" s="697" t="n">
        <v>0</v>
      </c>
      <c r="BC9" s="697" t="n">
        <v>0</v>
      </c>
      <c r="BD9" s="697" t="n">
        <v>0</v>
      </c>
      <c r="BE9" s="697" t="n">
        <v>200</v>
      </c>
      <c r="BF9" s="697" t="n">
        <v>50</v>
      </c>
      <c r="BG9" s="697" t="n">
        <v>150</v>
      </c>
      <c r="BH9" s="697" t="n">
        <v>550</v>
      </c>
      <c r="BI9" s="697" t="n">
        <v>480</v>
      </c>
      <c r="BJ9" s="697" t="n">
        <v>430</v>
      </c>
      <c r="BK9" s="697" t="n">
        <v>350</v>
      </c>
      <c r="BL9" s="697" t="n">
        <v>550</v>
      </c>
      <c r="BM9" s="697" t="n">
        <v>350</v>
      </c>
      <c r="BN9" s="697">
        <f>220+CK9</f>
        <v/>
      </c>
      <c r="BO9" s="697" t="n">
        <v>320</v>
      </c>
      <c r="BP9" s="697" t="n">
        <v>260</v>
      </c>
      <c r="BQ9" s="697">
        <f>200+CJ9</f>
        <v/>
      </c>
      <c r="BR9" s="697" t="n">
        <v>350</v>
      </c>
      <c r="BS9" s="697" t="n">
        <v>200</v>
      </c>
      <c r="BT9" s="697" t="n">
        <v>80</v>
      </c>
      <c r="BU9" s="697" t="n">
        <v>60</v>
      </c>
      <c r="BV9" s="697" t="n">
        <v>120</v>
      </c>
      <c r="BW9" s="697" t="n">
        <v>120</v>
      </c>
      <c r="BX9" s="697">
        <f>120+CG9</f>
        <v/>
      </c>
      <c r="BY9" s="697" t="n">
        <v>220</v>
      </c>
      <c r="BZ9" s="192">
        <f>BX9+IF(NOT(ISBLANK(OFFSET(BZ9,0,6))),N(OFFSET(BZ9,0,6)),N(OFFSET(BZ9,0,7)))-BY9</f>
        <v/>
      </c>
      <c r="CB9" s="22" t="n"/>
      <c r="CD9" s="27" t="n">
        <v>200</v>
      </c>
      <c r="CF9" s="23" t="n">
        <v>0</v>
      </c>
      <c r="CG9" s="23" t="n">
        <v>200</v>
      </c>
      <c r="CH9" s="23" t="n"/>
      <c r="CI9" s="219" t="n">
        <v>600</v>
      </c>
      <c r="CJ9" s="23" t="n">
        <v>200</v>
      </c>
      <c r="CK9" s="23" t="n">
        <v>200</v>
      </c>
      <c r="CL9" s="23" t="n"/>
      <c r="CM9" s="23" t="n">
        <v>200</v>
      </c>
      <c r="CN9" s="23" t="n"/>
      <c r="CO9" s="23" t="n">
        <v>200</v>
      </c>
      <c r="CP9" s="23" t="n">
        <v>400</v>
      </c>
      <c r="CQ9" s="23" t="n">
        <v>200</v>
      </c>
      <c r="CR9" s="23" t="n">
        <v>200</v>
      </c>
      <c r="CS9" s="23" t="n"/>
      <c r="CT9" s="23" t="n"/>
      <c r="CU9" s="219" t="n">
        <v>800</v>
      </c>
      <c r="CV9" s="23" t="n">
        <v>200</v>
      </c>
      <c r="CW9" s="23" t="n"/>
      <c r="CX9" s="23" t="n"/>
      <c r="CY9" s="219" t="n"/>
      <c r="CZ9" s="23" t="n"/>
      <c r="DA9" s="23" t="n">
        <v>400</v>
      </c>
      <c r="DB9" s="23" t="n"/>
      <c r="DC9" s="219" t="n"/>
      <c r="DD9" s="219" t="n"/>
      <c r="DE9" s="23" t="n">
        <v>400</v>
      </c>
      <c r="DF9" s="219" t="n"/>
      <c r="DG9" s="23" t="n"/>
      <c r="DH9" s="23" t="n"/>
      <c r="DI9" s="219" t="n"/>
      <c r="DJ9" s="23" t="n"/>
      <c r="DK9" s="23" t="n"/>
      <c r="DL9" s="23" t="n">
        <v>400</v>
      </c>
      <c r="DM9" s="219" t="n"/>
      <c r="DN9" s="219" t="n"/>
      <c r="DO9" s="219" t="n"/>
      <c r="DP9" s="219" t="n"/>
      <c r="DQ9" s="23" t="n">
        <v>400</v>
      </c>
      <c r="DR9" s="219" t="n"/>
      <c r="DS9" s="219" t="n">
        <v>600</v>
      </c>
      <c r="DT9" s="23" t="n"/>
      <c r="DU9" s="23" t="n"/>
      <c r="DV9" s="23" t="n"/>
      <c r="DW9" s="23" t="n"/>
      <c r="DX9" s="23" t="n"/>
      <c r="DY9" s="23" t="n"/>
      <c r="DZ9" s="23" t="n"/>
      <c r="EA9" s="282" t="inlineStr">
        <is>
          <t>400 P/ SHN</t>
        </is>
      </c>
      <c r="EB9" s="23" t="n">
        <v>400</v>
      </c>
      <c r="EC9" s="219" t="n"/>
      <c r="ED9" s="23" t="n">
        <v>400</v>
      </c>
      <c r="EF9" s="300" t="inlineStr">
        <is>
          <t xml:space="preserve">SACOLA P </t>
        </is>
      </c>
      <c r="EG9" s="162" t="n">
        <v>200</v>
      </c>
      <c r="EH9" s="697">
        <f>CI9</f>
        <v/>
      </c>
      <c r="EI9" s="697" t="n">
        <v>500</v>
      </c>
      <c r="EJ9" s="697" t="n">
        <v>400</v>
      </c>
      <c r="EK9" s="697" t="n">
        <v>200</v>
      </c>
      <c r="EL9" s="697" t="n">
        <v>120</v>
      </c>
      <c r="EM9" s="697" t="n"/>
      <c r="EN9" s="431">
        <f>EL9+IF(NOT(ISBLANK(OFFSET(EN9,0,6))),N(OFFSET(EN9,0,6)),N(OFFSET(EN9,0,7)))-EM9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 t="n">
        <v>260</v>
      </c>
      <c r="G10" s="697">
        <f>220+EB10</f>
        <v/>
      </c>
      <c r="H10" s="697" t="n">
        <v>700</v>
      </c>
      <c r="I10" s="697" t="n">
        <v>700</v>
      </c>
      <c r="J10" s="697" t="n">
        <v>480</v>
      </c>
      <c r="K10" s="697">
        <f>440+DZ10</f>
        <v/>
      </c>
      <c r="L10" s="697" t="n">
        <v>640</v>
      </c>
      <c r="M10" s="697" t="n">
        <v>820</v>
      </c>
      <c r="N10" s="697" t="n">
        <v>800</v>
      </c>
      <c r="O10" s="697" t="n">
        <v>680</v>
      </c>
      <c r="P10" s="697" t="n">
        <v>600</v>
      </c>
      <c r="Q10" s="697" t="n">
        <v>600</v>
      </c>
      <c r="R10" s="697" t="n">
        <v>600</v>
      </c>
      <c r="S10" s="697" t="n">
        <v>550</v>
      </c>
      <c r="T10" s="697" t="n">
        <v>550</v>
      </c>
      <c r="U10" s="697" t="n">
        <v>550</v>
      </c>
      <c r="V10" s="697" t="n">
        <v>550</v>
      </c>
      <c r="W10" s="697" t="n">
        <v>550</v>
      </c>
      <c r="X10" s="697" t="n">
        <v>550</v>
      </c>
      <c r="Y10" s="697" t="n">
        <v>550</v>
      </c>
      <c r="Z10" s="697" t="n">
        <v>300</v>
      </c>
      <c r="AA10" s="697" t="n">
        <v>300</v>
      </c>
      <c r="AB10" s="697" t="n">
        <v>300</v>
      </c>
      <c r="AC10" s="697" t="n">
        <v>300</v>
      </c>
      <c r="AD10" s="697" t="n">
        <v>200</v>
      </c>
      <c r="AE10" s="697" t="n">
        <v>400</v>
      </c>
      <c r="AF10" s="697" t="n">
        <v>580</v>
      </c>
      <c r="AG10" s="697" t="n">
        <v>480</v>
      </c>
      <c r="AH10" s="697" t="n">
        <v>347</v>
      </c>
      <c r="AI10" s="697" t="n">
        <v>340</v>
      </c>
      <c r="AJ10" s="697" t="n">
        <v>200</v>
      </c>
      <c r="AK10" s="697" t="n">
        <v>200</v>
      </c>
      <c r="AL10" s="697" t="n">
        <v>200</v>
      </c>
      <c r="AM10" s="697" t="n">
        <v>200</v>
      </c>
      <c r="AN10" s="697" t="n">
        <v>260</v>
      </c>
      <c r="AO10" s="697" t="n">
        <v>460</v>
      </c>
      <c r="AP10" s="697" t="n">
        <v>400</v>
      </c>
      <c r="AQ10" s="697" t="n">
        <v>400</v>
      </c>
      <c r="AR10" s="697" t="n">
        <v>360</v>
      </c>
      <c r="AS10" s="697" t="n">
        <v>360</v>
      </c>
      <c r="AT10" s="697" t="n">
        <v>260</v>
      </c>
      <c r="AU10" s="697" t="n">
        <v>260</v>
      </c>
      <c r="AV10" s="697" t="n">
        <v>320</v>
      </c>
      <c r="AW10" s="697" t="n">
        <v>300</v>
      </c>
      <c r="AX10" s="697" t="n">
        <v>300</v>
      </c>
      <c r="AY10" s="697" t="n">
        <v>300</v>
      </c>
      <c r="AZ10" s="697" t="n">
        <v>180</v>
      </c>
      <c r="BA10" s="697" t="n">
        <v>180</v>
      </c>
      <c r="BB10" s="697" t="n">
        <v>100</v>
      </c>
      <c r="BC10" s="697" t="n">
        <v>100</v>
      </c>
      <c r="BD10" s="697" t="n">
        <v>100</v>
      </c>
      <c r="BE10" s="697" t="n">
        <v>250</v>
      </c>
      <c r="BF10" s="697" t="n">
        <v>50</v>
      </c>
      <c r="BG10" s="697" t="n">
        <v>0</v>
      </c>
      <c r="BH10" s="697" t="n">
        <v>200</v>
      </c>
      <c r="BI10" s="697" t="n">
        <v>200</v>
      </c>
      <c r="BJ10" s="697" t="n">
        <v>200</v>
      </c>
      <c r="BK10" s="697" t="n">
        <v>160</v>
      </c>
      <c r="BL10" s="697" t="n">
        <v>360</v>
      </c>
      <c r="BM10" s="697" t="n">
        <v>360</v>
      </c>
      <c r="BN10" s="697" t="n">
        <v>300</v>
      </c>
      <c r="BO10" s="697" t="n">
        <v>260</v>
      </c>
      <c r="BP10" s="697" t="n">
        <v>200</v>
      </c>
      <c r="BQ10" s="697">
        <f>160+CJ10</f>
        <v/>
      </c>
      <c r="BR10" s="697" t="n">
        <v>320</v>
      </c>
      <c r="BS10" s="697" t="n">
        <v>320</v>
      </c>
      <c r="BT10" s="697" t="n">
        <v>240</v>
      </c>
      <c r="BU10" s="697" t="n">
        <v>300</v>
      </c>
      <c r="BV10" s="697" t="n">
        <v>300</v>
      </c>
      <c r="BW10" s="697" t="n">
        <v>300</v>
      </c>
      <c r="BX10" s="697" t="n">
        <v>300</v>
      </c>
      <c r="BY10" s="697" t="n">
        <v>280</v>
      </c>
      <c r="BZ10" s="192">
        <f>BX10+IF(NOT(ISBLANK(OFFSET(BZ10,0,6))),N(OFFSET(BZ10,0,6)),N(OFFSET(BZ10,0,7)))-BY10</f>
        <v/>
      </c>
      <c r="CA10" s="4" t="n"/>
      <c r="CB10" s="22" t="n"/>
      <c r="CC10" s="4" t="n"/>
      <c r="CD10" s="27" t="n"/>
      <c r="CE10" s="4" t="n"/>
      <c r="CF10" s="23" t="n">
        <v>0</v>
      </c>
      <c r="CG10" s="23" t="n">
        <v>0</v>
      </c>
      <c r="CH10" s="23" t="n"/>
      <c r="CI10" s="219" t="n">
        <v>400</v>
      </c>
      <c r="CJ10" s="23" t="n">
        <v>200</v>
      </c>
      <c r="CK10" s="23" t="n"/>
      <c r="CL10" s="23" t="n"/>
      <c r="CM10" s="23" t="n">
        <v>200</v>
      </c>
      <c r="CN10" s="23" t="n"/>
      <c r="CO10" s="23" t="n"/>
      <c r="CP10" s="23" t="n">
        <v>200</v>
      </c>
      <c r="CQ10" s="23" t="n"/>
      <c r="CR10" s="23" t="n">
        <v>200</v>
      </c>
      <c r="CS10" s="23" t="n"/>
      <c r="CT10" s="23" t="n"/>
      <c r="CU10" s="219" t="n">
        <v>400</v>
      </c>
      <c r="CV10" s="23" t="n"/>
      <c r="CW10" s="23" t="n"/>
      <c r="CX10" s="23" t="n">
        <v>200</v>
      </c>
      <c r="CY10" s="437" t="inlineStr">
        <is>
          <t>100 DE TDQ</t>
        </is>
      </c>
      <c r="CZ10" s="23" t="n"/>
      <c r="DA10" s="23" t="n"/>
      <c r="DB10" s="23" t="n"/>
      <c r="DC10" s="219" t="n"/>
      <c r="DD10" s="219" t="n"/>
      <c r="DE10" s="23" t="n"/>
      <c r="DF10" s="219" t="n"/>
      <c r="DG10" s="23" t="n"/>
      <c r="DH10" s="23" t="n"/>
      <c r="DI10" s="219" t="n">
        <v>400</v>
      </c>
      <c r="DJ10" s="23" t="n">
        <v>200</v>
      </c>
      <c r="DK10" s="23" t="n">
        <v>200</v>
      </c>
      <c r="DL10" s="23" t="n"/>
      <c r="DM10" s="219" t="n"/>
      <c r="DN10" s="219" t="n"/>
      <c r="DO10" s="219" t="n">
        <v>200</v>
      </c>
      <c r="DP10" s="219" t="n"/>
      <c r="DQ10" s="23" t="n"/>
      <c r="DR10" s="219" t="n"/>
      <c r="DS10" s="219" t="n">
        <v>400</v>
      </c>
      <c r="DT10" s="23" t="n"/>
      <c r="DU10" s="23" t="n"/>
      <c r="DV10" s="23" t="n"/>
      <c r="DW10" s="23" t="n"/>
      <c r="DX10" s="23" t="n"/>
      <c r="DY10" s="23" t="n"/>
      <c r="DZ10" s="23" t="n">
        <v>200</v>
      </c>
      <c r="EA10" s="23" t="n"/>
      <c r="EB10" s="23" t="n">
        <v>600</v>
      </c>
      <c r="EC10" s="219" t="n"/>
      <c r="ED10" s="23" t="n"/>
      <c r="EF10" s="65" t="inlineStr">
        <is>
          <t xml:space="preserve">SACOLA M </t>
        </is>
      </c>
      <c r="EG10" s="699" t="n">
        <v>200</v>
      </c>
      <c r="EH10" s="697">
        <f>CI10</f>
        <v/>
      </c>
      <c r="EI10" s="697" t="n">
        <v>340</v>
      </c>
      <c r="EJ10" s="697" t="n">
        <v>200</v>
      </c>
      <c r="EK10" s="697" t="n">
        <v>200</v>
      </c>
      <c r="EL10" s="697" t="n">
        <v>200</v>
      </c>
      <c r="EM10" s="697" t="n"/>
      <c r="EN10" s="431">
        <f>EL10+IF(NOT(ISBLANK(OFFSET(EN10,0,6))),N(OFFSET(EN10,0,6)),N(OFFSET(EN10,0,7)))-EM10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120</v>
      </c>
      <c r="G11" s="697" t="n">
        <v>120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90</v>
      </c>
      <c r="R11" s="697">
        <f>90+DT11</f>
        <v/>
      </c>
      <c r="S11" s="697" t="n">
        <v>190</v>
      </c>
      <c r="T11" s="697" t="n">
        <v>90</v>
      </c>
      <c r="U11" s="697" t="n">
        <v>90</v>
      </c>
      <c r="V11" s="697" t="n">
        <v>90</v>
      </c>
      <c r="W11" s="697" t="n">
        <v>90</v>
      </c>
      <c r="X11" s="697" t="n">
        <v>90</v>
      </c>
      <c r="Y11" s="697" t="n">
        <v>90</v>
      </c>
      <c r="Z11" s="697" t="n">
        <v>90</v>
      </c>
      <c r="AA11" s="697" t="n">
        <v>90</v>
      </c>
      <c r="AB11" s="697" t="n">
        <v>90</v>
      </c>
      <c r="AC11" s="697" t="n">
        <v>90</v>
      </c>
      <c r="AD11" s="697" t="n">
        <v>90</v>
      </c>
      <c r="AE11" s="697" t="n">
        <v>90</v>
      </c>
      <c r="AF11" s="697" t="n">
        <v>90</v>
      </c>
      <c r="AG11" s="697" t="n">
        <v>90</v>
      </c>
      <c r="AH11" s="697" t="n">
        <v>90</v>
      </c>
      <c r="AI11" s="697" t="n">
        <v>90</v>
      </c>
      <c r="AJ11" s="697" t="n">
        <v>90</v>
      </c>
      <c r="AK11" s="697" t="n">
        <v>90</v>
      </c>
      <c r="AL11" s="697" t="n">
        <v>90</v>
      </c>
      <c r="AM11" s="697" t="n">
        <v>90</v>
      </c>
      <c r="AN11" s="697" t="n">
        <v>90</v>
      </c>
      <c r="AO11" s="697" t="n">
        <v>90</v>
      </c>
      <c r="AP11" s="697" t="n">
        <v>90</v>
      </c>
      <c r="AQ11" s="697" t="n">
        <v>90</v>
      </c>
      <c r="AR11" s="697" t="n">
        <v>90</v>
      </c>
      <c r="AS11" s="697" t="n">
        <v>90</v>
      </c>
      <c r="AT11" s="697" t="n">
        <v>90</v>
      </c>
      <c r="AU11" s="697" t="n">
        <v>90</v>
      </c>
      <c r="AV11" s="697" t="n">
        <v>90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10</v>
      </c>
      <c r="BG11" s="697" t="n">
        <v>10</v>
      </c>
      <c r="BH11" s="697" t="n">
        <v>10</v>
      </c>
      <c r="BI11" s="697" t="n">
        <v>0</v>
      </c>
      <c r="BJ11" s="697">
        <f>0+CN11</f>
        <v/>
      </c>
      <c r="BK11" s="697" t="n">
        <v>40</v>
      </c>
      <c r="BL11" s="697" t="n">
        <v>140</v>
      </c>
      <c r="BM11" s="697" t="n">
        <v>140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120</v>
      </c>
      <c r="BV11" s="697" t="n">
        <v>120</v>
      </c>
      <c r="BW11" s="697" t="n">
        <v>100</v>
      </c>
      <c r="BX11" s="697" t="n">
        <v>100</v>
      </c>
      <c r="BY11" s="697" t="n">
        <v>100</v>
      </c>
      <c r="BZ11" s="192">
        <f>BX11+IF(NOT(ISBLANK(OFFSET(BZ11,0,6))),N(OFFSET(BZ11,0,6)),N(OFFSET(BZ11,0,7)))-BY11</f>
        <v/>
      </c>
      <c r="CA11" s="4" t="n"/>
      <c r="CB11" s="22" t="n"/>
      <c r="CC11" s="4" t="n"/>
      <c r="CD11" s="27" t="n"/>
      <c r="CE11" s="4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>
        <v>100</v>
      </c>
      <c r="CN11" s="23" t="n">
        <v>100</v>
      </c>
      <c r="CO11" s="23" t="n"/>
      <c r="CP11" s="23" t="n"/>
      <c r="CQ11" s="23" t="n"/>
      <c r="CR11" s="23" t="n"/>
      <c r="CS11" s="23" t="n"/>
      <c r="CT11" s="23" t="n"/>
      <c r="CU11" s="219" t="n"/>
      <c r="CV11" s="23" t="n"/>
      <c r="CW11" s="23" t="n"/>
      <c r="CX11" s="23" t="n"/>
      <c r="CY11" s="219" t="n"/>
      <c r="CZ11" s="23" t="n"/>
      <c r="DA11" s="23" t="n"/>
      <c r="DB11" s="23" t="n"/>
      <c r="DC11" s="219" t="n"/>
      <c r="DD11" s="219" t="n"/>
      <c r="DE11" s="23" t="n"/>
      <c r="DF11" s="219" t="n"/>
      <c r="DG11" s="23" t="n"/>
      <c r="DH11" s="23" t="n"/>
      <c r="DI11" s="219" t="n"/>
      <c r="DJ11" s="23" t="n"/>
      <c r="DK11" s="23" t="n"/>
      <c r="DL11" s="23" t="n"/>
      <c r="DM11" s="219" t="n"/>
      <c r="DN11" s="219" t="n"/>
      <c r="DO11" s="219" t="n"/>
      <c r="DP11" s="219" t="n"/>
      <c r="DQ11" s="23" t="n"/>
      <c r="DR11" s="219" t="n"/>
      <c r="DS11" s="219" t="n">
        <v>100</v>
      </c>
      <c r="DT11" s="23" t="n">
        <v>100</v>
      </c>
      <c r="DU11" s="23" t="n"/>
      <c r="DV11" s="23" t="n"/>
      <c r="DW11" s="23" t="n"/>
      <c r="DX11" s="23" t="n"/>
      <c r="DY11" s="23" t="n"/>
      <c r="DZ11" s="23" t="n"/>
      <c r="EA11" s="23" t="n"/>
      <c r="EB11" s="23" t="n"/>
      <c r="EC11" s="219" t="n"/>
      <c r="ED11" s="23" t="n"/>
      <c r="EF11" s="66" t="inlineStr">
        <is>
          <t xml:space="preserve">SACOLA G </t>
        </is>
      </c>
      <c r="EG11" s="699" t="n">
        <v>100</v>
      </c>
      <c r="EH11" s="697">
        <f>CI11</f>
        <v/>
      </c>
      <c r="EI11" s="697" t="n">
        <v>40</v>
      </c>
      <c r="EJ11" s="697" t="n">
        <v>40</v>
      </c>
      <c r="EK11" s="697" t="n">
        <v>20</v>
      </c>
      <c r="EL11" s="697" t="n">
        <v>0</v>
      </c>
      <c r="EM11" s="697" t="n"/>
      <c r="EN11" s="431">
        <f>EL11+IF(NOT(ISBLANK(OFFSET(EN11,0,6))),N(OFFSET(EN11,0,6)),N(OFFSET(EN11,0,7)))-EM11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16" t="n"/>
      <c r="CC12" s="4" t="n"/>
      <c r="CD12" s="18" t="n"/>
      <c r="CE12" s="4" t="n"/>
      <c r="CI12" s="47" t="n"/>
      <c r="CU12" s="47" t="n"/>
      <c r="CY12" s="64" t="n"/>
      <c r="DC12" s="47" t="n"/>
      <c r="DD12" s="47" t="n"/>
      <c r="DF12" s="47" t="n"/>
      <c r="DI12" s="47" t="n"/>
      <c r="DM12" s="308" t="n"/>
      <c r="DN12" s="64" t="n"/>
      <c r="DO12" s="64" t="n"/>
      <c r="DP12" s="308" t="n"/>
      <c r="DR12" s="308" t="n"/>
      <c r="DS12" s="308" t="n"/>
      <c r="EC12" s="47" t="n"/>
      <c r="EF12" s="35" t="n"/>
      <c r="EG12" s="2" t="n"/>
      <c r="EH12" s="4" t="n"/>
      <c r="EI12" s="4" t="n"/>
      <c r="EJ12" s="4" t="n"/>
      <c r="EK12" s="4" t="n"/>
      <c r="EL12" s="4" t="n"/>
      <c r="EM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A13" s="4" t="n"/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34" t="n"/>
      <c r="CG13" s="734" t="n">
        <v>46142</v>
      </c>
      <c r="CH13" s="734" t="n">
        <v>46114</v>
      </c>
      <c r="CI13" s="735" t="n">
        <v>46065</v>
      </c>
      <c r="CJ13" s="734" t="n">
        <v>46092</v>
      </c>
      <c r="CK13" s="734" t="n">
        <v>46071</v>
      </c>
      <c r="CL13" s="736" t="n">
        <v>46067</v>
      </c>
      <c r="CM13" s="734" t="n">
        <v>46056</v>
      </c>
      <c r="CN13" s="734" t="n">
        <v>46043</v>
      </c>
      <c r="CO13" s="734" t="n">
        <v>46029</v>
      </c>
      <c r="CP13" s="734" t="n">
        <v>46024</v>
      </c>
      <c r="CQ13" s="734" t="n">
        <v>46007</v>
      </c>
      <c r="CR13" s="734" t="n">
        <v>46001</v>
      </c>
      <c r="CS13" s="734" t="n">
        <v>45973</v>
      </c>
      <c r="CT13" s="734" t="n">
        <v>45960</v>
      </c>
      <c r="CU13" s="737" t="n">
        <v>45903</v>
      </c>
      <c r="CV13" s="734" t="n">
        <v>45923</v>
      </c>
      <c r="CW13" s="734" t="n">
        <v>45923</v>
      </c>
      <c r="CX13" s="734" t="n">
        <v>45895</v>
      </c>
      <c r="CY13" s="754" t="n">
        <v>45923</v>
      </c>
      <c r="CZ13" s="734" t="n">
        <v>45888</v>
      </c>
      <c r="DA13" s="734" t="n">
        <v>45881</v>
      </c>
      <c r="DB13" s="734" t="n">
        <v>45874</v>
      </c>
      <c r="DC13" s="739" t="n">
        <v>45861</v>
      </c>
      <c r="DD13" s="739" t="n">
        <v>45861</v>
      </c>
      <c r="DE13" s="734" t="n">
        <v>45848</v>
      </c>
      <c r="DF13" s="739" t="n">
        <v>45852</v>
      </c>
      <c r="DG13" s="734" t="n">
        <v>45839</v>
      </c>
      <c r="DH13" s="736" t="n">
        <v>45842</v>
      </c>
      <c r="DI13" s="739" t="n">
        <v>45791</v>
      </c>
      <c r="DJ13" s="734" t="n">
        <v>45832</v>
      </c>
      <c r="DK13" s="734" t="n">
        <v>45825</v>
      </c>
      <c r="DL13" s="734" t="n">
        <v>45813</v>
      </c>
      <c r="DM13" s="740" t="n">
        <v>45806</v>
      </c>
      <c r="DN13" s="755" t="n">
        <v>45805</v>
      </c>
      <c r="DO13" s="742" t="n">
        <v>45735</v>
      </c>
      <c r="DP13" s="740" t="n">
        <v>45754</v>
      </c>
      <c r="DQ13" s="734" t="n">
        <v>45743</v>
      </c>
      <c r="DR13" s="740" t="n">
        <v>45750</v>
      </c>
      <c r="DS13" s="740" t="n">
        <v>45700</v>
      </c>
      <c r="DT13" s="734" t="n">
        <v>45734</v>
      </c>
      <c r="DU13" s="734" t="n">
        <v>45728</v>
      </c>
      <c r="DV13" s="736" t="n">
        <v>45728</v>
      </c>
      <c r="DW13" s="734" t="n">
        <v>45722</v>
      </c>
      <c r="DX13" s="734" t="n">
        <v>45699</v>
      </c>
      <c r="DY13" s="736" t="n">
        <v>45693</v>
      </c>
      <c r="DZ13" s="734" t="n">
        <v>45685</v>
      </c>
      <c r="EA13" s="736" t="n">
        <v>45670</v>
      </c>
      <c r="EB13" s="734" t="n">
        <v>45660</v>
      </c>
      <c r="EC13" s="744" t="n">
        <v>45663</v>
      </c>
      <c r="ED13" s="734" t="n">
        <v>45643</v>
      </c>
      <c r="EF13" s="304" t="inlineStr">
        <is>
          <t>DIVERSOS</t>
        </is>
      </c>
      <c r="EG13" s="235" t="inlineStr">
        <is>
          <t>PCT</t>
        </is>
      </c>
      <c r="EH13" s="746" t="n">
        <v>46118</v>
      </c>
      <c r="EI13" s="746" t="n">
        <v>46125</v>
      </c>
      <c r="EJ13" s="746" t="n">
        <v>46132</v>
      </c>
      <c r="EK13" s="746" t="n">
        <v>46139</v>
      </c>
      <c r="EL13" s="746" t="n">
        <v>46146</v>
      </c>
      <c r="EM13" s="746" t="n">
        <v>46154</v>
      </c>
      <c r="EN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1</v>
      </c>
      <c r="E14" s="726" t="n"/>
      <c r="F14" s="136" t="n">
        <v>4</v>
      </c>
      <c r="G14" s="136" t="n">
        <v>4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4</v>
      </c>
      <c r="M14" s="136" t="n">
        <v>4</v>
      </c>
      <c r="N14" s="136" t="n">
        <v>4</v>
      </c>
      <c r="O14" s="136" t="n">
        <v>4</v>
      </c>
      <c r="P14" s="136" t="n">
        <v>4</v>
      </c>
      <c r="Q14" s="136" t="n">
        <v>4</v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4</v>
      </c>
      <c r="Z14" s="136" t="n">
        <v>4</v>
      </c>
      <c r="AA14" s="136" t="n">
        <v>4</v>
      </c>
      <c r="AB14" s="136" t="n">
        <v>4</v>
      </c>
      <c r="AC14" s="136" t="n">
        <v>3</v>
      </c>
      <c r="AD14" s="136" t="n">
        <v>3</v>
      </c>
      <c r="AE14" s="136" t="n">
        <v>3</v>
      </c>
      <c r="AF14" s="136" t="n">
        <v>3</v>
      </c>
      <c r="AG14" s="136">
        <f>3+DG14</f>
        <v/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 t="n">
        <v>3</v>
      </c>
      <c r="AM14" s="136" t="n">
        <v>3</v>
      </c>
      <c r="AN14" s="136" t="n">
        <v>3</v>
      </c>
      <c r="AO14" s="136" t="n">
        <v>3</v>
      </c>
      <c r="AP14" s="136" t="n">
        <v>2</v>
      </c>
      <c r="AQ14" s="136" t="n">
        <v>2</v>
      </c>
      <c r="AR14" s="136" t="n">
        <v>2</v>
      </c>
      <c r="AS14" s="136" t="n">
        <v>2</v>
      </c>
      <c r="AT14" s="136" t="n">
        <v>2</v>
      </c>
      <c r="AU14" s="136" t="n">
        <v>1</v>
      </c>
      <c r="AV14" s="136" t="n">
        <v>1</v>
      </c>
      <c r="AW14" s="136" t="n">
        <v>0</v>
      </c>
      <c r="AX14" s="136" t="n">
        <v>0</v>
      </c>
      <c r="AY14" s="136" t="n">
        <v>0</v>
      </c>
      <c r="AZ14" s="136">
        <f>0+CS14</f>
        <v/>
      </c>
      <c r="BA14" s="136" t="n">
        <v>2</v>
      </c>
      <c r="BB14" s="136" t="n">
        <v>2</v>
      </c>
      <c r="BC14" s="136" t="n">
        <v>2</v>
      </c>
      <c r="BD14" s="136" t="n">
        <v>1</v>
      </c>
      <c r="BE14" s="136" t="n">
        <v>1</v>
      </c>
      <c r="BF14" s="136" t="n">
        <v>5</v>
      </c>
      <c r="BG14" s="136" t="n">
        <v>4</v>
      </c>
      <c r="BH14" s="136" t="n">
        <v>6</v>
      </c>
      <c r="BI14" s="136" t="n">
        <v>11</v>
      </c>
      <c r="BJ14" s="136" t="n">
        <v>11</v>
      </c>
      <c r="BK14" s="136" t="n">
        <v>11</v>
      </c>
      <c r="BL14" s="136" t="n">
        <v>11</v>
      </c>
      <c r="BM14" s="136" t="n">
        <v>8</v>
      </c>
      <c r="BN14" s="136">
        <f>8+CK14</f>
        <v/>
      </c>
      <c r="BO14" s="136" t="n">
        <v>11</v>
      </c>
      <c r="BP14" s="136" t="n">
        <v>11</v>
      </c>
      <c r="BQ14" s="136" t="n">
        <v>10</v>
      </c>
      <c r="BR14" s="136" t="n">
        <v>10</v>
      </c>
      <c r="BS14" s="136" t="n">
        <v>9</v>
      </c>
      <c r="BT14" s="136" t="n">
        <v>9</v>
      </c>
      <c r="BU14" s="136" t="n">
        <v>9</v>
      </c>
      <c r="BV14" s="136" t="n">
        <v>9</v>
      </c>
      <c r="BW14" s="136" t="n">
        <v>9</v>
      </c>
      <c r="BX14" s="136" t="n">
        <v>9</v>
      </c>
      <c r="BY14" s="136" t="n">
        <v>9</v>
      </c>
      <c r="BZ14" s="192">
        <f>BX14+IF(NOT(ISBLANK(OFFSET(BZ14,0,6))),N(OFFSET(BZ14,0,6)),N(OFFSET(BZ14,0,7)))-BY14</f>
        <v/>
      </c>
      <c r="CA14" s="4" t="n"/>
      <c r="CB14" s="22" t="n"/>
      <c r="CC14" s="4" t="n"/>
      <c r="CD14" s="27" t="n"/>
      <c r="CE14" s="4" t="n"/>
      <c r="CF14" s="23" t="n">
        <v>0</v>
      </c>
      <c r="CG14" s="23" t="n">
        <v>0</v>
      </c>
      <c r="CH14" s="23" t="n"/>
      <c r="CI14" s="219" t="n">
        <v>4</v>
      </c>
      <c r="CJ14" s="23" t="n"/>
      <c r="CK14" s="23" t="n">
        <v>3</v>
      </c>
      <c r="CL14" s="23" t="n"/>
      <c r="CM14" s="23" t="n"/>
      <c r="CN14" s="23" t="n"/>
      <c r="CO14" s="23" t="n">
        <v>5</v>
      </c>
      <c r="CP14" s="23" t="n"/>
      <c r="CQ14" s="23" t="n">
        <v>3</v>
      </c>
      <c r="CR14" s="23" t="n"/>
      <c r="CS14" s="23" t="n">
        <v>2</v>
      </c>
      <c r="CT14" s="23" t="n">
        <v>2</v>
      </c>
      <c r="CU14" s="219" t="n">
        <v>7</v>
      </c>
      <c r="CV14" s="23" t="n"/>
      <c r="CW14" s="23" t="n"/>
      <c r="CX14" s="23" t="n"/>
      <c r="CY14" s="437" t="inlineStr">
        <is>
          <t>100 DE TDQ</t>
        </is>
      </c>
      <c r="CZ14" s="23" t="n"/>
      <c r="DA14" s="23" t="n"/>
      <c r="DB14" s="23" t="n"/>
      <c r="DC14" s="219" t="n"/>
      <c r="DD14" s="219" t="n"/>
      <c r="DE14" s="23" t="n"/>
      <c r="DF14" s="219" t="n"/>
      <c r="DG14" s="23" t="n">
        <v>1</v>
      </c>
      <c r="DH14" s="23" t="n"/>
      <c r="DI14" s="219" t="n">
        <v>2</v>
      </c>
      <c r="DJ14" s="23" t="n"/>
      <c r="DK14" s="23" t="n"/>
      <c r="DL14" s="23" t="n"/>
      <c r="DM14" s="219" t="n"/>
      <c r="DN14" s="219" t="n"/>
      <c r="DO14" s="219" t="n">
        <v>1</v>
      </c>
      <c r="DP14" s="219" t="n"/>
      <c r="DQ14" s="23" t="n"/>
      <c r="DR14" s="219" t="n"/>
      <c r="DS14" s="219" t="n">
        <v>5</v>
      </c>
      <c r="DT14" s="23" t="n"/>
      <c r="DU14" s="23" t="n"/>
      <c r="DV14" s="23" t="n"/>
      <c r="DW14" s="23" t="n"/>
      <c r="DX14" s="23" t="n"/>
      <c r="DY14" s="23" t="n"/>
      <c r="DZ14" s="23" t="n"/>
      <c r="EA14" s="23" t="n"/>
      <c r="EB14" s="23" t="n"/>
      <c r="EC14" s="219" t="n"/>
      <c r="ED14" s="23" t="n"/>
      <c r="EF14" s="300" t="inlineStr">
        <is>
          <t>PAPEL DE SEDA</t>
        </is>
      </c>
      <c r="EG14" s="162" t="n">
        <v>200</v>
      </c>
      <c r="EH14" s="697">
        <f>CI14</f>
        <v/>
      </c>
      <c r="EI14" s="697" t="n">
        <v>3</v>
      </c>
      <c r="EJ14" s="697" t="n">
        <v>2</v>
      </c>
      <c r="EK14" s="697" t="n">
        <v>1</v>
      </c>
      <c r="EL14" s="697" t="n">
        <v>2</v>
      </c>
      <c r="EM14" s="697" t="n"/>
      <c r="EN14" s="431">
        <f>EL14+IF(NOT(ISBLANK(OFFSET(EN14,0,6))),N(OFFSET(EN14,0,6)),N(OFFSET(EN14,0,7)))-EM14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2</v>
      </c>
      <c r="G15" s="136" t="n">
        <v>2</v>
      </c>
      <c r="H15" s="136" t="n">
        <v>1</v>
      </c>
      <c r="I15" s="136" t="n">
        <v>1</v>
      </c>
      <c r="J15" s="136" t="n">
        <v>1</v>
      </c>
      <c r="K15" s="136">
        <f>1+DZ15</f>
        <v/>
      </c>
      <c r="L15" s="136" t="n">
        <v>2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2</v>
      </c>
      <c r="R15" s="136">
        <f>2+DT15</f>
        <v/>
      </c>
      <c r="S15" s="136" t="n">
        <v>3</v>
      </c>
      <c r="T15" s="136" t="n">
        <v>3</v>
      </c>
      <c r="U15" s="136" t="n">
        <v>3</v>
      </c>
      <c r="V15" s="136" t="n">
        <v>3</v>
      </c>
      <c r="W15" s="136" t="n">
        <v>3</v>
      </c>
      <c r="X15" s="136" t="n">
        <v>3</v>
      </c>
      <c r="Y15" s="136" t="n">
        <v>3</v>
      </c>
      <c r="Z15" s="136" t="n">
        <v>2</v>
      </c>
      <c r="AA15" s="136" t="n">
        <v>2</v>
      </c>
      <c r="AB15" s="136" t="n">
        <v>2</v>
      </c>
      <c r="AC15" s="136" t="n">
        <v>3</v>
      </c>
      <c r="AD15" s="136" t="n">
        <v>3</v>
      </c>
      <c r="AE15" s="136" t="n">
        <v>3</v>
      </c>
      <c r="AF15" s="136" t="n">
        <v>3</v>
      </c>
      <c r="AG15" s="136" t="n">
        <v>3</v>
      </c>
      <c r="AH15" s="136" t="n">
        <v>3</v>
      </c>
      <c r="AI15" s="136" t="n">
        <v>3</v>
      </c>
      <c r="AJ15" s="136" t="n">
        <v>3</v>
      </c>
      <c r="AK15" s="136" t="n">
        <v>3</v>
      </c>
      <c r="AL15" s="136" t="n">
        <v>3</v>
      </c>
      <c r="AM15" s="136" t="n">
        <v>3</v>
      </c>
      <c r="AN15" s="136" t="n">
        <v>3</v>
      </c>
      <c r="AO15" s="136" t="n">
        <v>3</v>
      </c>
      <c r="AP15" s="136" t="n">
        <v>3</v>
      </c>
      <c r="AQ15" s="136" t="n">
        <v>3</v>
      </c>
      <c r="AR15" s="136" t="n">
        <v>3</v>
      </c>
      <c r="AS15" s="136" t="n">
        <v>3</v>
      </c>
      <c r="AT15" s="136" t="n">
        <v>3</v>
      </c>
      <c r="AU15" s="136" t="n">
        <v>3</v>
      </c>
      <c r="AV15" s="136" t="n">
        <v>3</v>
      </c>
      <c r="AW15" s="136" t="n">
        <v>2</v>
      </c>
      <c r="AX15" s="136" t="n">
        <v>2</v>
      </c>
      <c r="AY15" s="136" t="n">
        <v>2</v>
      </c>
      <c r="AZ15" s="136" t="n">
        <v>2</v>
      </c>
      <c r="BA15" s="136" t="n">
        <v>2</v>
      </c>
      <c r="BB15" s="136" t="n">
        <v>2</v>
      </c>
      <c r="BC15" s="136" t="n">
        <v>2</v>
      </c>
      <c r="BD15" s="136" t="n">
        <v>2</v>
      </c>
      <c r="BE15" s="136" t="n">
        <v>2</v>
      </c>
      <c r="BF15" s="136" t="n">
        <v>2</v>
      </c>
      <c r="BG15" s="136" t="n">
        <v>2</v>
      </c>
      <c r="BH15" s="136" t="n">
        <v>2</v>
      </c>
      <c r="BI15" s="136" t="n">
        <v>2</v>
      </c>
      <c r="BJ15" s="136" t="n">
        <v>2</v>
      </c>
      <c r="BK15" s="136" t="n">
        <v>2</v>
      </c>
      <c r="BL15" s="136" t="n">
        <v>2</v>
      </c>
      <c r="BM15" s="136" t="n">
        <v>2</v>
      </c>
      <c r="BN15" s="136" t="n">
        <v>2</v>
      </c>
      <c r="BO15" s="136" t="n">
        <v>2</v>
      </c>
      <c r="BP15" s="136" t="n">
        <v>2</v>
      </c>
      <c r="BQ15" s="136" t="n">
        <v>2</v>
      </c>
      <c r="BR15" s="136" t="n">
        <v>2</v>
      </c>
      <c r="BS15" s="136" t="n">
        <v>2</v>
      </c>
      <c r="BT15" s="136" t="n">
        <v>2</v>
      </c>
      <c r="BU15" s="136" t="n">
        <v>2</v>
      </c>
      <c r="BV15" s="136" t="n">
        <v>2</v>
      </c>
      <c r="BW15" s="136" t="n">
        <v>2</v>
      </c>
      <c r="BX15" s="136" t="n">
        <v>1</v>
      </c>
      <c r="BY15" s="136" t="n">
        <v>1</v>
      </c>
      <c r="BZ15" s="192">
        <f>BX15+IF(NOT(ISBLANK(OFFSET(BZ15,0,6))),N(OFFSET(BZ15,0,6)),N(OFFSET(BZ15,0,7)))-BY15</f>
        <v/>
      </c>
      <c r="CA15" s="4" t="n"/>
      <c r="CB15" s="22" t="n"/>
      <c r="CC15" s="4" t="n"/>
      <c r="CD15" s="27" t="n"/>
      <c r="CE15" s="4" t="n"/>
      <c r="CF15" s="23" t="n">
        <v>0</v>
      </c>
      <c r="CG15" s="23" t="n">
        <v>0</v>
      </c>
      <c r="CH15" s="23" t="n"/>
      <c r="CI15" s="219" t="n">
        <v>1</v>
      </c>
      <c r="CJ15" s="23" t="n"/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19" t="n">
        <v>4</v>
      </c>
      <c r="CV15" s="23" t="n"/>
      <c r="CW15" s="23" t="n"/>
      <c r="CX15" s="23" t="n"/>
      <c r="CY15" s="437" t="inlineStr">
        <is>
          <t>100 DE TDQ</t>
        </is>
      </c>
      <c r="CZ15" s="23" t="n"/>
      <c r="DA15" s="23" t="n"/>
      <c r="DB15" s="23" t="n"/>
      <c r="DC15" s="219" t="n"/>
      <c r="DD15" s="219" t="n"/>
      <c r="DE15" s="23" t="n"/>
      <c r="DF15" s="219" t="n"/>
      <c r="DG15" s="23" t="n"/>
      <c r="DH15" s="23" t="n"/>
      <c r="DI15" s="219" t="n">
        <v>1</v>
      </c>
      <c r="DJ15" s="23" t="n"/>
      <c r="DK15" s="23" t="n"/>
      <c r="DL15" s="23" t="n"/>
      <c r="DM15" s="219" t="n"/>
      <c r="DN15" s="219" t="n"/>
      <c r="DO15" s="219" t="n">
        <v>1</v>
      </c>
      <c r="DP15" s="219" t="n"/>
      <c r="DQ15" s="23" t="n"/>
      <c r="DR15" s="219" t="n"/>
      <c r="DS15" s="219" t="n"/>
      <c r="DT15" s="23" t="n">
        <v>1</v>
      </c>
      <c r="DU15" s="23" t="n"/>
      <c r="DV15" s="23" t="n"/>
      <c r="DW15" s="23" t="n"/>
      <c r="DX15" s="23" t="n">
        <v>1</v>
      </c>
      <c r="DY15" s="23" t="n"/>
      <c r="DZ15" s="23" t="n">
        <v>2</v>
      </c>
      <c r="EA15" s="23" t="n"/>
      <c r="EB15" s="23" t="n"/>
      <c r="EC15" s="219" t="n"/>
      <c r="ED15" s="23" t="n"/>
      <c r="EF15" s="65" t="inlineStr">
        <is>
          <t>ADESIVOS</t>
        </is>
      </c>
      <c r="EG15" s="699" t="n">
        <v>200</v>
      </c>
      <c r="EH15" s="697">
        <f>CI15</f>
        <v/>
      </c>
      <c r="EI15" s="697" t="n">
        <v>1</v>
      </c>
      <c r="EJ15" s="697" t="n">
        <v>1</v>
      </c>
      <c r="EK15" s="697" t="n">
        <v>1</v>
      </c>
      <c r="EL15" s="697" t="n">
        <v>0</v>
      </c>
      <c r="EM15" s="697" t="n"/>
      <c r="EN15" s="431">
        <f>EL15+IF(NOT(ISBLANK(OFFSET(EN15,0,6))),N(OFFSET(EN15,0,6)),N(OFFSET(EN15,0,7)))-EM15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2</v>
      </c>
      <c r="E16" s="2" t="n"/>
      <c r="F16" s="136" t="n">
        <v>2</v>
      </c>
      <c r="G16" s="136">
        <f>2+EB16</f>
        <v/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 t="n">
        <v>2</v>
      </c>
      <c r="Q16" s="136" t="n">
        <v>2</v>
      </c>
      <c r="R16" s="136" t="n">
        <v>2</v>
      </c>
      <c r="S16" s="136" t="n">
        <v>2</v>
      </c>
      <c r="T16" s="136" t="n">
        <v>5</v>
      </c>
      <c r="U16" s="136" t="n">
        <v>5</v>
      </c>
      <c r="V16" s="136" t="n">
        <v>5</v>
      </c>
      <c r="W16" s="136" t="n">
        <v>5</v>
      </c>
      <c r="X16" s="136" t="n">
        <v>5</v>
      </c>
      <c r="Y16" s="136" t="n">
        <v>5</v>
      </c>
      <c r="Z16" s="136" t="n">
        <v>4</v>
      </c>
      <c r="AA16" s="136" t="n">
        <v>3</v>
      </c>
      <c r="AB16" s="136" t="n">
        <v>3</v>
      </c>
      <c r="AC16" s="136" t="n">
        <v>3</v>
      </c>
      <c r="AD16" s="136" t="n">
        <v>1</v>
      </c>
      <c r="AE16" s="136" t="n">
        <v>3</v>
      </c>
      <c r="AF16" s="136" t="n">
        <v>3</v>
      </c>
      <c r="AG16" s="136" t="n">
        <v>2</v>
      </c>
      <c r="AH16" s="136" t="n">
        <v>2</v>
      </c>
      <c r="AI16" s="136" t="n">
        <v>2</v>
      </c>
      <c r="AJ16" s="136" t="n">
        <v>2</v>
      </c>
      <c r="AK16" s="136" t="n">
        <v>2</v>
      </c>
      <c r="AL16" s="136" t="n">
        <v>1</v>
      </c>
      <c r="AM16" s="136">
        <f>1+DA16</f>
        <v/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1</v>
      </c>
      <c r="AS16" s="136">
        <f>1+CW16</f>
        <v/>
      </c>
      <c r="AT16" s="136" t="n">
        <v>1</v>
      </c>
      <c r="AU16" s="136" t="n">
        <v>1</v>
      </c>
      <c r="AV16" s="136" t="n">
        <v>1</v>
      </c>
      <c r="AW16" s="136" t="n">
        <v>1</v>
      </c>
      <c r="AX16" s="136" t="n">
        <v>1</v>
      </c>
      <c r="AY16" s="136" t="n">
        <v>1</v>
      </c>
      <c r="AZ16" s="136">
        <f>1+CS16</f>
        <v/>
      </c>
      <c r="BA16" s="136" t="n">
        <v>2</v>
      </c>
      <c r="BB16" s="136" t="n">
        <v>2</v>
      </c>
      <c r="BC16" s="136" t="n">
        <v>1</v>
      </c>
      <c r="BD16" s="136" t="n">
        <v>1</v>
      </c>
      <c r="BE16" s="136" t="n">
        <v>2</v>
      </c>
      <c r="BF16" s="136" t="n">
        <v>1</v>
      </c>
      <c r="BG16" s="136" t="n">
        <v>0</v>
      </c>
      <c r="BH16" s="136" t="n">
        <v>3</v>
      </c>
      <c r="BI16" s="136" t="n">
        <v>2</v>
      </c>
      <c r="BJ16" s="136">
        <f>2+CN16</f>
        <v/>
      </c>
      <c r="BK16" s="136" t="n">
        <v>3</v>
      </c>
      <c r="BL16" s="136" t="n">
        <v>3</v>
      </c>
      <c r="BM16" s="136" t="n">
        <v>2</v>
      </c>
      <c r="BN16" s="136">
        <f>2+CK16</f>
        <v/>
      </c>
      <c r="BO16" s="136" t="n">
        <v>2</v>
      </c>
      <c r="BP16" s="136" t="n">
        <v>2</v>
      </c>
      <c r="BQ16" s="136" t="n">
        <v>1</v>
      </c>
      <c r="BR16" s="136" t="n">
        <v>1</v>
      </c>
      <c r="BS16" s="136" t="n">
        <v>1</v>
      </c>
      <c r="BT16" s="136" t="n">
        <v>1</v>
      </c>
      <c r="BU16" s="136" t="n">
        <v>1</v>
      </c>
      <c r="BV16" s="136" t="n">
        <v>0</v>
      </c>
      <c r="BW16" s="136" t="n">
        <v>0</v>
      </c>
      <c r="BX16" s="136">
        <f>0+CG16</f>
        <v/>
      </c>
      <c r="BY16" s="136" t="n">
        <v>0</v>
      </c>
      <c r="BZ16" s="192">
        <f>BX16+IF(NOT(ISBLANK(OFFSET(BZ16,0,6))),N(OFFSET(BZ16,0,6)),N(OFFSET(BZ16,0,7)))-BY16</f>
        <v/>
      </c>
      <c r="CA16" s="4" t="n"/>
      <c r="CB16" s="22" t="n"/>
      <c r="CC16" s="4" t="n"/>
      <c r="CD16" s="27" t="n">
        <v>2</v>
      </c>
      <c r="CE16" s="4" t="n"/>
      <c r="CF16" s="23" t="n">
        <v>0</v>
      </c>
      <c r="CG16" s="23" t="n">
        <v>2</v>
      </c>
      <c r="CH16" s="23" t="n"/>
      <c r="CI16" s="23" t="n"/>
      <c r="CJ16" s="23" t="n"/>
      <c r="CK16" s="23" t="n">
        <v>1</v>
      </c>
      <c r="CL16" s="23" t="n"/>
      <c r="CM16" s="23" t="n"/>
      <c r="CN16" s="23" t="n">
        <v>1</v>
      </c>
      <c r="CO16" s="23" t="n"/>
      <c r="CP16" s="23" t="n">
        <v>3</v>
      </c>
      <c r="CQ16" s="23" t="n"/>
      <c r="CR16" s="23" t="n">
        <v>2</v>
      </c>
      <c r="CS16" s="23" t="n">
        <v>2</v>
      </c>
      <c r="CT16" s="23" t="n">
        <v>1</v>
      </c>
      <c r="CU16" s="219" t="n"/>
      <c r="CV16" s="23" t="n"/>
      <c r="CW16" s="23" t="n">
        <v>1</v>
      </c>
      <c r="CX16" s="23" t="n"/>
      <c r="CY16" s="219" t="n"/>
      <c r="CZ16" s="23" t="n"/>
      <c r="DA16" s="23" t="n">
        <v>2</v>
      </c>
      <c r="DB16" s="23" t="n"/>
      <c r="DC16" s="219" t="n"/>
      <c r="DD16" s="219" t="n"/>
      <c r="DE16" s="23" t="n"/>
      <c r="DF16" s="219" t="n"/>
      <c r="DG16" s="23" t="n"/>
      <c r="DH16" s="23" t="n"/>
      <c r="DI16" s="219" t="n"/>
      <c r="DJ16" s="23" t="n"/>
      <c r="DK16" s="23" t="n">
        <v>2</v>
      </c>
      <c r="DL16" s="23" t="n"/>
      <c r="DM16" s="219" t="n"/>
      <c r="DN16" s="219" t="n"/>
      <c r="DO16" s="219" t="n"/>
      <c r="DP16" s="219" t="n"/>
      <c r="DQ16" s="23" t="n">
        <v>4</v>
      </c>
      <c r="DR16" s="219" t="n"/>
      <c r="DS16" s="219" t="n">
        <v>300</v>
      </c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>
        <v>3</v>
      </c>
      <c r="EC16" s="219" t="n"/>
      <c r="ED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216" t="n">
        <v>2</v>
      </c>
      <c r="G17" s="216">
        <f>2+EB17</f>
        <v/>
      </c>
      <c r="H17" s="216" t="n">
        <v>3</v>
      </c>
      <c r="I17" s="216" t="n">
        <v>3</v>
      </c>
      <c r="J17" s="216" t="n">
        <v>3</v>
      </c>
      <c r="K17" s="216" t="n">
        <v>3</v>
      </c>
      <c r="L17" s="216" t="n">
        <v>3</v>
      </c>
      <c r="M17" s="216" t="n">
        <v>3</v>
      </c>
      <c r="N17" s="216" t="n">
        <v>3</v>
      </c>
      <c r="O17" s="216" t="n">
        <v>3</v>
      </c>
      <c r="P17" s="216" t="n">
        <v>3</v>
      </c>
      <c r="Q17" s="216" t="n">
        <v>2</v>
      </c>
      <c r="R17" s="216">
        <f>1+DT17</f>
        <v/>
      </c>
      <c r="S17" s="216" t="n">
        <v>2</v>
      </c>
      <c r="T17" s="216" t="n">
        <v>2</v>
      </c>
      <c r="U17" s="216" t="n">
        <v>2</v>
      </c>
      <c r="V17" s="216" t="n">
        <v>2</v>
      </c>
      <c r="W17" s="216" t="n">
        <v>2</v>
      </c>
      <c r="X17" s="216" t="n">
        <v>2</v>
      </c>
      <c r="Y17" s="216" t="n">
        <v>2</v>
      </c>
      <c r="Z17" s="216" t="n">
        <v>2</v>
      </c>
      <c r="AA17" s="216" t="n">
        <v>1</v>
      </c>
      <c r="AB17" s="216" t="n">
        <v>1</v>
      </c>
      <c r="AC17" s="216" t="n">
        <v>3</v>
      </c>
      <c r="AD17" s="216" t="n">
        <v>3</v>
      </c>
      <c r="AE17" s="216" t="n">
        <v>3</v>
      </c>
      <c r="AF17" s="216" t="n">
        <v>2</v>
      </c>
      <c r="AG17" s="216" t="n">
        <v>2</v>
      </c>
      <c r="AH17" s="216" t="n">
        <v>2</v>
      </c>
      <c r="AI17" s="216" t="n">
        <v>2</v>
      </c>
      <c r="AJ17" s="216" t="n">
        <v>2</v>
      </c>
      <c r="AK17" s="216" t="n">
        <v>2</v>
      </c>
      <c r="AL17" s="216" t="n">
        <v>2</v>
      </c>
      <c r="AM17" s="216" t="n">
        <v>2</v>
      </c>
      <c r="AN17" s="216" t="n">
        <v>2</v>
      </c>
      <c r="AO17" s="216" t="n">
        <v>1</v>
      </c>
      <c r="AP17" s="216" t="n">
        <v>1</v>
      </c>
      <c r="AQ17" s="216" t="n">
        <v>1</v>
      </c>
      <c r="AR17" s="216" t="n">
        <v>1</v>
      </c>
      <c r="AS17" s="216">
        <f>1+CW17</f>
        <v/>
      </c>
      <c r="AT17" s="216" t="n">
        <v>1</v>
      </c>
      <c r="AU17" s="216" t="n">
        <v>1</v>
      </c>
      <c r="AV17" s="216" t="n">
        <v>1</v>
      </c>
      <c r="AW17" s="216" t="n">
        <v>0</v>
      </c>
      <c r="AX17" s="216" t="n">
        <v>0</v>
      </c>
      <c r="AY17" s="216" t="n">
        <v>0</v>
      </c>
      <c r="AZ17" s="216">
        <f>0+CS17</f>
        <v/>
      </c>
      <c r="BA17" s="216" t="n">
        <v>2</v>
      </c>
      <c r="BB17" s="216" t="n">
        <v>2</v>
      </c>
      <c r="BC17" s="216" t="n">
        <v>2</v>
      </c>
      <c r="BD17" s="216" t="n">
        <v>2</v>
      </c>
      <c r="BE17" s="216" t="n">
        <v>2</v>
      </c>
      <c r="BF17" s="216" t="n">
        <v>2</v>
      </c>
      <c r="BG17" s="216" t="n">
        <v>2</v>
      </c>
      <c r="BH17" s="216" t="n">
        <v>2</v>
      </c>
      <c r="BI17" s="216" t="n">
        <v>2</v>
      </c>
      <c r="BJ17" s="216" t="n">
        <v>2</v>
      </c>
      <c r="BK17" s="216" t="n">
        <v>2</v>
      </c>
      <c r="BL17" s="216" t="n">
        <v>2</v>
      </c>
      <c r="BM17" s="216" t="n">
        <v>1</v>
      </c>
      <c r="BN17" s="216">
        <f>1+CK17</f>
        <v/>
      </c>
      <c r="BO17" s="216" t="n">
        <v>2</v>
      </c>
      <c r="BP17" s="216" t="n">
        <v>2</v>
      </c>
      <c r="BQ17" s="216" t="n">
        <v>1</v>
      </c>
      <c r="BR17" s="216" t="n">
        <v>1</v>
      </c>
      <c r="BS17" s="216" t="n">
        <v>1</v>
      </c>
      <c r="BT17" s="216" t="n">
        <v>1</v>
      </c>
      <c r="BU17" s="216" t="n">
        <v>1</v>
      </c>
      <c r="BV17" s="216" t="n">
        <v>1</v>
      </c>
      <c r="BW17" s="216" t="n">
        <v>1</v>
      </c>
      <c r="BX17" s="216" t="n">
        <v>1</v>
      </c>
      <c r="BY17" s="216" t="n">
        <v>0</v>
      </c>
      <c r="BZ17" s="198">
        <f>BX17+IF(NOT(ISBLANK(OFFSET(BZ17,0,6))),N(OFFSET(BZ17,0,6)),N(OFFSET(BZ17,0,7)))-BY17</f>
        <v/>
      </c>
      <c r="CA17" s="4" t="n"/>
      <c r="CB17" s="22" t="n"/>
      <c r="CC17" s="4" t="n"/>
      <c r="CD17" s="27" t="n">
        <v>1</v>
      </c>
      <c r="CE17" s="4" t="n"/>
      <c r="CF17" s="23" t="n">
        <v>0</v>
      </c>
      <c r="CG17" s="23" t="n">
        <v>0</v>
      </c>
      <c r="CH17" s="23" t="n"/>
      <c r="CI17" s="23" t="n"/>
      <c r="CJ17" s="23" t="n"/>
      <c r="CK17" s="23" t="n">
        <v>1</v>
      </c>
      <c r="CL17" s="23" t="n"/>
      <c r="CM17" s="23" t="n"/>
      <c r="CN17" s="23" t="n"/>
      <c r="CO17" s="23" t="n"/>
      <c r="CP17" s="23" t="n"/>
      <c r="CQ17" s="23" t="n"/>
      <c r="CR17" s="23" t="n"/>
      <c r="CS17" s="23" t="n">
        <v>2</v>
      </c>
      <c r="CT17" s="23" t="n">
        <v>1</v>
      </c>
      <c r="CU17" s="219" t="n"/>
      <c r="CV17" s="23" t="n"/>
      <c r="CW17" s="23" t="n">
        <v>1</v>
      </c>
      <c r="CX17" s="23" t="n"/>
      <c r="CY17" s="219" t="n"/>
      <c r="CZ17" s="23" t="n"/>
      <c r="DA17" s="23" t="n"/>
      <c r="DB17" s="23" t="n"/>
      <c r="DC17" s="219" t="n"/>
      <c r="DD17" s="219" t="n"/>
      <c r="DE17" s="23" t="n"/>
      <c r="DF17" s="219" t="n"/>
      <c r="DG17" s="23" t="n"/>
      <c r="DH17" s="23" t="n"/>
      <c r="DI17" s="219" t="n"/>
      <c r="DJ17" s="23" t="n"/>
      <c r="DK17" s="23" t="n"/>
      <c r="DL17" s="23" t="n"/>
      <c r="DM17" s="219" t="n"/>
      <c r="DN17" s="219" t="n"/>
      <c r="DO17" s="219" t="n"/>
      <c r="DP17" s="219" t="n"/>
      <c r="DQ17" s="23" t="n"/>
      <c r="DR17" s="219" t="n"/>
      <c r="DS17" s="219" t="n"/>
      <c r="DT17" s="23" t="n">
        <v>2</v>
      </c>
      <c r="DU17" s="23" t="n"/>
      <c r="DV17" s="23" t="n"/>
      <c r="DW17" s="23" t="n"/>
      <c r="DX17" s="23" t="n"/>
      <c r="DY17" s="23" t="n"/>
      <c r="DZ17" s="23" t="n"/>
      <c r="EA17" s="23" t="n"/>
      <c r="EB17" s="23" t="n">
        <v>1</v>
      </c>
      <c r="EC17" s="219" t="n"/>
      <c r="ED17" s="23" t="n"/>
    </row>
    <row r="18" ht="14.25" customFormat="1" customHeight="1" s="3">
      <c r="A18" s="35" t="n"/>
      <c r="C18" s="763" t="n"/>
      <c r="D18" s="450" t="n"/>
      <c r="F18" s="139" t="n"/>
      <c r="G18" s="139" t="n"/>
      <c r="H18" s="139" t="n"/>
      <c r="I18" s="139" t="n"/>
      <c r="J18" s="139" t="n"/>
      <c r="K18" s="139" t="n"/>
      <c r="L18" s="139" t="n"/>
      <c r="M18" s="139" t="n"/>
      <c r="N18" s="139" t="n"/>
      <c r="O18" s="139" t="n"/>
      <c r="P18" s="139" t="n"/>
      <c r="Q18" s="139" t="n"/>
      <c r="R18" s="139" t="n"/>
      <c r="S18" s="139" t="n"/>
      <c r="T18" s="139" t="n"/>
      <c r="U18" s="139" t="n"/>
      <c r="V18" s="139" t="n"/>
      <c r="W18" s="139" t="n"/>
      <c r="X18" s="139" t="n"/>
      <c r="Y18" s="139" t="n"/>
      <c r="Z18" s="139" t="n"/>
      <c r="AA18" s="139" t="n"/>
      <c r="AB18" s="139" t="n"/>
      <c r="AC18" s="139" t="n"/>
      <c r="AD18" s="139" t="n"/>
      <c r="AE18" s="139" t="n"/>
      <c r="AF18" s="139" t="n"/>
      <c r="AG18" s="139" t="n"/>
      <c r="AH18" s="139" t="n"/>
      <c r="AI18" s="139" t="n"/>
      <c r="AJ18" s="139" t="n"/>
      <c r="AK18" s="139" t="n"/>
      <c r="AL18" s="139" t="n"/>
      <c r="AM18" s="139" t="n"/>
      <c r="AN18" s="139" t="n"/>
      <c r="AO18" s="139" t="n"/>
      <c r="AP18" s="139" t="n"/>
      <c r="AQ18" s="139" t="n"/>
      <c r="AR18" s="139" t="n"/>
      <c r="AS18" s="139" t="n"/>
      <c r="AT18" s="139" t="n"/>
      <c r="AU18" s="139" t="n"/>
      <c r="AV18" s="139" t="n"/>
      <c r="AW18" s="139" t="n"/>
      <c r="AX18" s="139" t="n"/>
      <c r="AY18" s="139" t="n"/>
      <c r="AZ18" s="139" t="n"/>
      <c r="BA18" s="139" t="n"/>
      <c r="BB18" s="139" t="n"/>
      <c r="BC18" s="139" t="n"/>
      <c r="BD18" s="139" t="n"/>
      <c r="BE18" s="139" t="n"/>
      <c r="BF18" s="139" t="n"/>
      <c r="BG18" s="139" t="n"/>
      <c r="BH18" s="139" t="n"/>
      <c r="BI18" s="139" t="n"/>
      <c r="BJ18" s="139" t="n"/>
      <c r="BK18" s="139" t="n"/>
      <c r="BL18" s="139" t="n"/>
      <c r="BM18" s="139" t="n"/>
      <c r="BN18" s="139" t="n"/>
      <c r="BO18" s="139" t="n"/>
      <c r="BP18" s="139" t="n"/>
      <c r="BQ18" s="139" t="n"/>
      <c r="BR18" s="139" t="n"/>
      <c r="BS18" s="139" t="n"/>
      <c r="BT18" s="139" t="n"/>
      <c r="BU18" s="139" t="n"/>
      <c r="BV18" s="139" t="n"/>
      <c r="BW18" s="139" t="n"/>
      <c r="BX18" s="139" t="n"/>
      <c r="BY18" s="139" t="n"/>
      <c r="BZ18" s="140" t="n"/>
      <c r="CB18" s="26" t="n"/>
      <c r="CD18" s="28" t="n"/>
      <c r="CI18" s="250" t="n"/>
      <c r="CY18" s="372" t="n"/>
      <c r="DC18" s="250" t="n"/>
      <c r="DD18" s="250" t="n"/>
      <c r="DF18" s="250" t="n"/>
      <c r="DI18" s="250" t="n"/>
      <c r="DM18" s="19" t="n"/>
      <c r="DN18" s="372" t="n"/>
      <c r="DO18" s="372" t="n"/>
      <c r="DP18" s="19" t="n"/>
      <c r="DR18" s="19" t="n"/>
      <c r="DS18" s="19" t="n"/>
      <c r="EC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A19" s="4" t="n"/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34" t="n"/>
      <c r="CG19" s="734" t="n">
        <v>46142</v>
      </c>
      <c r="CH19" s="734" t="n">
        <v>46114</v>
      </c>
      <c r="CI19" s="735" t="n">
        <v>46065</v>
      </c>
      <c r="CJ19" s="734" t="n">
        <v>46092</v>
      </c>
      <c r="CK19" s="734" t="n">
        <v>46071</v>
      </c>
      <c r="CL19" s="736" t="n">
        <v>46067</v>
      </c>
      <c r="CM19" s="734" t="n">
        <v>46056</v>
      </c>
      <c r="CN19" s="734" t="n">
        <v>46043</v>
      </c>
      <c r="CO19" s="734" t="n">
        <v>46029</v>
      </c>
      <c r="CP19" s="734" t="n">
        <v>46024</v>
      </c>
      <c r="CQ19" s="734" t="n">
        <v>46007</v>
      </c>
      <c r="CR19" s="734" t="n">
        <v>46001</v>
      </c>
      <c r="CS19" s="734" t="n">
        <v>45973</v>
      </c>
      <c r="CT19" s="734" t="n">
        <v>45960</v>
      </c>
      <c r="CU19" s="737" t="n">
        <v>45903</v>
      </c>
      <c r="CV19" s="734" t="n">
        <v>45923</v>
      </c>
      <c r="CW19" s="734" t="n">
        <v>45923</v>
      </c>
      <c r="CX19" s="734" t="n">
        <v>45895</v>
      </c>
      <c r="CY19" s="754" t="n">
        <v>45923</v>
      </c>
      <c r="CZ19" s="734" t="n">
        <v>45888</v>
      </c>
      <c r="DA19" s="734" t="n">
        <v>45881</v>
      </c>
      <c r="DB19" s="734" t="n">
        <v>45874</v>
      </c>
      <c r="DC19" s="739" t="n">
        <v>45861</v>
      </c>
      <c r="DD19" s="739" t="n">
        <v>45861</v>
      </c>
      <c r="DE19" s="734" t="n">
        <v>45848</v>
      </c>
      <c r="DF19" s="739" t="n">
        <v>45852</v>
      </c>
      <c r="DG19" s="734" t="n">
        <v>45839</v>
      </c>
      <c r="DH19" s="736" t="n">
        <v>45842</v>
      </c>
      <c r="DI19" s="739" t="n">
        <v>45791</v>
      </c>
      <c r="DJ19" s="734" t="n">
        <v>45832</v>
      </c>
      <c r="DK19" s="734" t="n">
        <v>45825</v>
      </c>
      <c r="DL19" s="734" t="n">
        <v>45813</v>
      </c>
      <c r="DM19" s="740" t="n">
        <v>45806</v>
      </c>
      <c r="DN19" s="755" t="n">
        <v>45805</v>
      </c>
      <c r="DO19" s="742" t="n">
        <v>45735</v>
      </c>
      <c r="DP19" s="740" t="n">
        <v>45754</v>
      </c>
      <c r="DQ19" s="734" t="n">
        <v>45743</v>
      </c>
      <c r="DR19" s="740" t="n">
        <v>45750</v>
      </c>
      <c r="DS19" s="740" t="n">
        <v>45700</v>
      </c>
      <c r="DT19" s="734" t="n">
        <v>45734</v>
      </c>
      <c r="DU19" s="734" t="n">
        <v>45728</v>
      </c>
      <c r="DV19" s="736" t="n">
        <v>45728</v>
      </c>
      <c r="DW19" s="734" t="n">
        <v>45722</v>
      </c>
      <c r="DX19" s="734" t="n">
        <v>45699</v>
      </c>
      <c r="DY19" s="736" t="n">
        <v>45693</v>
      </c>
      <c r="DZ19" s="734" t="n">
        <v>45685</v>
      </c>
      <c r="EA19" s="736" t="n">
        <v>45670</v>
      </c>
      <c r="EB19" s="734" t="n">
        <v>45660</v>
      </c>
      <c r="EC19" s="744" t="n">
        <v>45663</v>
      </c>
      <c r="ED19" s="734" t="n">
        <v>45643</v>
      </c>
      <c r="EF19" s="304" t="inlineStr">
        <is>
          <t>CAIXAS</t>
        </is>
      </c>
      <c r="EG19" s="235" t="inlineStr">
        <is>
          <t>PCT</t>
        </is>
      </c>
      <c r="EH19" s="746" t="n">
        <v>46118</v>
      </c>
      <c r="EI19" s="746" t="n">
        <v>46125</v>
      </c>
      <c r="EJ19" s="746" t="n">
        <v>46132</v>
      </c>
      <c r="EK19" s="746" t="n">
        <v>46139</v>
      </c>
      <c r="EL19" s="746" t="n">
        <v>46146</v>
      </c>
      <c r="EM19" s="746" t="n">
        <v>46154</v>
      </c>
      <c r="EN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60</v>
      </c>
      <c r="E20" s="2" t="n"/>
      <c r="F20" s="697" t="n">
        <v>144</v>
      </c>
      <c r="G20" s="697" t="n">
        <v>144</v>
      </c>
      <c r="H20" s="697" t="n">
        <v>143</v>
      </c>
      <c r="I20" s="697" t="n">
        <v>143</v>
      </c>
      <c r="J20" s="697" t="n">
        <v>140</v>
      </c>
      <c r="K20" s="697" t="n">
        <v>135</v>
      </c>
      <c r="L20" s="697" t="n">
        <v>128</v>
      </c>
      <c r="M20" s="697" t="n">
        <v>121</v>
      </c>
      <c r="N20" s="697" t="n">
        <v>116</v>
      </c>
      <c r="O20" s="697" t="n">
        <v>111</v>
      </c>
      <c r="P20" s="697" t="n">
        <v>111</v>
      </c>
      <c r="Q20" s="697" t="n">
        <v>111</v>
      </c>
      <c r="R20" s="697" t="n">
        <v>106</v>
      </c>
      <c r="S20" s="697" t="n">
        <v>99</v>
      </c>
      <c r="T20" s="697" t="n">
        <v>97</v>
      </c>
      <c r="U20" s="697" t="n">
        <v>89</v>
      </c>
      <c r="V20" s="697" t="n">
        <v>89</v>
      </c>
      <c r="W20" s="697" t="n">
        <v>89</v>
      </c>
      <c r="X20" s="697" t="n">
        <v>88</v>
      </c>
      <c r="Y20" s="697" t="n">
        <v>89</v>
      </c>
      <c r="Z20" s="697" t="n">
        <v>88</v>
      </c>
      <c r="AA20" s="697" t="n">
        <v>88</v>
      </c>
      <c r="AB20" s="697" t="n">
        <v>85</v>
      </c>
      <c r="AC20" s="697" t="n">
        <v>77</v>
      </c>
      <c r="AD20" s="697" t="n">
        <v>36</v>
      </c>
      <c r="AE20" s="697" t="n">
        <v>174</v>
      </c>
      <c r="AF20" s="697" t="n">
        <v>169</v>
      </c>
      <c r="AG20" s="697" t="n">
        <v>148</v>
      </c>
      <c r="AH20" s="697" t="n">
        <v>158</v>
      </c>
      <c r="AI20" s="697" t="n">
        <v>140</v>
      </c>
      <c r="AJ20" s="697" t="n">
        <v>131</v>
      </c>
      <c r="AK20" s="697" t="n">
        <v>128</v>
      </c>
      <c r="AL20" s="697" t="n">
        <v>128</v>
      </c>
      <c r="AM20" s="697" t="n">
        <v>113</v>
      </c>
      <c r="AN20" s="697" t="n">
        <v>105</v>
      </c>
      <c r="AO20" s="697" t="n">
        <v>99</v>
      </c>
      <c r="AP20" s="697" t="n">
        <v>85</v>
      </c>
      <c r="AQ20" s="697" t="n">
        <v>70</v>
      </c>
      <c r="AR20" s="697" t="n">
        <v>59</v>
      </c>
      <c r="AS20" s="697" t="n">
        <v>195</v>
      </c>
      <c r="AT20" s="697" t="n">
        <v>185</v>
      </c>
      <c r="AU20" s="697" t="n">
        <v>160</v>
      </c>
      <c r="AV20" s="697" t="n">
        <v>147</v>
      </c>
      <c r="AW20" s="697" t="n">
        <v>137</v>
      </c>
      <c r="AX20" s="697" t="n">
        <v>130</v>
      </c>
      <c r="AY20" s="697" t="n">
        <v>128</v>
      </c>
      <c r="AZ20" s="697" t="n">
        <v>115</v>
      </c>
      <c r="BA20" s="697" t="n">
        <v>110</v>
      </c>
      <c r="BB20" s="697" t="n">
        <v>106</v>
      </c>
      <c r="BC20" s="697" t="n">
        <v>114</v>
      </c>
      <c r="BD20" s="697" t="n">
        <v>107</v>
      </c>
      <c r="BE20" s="697" t="n">
        <v>107</v>
      </c>
      <c r="BF20" s="697" t="n">
        <v>103</v>
      </c>
      <c r="BG20" s="697" t="n">
        <v>115</v>
      </c>
      <c r="BH20" s="697" t="n">
        <v>109</v>
      </c>
      <c r="BI20" s="697" t="n">
        <v>93</v>
      </c>
      <c r="BJ20" s="697" t="n">
        <v>87</v>
      </c>
      <c r="BK20" s="697" t="n">
        <v>78</v>
      </c>
      <c r="BL20" s="697" t="n">
        <v>110</v>
      </c>
      <c r="BM20" s="697" t="n">
        <v>97</v>
      </c>
      <c r="BN20" s="697" t="n">
        <v>90</v>
      </c>
      <c r="BO20" s="697" t="n">
        <v>69</v>
      </c>
      <c r="BP20" s="697" t="n">
        <v>39</v>
      </c>
      <c r="BQ20" s="314" t="n">
        <v>76</v>
      </c>
      <c r="BR20" s="697" t="n">
        <v>45</v>
      </c>
      <c r="BS20" s="697" t="n">
        <v>21</v>
      </c>
      <c r="BT20" s="697" t="n"/>
      <c r="BU20" s="697" t="n"/>
      <c r="BV20" s="697" t="n"/>
      <c r="BW20" s="697" t="n">
        <v>160</v>
      </c>
      <c r="BX20" s="697" t="n">
        <v>155</v>
      </c>
      <c r="BY20" s="697" t="n">
        <v>166</v>
      </c>
      <c r="BZ20" s="192">
        <f>BX20+IF(NOT(ISBLANK(OFFSET(BZ20,0,6))),N(OFFSET(BZ20,0,6)),N(OFFSET(BZ20,0,7)))-BY20</f>
        <v/>
      </c>
      <c r="CA20" s="4" t="n"/>
      <c r="CB20" s="22" t="n"/>
      <c r="CC20" s="4" t="n"/>
      <c r="CD20" s="27" t="n"/>
      <c r="CE20" s="4" t="n"/>
      <c r="CF20" s="23" t="n">
        <v>0</v>
      </c>
      <c r="CG20" s="23" t="n">
        <v>0</v>
      </c>
      <c r="CH20" s="23" t="n">
        <v>150</v>
      </c>
      <c r="CI20" s="219" t="n"/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19" t="n"/>
      <c r="CV20" s="23" t="n"/>
      <c r="CW20" s="23" t="n">
        <v>150</v>
      </c>
      <c r="CX20" s="23" t="n"/>
      <c r="CY20" s="219" t="n"/>
      <c r="CZ20" s="23" t="n"/>
      <c r="DA20" s="23" t="n"/>
      <c r="DB20" s="23" t="n"/>
      <c r="DC20" s="219" t="n"/>
      <c r="DD20" s="219" t="n"/>
      <c r="DE20" s="23" t="n"/>
      <c r="DF20" s="219" t="n"/>
      <c r="DG20" s="23" t="n"/>
      <c r="DH20" s="23" t="n"/>
      <c r="DI20" s="219" t="n"/>
      <c r="DJ20" s="23" t="n"/>
      <c r="DK20" s="23" t="n">
        <v>150</v>
      </c>
      <c r="DL20" s="23" t="n"/>
      <c r="DM20" s="292" t="inlineStr">
        <is>
          <t>45 P/ SHN</t>
        </is>
      </c>
      <c r="DN20" s="219" t="n"/>
      <c r="DO20" s="219" t="n"/>
      <c r="DP20" s="292" t="inlineStr">
        <is>
          <t>100 DE TDQ</t>
        </is>
      </c>
      <c r="DQ20" s="23" t="n"/>
      <c r="DR20" s="219" t="n"/>
      <c r="DS20" s="219" t="n"/>
      <c r="DT20" s="23" t="n"/>
      <c r="DU20" s="23" t="n"/>
      <c r="DV20" s="23" t="n"/>
      <c r="DW20" s="23" t="n"/>
      <c r="DX20" s="23" t="n"/>
      <c r="DY20" s="23" t="n"/>
      <c r="DZ20" s="23" t="n"/>
      <c r="EA20" s="23" t="n"/>
      <c r="EB20" s="23" t="n"/>
      <c r="EC20" s="219" t="n"/>
      <c r="ED20" s="23" t="n"/>
      <c r="EF20" s="300" t="inlineStr">
        <is>
          <t>CAIXA P</t>
        </is>
      </c>
      <c r="EG20" s="162" t="n">
        <v>150</v>
      </c>
      <c r="EH20" s="697" t="n">
        <v>0</v>
      </c>
      <c r="EI20" s="697" t="n"/>
      <c r="EJ20" s="697" t="n"/>
      <c r="EK20" s="697" t="n">
        <v>43</v>
      </c>
      <c r="EL20" s="697" t="n">
        <v>38</v>
      </c>
      <c r="EM20" s="697" t="n"/>
      <c r="EN20" s="431">
        <f>EL20+IF(NOT(ISBLANK(OFFSET(EN20,0,6))),N(OFFSET(EN20,0,6)),N(OFFSET(EN20,0,7)))-EM20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60</v>
      </c>
      <c r="E21" s="2" t="n"/>
      <c r="F21" s="697" t="n">
        <v>154</v>
      </c>
      <c r="G21" s="697" t="n">
        <v>155</v>
      </c>
      <c r="H21" s="697" t="n">
        <v>155</v>
      </c>
      <c r="I21" s="697" t="n">
        <v>153</v>
      </c>
      <c r="J21" s="697" t="n">
        <v>145</v>
      </c>
      <c r="K21" s="697">
        <f>129-70</f>
        <v/>
      </c>
      <c r="L21" s="697" t="n">
        <v>38</v>
      </c>
      <c r="M21" s="697" t="n">
        <v>128</v>
      </c>
      <c r="N21" s="697" t="n">
        <v>115</v>
      </c>
      <c r="O21" s="697" t="n">
        <v>96</v>
      </c>
      <c r="P21" s="697">
        <f>67+DW21+87</f>
        <v/>
      </c>
      <c r="Q21" s="697">
        <f>241+87</f>
        <v/>
      </c>
      <c r="R21" s="697" t="n">
        <v>322</v>
      </c>
      <c r="S21" s="697">
        <f>311-82</f>
        <v/>
      </c>
      <c r="T21" s="697" t="n">
        <v>215</v>
      </c>
      <c r="U21" s="697" t="n">
        <v>207</v>
      </c>
      <c r="V21" s="697" t="n">
        <v>205</v>
      </c>
      <c r="W21" s="697" t="n">
        <v>204</v>
      </c>
      <c r="X21" s="697" t="n">
        <v>204</v>
      </c>
      <c r="Y21" s="697" t="n">
        <v>184</v>
      </c>
      <c r="Z21" s="697" t="n">
        <v>175</v>
      </c>
      <c r="AA21" s="697" t="n">
        <v>173</v>
      </c>
      <c r="AB21" s="697" t="n">
        <v>167</v>
      </c>
      <c r="AC21" s="697" t="n">
        <v>160</v>
      </c>
      <c r="AD21" s="697" t="n">
        <v>139</v>
      </c>
      <c r="AE21" s="697" t="n">
        <v>111</v>
      </c>
      <c r="AF21" s="697" t="n">
        <v>92</v>
      </c>
      <c r="AG21" s="697" t="n">
        <v>80</v>
      </c>
      <c r="AH21" s="697" t="n">
        <v>85</v>
      </c>
      <c r="AI21" s="697" t="n">
        <v>64</v>
      </c>
      <c r="AJ21" s="697" t="n">
        <v>53</v>
      </c>
      <c r="AK21" s="697" t="n">
        <v>38</v>
      </c>
      <c r="AL21" s="697" t="n">
        <v>83</v>
      </c>
      <c r="AM21" s="697" t="n">
        <v>53</v>
      </c>
      <c r="AN21" s="697" t="n">
        <v>127</v>
      </c>
      <c r="AO21" s="697" t="n">
        <v>109</v>
      </c>
      <c r="AP21" s="697" t="n">
        <v>117</v>
      </c>
      <c r="AQ21" s="697" t="n">
        <v>96</v>
      </c>
      <c r="AR21" s="697" t="n">
        <v>71</v>
      </c>
      <c r="AS21" s="697" t="n">
        <v>148</v>
      </c>
      <c r="AT21" s="697" t="n">
        <v>119</v>
      </c>
      <c r="AU21" s="697" t="n">
        <v>103</v>
      </c>
      <c r="AV21" s="697" t="n">
        <v>87</v>
      </c>
      <c r="AW21" s="697" t="n">
        <v>69</v>
      </c>
      <c r="AX21" s="697" t="n">
        <v>49</v>
      </c>
      <c r="AY21" s="314" t="n">
        <v>78</v>
      </c>
      <c r="AZ21" s="697" t="n">
        <v>69</v>
      </c>
      <c r="BA21" s="697" t="n">
        <v>11</v>
      </c>
      <c r="BB21" s="697" t="n">
        <v>8</v>
      </c>
      <c r="BC21" s="314" t="n">
        <v>64</v>
      </c>
      <c r="BD21" s="697" t="n">
        <v>63</v>
      </c>
      <c r="BE21" s="697" t="n">
        <v>62</v>
      </c>
      <c r="BF21" s="697" t="n">
        <v>62</v>
      </c>
      <c r="BG21" s="697" t="n">
        <v>64</v>
      </c>
      <c r="BH21" s="697" t="n">
        <v>63</v>
      </c>
      <c r="BI21" s="697" t="n">
        <v>62</v>
      </c>
      <c r="BJ21" s="697" t="n">
        <v>52</v>
      </c>
      <c r="BK21" s="697" t="n">
        <v>46</v>
      </c>
      <c r="BL21" s="697" t="n">
        <v>33</v>
      </c>
      <c r="BM21" s="697" t="n">
        <v>32</v>
      </c>
      <c r="BN21" s="697">
        <f>29+CK21</f>
        <v/>
      </c>
      <c r="BO21" s="697" t="n">
        <v>121</v>
      </c>
      <c r="BP21" s="697" t="n">
        <v>105</v>
      </c>
      <c r="BQ21" s="697" t="n">
        <v>103</v>
      </c>
      <c r="BR21" s="697" t="n">
        <v>73</v>
      </c>
      <c r="BS21" s="697" t="n">
        <v>72</v>
      </c>
      <c r="BT21" s="697" t="n"/>
      <c r="BU21" s="697" t="n"/>
      <c r="BV21" s="697" t="n"/>
      <c r="BW21" s="697" t="n">
        <v>70</v>
      </c>
      <c r="BX21" s="697" t="n">
        <v>70</v>
      </c>
      <c r="BY21" s="697" t="n">
        <v>68</v>
      </c>
      <c r="BZ21" s="192">
        <f>BX21+IF(NOT(ISBLANK(OFFSET(BZ21,0,6))),N(OFFSET(BZ21,0,6)),N(OFFSET(BZ21,0,7)))-BY21</f>
        <v/>
      </c>
      <c r="CA21" s="4" t="n"/>
      <c r="CB21" s="22" t="n"/>
      <c r="CC21" s="4" t="n"/>
      <c r="CD21" s="27" t="n"/>
      <c r="CE21" s="4" t="n"/>
      <c r="CF21" s="23" t="n">
        <v>0</v>
      </c>
      <c r="CG21" s="23" t="n">
        <v>0</v>
      </c>
      <c r="CH21" s="23" t="n"/>
      <c r="CI21" s="219" t="n"/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/>
      <c r="CR21" s="23" t="n"/>
      <c r="CS21" s="23" t="n"/>
      <c r="CT21" s="23" t="n"/>
      <c r="CU21" s="219" t="n">
        <v>100</v>
      </c>
      <c r="CV21" s="23" t="n"/>
      <c r="CW21" s="23" t="n">
        <v>100</v>
      </c>
      <c r="CX21" s="23" t="n"/>
      <c r="CY21" s="437" t="inlineStr">
        <is>
          <t>05 DE SHN</t>
        </is>
      </c>
      <c r="CZ21" s="23" t="n">
        <v>100</v>
      </c>
      <c r="DA21" s="23" t="n"/>
      <c r="DB21" s="23" t="n">
        <v>100</v>
      </c>
      <c r="DC21" s="219" t="n"/>
      <c r="DD21" s="292" t="inlineStr">
        <is>
          <t>20 DE TTR</t>
        </is>
      </c>
      <c r="DE21" s="23" t="n"/>
      <c r="DF21" s="219" t="n"/>
      <c r="DG21" s="23" t="n"/>
      <c r="DH21" s="23" t="n"/>
      <c r="DI21" s="219" t="n"/>
      <c r="DJ21" s="23" t="n"/>
      <c r="DK21" s="23" t="n"/>
      <c r="DL21" s="23" t="n"/>
      <c r="DM21" s="219" t="n"/>
      <c r="DN21" s="376" t="inlineStr">
        <is>
          <t>25 DE TTR</t>
        </is>
      </c>
      <c r="DO21" s="219" t="n"/>
      <c r="DP21" s="219" t="n"/>
      <c r="DQ21" s="23" t="n"/>
      <c r="DR21" s="292" t="inlineStr">
        <is>
          <t>50 DE GV</t>
        </is>
      </c>
      <c r="DS21" s="219" t="n"/>
      <c r="DT21" s="23" t="n"/>
      <c r="DU21" s="23" t="n">
        <v>100</v>
      </c>
      <c r="DV21" s="282" t="inlineStr">
        <is>
          <t>87 - inve</t>
        </is>
      </c>
      <c r="DW21" s="23" t="n">
        <v>100</v>
      </c>
      <c r="DX21" s="23" t="n">
        <v>100</v>
      </c>
      <c r="DY21" s="282" t="inlineStr">
        <is>
          <t>70 P/ SHN</t>
        </is>
      </c>
      <c r="DZ21" s="23" t="n"/>
      <c r="EA21" s="23" t="n"/>
      <c r="EB21" s="23" t="n"/>
      <c r="EC21" s="260" t="inlineStr">
        <is>
          <t>54 P/ SHN</t>
        </is>
      </c>
      <c r="ED21" s="23" t="n"/>
      <c r="EF21" s="65" t="inlineStr">
        <is>
          <t>CAIXA M</t>
        </is>
      </c>
      <c r="EG21" s="699" t="n">
        <v>100</v>
      </c>
      <c r="EH21" s="697" t="n">
        <v>0</v>
      </c>
      <c r="EI21" s="697" t="n"/>
      <c r="EJ21" s="697" t="n"/>
      <c r="EK21" s="697" t="n">
        <v>43</v>
      </c>
      <c r="EL21" s="697" t="n">
        <v>41</v>
      </c>
      <c r="EM21" s="697" t="n"/>
      <c r="EN21" s="431">
        <f>EL21+IF(NOT(ISBLANK(OFFSET(EN21,0,6))),N(OFFSET(EN21,0,6)),N(OFFSET(EN21,0,7)))-EM21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7</v>
      </c>
      <c r="G22" s="697" t="n">
        <v>14</v>
      </c>
      <c r="H22" s="697" t="n">
        <v>14</v>
      </c>
      <c r="I22" s="697" t="n">
        <v>14</v>
      </c>
      <c r="J22" s="697" t="n">
        <v>14</v>
      </c>
      <c r="K22" s="697" t="n">
        <v>12</v>
      </c>
      <c r="L22" s="697" t="n">
        <v>14</v>
      </c>
      <c r="M22" s="697" t="n">
        <v>14</v>
      </c>
      <c r="N22" s="697" t="n">
        <v>14</v>
      </c>
      <c r="O22" s="697" t="n">
        <v>14</v>
      </c>
      <c r="P22" s="697" t="n">
        <v>14</v>
      </c>
      <c r="Q22" s="697" t="n">
        <v>14</v>
      </c>
      <c r="R22" s="697" t="n">
        <v>14</v>
      </c>
      <c r="S22" s="697" t="n">
        <v>14</v>
      </c>
      <c r="T22" s="697" t="n">
        <v>10</v>
      </c>
      <c r="U22" s="697" t="n">
        <v>10</v>
      </c>
      <c r="V22" s="697" t="n">
        <v>10</v>
      </c>
      <c r="W22" s="697" t="n">
        <v>10</v>
      </c>
      <c r="X22" s="697" t="n">
        <v>5</v>
      </c>
      <c r="Y22" s="697" t="n">
        <v>4</v>
      </c>
      <c r="Z22" s="697" t="n">
        <v>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4</v>
      </c>
      <c r="AF22" s="697">
        <f>4+15</f>
        <v/>
      </c>
      <c r="AG22" s="697" t="n">
        <v>18</v>
      </c>
      <c r="AH22" s="697" t="n">
        <v>18</v>
      </c>
      <c r="AI22" s="697" t="n">
        <v>18</v>
      </c>
      <c r="AJ22" s="697" t="n">
        <v>18</v>
      </c>
      <c r="AK22" s="697" t="n">
        <v>18</v>
      </c>
      <c r="AL22" s="697" t="n">
        <v>18</v>
      </c>
      <c r="AM22" s="697" t="n">
        <v>18</v>
      </c>
      <c r="AN22" s="697" t="n">
        <v>18</v>
      </c>
      <c r="AO22" s="697" t="n">
        <v>18</v>
      </c>
      <c r="AP22" s="697" t="n">
        <v>18</v>
      </c>
      <c r="AQ22" s="697" t="n">
        <v>18</v>
      </c>
      <c r="AR22" s="697" t="n">
        <v>18</v>
      </c>
      <c r="AS22" s="697" t="n">
        <v>18</v>
      </c>
      <c r="AT22" s="697" t="n">
        <v>18</v>
      </c>
      <c r="AU22" s="697" t="n">
        <v>18</v>
      </c>
      <c r="AV22" s="697" t="n">
        <v>18</v>
      </c>
      <c r="AW22" s="697" t="n">
        <v>15</v>
      </c>
      <c r="AX22" s="697" t="n">
        <v>15</v>
      </c>
      <c r="AY22" s="697" t="n">
        <v>15</v>
      </c>
      <c r="AZ22" s="697" t="n">
        <v>15</v>
      </c>
      <c r="BA22" s="697" t="n">
        <v>15</v>
      </c>
      <c r="BB22" s="697" t="n">
        <v>15</v>
      </c>
      <c r="BC22" s="697" t="n">
        <v>15</v>
      </c>
      <c r="BD22" s="697" t="n">
        <v>15</v>
      </c>
      <c r="BE22" s="697" t="n">
        <v>15</v>
      </c>
      <c r="BF22" s="697" t="n">
        <v>15</v>
      </c>
      <c r="BG22" s="697" t="n">
        <v>15</v>
      </c>
      <c r="BH22" s="697" t="n">
        <v>15</v>
      </c>
      <c r="BI22" s="697" t="n">
        <v>8</v>
      </c>
      <c r="BJ22" s="697" t="n">
        <v>8</v>
      </c>
      <c r="BK22" s="697" t="n">
        <v>8</v>
      </c>
      <c r="BL22" s="697" t="n">
        <v>8</v>
      </c>
      <c r="BM22" s="697" t="n">
        <v>8</v>
      </c>
      <c r="BN22" s="697" t="n">
        <v>8</v>
      </c>
      <c r="BO22" s="697" t="n">
        <v>8</v>
      </c>
      <c r="BP22" s="697" t="n">
        <v>8</v>
      </c>
      <c r="BQ22" s="697" t="n">
        <v>8</v>
      </c>
      <c r="BR22" s="697" t="n">
        <v>8</v>
      </c>
      <c r="BS22" s="697" t="n">
        <v>8</v>
      </c>
      <c r="BT22" s="697" t="n">
        <v>8</v>
      </c>
      <c r="BU22" s="697" t="n">
        <v>8</v>
      </c>
      <c r="BV22" s="697" t="n">
        <v>8</v>
      </c>
      <c r="BW22" s="697" t="n">
        <v>8</v>
      </c>
      <c r="BX22" s="697" t="n">
        <v>8</v>
      </c>
      <c r="BY22" s="697" t="n">
        <v>8</v>
      </c>
      <c r="BZ22" s="192">
        <f>BX22+IF(NOT(ISBLANK(OFFSET(BZ22,0,6))),N(OFFSET(BZ22,0,6)),N(OFFSET(BZ22,0,7)))-BY22</f>
        <v/>
      </c>
      <c r="CA22" s="4" t="n"/>
      <c r="CB22" s="22" t="n"/>
      <c r="CC22" s="4" t="n"/>
      <c r="CD22" s="27" t="n"/>
      <c r="CE22" s="4" t="n"/>
      <c r="CF22" s="23" t="n">
        <v>0</v>
      </c>
      <c r="CG22" s="23" t="n">
        <v>0</v>
      </c>
      <c r="CH22" s="23" t="n"/>
      <c r="CI22" s="219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443" t="n">
        <v>200</v>
      </c>
      <c r="CV22" s="23" t="n"/>
      <c r="CW22" s="23" t="n"/>
      <c r="CX22" s="23" t="n"/>
      <c r="CY22" s="219" t="n"/>
      <c r="CZ22" s="23" t="n"/>
      <c r="DA22" s="23" t="n"/>
      <c r="DB22" s="23" t="n"/>
      <c r="DC22" s="219" t="n"/>
      <c r="DD22" s="219" t="n"/>
      <c r="DE22" s="23" t="n"/>
      <c r="DF22" s="219" t="n"/>
      <c r="DG22" s="23" t="n"/>
      <c r="DH22" s="282" t="inlineStr">
        <is>
          <t>15 DE TTR</t>
        </is>
      </c>
      <c r="DI22" s="219" t="n"/>
      <c r="DJ22" s="23" t="n"/>
      <c r="DK22" s="23" t="n"/>
      <c r="DL22" s="23" t="n"/>
      <c r="DM22" s="219" t="n"/>
      <c r="DN22" s="376" t="inlineStr">
        <is>
          <t>50 DE TTR</t>
        </is>
      </c>
      <c r="DO22" s="219" t="n"/>
      <c r="DP22" s="219" t="n"/>
      <c r="DQ22" s="23" t="n"/>
      <c r="DR22" s="219" t="n"/>
      <c r="DS22" s="219" t="n"/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3" t="n"/>
      <c r="EC22" s="219" t="n"/>
      <c r="ED22" s="23" t="n"/>
      <c r="EF22" s="66" t="inlineStr">
        <is>
          <t>CARTUCHO P</t>
        </is>
      </c>
      <c r="EG22" s="699" t="n">
        <v>200</v>
      </c>
      <c r="EH22" s="697" t="n">
        <v>0</v>
      </c>
      <c r="EI22" s="697" t="n"/>
      <c r="EJ22" s="697" t="n"/>
      <c r="EK22" s="697" t="n">
        <v>88</v>
      </c>
      <c r="EL22" s="697" t="n">
        <v>80</v>
      </c>
      <c r="EM22" s="697" t="n"/>
      <c r="EN22" s="431">
        <f>EL22+IF(NOT(ISBLANK(OFFSET(EN22,0,6))),N(OFFSET(EN22,0,6)),N(OFFSET(EN22,0,7)))-EM22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/>
      <c r="BI23" s="697" t="n"/>
      <c r="BJ23" s="697" t="n">
        <v>0</v>
      </c>
      <c r="BK23" s="697" t="n">
        <v>0</v>
      </c>
      <c r="BL23" s="697">
        <f>0+50</f>
        <v/>
      </c>
      <c r="BM23" s="697" t="n">
        <v>50</v>
      </c>
      <c r="BN23" s="697" t="n">
        <v>46</v>
      </c>
      <c r="BO23" s="697" t="n">
        <v>43</v>
      </c>
      <c r="BP23" s="697" t="n">
        <v>39</v>
      </c>
      <c r="BQ23" s="697" t="n">
        <v>37</v>
      </c>
      <c r="BR23" s="697" t="n">
        <v>35</v>
      </c>
      <c r="BS23" s="697" t="n">
        <v>33</v>
      </c>
      <c r="BT23" s="697" t="n"/>
      <c r="BU23" s="697" t="n"/>
      <c r="BV23" s="697" t="n"/>
      <c r="BW23" s="697" t="n">
        <v>23</v>
      </c>
      <c r="BX23" s="697" t="n">
        <v>23</v>
      </c>
      <c r="BY23" s="697" t="n"/>
      <c r="BZ23" s="192">
        <f>BX23+IF(NOT(ISBLANK(OFFSET(BZ23,0,6))),N(OFFSET(BZ23,0,6)),N(OFFSET(BZ23,0,7)))-BY23</f>
        <v/>
      </c>
      <c r="CB23" s="22" t="n"/>
      <c r="CD23" s="27" t="n"/>
      <c r="CF23" s="23" t="n">
        <v>0</v>
      </c>
      <c r="CG23" s="23" t="n">
        <v>0</v>
      </c>
      <c r="CH23" s="23" t="n"/>
      <c r="CI23" s="219" t="n">
        <v>150</v>
      </c>
      <c r="CJ23" s="23" t="n"/>
      <c r="CK23" s="23" t="n"/>
      <c r="CL23" s="192" t="inlineStr">
        <is>
          <t>50 DE Q7</t>
        </is>
      </c>
      <c r="CM23" s="23" t="n"/>
      <c r="CN23" s="23" t="n"/>
      <c r="CO23" s="23" t="n"/>
      <c r="CP23" s="23" t="n"/>
      <c r="CQ23" s="23" t="n"/>
      <c r="CR23" s="23" t="n"/>
      <c r="CS23" s="29" t="n"/>
      <c r="CT23" s="29" t="n"/>
      <c r="CU23" s="326" t="n">
        <v>150</v>
      </c>
      <c r="CV23" s="29" t="n"/>
      <c r="CW23" s="29" t="n"/>
      <c r="CX23" s="29" t="n"/>
      <c r="CY23" s="5" t="n"/>
      <c r="CZ23" s="29" t="n"/>
      <c r="DA23" s="29" t="n"/>
      <c r="DB23" s="29" t="n"/>
      <c r="DC23" s="292" t="inlineStr">
        <is>
          <t>15 P/ GV</t>
        </is>
      </c>
      <c r="DD23" s="5" t="n"/>
      <c r="DE23" s="29" t="n"/>
      <c r="DF23" s="219" t="n">
        <v>25</v>
      </c>
      <c r="DG23" s="29" t="n"/>
      <c r="DH23" s="29" t="n"/>
      <c r="DI23" s="5" t="n"/>
      <c r="DJ23" s="29" t="n"/>
      <c r="DK23" s="29" t="n"/>
      <c r="DL23" s="29" t="n"/>
      <c r="DM23" s="292" t="inlineStr">
        <is>
          <t>71 P/ TTR</t>
        </is>
      </c>
      <c r="DN23" s="5" t="n"/>
      <c r="DO23" s="5" t="n"/>
      <c r="DS23" s="326" t="n">
        <v>200</v>
      </c>
      <c r="EF23" s="66" t="inlineStr">
        <is>
          <t>CARTUCHO M</t>
        </is>
      </c>
      <c r="EG23" s="699" t="n">
        <v>150</v>
      </c>
      <c r="EH23" s="697">
        <f>CI23</f>
        <v/>
      </c>
      <c r="EI23" s="697" t="n"/>
      <c r="EJ23" s="697" t="n"/>
      <c r="EK23" s="697" t="n">
        <v>142</v>
      </c>
      <c r="EL23" s="697" t="n">
        <v>137</v>
      </c>
      <c r="EM23" s="697" t="n"/>
      <c r="EN23" s="431">
        <f>EL23+IF(NOT(ISBLANK(OFFSET(EN23,0,6))),N(OFFSET(EN23,0,6)),N(OFFSET(EN23,0,7)))-EM23</f>
        <v/>
      </c>
    </row>
    <row r="24">
      <c r="CF24" s="29" t="n"/>
      <c r="CG24" s="29" t="n"/>
      <c r="CH24" s="29" t="n"/>
      <c r="CI24" s="5" t="n"/>
      <c r="CJ24" s="29" t="n"/>
      <c r="CK24" s="29" t="n"/>
      <c r="CS24" s="29" t="n"/>
      <c r="CT24" s="29" t="n"/>
      <c r="CU24" s="327" t="n"/>
      <c r="CV24" s="29" t="n"/>
      <c r="CW24" s="29" t="n"/>
      <c r="CX24" s="29" t="n"/>
      <c r="CY24" s="5" t="n"/>
      <c r="CZ24" s="29" t="n"/>
      <c r="DA24" s="29" t="n"/>
      <c r="DB24" s="29" t="n"/>
      <c r="DC24" s="292" t="n"/>
      <c r="DD24" s="5" t="n"/>
      <c r="DE24" s="29" t="n"/>
      <c r="DF24" s="219" t="n"/>
      <c r="DG24" s="29" t="n"/>
      <c r="DH24" s="29" t="n"/>
      <c r="DI24" s="5" t="n"/>
      <c r="DJ24" s="29" t="n"/>
      <c r="DK24" s="29" t="n"/>
      <c r="DL24" s="29" t="n"/>
      <c r="DM24" s="292" t="n"/>
      <c r="DN24" s="5" t="n"/>
      <c r="DO24" s="5" t="n"/>
      <c r="DS24" s="326" t="n"/>
      <c r="EF24" s="5" t="n"/>
      <c r="EG24" s="5" t="n"/>
      <c r="EH24" s="5" t="n"/>
      <c r="EI24" s="5" t="n"/>
      <c r="EJ24" s="5" t="n"/>
      <c r="EK24" s="5" t="n"/>
      <c r="EL24" s="5" t="n"/>
      <c r="EM24" s="5" t="n"/>
      <c r="EN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F25" s="29" t="n"/>
      <c r="CG25" s="29" t="n"/>
      <c r="CH25" s="29" t="n"/>
      <c r="CI25" s="5" t="n"/>
      <c r="CJ25" s="29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5" t="n"/>
      <c r="CV25" s="29" t="n"/>
      <c r="CW25" s="29" t="n"/>
      <c r="CX25" s="29" t="n"/>
      <c r="CY25" s="5" t="n"/>
      <c r="CZ25" s="29" t="n"/>
      <c r="DA25" s="29" t="n"/>
      <c r="DB25" s="29" t="n"/>
      <c r="DC25" s="292" t="inlineStr">
        <is>
          <t>13 P/ GV</t>
        </is>
      </c>
      <c r="DD25" s="5" t="n"/>
      <c r="DE25" s="29" t="n"/>
      <c r="DF25" s="219" t="n">
        <v>25</v>
      </c>
      <c r="DG25" s="29" t="n"/>
      <c r="DH25" s="29" t="n"/>
      <c r="DI25" s="5" t="n"/>
      <c r="DJ25" s="29" t="n"/>
      <c r="DK25" s="29" t="n"/>
      <c r="DL25" s="29" t="n"/>
      <c r="DM25" s="292" t="inlineStr">
        <is>
          <t>31 P/ TTR</t>
        </is>
      </c>
      <c r="DN25" s="5" t="n"/>
      <c r="DO25" s="5" t="n"/>
      <c r="DS25" s="326" t="n">
        <v>150</v>
      </c>
      <c r="EF25" s="5" t="n"/>
      <c r="EG25" s="5" t="n"/>
      <c r="EH25" s="5" t="n"/>
      <c r="EI25" s="5" t="n"/>
      <c r="EJ25" s="5" t="n"/>
      <c r="EK25" s="5" t="n"/>
      <c r="EL25" s="5" t="n"/>
      <c r="EM25" s="5" t="n"/>
      <c r="EN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F26" s="29" t="n"/>
      <c r="CG26" s="29" t="n"/>
      <c r="CH26" s="29" t="n"/>
      <c r="CI26" s="5" t="n"/>
      <c r="CJ26" s="29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5" t="n"/>
      <c r="CV26" s="29" t="n"/>
      <c r="CW26" s="29" t="n"/>
      <c r="CX26" s="29" t="n"/>
      <c r="CY26" s="5" t="n"/>
      <c r="CZ26" s="29" t="n"/>
      <c r="DA26" s="29" t="n"/>
      <c r="DB26" s="29" t="n"/>
      <c r="DC26" s="292" t="inlineStr">
        <is>
          <t>12 P/ GV</t>
        </is>
      </c>
      <c r="DD26" s="5" t="n"/>
      <c r="DE26" s="29" t="n"/>
      <c r="DF26" s="219" t="n">
        <v>25</v>
      </c>
      <c r="DG26" s="29" t="n"/>
      <c r="DH26" s="29" t="n"/>
      <c r="DI26" s="5" t="n"/>
      <c r="DJ26" s="29" t="n"/>
      <c r="DK26" s="29" t="n"/>
      <c r="DL26" s="29" t="n"/>
      <c r="DM26" s="327" t="n"/>
      <c r="DN26" s="5" t="n"/>
      <c r="DO26" s="5" t="n"/>
      <c r="DP26" s="327" t="n"/>
      <c r="DR26" s="327" t="n"/>
      <c r="DS26" s="327" t="n"/>
      <c r="EF26" s="5" t="n"/>
      <c r="EG26" s="5" t="n"/>
      <c r="EH26" s="5" t="n"/>
      <c r="EI26" s="5" t="n"/>
      <c r="EJ26" s="5" t="n"/>
      <c r="EK26" s="5" t="n"/>
      <c r="EL26" s="5" t="n"/>
      <c r="EM26" s="5" t="n"/>
      <c r="EN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171</v>
      </c>
      <c r="G27" s="697" t="n">
        <v>171</v>
      </c>
      <c r="H27" s="697" t="n">
        <v>160</v>
      </c>
      <c r="I27" s="697" t="n">
        <v>160</v>
      </c>
      <c r="J27" s="697" t="n">
        <v>160</v>
      </c>
      <c r="K27" s="697" t="n">
        <v>160</v>
      </c>
      <c r="L27" s="697" t="n">
        <v>160</v>
      </c>
      <c r="M27" s="697" t="n">
        <v>160</v>
      </c>
      <c r="N27" s="697" t="n">
        <v>160</v>
      </c>
      <c r="O27" s="697" t="n">
        <v>160</v>
      </c>
      <c r="P27" s="697" t="n">
        <v>160</v>
      </c>
      <c r="Q27" s="697" t="n">
        <v>160</v>
      </c>
      <c r="R27" s="697" t="n">
        <v>160</v>
      </c>
      <c r="S27" s="697" t="n">
        <v>160</v>
      </c>
      <c r="T27" s="697" t="n">
        <v>155</v>
      </c>
      <c r="U27" s="697" t="n">
        <v>155</v>
      </c>
      <c r="V27" s="697" t="n">
        <v>155</v>
      </c>
      <c r="W27" s="697" t="n">
        <v>155</v>
      </c>
      <c r="X27" s="697" t="n">
        <v>155</v>
      </c>
      <c r="Y27" s="697" t="n">
        <v>155</v>
      </c>
      <c r="Z27" s="697" t="n">
        <v>155</v>
      </c>
      <c r="AA27" s="697" t="n">
        <v>150</v>
      </c>
      <c r="AB27" s="697" t="n">
        <v>150</v>
      </c>
      <c r="AC27" s="697" t="n">
        <v>150</v>
      </c>
      <c r="AD27" s="697" t="n">
        <v>150</v>
      </c>
      <c r="AE27" s="697" t="n">
        <v>150</v>
      </c>
      <c r="AF27" s="697" t="n">
        <v>152</v>
      </c>
      <c r="AG27" s="697" t="n">
        <v>152</v>
      </c>
      <c r="AH27" s="697" t="n">
        <v>152</v>
      </c>
      <c r="AI27" s="697" t="n">
        <v>152</v>
      </c>
      <c r="AJ27" s="697" t="n">
        <v>152</v>
      </c>
      <c r="AK27" s="697" t="n">
        <v>152</v>
      </c>
      <c r="AL27" s="697" t="n">
        <v>152</v>
      </c>
      <c r="AM27" s="697" t="n">
        <v>152</v>
      </c>
      <c r="AN27" s="697" t="n">
        <v>152</v>
      </c>
      <c r="AO27" s="697" t="n">
        <v>152</v>
      </c>
      <c r="AP27" s="697" t="n">
        <v>152</v>
      </c>
      <c r="AQ27" s="697" t="n">
        <v>152</v>
      </c>
      <c r="AR27" s="697" t="n">
        <v>152</v>
      </c>
      <c r="AS27" s="697" t="n">
        <v>152</v>
      </c>
      <c r="AT27" s="697" t="n">
        <v>152</v>
      </c>
      <c r="AU27" s="697" t="n">
        <v>152</v>
      </c>
      <c r="AV27" s="697" t="n">
        <v>152</v>
      </c>
      <c r="AW27" s="697" t="n">
        <v>150</v>
      </c>
      <c r="AX27" s="697" t="n">
        <v>150</v>
      </c>
      <c r="AY27" s="697" t="n">
        <v>150</v>
      </c>
      <c r="AZ27" s="697" t="n">
        <v>150</v>
      </c>
      <c r="BA27" s="697" t="n">
        <v>150</v>
      </c>
      <c r="BB27" s="697" t="n">
        <v>140</v>
      </c>
      <c r="BC27" s="697" t="n">
        <v>140</v>
      </c>
      <c r="BD27" s="697" t="n">
        <v>140</v>
      </c>
      <c r="BE27" s="697" t="n">
        <v>140</v>
      </c>
      <c r="BF27" s="697" t="n">
        <v>140</v>
      </c>
      <c r="BG27" s="697" t="n">
        <v>140</v>
      </c>
      <c r="BH27" s="697" t="n">
        <v>140</v>
      </c>
      <c r="BI27" s="697" t="n">
        <v>100</v>
      </c>
      <c r="BJ27" s="697" t="n">
        <v>100</v>
      </c>
      <c r="BK27" s="697" t="n">
        <v>100</v>
      </c>
      <c r="BL27" s="697" t="n">
        <v>100</v>
      </c>
      <c r="BM27" s="697" t="n">
        <v>100</v>
      </c>
      <c r="BN27" s="697" t="n">
        <v>133</v>
      </c>
      <c r="BO27" s="697" t="n">
        <v>133</v>
      </c>
      <c r="BP27" s="697" t="n">
        <v>133</v>
      </c>
      <c r="BQ27" s="697" t="n">
        <v>133</v>
      </c>
      <c r="BR27" s="697" t="n">
        <v>133</v>
      </c>
      <c r="BS27" s="697" t="n">
        <v>133</v>
      </c>
      <c r="BT27" s="697" t="n">
        <v>133</v>
      </c>
      <c r="BU27" s="697" t="n">
        <v>133</v>
      </c>
      <c r="BV27" s="697" t="n">
        <v>133</v>
      </c>
      <c r="BW27" s="697" t="n">
        <v>133</v>
      </c>
      <c r="BX27" s="697" t="n">
        <v>133</v>
      </c>
      <c r="BY27" s="697" t="n">
        <v>133</v>
      </c>
      <c r="BZ27" s="192">
        <f>BX27+IF(NOT(ISBLANK(OFFSET(BZ27,0,6))),N(OFFSET(BZ27,0,6)),N(OFFSET(BZ27,0,7)))-BY27</f>
        <v/>
      </c>
      <c r="CF27" s="29" t="n"/>
      <c r="CG27" s="29" t="n"/>
      <c r="CH27" s="29" t="n"/>
      <c r="CI27" s="5" t="n"/>
      <c r="CJ27" s="29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5" t="n"/>
      <c r="CV27" s="29" t="n"/>
      <c r="CW27" s="29" t="n"/>
      <c r="CX27" s="29" t="n"/>
      <c r="CY27" s="5" t="n"/>
      <c r="CZ27" s="29" t="n"/>
      <c r="DA27" s="29" t="n"/>
      <c r="DB27" s="29" t="n"/>
      <c r="DC27" s="5" t="n"/>
      <c r="DD27" s="5" t="n"/>
      <c r="DE27" s="29" t="n"/>
      <c r="DF27" s="5" t="n"/>
      <c r="DG27" s="29" t="n"/>
      <c r="DH27" s="29" t="n"/>
      <c r="DI27" s="5" t="n"/>
      <c r="DJ27" s="29" t="n"/>
      <c r="DK27" s="29" t="n"/>
      <c r="DL27" s="29" t="n"/>
      <c r="DM27" s="327" t="n"/>
      <c r="DN27" s="5" t="n"/>
      <c r="DO27" s="5" t="n"/>
      <c r="DP27" s="327" t="n"/>
      <c r="DR27" s="327" t="n"/>
      <c r="DS27" s="327" t="n"/>
      <c r="EF27" s="5" t="n"/>
      <c r="EG27" s="5" t="n"/>
      <c r="EH27" s="5" t="n"/>
      <c r="EI27" s="5" t="n"/>
      <c r="EJ27" s="5" t="n"/>
      <c r="EK27" s="5" t="n"/>
      <c r="EL27" s="5" t="n"/>
      <c r="EM27" s="5" t="n"/>
      <c r="EN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12</v>
      </c>
      <c r="G28" s="699" t="n">
        <v>10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F28" s="29" t="n"/>
      <c r="CG28" s="29" t="n"/>
      <c r="CH28" s="29" t="n"/>
      <c r="CI28" s="5" t="n"/>
      <c r="CJ28" s="29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5" t="n"/>
      <c r="CV28" s="29" t="n"/>
      <c r="CW28" s="29" t="n"/>
      <c r="CX28" s="29" t="n"/>
      <c r="CY28" s="5" t="n"/>
      <c r="CZ28" s="29" t="n"/>
      <c r="DA28" s="29" t="n"/>
      <c r="DB28" s="29" t="n"/>
      <c r="DC28" s="5" t="n"/>
      <c r="DD28" s="5" t="n"/>
      <c r="DE28" s="29" t="n"/>
      <c r="DF28" s="5" t="n"/>
      <c r="DG28" s="29" t="n"/>
      <c r="DH28" s="29" t="n"/>
      <c r="DI28" s="5" t="n"/>
      <c r="DJ28" s="29" t="n"/>
      <c r="DK28" s="29" t="n"/>
      <c r="DL28" s="29" t="n"/>
      <c r="DM28" s="327" t="n"/>
      <c r="DN28" s="5" t="n"/>
      <c r="DO28" s="5" t="n"/>
      <c r="DP28" s="327" t="n"/>
      <c r="DR28" s="327" t="n"/>
      <c r="DS28" s="327" t="n"/>
      <c r="EF28" s="5" t="n"/>
      <c r="EG28" s="5" t="n"/>
      <c r="EH28" s="5" t="n"/>
      <c r="EI28" s="5" t="n"/>
      <c r="EJ28" s="5" t="n"/>
      <c r="EK28" s="5" t="n"/>
      <c r="EL28" s="5" t="n"/>
      <c r="EM28" s="5" t="n"/>
      <c r="EN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88</v>
      </c>
      <c r="G29" s="699" t="n">
        <v>27</v>
      </c>
      <c r="H29" s="697" t="n">
        <v>21</v>
      </c>
      <c r="I29" s="697" t="n">
        <v>10</v>
      </c>
      <c r="J29" s="697" t="n">
        <v>9</v>
      </c>
      <c r="K29" s="697" t="n">
        <v>7</v>
      </c>
      <c r="L29" s="697" t="n">
        <v>6</v>
      </c>
      <c r="M29" s="697" t="n">
        <v>4</v>
      </c>
      <c r="N29" s="697" t="n">
        <v>3</v>
      </c>
      <c r="O29" s="697" t="n">
        <v>2</v>
      </c>
      <c r="P29" s="697" t="n">
        <v>1</v>
      </c>
      <c r="Q29" s="697" t="n">
        <v>1</v>
      </c>
      <c r="R29" s="697" t="n">
        <v>1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F29" s="29" t="n"/>
      <c r="CG29" s="29" t="n"/>
      <c r="CH29" s="29" t="n"/>
      <c r="CI29" s="5" t="n"/>
      <c r="CJ29" s="29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5" t="n"/>
      <c r="CV29" s="29" t="n"/>
      <c r="CW29" s="29" t="n"/>
      <c r="CX29" s="29" t="n"/>
      <c r="CY29" s="5" t="n"/>
      <c r="CZ29" s="29" t="n"/>
      <c r="DA29" s="29" t="n"/>
      <c r="DB29" s="29" t="n"/>
      <c r="DC29" s="5" t="n"/>
      <c r="DD29" s="5" t="n"/>
      <c r="DE29" s="29" t="n"/>
      <c r="DF29" s="5" t="n"/>
      <c r="DG29" s="29" t="n"/>
      <c r="DH29" s="29" t="n"/>
      <c r="DI29" s="5" t="n"/>
      <c r="DJ29" s="29" t="n"/>
      <c r="DK29" s="29" t="n"/>
      <c r="DL29" s="29" t="n"/>
      <c r="DM29" s="327" t="n"/>
      <c r="DN29" s="5" t="n"/>
      <c r="DO29" s="5" t="n"/>
      <c r="DP29" s="327" t="n"/>
      <c r="DR29" s="327" t="n"/>
      <c r="DS29" s="327" t="n"/>
      <c r="EF29" s="5" t="n"/>
      <c r="EG29" s="5" t="n"/>
      <c r="EH29" s="5" t="n"/>
      <c r="EI29" s="5" t="n"/>
      <c r="EJ29" s="5" t="n"/>
      <c r="EK29" s="5" t="n"/>
      <c r="EL29" s="5" t="n"/>
      <c r="EM29" s="5" t="n"/>
      <c r="EN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F30" s="29" t="n"/>
      <c r="CG30" s="29" t="n"/>
      <c r="CH30" s="29" t="n"/>
      <c r="CI30" s="5" t="n"/>
      <c r="CJ30" s="29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5" t="n"/>
      <c r="CV30" s="29" t="n"/>
      <c r="CW30" s="29" t="n"/>
      <c r="CX30" s="29" t="n"/>
      <c r="CY30" s="29" t="n"/>
      <c r="CZ30" s="29" t="n"/>
      <c r="DA30" s="29" t="n"/>
      <c r="DB30" s="29" t="n"/>
      <c r="DC30" s="5" t="n"/>
      <c r="DD30" s="5" t="n"/>
      <c r="DE30" s="29" t="n"/>
      <c r="DF30" s="5" t="n"/>
      <c r="DG30" s="29" t="n"/>
      <c r="DH30" s="29" t="n"/>
      <c r="DI30" s="5" t="n"/>
      <c r="DJ30" s="29" t="n"/>
      <c r="DK30" s="29" t="n"/>
      <c r="DL30" s="29" t="n"/>
      <c r="DM30" s="327" t="n"/>
      <c r="DN30" s="29" t="n"/>
      <c r="DO30" s="29" t="n"/>
      <c r="DP30" s="327" t="n"/>
      <c r="DR30" s="327" t="n"/>
      <c r="DS30" s="327" t="n"/>
      <c r="EF30" s="5" t="n"/>
      <c r="EG30" s="5" t="n"/>
      <c r="EH30" s="5" t="n"/>
      <c r="EI30" s="5" t="n"/>
      <c r="EJ30" s="5" t="n"/>
      <c r="EK30" s="5" t="n"/>
      <c r="EL30" s="5" t="n"/>
      <c r="EM30" s="5" t="n"/>
      <c r="EN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12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F31" s="29" t="n"/>
      <c r="CG31" s="29" t="n"/>
      <c r="CH31" s="29" t="n"/>
      <c r="CI31" s="5" t="n"/>
      <c r="CJ31" s="29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5" t="n"/>
      <c r="CV31" s="29" t="n"/>
      <c r="CW31" s="29" t="n"/>
      <c r="CX31" s="29" t="n"/>
      <c r="CZ31" s="29" t="n"/>
      <c r="DA31" s="29" t="n"/>
      <c r="DB31" s="29" t="n"/>
      <c r="DC31" s="5" t="n"/>
      <c r="DD31" s="5" t="n"/>
      <c r="DE31" s="29" t="n"/>
      <c r="DF31" s="5" t="n"/>
      <c r="DG31" s="29" t="n"/>
      <c r="DH31" s="29" t="n"/>
      <c r="DI31" s="5" t="n"/>
      <c r="DJ31" s="29" t="n"/>
      <c r="DK31" s="29" t="n"/>
      <c r="DL31" s="29" t="n"/>
      <c r="DM31" s="327" t="n"/>
      <c r="DP31" s="327" t="n"/>
      <c r="DR31" s="327" t="n"/>
      <c r="DS31" s="327" t="n"/>
      <c r="EF31" s="5" t="n"/>
      <c r="EG31" s="5" t="n"/>
      <c r="EH31" s="5" t="n"/>
      <c r="EI31" s="5" t="n"/>
      <c r="EJ31" s="5" t="n"/>
      <c r="EK31" s="5" t="n"/>
      <c r="EL31" s="5" t="n"/>
      <c r="EM31" s="5" t="n"/>
      <c r="EN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2</v>
      </c>
      <c r="G32" s="699" t="n">
        <v>2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F32" s="29" t="n"/>
      <c r="CG32" s="29" t="n"/>
      <c r="CH32" s="29" t="n"/>
      <c r="CI32" s="5" t="n"/>
      <c r="CJ32" s="29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5" t="n"/>
      <c r="CV32" s="29" t="n"/>
      <c r="CW32" s="29" t="n"/>
      <c r="CX32" s="29" t="n"/>
      <c r="CZ32" s="29" t="n"/>
      <c r="DA32" s="29" t="n"/>
      <c r="DB32" s="29" t="n"/>
      <c r="DC32" s="5" t="n"/>
      <c r="DD32" s="5" t="n"/>
      <c r="DE32" s="29" t="n"/>
      <c r="DF32" s="5" t="n"/>
      <c r="DG32" s="29" t="n"/>
      <c r="DH32" s="29" t="n"/>
      <c r="DI32" s="5" t="n"/>
      <c r="DJ32" s="29" t="n"/>
      <c r="DK32" s="29" t="n"/>
      <c r="DL32" s="29" t="n"/>
      <c r="DM32" s="327" t="n"/>
      <c r="DP32" s="327" t="n"/>
      <c r="DR32" s="327" t="n"/>
      <c r="DS32" s="327" t="n"/>
      <c r="EF32" s="5" t="n"/>
      <c r="EG32" s="5" t="n"/>
      <c r="EH32" s="5" t="n"/>
      <c r="EI32" s="5" t="n"/>
      <c r="EJ32" s="5" t="n"/>
      <c r="EK32" s="5" t="n"/>
      <c r="EL32" s="5" t="n"/>
      <c r="EM32" s="5" t="n"/>
      <c r="EN32" s="5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>
        <v>0</v>
      </c>
      <c r="BB33" s="697" t="n">
        <v>15</v>
      </c>
      <c r="BC33" s="697" t="n">
        <v>9</v>
      </c>
      <c r="BD33" s="697" t="n">
        <v>9</v>
      </c>
      <c r="BE33" s="697" t="n">
        <v>9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192">
        <f>BX33+IF(NOT(ISBLANK(OFFSET(BZ33,0,6))),N(OFFSET(BZ33,0,6)),N(OFFSET(BZ33,0,7)))-BY33</f>
        <v/>
      </c>
      <c r="CF33" s="29" t="n"/>
      <c r="CG33" s="29" t="n"/>
      <c r="CH33" s="29" t="n"/>
      <c r="CI33" s="5" t="n"/>
      <c r="CJ33" s="29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5" t="n"/>
      <c r="CV33" s="29" t="n"/>
      <c r="CW33" s="29" t="n"/>
      <c r="CX33" s="29" t="n"/>
      <c r="CZ33" s="29" t="n"/>
      <c r="DA33" s="29" t="n"/>
      <c r="DB33" s="29" t="n"/>
      <c r="DC33" s="5" t="n"/>
      <c r="DD33" s="5" t="n"/>
      <c r="DE33" s="29" t="n"/>
      <c r="DF33" s="5" t="n"/>
      <c r="DG33" s="29" t="n"/>
      <c r="DH33" s="29" t="n"/>
      <c r="DI33" s="5" t="n"/>
      <c r="DJ33" s="29" t="n"/>
      <c r="DK33" s="29" t="n"/>
      <c r="DL33" s="29" t="n"/>
      <c r="DM33" s="327" t="n"/>
      <c r="DP33" s="327" t="n"/>
      <c r="DR33" s="327" t="n"/>
      <c r="DS33" s="327" t="n"/>
      <c r="EF33" s="5" t="n"/>
      <c r="EG33" s="5" t="n"/>
      <c r="EH33" s="5" t="n"/>
      <c r="EI33" s="5" t="n"/>
      <c r="EJ33" s="5" t="n"/>
      <c r="EK33" s="5" t="n"/>
      <c r="EL33" s="5" t="n"/>
      <c r="EM33" s="5" t="n"/>
      <c r="EN33" s="5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>
        <v>0</v>
      </c>
      <c r="BB34" s="697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>
        <v>0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F34" s="29" t="n"/>
      <c r="CG34" s="29" t="n"/>
      <c r="CH34" s="29" t="n"/>
      <c r="CI34" s="5" t="n"/>
      <c r="CJ34" s="29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5" t="n"/>
      <c r="CV34" s="29" t="n"/>
      <c r="CW34" s="29" t="n"/>
      <c r="CX34" s="29" t="n"/>
      <c r="CZ34" s="29" t="n"/>
      <c r="DA34" s="29" t="n"/>
      <c r="DB34" s="29" t="n"/>
      <c r="DC34" s="5" t="n"/>
      <c r="DD34" s="5" t="n"/>
      <c r="DE34" s="29" t="n"/>
      <c r="DF34" s="5" t="n"/>
      <c r="DG34" s="29" t="n"/>
      <c r="DH34" s="29" t="n"/>
      <c r="DI34" s="5" t="n"/>
      <c r="DJ34" s="29" t="n"/>
      <c r="DK34" s="29" t="n"/>
      <c r="DL34" s="29" t="n"/>
      <c r="DM34" s="327" t="n"/>
      <c r="DP34" s="327" t="n"/>
      <c r="DR34" s="327" t="n"/>
      <c r="DS34" s="327" t="n"/>
      <c r="EF34" s="5" t="n"/>
      <c r="EG34" s="5" t="n"/>
      <c r="EH34" s="5" t="n"/>
      <c r="EI34" s="5" t="n"/>
      <c r="EJ34" s="5" t="n"/>
      <c r="EK34" s="5" t="n"/>
      <c r="EL34" s="5" t="n"/>
      <c r="EM34" s="5" t="n"/>
      <c r="EN34" s="5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70-45</f>
        <v/>
      </c>
      <c r="AB35" s="699" t="n">
        <v>24</v>
      </c>
      <c r="AC35" s="699" t="n">
        <v>17</v>
      </c>
      <c r="AD35" s="699" t="n">
        <v>1</v>
      </c>
      <c r="AE35" s="699" t="n">
        <v>1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F35" s="29" t="n"/>
      <c r="CG35" s="29" t="n"/>
      <c r="CH35" s="29" t="n"/>
      <c r="CI35" s="5" t="n"/>
      <c r="CJ35" s="29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5" t="n"/>
      <c r="CV35" s="29" t="n"/>
      <c r="CW35" s="29" t="n"/>
      <c r="CX35" s="29" t="n"/>
      <c r="CZ35" s="29" t="n"/>
      <c r="DA35" s="29" t="n"/>
      <c r="DB35" s="29" t="n"/>
      <c r="DC35" s="5" t="n"/>
      <c r="DD35" s="5" t="n"/>
      <c r="DE35" s="29" t="n"/>
      <c r="DF35" s="5" t="n"/>
      <c r="DG35" s="29" t="n"/>
      <c r="DH35" s="29" t="n"/>
      <c r="DI35" s="5" t="n"/>
      <c r="DJ35" s="29" t="n"/>
      <c r="DK35" s="29" t="n"/>
      <c r="DL35" s="29" t="n"/>
      <c r="DM35" s="327" t="n"/>
      <c r="DP35" s="327" t="n"/>
      <c r="DR35" s="327" t="n"/>
      <c r="DS35" s="327" t="n"/>
      <c r="EF35" s="5" t="n"/>
      <c r="EG35" s="5" t="n"/>
      <c r="EH35" s="5" t="n"/>
      <c r="EI35" s="5" t="n"/>
      <c r="EJ35" s="5" t="n"/>
      <c r="EK35" s="5" t="n"/>
      <c r="EL35" s="5" t="n"/>
      <c r="EM35" s="5" t="n"/>
      <c r="EN35" s="5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</v>
      </c>
      <c r="AA36" s="699" t="n">
        <v>0</v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F36" s="29" t="n"/>
      <c r="CG36" s="29" t="n"/>
      <c r="CH36" s="29" t="n"/>
      <c r="CI36" s="5" t="n"/>
      <c r="CJ36" s="29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5" t="n"/>
      <c r="CV36" s="29" t="n"/>
      <c r="CW36" s="29" t="n"/>
      <c r="CX36" s="29" t="n"/>
      <c r="CZ36" s="29" t="n"/>
      <c r="DA36" s="29" t="n"/>
      <c r="DB36" s="29" t="n"/>
      <c r="DC36" s="5" t="n"/>
      <c r="DD36" s="5" t="n"/>
      <c r="DE36" s="29" t="n"/>
      <c r="DF36" s="5" t="n"/>
      <c r="DG36" s="29" t="n"/>
      <c r="DH36" s="29" t="n"/>
      <c r="DI36" s="5" t="n"/>
      <c r="DJ36" s="29" t="n"/>
      <c r="DK36" s="29" t="n"/>
      <c r="DL36" s="29" t="n"/>
      <c r="DM36" s="327" t="n"/>
      <c r="DP36" s="327" t="n"/>
      <c r="DR36" s="327" t="n"/>
      <c r="DS36" s="327" t="n"/>
      <c r="EF36" s="5" t="n"/>
      <c r="EG36" s="5" t="n"/>
      <c r="EH36" s="5" t="n"/>
      <c r="EI36" s="5" t="n"/>
      <c r="EJ36" s="5" t="n"/>
      <c r="EK36" s="5" t="n"/>
      <c r="EL36" s="5" t="n"/>
      <c r="EM36" s="5" t="n"/>
      <c r="EN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F37" s="29" t="n"/>
      <c r="CG37" s="29" t="n"/>
      <c r="CH37" s="29" t="n"/>
      <c r="CI37" s="5" t="n"/>
      <c r="CJ37" s="29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5" t="n"/>
      <c r="CV37" s="29" t="n"/>
      <c r="CW37" s="29" t="n"/>
      <c r="CX37" s="29" t="n"/>
      <c r="CZ37" s="29" t="n"/>
      <c r="DA37" s="29" t="n"/>
      <c r="DB37" s="29" t="n"/>
      <c r="DC37" s="5" t="n"/>
      <c r="DD37" s="5" t="n"/>
      <c r="DE37" s="29" t="n"/>
      <c r="DF37" s="5" t="n"/>
      <c r="DG37" s="29" t="n"/>
      <c r="DH37" s="29" t="n"/>
      <c r="DI37" s="5" t="n"/>
      <c r="DJ37" s="29" t="n"/>
      <c r="DK37" s="29" t="n"/>
      <c r="DL37" s="29" t="n"/>
      <c r="DM37" s="327" t="n"/>
      <c r="DP37" s="327" t="n"/>
      <c r="DR37" s="327" t="n"/>
      <c r="DS37" s="327" t="n"/>
      <c r="EF37" s="5" t="n"/>
      <c r="EG37" s="5" t="n"/>
      <c r="EH37" s="5" t="n"/>
      <c r="EI37" s="5" t="n"/>
      <c r="EJ37" s="5" t="n"/>
      <c r="EK37" s="5" t="n"/>
      <c r="EL37" s="5" t="n"/>
      <c r="EM37" s="5" t="n"/>
      <c r="EN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95</v>
      </c>
      <c r="AA38" s="699">
        <f>85-71</f>
        <v/>
      </c>
      <c r="AB38" s="699" t="n">
        <v>4</v>
      </c>
      <c r="AC38" s="699" t="n">
        <v>4</v>
      </c>
      <c r="AD38" s="699" t="n">
        <v>3</v>
      </c>
      <c r="AE38" s="699" t="n">
        <v>2</v>
      </c>
      <c r="AF38" s="699" t="n">
        <v>2</v>
      </c>
      <c r="AG38" s="699" t="n">
        <v>2</v>
      </c>
      <c r="AH38" s="699" t="n">
        <v>0</v>
      </c>
      <c r="AI38" s="699" t="n">
        <v>0</v>
      </c>
      <c r="AJ38" s="699" t="n">
        <v>0</v>
      </c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F38" s="29" t="n"/>
      <c r="CG38" s="29" t="n"/>
      <c r="CH38" s="29" t="n"/>
      <c r="CI38" s="5" t="n"/>
      <c r="CJ38" s="29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5" t="n"/>
      <c r="CV38" s="29" t="n"/>
      <c r="CW38" s="29" t="n"/>
      <c r="CX38" s="29" t="n"/>
      <c r="CZ38" s="29" t="n"/>
      <c r="DA38" s="29" t="n"/>
      <c r="DB38" s="29" t="n"/>
      <c r="DC38" s="5" t="n"/>
      <c r="DD38" s="5" t="n"/>
      <c r="DE38" s="29" t="n"/>
      <c r="DF38" s="5" t="n"/>
      <c r="DG38" s="29" t="n"/>
      <c r="DH38" s="29" t="n"/>
      <c r="DI38" s="5" t="n"/>
      <c r="DJ38" s="29" t="n"/>
      <c r="DK38" s="29" t="n"/>
      <c r="DL38" s="29" t="n"/>
      <c r="DM38" s="327" t="n"/>
      <c r="DP38" s="327" t="n"/>
      <c r="DR38" s="327" t="n"/>
      <c r="DS38" s="327" t="n"/>
      <c r="EF38" s="5" t="n"/>
      <c r="EG38" s="5" t="n"/>
      <c r="EH38" s="5" t="n"/>
      <c r="EI38" s="5" t="n"/>
      <c r="EJ38" s="5" t="n"/>
      <c r="EK38" s="5" t="n"/>
      <c r="EL38" s="5" t="n"/>
      <c r="EM38" s="5" t="n"/>
      <c r="EN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38</v>
      </c>
      <c r="AA39" s="699">
        <f>33-31</f>
        <v/>
      </c>
      <c r="AB39" s="218" t="n">
        <v>-2</v>
      </c>
      <c r="AC39" s="699" t="n">
        <v>2</v>
      </c>
      <c r="AD39" s="699" t="n">
        <v>2</v>
      </c>
      <c r="AE39" s="699" t="n">
        <v>2</v>
      </c>
      <c r="AF39" s="699" t="n">
        <v>2</v>
      </c>
      <c r="AG39" s="699" t="n">
        <v>2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F39" s="29" t="n"/>
      <c r="CG39" s="29" t="n"/>
      <c r="CH39" s="29" t="n"/>
      <c r="CI39" s="51" t="n"/>
      <c r="CJ39" s="29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5" t="n"/>
      <c r="CV39" s="29" t="n"/>
      <c r="CW39" s="29" t="n"/>
      <c r="CX39" s="29" t="n"/>
      <c r="CZ39" s="29" t="n"/>
      <c r="DA39" s="29" t="n"/>
      <c r="DB39" s="29" t="n"/>
      <c r="DC39" s="5" t="n"/>
      <c r="DD39" s="5" t="n"/>
      <c r="DE39" s="29" t="n"/>
      <c r="DF39" s="5" t="n"/>
      <c r="DG39" s="29" t="n"/>
      <c r="DH39" s="29" t="n"/>
      <c r="DI39" s="5" t="n"/>
      <c r="DJ39" s="29" t="n"/>
      <c r="DK39" s="29" t="n"/>
      <c r="DL39" s="29" t="n"/>
      <c r="DM39" s="327" t="n"/>
      <c r="DP39" s="327" t="n"/>
      <c r="DR39" s="327" t="n"/>
      <c r="DS39" s="327" t="n"/>
      <c r="EF39" s="5" t="n"/>
      <c r="EG39" s="5" t="n"/>
      <c r="EH39" s="5" t="n"/>
      <c r="EI39" s="5" t="n"/>
      <c r="EJ39" s="5" t="n"/>
      <c r="EK39" s="5" t="n"/>
      <c r="EL39" s="5" t="n"/>
      <c r="EM39" s="5" t="n"/>
      <c r="EN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218" t="n"/>
      <c r="AC40" s="699" t="n"/>
      <c r="AD40" s="699" t="n"/>
      <c r="AE40" s="699" t="n"/>
      <c r="AF40" s="699" t="n">
        <v>2</v>
      </c>
      <c r="AG40" s="699" t="n">
        <v>1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F40" s="29" t="n"/>
      <c r="CG40" s="29" t="n"/>
      <c r="CH40" s="29" t="n"/>
      <c r="CI40" s="51" t="n"/>
      <c r="CJ40" s="29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5" t="n"/>
      <c r="CV40" s="29" t="n"/>
      <c r="CW40" s="29" t="n"/>
      <c r="CX40" s="29" t="n"/>
      <c r="CZ40" s="29" t="n"/>
      <c r="DA40" s="29" t="n"/>
      <c r="DB40" s="29" t="n"/>
      <c r="DC40" s="5" t="n"/>
      <c r="DD40" s="5" t="n"/>
      <c r="DE40" s="29" t="n"/>
      <c r="DF40" s="5" t="n"/>
      <c r="DG40" s="29" t="n"/>
      <c r="DH40" s="29" t="n"/>
      <c r="DI40" s="5" t="n"/>
      <c r="DJ40" s="29" t="n"/>
      <c r="DK40" s="29" t="n"/>
      <c r="DL40" s="29" t="n"/>
      <c r="DM40" s="327" t="n"/>
      <c r="DP40" s="327" t="n"/>
      <c r="DR40" s="327" t="n"/>
      <c r="DS40" s="327" t="n"/>
      <c r="EF40" s="5" t="n"/>
      <c r="EG40" s="5" t="n"/>
      <c r="EH40" s="5" t="n"/>
      <c r="EI40" s="5" t="n"/>
      <c r="EJ40" s="5" t="n"/>
      <c r="EK40" s="5" t="n"/>
      <c r="EL40" s="5" t="n"/>
      <c r="EM40" s="5" t="n"/>
      <c r="EN40" s="5" t="n"/>
    </row>
    <row r="41" hidden="1">
      <c r="A41" s="400" t="inlineStr">
        <is>
          <t>CARTUCHO M NAMO/25</t>
        </is>
      </c>
      <c r="B41" s="357" t="n">
        <v>150</v>
      </c>
      <c r="C41" s="771" t="n">
        <v>289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/>
      <c r="AA41" s="699" t="n"/>
      <c r="AB41" s="218" t="n"/>
      <c r="AC41" s="699" t="n"/>
      <c r="AD41" s="699" t="n"/>
      <c r="AE41" s="699" t="n"/>
      <c r="AF41" s="699" t="n">
        <v>3</v>
      </c>
      <c r="AG41" s="699" t="n">
        <v>3</v>
      </c>
      <c r="AH41" s="699" t="n">
        <v>1</v>
      </c>
      <c r="AI41" s="699" t="n">
        <v>1</v>
      </c>
      <c r="AJ41" s="699" t="n">
        <v>1</v>
      </c>
      <c r="AK41" s="699" t="n">
        <v>1</v>
      </c>
      <c r="AL41" s="699" t="n">
        <v>1</v>
      </c>
      <c r="AM41" s="699" t="n">
        <v>1</v>
      </c>
      <c r="AN41" s="699" t="n">
        <v>1</v>
      </c>
      <c r="AO41" s="699" t="n">
        <v>1</v>
      </c>
      <c r="AP41" s="699" t="n">
        <v>-1</v>
      </c>
      <c r="AQ41" s="699" t="n">
        <v>-1</v>
      </c>
      <c r="AR41" s="699" t="n">
        <v>0</v>
      </c>
      <c r="AS41" s="699" t="n">
        <v>0</v>
      </c>
      <c r="AT41" s="699" t="n">
        <v>0</v>
      </c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F41" s="29" t="n"/>
      <c r="CG41" s="29" t="n"/>
      <c r="CH41" s="29" t="n"/>
      <c r="CI41" s="573" t="n"/>
      <c r="CJ41" s="29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5" t="n"/>
      <c r="CV41" s="29" t="n"/>
      <c r="CW41" s="29" t="n"/>
      <c r="CX41" s="29" t="n"/>
      <c r="CZ41" s="29" t="n"/>
      <c r="DA41" s="29" t="n"/>
      <c r="DB41" s="29" t="n"/>
      <c r="DC41" s="5" t="n"/>
      <c r="DD41" s="5" t="n"/>
      <c r="DE41" s="29" t="n"/>
      <c r="DF41" s="51" t="n"/>
      <c r="DG41" s="29" t="n"/>
      <c r="DH41" s="29" t="n"/>
      <c r="DI41" s="5" t="n"/>
      <c r="DJ41" s="29" t="n"/>
      <c r="DK41" s="29" t="n"/>
      <c r="DL41" s="29" t="n"/>
      <c r="DM41" s="327" t="n"/>
      <c r="DP41" s="327" t="n"/>
      <c r="DR41" s="327" t="n"/>
      <c r="DS41" s="327" t="n"/>
      <c r="EF41" s="573" t="n"/>
      <c r="EG41" s="573" t="n"/>
      <c r="EH41" s="573" t="n"/>
      <c r="EI41" s="573" t="n"/>
      <c r="EJ41" s="573" t="n"/>
      <c r="EK41" s="573" t="n"/>
      <c r="EL41" s="573" t="n"/>
      <c r="EM41" s="573" t="n"/>
      <c r="EN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28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3</v>
      </c>
      <c r="AP42" s="699" t="n">
        <v>2</v>
      </c>
      <c r="AQ42" s="699" t="n">
        <v>2</v>
      </c>
      <c r="AR42" s="699" t="n">
        <v>2</v>
      </c>
      <c r="AS42" s="699" t="n">
        <v>2</v>
      </c>
      <c r="AT42" s="699" t="n">
        <v>1</v>
      </c>
      <c r="AU42" s="699" t="n">
        <v>0</v>
      </c>
      <c r="AV42" s="699" t="n">
        <v>0</v>
      </c>
      <c r="AW42" s="699" t="n">
        <v>0</v>
      </c>
      <c r="AX42" s="699" t="n">
        <v>0</v>
      </c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F42" s="29" t="n"/>
      <c r="CG42" s="29" t="n"/>
      <c r="CH42" s="29" t="n"/>
      <c r="CI42" s="573" t="n"/>
      <c r="CJ42" s="29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5" t="n"/>
      <c r="CV42" s="29" t="n"/>
      <c r="CW42" s="29" t="n"/>
      <c r="CX42" s="29" t="n"/>
      <c r="CZ42" s="29" t="n"/>
      <c r="DA42" s="29" t="n"/>
      <c r="DB42" s="29" t="n"/>
      <c r="DC42" s="5" t="n"/>
      <c r="DD42" s="5" t="n"/>
      <c r="DE42" s="29" t="n"/>
      <c r="DF42" s="51" t="n"/>
      <c r="DG42" s="29" t="n"/>
      <c r="DH42" s="29" t="n"/>
      <c r="DI42" s="5" t="n"/>
      <c r="DJ42" s="29" t="n"/>
      <c r="DK42" s="29" t="n"/>
      <c r="DL42" s="29" t="n"/>
      <c r="DM42" s="327" t="n"/>
      <c r="DP42" s="327" t="n"/>
      <c r="DR42" s="327" t="n"/>
      <c r="DS42" s="327" t="n"/>
      <c r="EF42" s="573" t="n"/>
      <c r="EG42" s="573" t="n"/>
      <c r="EH42" s="573" t="n"/>
      <c r="EI42" s="573" t="n"/>
      <c r="EJ42" s="573" t="n"/>
      <c r="EK42" s="573" t="n"/>
      <c r="EL42" s="573" t="n"/>
      <c r="EM42" s="573" t="n"/>
      <c r="EN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28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F43" s="29" t="n"/>
      <c r="CG43" s="29" t="n"/>
      <c r="CH43" s="29" t="n"/>
      <c r="CI43" s="573" t="n"/>
      <c r="CJ43" s="29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5" t="n"/>
      <c r="CV43" s="29" t="n"/>
      <c r="CW43" s="29" t="n"/>
      <c r="CX43" s="29" t="n"/>
      <c r="CZ43" s="29" t="n"/>
      <c r="DA43" s="29" t="n"/>
      <c r="DB43" s="29" t="n"/>
      <c r="DC43" s="5" t="n"/>
      <c r="DD43" s="5" t="n"/>
      <c r="DE43" s="29" t="n"/>
      <c r="DF43" s="51" t="n"/>
      <c r="DG43" s="29" t="n"/>
      <c r="DH43" s="29" t="n"/>
      <c r="DI43" s="5" t="n"/>
      <c r="DJ43" s="29" t="n"/>
      <c r="DK43" s="29" t="n"/>
      <c r="DL43" s="29" t="n"/>
      <c r="DM43" s="327" t="n"/>
      <c r="DP43" s="327" t="n"/>
      <c r="DR43" s="327" t="n"/>
      <c r="DS43" s="327" t="n"/>
      <c r="EF43" s="573" t="n"/>
      <c r="EG43" s="573" t="n"/>
      <c r="EH43" s="573" t="n"/>
      <c r="EI43" s="573" t="n"/>
      <c r="EJ43" s="573" t="n"/>
      <c r="EK43" s="573" t="n"/>
      <c r="EL43" s="573" t="n"/>
      <c r="EM43" s="573" t="n"/>
      <c r="EN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428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9</v>
      </c>
      <c r="AP44" s="699" t="n">
        <v>0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/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F44" s="29" t="n"/>
      <c r="CG44" s="29" t="n"/>
      <c r="CH44" s="29" t="n"/>
      <c r="CI44" s="573" t="n"/>
      <c r="CJ44" s="29" t="n"/>
      <c r="CK44" s="29" t="n"/>
      <c r="CL44" s="29" t="n"/>
      <c r="CM44" s="29" t="n"/>
      <c r="CN44" s="29" t="n"/>
      <c r="CO44" s="29" t="n"/>
      <c r="CP44" s="29" t="n"/>
      <c r="CQ44" s="29" t="n"/>
      <c r="CR44" s="29" t="n"/>
      <c r="CS44" s="29" t="n"/>
      <c r="CT44" s="29" t="n"/>
      <c r="CU44" s="5" t="n"/>
      <c r="CV44" s="29" t="n"/>
      <c r="CW44" s="29" t="n"/>
      <c r="CX44" s="29" t="n"/>
      <c r="CZ44" s="29" t="n"/>
      <c r="DA44" s="29" t="n"/>
      <c r="DB44" s="29" t="n"/>
      <c r="DC44" s="5" t="n"/>
      <c r="DD44" s="5" t="n"/>
      <c r="DE44" s="29" t="n"/>
      <c r="DF44" s="51" t="n"/>
      <c r="DG44" s="29" t="n"/>
      <c r="DH44" s="29" t="n"/>
      <c r="DI44" s="5" t="n"/>
      <c r="DJ44" s="29" t="n"/>
      <c r="DK44" s="29" t="n"/>
      <c r="DL44" s="29" t="n"/>
      <c r="DM44" s="327" t="n"/>
      <c r="DP44" s="327" t="n"/>
      <c r="DR44" s="327" t="n"/>
      <c r="DS44" s="327" t="n"/>
      <c r="EF44" s="573" t="n"/>
      <c r="EG44" s="573" t="n"/>
      <c r="EH44" s="573" t="n"/>
      <c r="EI44" s="573" t="n"/>
      <c r="EJ44" s="573" t="n"/>
      <c r="EK44" s="573" t="n"/>
      <c r="EL44" s="573" t="n"/>
      <c r="EM44" s="573" t="n"/>
      <c r="EN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428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1</v>
      </c>
      <c r="AP45" s="699" t="n">
        <v>0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/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F45" s="29" t="n"/>
      <c r="CG45" s="29" t="n"/>
      <c r="CH45" s="29" t="n"/>
      <c r="CJ45" s="29" t="n"/>
      <c r="CK45" s="29" t="n"/>
      <c r="CL45" s="29" t="n"/>
      <c r="CM45" s="29" t="n"/>
      <c r="CN45" s="29" t="n"/>
      <c r="CO45" s="29" t="n"/>
      <c r="CP45" s="29" t="n"/>
      <c r="CQ45" s="29" t="n"/>
      <c r="CR45" s="29" t="n"/>
      <c r="CS45" s="29" t="n"/>
      <c r="CT45" s="29" t="n"/>
      <c r="CU45" s="51" t="n"/>
      <c r="CV45" s="29" t="n"/>
      <c r="CW45" s="29" t="n"/>
      <c r="CX45" s="29" t="n"/>
      <c r="CZ45" s="29" t="n"/>
      <c r="DA45" s="29" t="n"/>
      <c r="DB45" s="29" t="n"/>
      <c r="DC45" s="5" t="n"/>
      <c r="DD45" s="5" t="n"/>
      <c r="DE45" s="29" t="n"/>
      <c r="DF45" s="51" t="n"/>
      <c r="DG45" s="29" t="n"/>
      <c r="DH45" s="29" t="n"/>
      <c r="DI45" s="5" t="n"/>
      <c r="DJ45" s="29" t="n"/>
      <c r="DK45" s="29" t="n"/>
      <c r="DL45" s="29" t="n"/>
      <c r="DM45" s="327" t="n"/>
      <c r="DP45" s="327" t="n"/>
      <c r="DR45" s="327" t="n"/>
      <c r="DS45" s="327" t="n"/>
    </row>
    <row r="46" hidden="1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87</v>
      </c>
      <c r="BE46" s="699" t="n">
        <v>82</v>
      </c>
      <c r="BF46" s="699" t="n">
        <v>73</v>
      </c>
      <c r="BG46" s="699" t="n">
        <v>19</v>
      </c>
      <c r="BH46" s="699" t="n">
        <v>15</v>
      </c>
      <c r="BI46" s="699" t="n">
        <v>11</v>
      </c>
      <c r="BJ46" s="699" t="n">
        <v>8</v>
      </c>
      <c r="BK46" s="699" t="n">
        <v>6</v>
      </c>
      <c r="BL46" s="699" t="n">
        <v>1</v>
      </c>
      <c r="BM46" s="699" t="n">
        <v>1</v>
      </c>
      <c r="BN46" s="699" t="n">
        <v>1</v>
      </c>
      <c r="BO46" s="699" t="n">
        <v>1</v>
      </c>
      <c r="BP46" s="699" t="n">
        <v>0</v>
      </c>
      <c r="BQ46" s="699" t="n">
        <v>0</v>
      </c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U46" s="51" t="n"/>
      <c r="DC46" s="51" t="n"/>
      <c r="DD46" s="51" t="n"/>
      <c r="DF46" s="51" t="n"/>
      <c r="DI46" s="51" t="n"/>
      <c r="DM46" s="327" t="n"/>
      <c r="DN46" s="173" t="n"/>
      <c r="DO46" s="173" t="n"/>
      <c r="DP46" s="327" t="n"/>
      <c r="DR46" s="327" t="n"/>
      <c r="DS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72</v>
      </c>
      <c r="BE47" s="699" t="n">
        <v>61</v>
      </c>
      <c r="BF47" s="699" t="n">
        <v>33</v>
      </c>
      <c r="BG47" s="699" t="n">
        <v>28</v>
      </c>
      <c r="BH47" s="699" t="n">
        <v>17</v>
      </c>
      <c r="BI47" s="699" t="n">
        <v>12</v>
      </c>
      <c r="BJ47" s="699" t="n">
        <v>10</v>
      </c>
      <c r="BK47" s="699" t="n">
        <v>7</v>
      </c>
      <c r="BL47" s="699" t="n">
        <v>10</v>
      </c>
      <c r="BM47" s="699" t="n">
        <v>9</v>
      </c>
      <c r="BN47" s="699" t="n">
        <v>9</v>
      </c>
      <c r="BO47" s="699" t="n">
        <v>8</v>
      </c>
      <c r="BP47" s="699" t="n">
        <v>6</v>
      </c>
      <c r="BQ47" s="699" t="n">
        <v>4</v>
      </c>
      <c r="BR47" s="699" t="n">
        <v>2</v>
      </c>
      <c r="BS47" s="699" t="n">
        <v>2</v>
      </c>
      <c r="BT47" s="699" t="n">
        <v>1</v>
      </c>
      <c r="BU47" s="699" t="n">
        <v>1</v>
      </c>
      <c r="BV47" s="699" t="n">
        <v>1</v>
      </c>
      <c r="BW47" s="699" t="n">
        <v>1</v>
      </c>
      <c r="BX47" s="699" t="n">
        <v>1</v>
      </c>
      <c r="BY47" s="699" t="n">
        <v>0</v>
      </c>
      <c r="BZ47" s="192">
        <f>BX47+IF(NOT(ISBLANK(OFFSET(BZ47,0,6))),N(OFFSET(BZ47,0,6)),N(OFFSET(BZ47,0,7)))-BY47</f>
        <v/>
      </c>
      <c r="CI47" s="5" t="n"/>
      <c r="CU47" s="51" t="n"/>
      <c r="DC47" s="51" t="n"/>
      <c r="DD47" s="51" t="n"/>
      <c r="DF47" s="51" t="n"/>
      <c r="DI47" s="51" t="n"/>
      <c r="DM47" s="327" t="n"/>
      <c r="DN47" s="173" t="n"/>
      <c r="DO47" s="173" t="n"/>
      <c r="DP47" s="327" t="n"/>
      <c r="DR47" s="327" t="n"/>
      <c r="DS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135</v>
      </c>
      <c r="BE48" s="699" t="n">
        <v>62</v>
      </c>
      <c r="BF48" s="699" t="n">
        <v>9</v>
      </c>
      <c r="BG48" s="699" t="n">
        <v>11</v>
      </c>
      <c r="BH48" s="699" t="n">
        <v>10</v>
      </c>
      <c r="BI48" s="699" t="n">
        <v>10</v>
      </c>
      <c r="BJ48" s="699" t="n">
        <v>6</v>
      </c>
      <c r="BK48" s="699" t="n">
        <v>5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>
        <v>0</v>
      </c>
      <c r="BQ48" s="699" t="n">
        <v>0</v>
      </c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U48" s="51" t="n"/>
      <c r="DC48" s="51" t="n"/>
      <c r="DD48" s="51" t="n"/>
      <c r="DF48" s="51" t="n"/>
      <c r="DI48" s="51" t="n"/>
      <c r="DM48" s="327" t="n"/>
      <c r="DN48" s="173" t="n"/>
      <c r="DO48" s="173" t="n"/>
      <c r="DP48" s="327" t="n"/>
      <c r="DR48" s="327" t="n"/>
      <c r="DS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116</v>
      </c>
      <c r="BE49" s="699" t="n">
        <v>56</v>
      </c>
      <c r="BF49" s="699" t="n">
        <v>26</v>
      </c>
      <c r="BG49" s="699" t="n">
        <v>17</v>
      </c>
      <c r="BH49" s="699" t="n">
        <v>12</v>
      </c>
      <c r="BI49" s="699" t="n">
        <v>7</v>
      </c>
      <c r="BJ49" s="699" t="n">
        <v>7</v>
      </c>
      <c r="BK49" s="699" t="n">
        <v>5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U49" s="51" t="n"/>
      <c r="DC49" s="51" t="n"/>
      <c r="DD49" s="51" t="n"/>
      <c r="DF49" s="51" t="n"/>
      <c r="DI49" s="51" t="n"/>
      <c r="DM49" s="327" t="n"/>
      <c r="DN49" s="173" t="n"/>
      <c r="DO49" s="173" t="n"/>
      <c r="DP49" s="327" t="n"/>
      <c r="DR49" s="327" t="n"/>
      <c r="DS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>
        <v>0</v>
      </c>
      <c r="BG50" s="699" t="n">
        <v>0</v>
      </c>
      <c r="BH50" s="699" t="n">
        <v>0</v>
      </c>
      <c r="BI50" s="699" t="n">
        <v>0</v>
      </c>
      <c r="BJ50" s="699" t="n">
        <v>0</v>
      </c>
      <c r="BK50" s="699" t="n">
        <v>0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>
        <v>0</v>
      </c>
      <c r="BQ50" s="699" t="n">
        <v>0</v>
      </c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U50" s="51" t="n"/>
      <c r="DC50" s="51" t="n"/>
      <c r="DD50" s="51" t="n"/>
      <c r="DF50" s="51" t="n"/>
      <c r="DI50" s="51" t="n"/>
      <c r="DM50" s="327" t="n"/>
      <c r="DN50" s="173" t="n"/>
      <c r="DO50" s="173" t="n"/>
      <c r="DP50" s="327" t="n"/>
      <c r="DR50" s="327" t="n"/>
      <c r="DS50" s="327" t="n"/>
    </row>
    <row r="51">
      <c r="C51" s="726" t="n"/>
      <c r="CU51" s="51" t="n"/>
      <c r="DC51" s="51" t="n"/>
      <c r="DD51" s="51" t="n"/>
      <c r="DF51" s="51" t="n"/>
      <c r="DI51" s="51" t="n"/>
      <c r="DM51" s="327" t="n"/>
      <c r="DN51" s="173" t="n"/>
      <c r="DO51" s="173" t="n"/>
      <c r="DP51" s="327" t="n"/>
      <c r="DR51" s="327" t="n"/>
      <c r="DS51" s="327" t="n"/>
    </row>
    <row r="52">
      <c r="C52" s="726" t="n"/>
      <c r="CU52" s="51" t="n"/>
      <c r="DC52" s="51" t="n"/>
      <c r="DD52" s="51" t="n"/>
      <c r="DF52" s="51" t="n"/>
      <c r="DI52" s="51" t="n"/>
      <c r="DM52" s="327" t="n"/>
      <c r="DN52" s="173" t="n"/>
      <c r="DO52" s="173" t="n"/>
      <c r="DP52" s="327" t="n"/>
      <c r="DR52" s="327" t="n"/>
      <c r="DS52" s="327" t="n"/>
    </row>
    <row r="53">
      <c r="C53" s="726" t="n"/>
      <c r="CU53" s="51" t="n"/>
      <c r="DC53" s="51" t="n"/>
      <c r="DD53" s="51" t="n"/>
      <c r="DF53" s="51" t="n"/>
      <c r="DI53" s="51" t="n"/>
      <c r="DM53" s="327" t="n"/>
      <c r="DN53" s="173" t="n"/>
      <c r="DO53" s="173" t="n"/>
      <c r="DP53" s="327" t="n"/>
      <c r="DR53" s="327" t="n"/>
      <c r="DS53" s="327" t="n"/>
    </row>
    <row r="54">
      <c r="C54" s="726" t="n"/>
      <c r="CF54" s="59" t="n"/>
      <c r="CG54" s="59" t="n"/>
      <c r="CH54" s="59" t="n"/>
      <c r="CJ54" s="59" t="n"/>
      <c r="CK54" s="59" t="n"/>
      <c r="CU54" s="51" t="n"/>
      <c r="DC54" s="51" t="n"/>
      <c r="DD54" s="51" t="n"/>
      <c r="DF54" s="51" t="n"/>
      <c r="DI54" s="51" t="n"/>
      <c r="DM54" s="327" t="n"/>
      <c r="DN54" s="173" t="n"/>
      <c r="DO54" s="173" t="n"/>
      <c r="DP54" s="327" t="n"/>
      <c r="DR54" s="327" t="n"/>
      <c r="DS54" s="327" t="n"/>
    </row>
    <row r="55" ht="21" customHeight="1">
      <c r="A55" s="380" t="inlineStr">
        <is>
          <t>SOBRAS DATAS COMEMORATIVAS</t>
        </is>
      </c>
      <c r="B55" s="380" t="n"/>
      <c r="C55" s="380" t="n"/>
      <c r="CF55" s="573" t="n"/>
      <c r="CG55" s="573" t="n"/>
      <c r="CH55" s="573" t="n"/>
      <c r="CJ55" s="573" t="n"/>
      <c r="CK55" s="573" t="n"/>
      <c r="CU55" s="573" t="n"/>
      <c r="CX55" s="59" t="n"/>
      <c r="CY55" s="173" t="n"/>
      <c r="CZ55" s="59" t="n"/>
      <c r="DA55" s="59" t="n"/>
      <c r="DB55" s="59" t="n"/>
      <c r="DC55" s="51" t="n"/>
      <c r="DD55" s="51" t="n"/>
      <c r="DF55" s="573" t="n"/>
      <c r="DH55" s="59" t="n"/>
      <c r="DI55" s="51" t="n"/>
      <c r="DM55" s="327" t="n"/>
      <c r="DN55" s="174" t="n"/>
      <c r="DO55" s="174" t="n"/>
      <c r="DP55" s="327" t="n"/>
      <c r="DR55" s="327" t="n"/>
      <c r="DS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CF56" s="573" t="n"/>
      <c r="CG56" s="573" t="n"/>
      <c r="CH56" s="573" t="n"/>
      <c r="CJ56" s="573" t="n"/>
      <c r="CK56" s="573" t="n"/>
      <c r="CU56" s="573" t="n"/>
      <c r="CX56" s="573" t="n"/>
      <c r="CY56" s="174" t="n"/>
      <c r="CZ56" s="573" t="n"/>
      <c r="DA56" s="573" t="n"/>
      <c r="DB56" s="573" t="n"/>
      <c r="DC56" s="573" t="n"/>
      <c r="DD56" s="573" t="n"/>
      <c r="DF56" s="573" t="n"/>
      <c r="DH56" s="573" t="n"/>
      <c r="DI56" s="573" t="n"/>
      <c r="DJ56" s="59" t="n"/>
      <c r="DK56" s="59" t="n"/>
      <c r="DL56" s="59" t="n"/>
      <c r="DM56" s="327" t="n"/>
      <c r="DN56" s="174" t="n"/>
      <c r="DO56" s="174" t="n"/>
      <c r="DP56" s="327" t="n"/>
      <c r="DR56" s="327" t="n"/>
      <c r="DS56" s="327" t="n"/>
    </row>
    <row r="57">
      <c r="A57" s="170" t="inlineStr">
        <is>
          <t>OVERBAG G PAIS/22</t>
        </is>
      </c>
      <c r="B57" s="171" t="n"/>
      <c r="C57" s="172" t="n">
        <v>20</v>
      </c>
      <c r="CM57" s="59" t="n"/>
      <c r="CN57" s="59" t="n"/>
      <c r="CO57" s="59" t="n"/>
      <c r="CP57" s="59" t="n"/>
      <c r="CQ57" s="59" t="n"/>
      <c r="CR57" s="59" t="n"/>
      <c r="CS57" s="59" t="n"/>
      <c r="CT57" s="59" t="n"/>
      <c r="CU57" s="573" t="n"/>
      <c r="CV57" s="59" t="n"/>
      <c r="CW57" s="59" t="n"/>
      <c r="CX57" s="573" t="n"/>
      <c r="CY57" s="174" t="n"/>
      <c r="CZ57" s="573" t="n"/>
      <c r="DA57" s="573" t="n"/>
      <c r="DB57" s="573" t="n"/>
      <c r="DC57" s="573" t="n"/>
      <c r="DD57" s="573" t="n"/>
      <c r="DF57" s="573" t="n"/>
      <c r="DH57" s="573" t="n"/>
      <c r="DI57" s="573" t="n"/>
      <c r="DJ57" s="573" t="n"/>
      <c r="DK57" s="573" t="n"/>
      <c r="DL57" s="573" t="n"/>
      <c r="DM57" s="327" t="n"/>
      <c r="DP57" s="327" t="n"/>
      <c r="DQ57" s="59" t="n"/>
      <c r="DR57" s="327" t="n"/>
      <c r="DS57" s="327" t="n"/>
      <c r="DT57" s="59" t="n"/>
      <c r="DU57" s="59" t="n"/>
      <c r="DV57" s="59" t="n"/>
      <c r="DW57" s="59" t="n"/>
      <c r="DX57" s="59" t="n"/>
      <c r="DY57" s="59" t="n"/>
      <c r="DZ57" s="59" t="n"/>
      <c r="EA57" s="59" t="n"/>
      <c r="EB57" s="59" t="n"/>
      <c r="ED57" s="59" t="n"/>
    </row>
    <row r="58">
      <c r="A58" s="172" t="n"/>
      <c r="B58" s="171" t="n"/>
      <c r="C58" s="172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CB58" s="573" t="n"/>
      <c r="CM58" s="573" t="n"/>
      <c r="CN58" s="573" t="n"/>
      <c r="CO58" s="573" t="n"/>
      <c r="CP58" s="573" t="n"/>
      <c r="CQ58" s="573" t="n"/>
      <c r="CR58" s="573" t="n"/>
      <c r="CS58" s="573" t="n"/>
      <c r="CT58" s="573" t="n"/>
      <c r="CU58" s="573" t="n"/>
      <c r="CV58" s="573" t="n"/>
      <c r="CW58" s="573" t="n"/>
      <c r="DC58" s="573" t="n"/>
      <c r="DD58" s="573" t="n"/>
      <c r="DE58" s="59" t="n"/>
      <c r="DF58" s="573" t="n"/>
      <c r="DG58" s="59" t="n"/>
      <c r="DI58" s="573" t="n"/>
      <c r="DJ58" s="573" t="n"/>
      <c r="DK58" s="573" t="n"/>
      <c r="DL58" s="573" t="n"/>
      <c r="DM58" s="327" t="n"/>
      <c r="DP58" s="327" t="n"/>
      <c r="DQ58" s="573" t="n"/>
      <c r="DR58" s="327" t="n"/>
      <c r="DS58" s="327" t="n"/>
      <c r="DT58" s="573" t="n"/>
      <c r="DU58" s="573" t="n"/>
      <c r="DV58" s="573" t="n"/>
      <c r="DW58" s="573" t="n"/>
      <c r="DX58" s="573" t="n"/>
      <c r="DY58" s="573" t="n"/>
      <c r="DZ58" s="573" t="n"/>
      <c r="EA58" s="573" t="n"/>
      <c r="EB58" s="573" t="n"/>
      <c r="EC58" s="573" t="n"/>
      <c r="ED58" s="573" t="n"/>
    </row>
    <row r="59">
      <c r="A59" s="175" t="inlineStr">
        <is>
          <t>ADESIVOS NAMORADOS/23</t>
        </is>
      </c>
      <c r="B59" s="171" t="n"/>
      <c r="C59" s="172" t="n">
        <v>46</v>
      </c>
      <c r="CB59" s="573" t="n"/>
      <c r="CM59" s="573" t="n"/>
      <c r="CN59" s="573" t="n"/>
      <c r="CO59" s="573" t="n"/>
      <c r="CP59" s="573" t="n"/>
      <c r="CQ59" s="573" t="n"/>
      <c r="CR59" s="573" t="n"/>
      <c r="CS59" s="573" t="n"/>
      <c r="CT59" s="573" t="n"/>
      <c r="CU59" s="573" t="n"/>
      <c r="CV59" s="573" t="n"/>
      <c r="CW59" s="573" t="n"/>
      <c r="DC59" s="573" t="n"/>
      <c r="DD59" s="573" t="n"/>
      <c r="DE59" s="573" t="n"/>
      <c r="DF59" s="573" t="n"/>
      <c r="DG59" s="573" t="n"/>
      <c r="DI59" s="573" t="n"/>
      <c r="DM59" s="327" t="n"/>
      <c r="DP59" s="327" t="n"/>
      <c r="DQ59" s="573" t="n"/>
      <c r="DR59" s="327" t="n"/>
      <c r="DS59" s="327" t="n"/>
      <c r="DT59" s="573" t="n"/>
      <c r="DU59" s="573" t="n"/>
      <c r="DV59" s="573" t="n"/>
      <c r="DW59" s="573" t="n"/>
      <c r="DX59" s="573" t="n"/>
      <c r="DY59" s="573" t="n"/>
      <c r="DZ59" s="573" t="n"/>
      <c r="EA59" s="573" t="n"/>
      <c r="EB59" s="573" t="n"/>
      <c r="EC59" s="573" t="n"/>
      <c r="ED59" s="573" t="n"/>
    </row>
    <row r="60">
      <c r="A60" s="175" t="inlineStr">
        <is>
          <t>TAG NAMORADOS/2023</t>
        </is>
      </c>
      <c r="B60" s="171" t="n"/>
      <c r="C60" s="172" t="n">
        <v>150</v>
      </c>
      <c r="CB60" s="573" t="n"/>
      <c r="CU60" s="5" t="n"/>
      <c r="DC60" s="573" t="n"/>
      <c r="DD60" s="573" t="n"/>
      <c r="DE60" s="573" t="n"/>
      <c r="DF60" s="573" t="n"/>
      <c r="DG60" s="573" t="n"/>
      <c r="DI60" s="573" t="n"/>
      <c r="DM60" s="327" t="n"/>
      <c r="DP60" s="327" t="n"/>
      <c r="DQ60" s="573" t="n"/>
      <c r="DR60" s="327" t="n"/>
      <c r="DS60" s="327" t="n"/>
      <c r="DT60" s="573" t="n"/>
      <c r="DU60" s="573" t="n"/>
      <c r="DV60" s="573" t="n"/>
      <c r="DW60" s="573" t="n"/>
      <c r="DX60" s="573" t="n"/>
      <c r="DY60" s="573" t="n"/>
      <c r="DZ60" s="573" t="n"/>
      <c r="EA60" s="573" t="n"/>
      <c r="EB60" s="573" t="n"/>
      <c r="EC60" s="573" t="n"/>
      <c r="ED60" s="573" t="n"/>
    </row>
    <row r="61">
      <c r="CB61" s="573" t="n"/>
      <c r="CU61" s="41" t="n"/>
      <c r="DC61" s="573" t="n"/>
      <c r="DD61" s="573" t="n"/>
      <c r="DF61" s="573" t="n"/>
      <c r="DI61" s="573" t="n"/>
      <c r="DM61" s="327" t="n"/>
      <c r="DN61" s="5" t="n"/>
      <c r="DO61" s="5" t="n"/>
      <c r="DP61" s="327" t="n"/>
      <c r="DR61" s="327" t="n"/>
      <c r="DS61" s="327" t="n"/>
      <c r="EC61" s="573" t="n"/>
    </row>
    <row r="62">
      <c r="A62" s="485" t="inlineStr">
        <is>
          <t>FLACONETES</t>
        </is>
      </c>
      <c r="B62" s="486" t="n"/>
      <c r="C62" s="487" t="n"/>
      <c r="D62" s="487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46092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CB62" s="68" t="n"/>
      <c r="CU62" s="41" t="n"/>
      <c r="CY62" s="5" t="n"/>
      <c r="DC62" s="573" t="n"/>
      <c r="DD62" s="573" t="n"/>
      <c r="DF62" s="573" t="n"/>
      <c r="DI62" s="573" t="n"/>
      <c r="DM62" s="327" t="n"/>
      <c r="DN62" s="5" t="n"/>
      <c r="DO62" s="5" t="n"/>
      <c r="DP62" s="327" t="n"/>
      <c r="DR62" s="327" t="n"/>
      <c r="DS62" s="327" t="n"/>
      <c r="EC62" s="573" t="n"/>
    </row>
    <row r="63" hidden="1" ht="18.75" customHeight="1">
      <c r="A63" s="482" t="inlineStr">
        <is>
          <t xml:space="preserve">214 FUJI WOMAN </t>
        </is>
      </c>
      <c r="B63" s="483" t="n"/>
      <c r="C63" s="484" t="n"/>
      <c r="D63" s="484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CB63" s="68" t="n"/>
      <c r="CY63" s="5" t="n"/>
      <c r="DC63" s="573" t="n"/>
      <c r="DD63" s="573" t="n"/>
      <c r="DF63" s="5" t="n"/>
      <c r="DI63" s="573" t="n"/>
      <c r="DM63" s="327" t="n"/>
      <c r="DN63" s="5" t="n"/>
      <c r="DO63" s="5" t="n"/>
      <c r="DP63" s="327" t="n"/>
      <c r="DR63" s="327" t="n"/>
      <c r="DS63" s="327" t="n"/>
      <c r="EC63" s="5" t="n"/>
    </row>
    <row r="64" hidden="1" ht="18.75" customHeight="1">
      <c r="A64" s="482" t="inlineStr">
        <is>
          <t>214 FUJI MAN</t>
        </is>
      </c>
      <c r="B64" s="483" t="n"/>
      <c r="C64" s="484" t="n"/>
      <c r="D64" s="484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CY64" s="5" t="n"/>
      <c r="DC64" s="5" t="n"/>
      <c r="DD64" s="5" t="n"/>
      <c r="DF64" s="5" t="n"/>
      <c r="DI64" s="5" t="n"/>
      <c r="DM64" s="327" t="n"/>
      <c r="DN64" s="5" t="n"/>
      <c r="DO64" s="5" t="n"/>
      <c r="DP64" s="327" t="n"/>
      <c r="DR64" s="327" t="n"/>
      <c r="DS64" s="327" t="n"/>
      <c r="EC64" s="5" t="n"/>
    </row>
    <row r="65" hidden="1" ht="18.75" customHeight="1">
      <c r="A65" s="482" t="inlineStr">
        <is>
          <t xml:space="preserve">LIZ INTENSO </t>
        </is>
      </c>
      <c r="B65" s="483" t="n"/>
      <c r="C65" s="484" t="n"/>
      <c r="D65" s="484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Y65" s="5" t="n"/>
      <c r="DC65" s="5" t="n"/>
      <c r="DD65" s="5" t="n"/>
      <c r="DF65" s="41" t="n"/>
      <c r="DI65" s="5" t="n"/>
      <c r="DM65" s="327" t="n"/>
      <c r="DN65" s="5" t="n"/>
      <c r="DO65" s="5" t="n"/>
      <c r="DP65" s="327" t="n"/>
      <c r="DR65" s="327" t="n"/>
      <c r="DS65" s="327" t="n"/>
      <c r="EC65" s="41" t="n"/>
    </row>
    <row r="66" hidden="1" ht="18.75" customHeight="1">
      <c r="A66" s="482" t="inlineStr">
        <is>
          <t>CELEBRE AGORA WOMAN</t>
        </is>
      </c>
      <c r="B66" s="483" t="n"/>
      <c r="C66" s="484" t="n"/>
      <c r="D66" s="484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CY66" s="5" t="n"/>
      <c r="DC66" s="41" t="n"/>
      <c r="DD66" s="41" t="n"/>
      <c r="DF66" s="41" t="n"/>
      <c r="DI66" s="41" t="n"/>
      <c r="DM66" s="327" t="n"/>
      <c r="DN66" s="5" t="n"/>
      <c r="DO66" s="5" t="n"/>
      <c r="DP66" s="327" t="n"/>
      <c r="DR66" s="327" t="n"/>
      <c r="DS66" s="327" t="n"/>
      <c r="EC66" s="41" t="n"/>
    </row>
    <row r="67" hidden="1" ht="18.75" customHeight="1">
      <c r="A67" s="482" t="inlineStr">
        <is>
          <t>GLAMOUR MIDNIGHT</t>
        </is>
      </c>
      <c r="B67" s="483" t="n"/>
      <c r="C67" s="484" t="n"/>
      <c r="D67" s="484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CU67" s="5" t="n"/>
      <c r="CY67" s="5" t="n"/>
      <c r="DC67" s="41" t="n"/>
      <c r="DD67" s="41" t="n"/>
      <c r="DF67" s="41" t="n"/>
      <c r="DI67" s="41" t="n"/>
      <c r="DM67" s="327" t="n"/>
      <c r="DN67" s="5" t="n"/>
      <c r="DO67" s="5" t="n"/>
      <c r="DP67" s="327" t="n"/>
      <c r="DR67" s="327" t="n"/>
      <c r="DS67" s="327" t="n"/>
    </row>
    <row r="68" hidden="1" ht="18.75" customHeight="1">
      <c r="A68" s="482" t="inlineStr">
        <is>
          <t>MALBEC ELEGANT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CU68" s="5" t="n"/>
      <c r="CY68" s="5" t="n"/>
      <c r="DC68" s="41" t="n"/>
      <c r="DD68" s="41" t="n"/>
      <c r="DI68" s="41" t="n"/>
      <c r="DM68" s="328" t="n"/>
      <c r="DN68" s="5" t="n"/>
      <c r="DO68" s="5" t="n"/>
      <c r="DP68" s="328" t="n"/>
      <c r="DR68" s="328" t="n"/>
      <c r="DS68" s="328" t="n"/>
    </row>
    <row r="69" hidden="1" ht="18.75" customHeight="1">
      <c r="A69" s="482" t="inlineStr">
        <is>
          <t>EGEO FREE FIRE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CU69" s="5" t="n"/>
      <c r="CY69" s="5" t="n"/>
      <c r="DM69" s="328" t="n"/>
      <c r="DN69" s="5" t="n"/>
      <c r="DO69" s="5" t="n"/>
      <c r="DP69" s="328" t="n"/>
      <c r="DR69" s="328" t="n"/>
      <c r="DS69" s="328" t="n"/>
    </row>
    <row r="70" hidden="1" ht="18.75" customHeight="1">
      <c r="A70" s="482" t="inlineStr">
        <is>
          <t xml:space="preserve">VITAMINA C BOTIC </t>
        </is>
      </c>
      <c r="B70" s="483" t="n"/>
      <c r="C70" s="484" t="n"/>
      <c r="D70" s="484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CY70" s="5" t="n"/>
      <c r="DM70" s="329" t="n"/>
      <c r="DP70" s="329" t="n"/>
      <c r="DR70" s="329" t="n"/>
      <c r="DS70" s="329" t="n"/>
    </row>
    <row r="71" hidden="1" ht="18.75" customHeight="1">
      <c r="A71" s="482" t="inlineStr">
        <is>
          <t>HER CODE</t>
        </is>
      </c>
      <c r="B71" s="483" t="n"/>
      <c r="C71" s="484" t="n"/>
      <c r="D71" s="484" t="n"/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CY71" s="5" t="n"/>
      <c r="DM71" s="329" t="n"/>
      <c r="DN71" s="5" t="n"/>
      <c r="DO71" s="5" t="n"/>
      <c r="DP71" s="329" t="n"/>
      <c r="DR71" s="329" t="n"/>
      <c r="DS71" s="329" t="n"/>
    </row>
    <row r="72">
      <c r="A72" s="781" t="inlineStr">
        <is>
          <t xml:space="preserve">CONJ. CABELO MALBEC ANTIQUEDA 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>
        <v>0</v>
      </c>
      <c r="V72" s="697" t="n">
        <v>0</v>
      </c>
      <c r="W72" s="697" t="n">
        <v>0</v>
      </c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697" t="n">
        <v>0</v>
      </c>
      <c r="CY72" s="5" t="n"/>
      <c r="DM72" s="329" t="n"/>
      <c r="DP72" s="329" t="n"/>
      <c r="DR72" s="329" t="n"/>
      <c r="DS72" s="329" t="n"/>
    </row>
    <row r="73" hidden="1" ht="18.75" customHeight="1">
      <c r="A73" s="482" t="inlineStr">
        <is>
          <t xml:space="preserve">CONJ. CABELO ANTICASPA </t>
        </is>
      </c>
      <c r="B73" s="483" t="n"/>
      <c r="C73" s="484" t="n"/>
      <c r="D73" s="484" t="n"/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M73" s="329" t="n"/>
      <c r="DP73" s="329" t="n"/>
      <c r="DR73" s="329" t="n"/>
      <c r="DS73" s="329" t="n"/>
      <c r="EC73" s="5" t="n"/>
    </row>
    <row r="74" hidden="1" ht="18.75" customHeight="1">
      <c r="A74" s="781" t="inlineStr">
        <is>
          <t xml:space="preserve">Quasar Vision </t>
        </is>
      </c>
      <c r="B74" s="731" t="n"/>
      <c r="C74" s="731" t="n"/>
      <c r="D74" s="775" t="n"/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CY74" s="5" t="n"/>
      <c r="DF74" s="5" t="n"/>
      <c r="DM74" s="329" t="n"/>
      <c r="DN74" s="173" t="n"/>
      <c r="DO74" s="173" t="n"/>
      <c r="DP74" s="329" t="n"/>
      <c r="DR74" s="329" t="n"/>
      <c r="DS74" s="329" t="n"/>
      <c r="EC74" s="5" t="n"/>
    </row>
    <row r="75" hidden="1" ht="18.75" customHeight="1">
      <c r="A75" s="482" t="inlineStr">
        <is>
          <t>Portinari</t>
        </is>
      </c>
      <c r="B75" s="483" t="n"/>
      <c r="C75" s="484" t="n"/>
      <c r="D75" s="484" t="n"/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C75" s="5" t="n"/>
      <c r="DD75" s="5" t="n"/>
      <c r="DF75" s="5" t="n"/>
      <c r="DI75" s="5" t="n"/>
      <c r="DM75" s="329" t="n"/>
      <c r="DN75" s="173" t="n"/>
      <c r="DO75" s="173" t="n"/>
      <c r="DP75" s="329" t="n"/>
      <c r="DR75" s="329" t="n"/>
      <c r="DS75" s="329" t="n"/>
      <c r="EC75" s="5" t="n"/>
    </row>
    <row r="76" hidden="1" ht="18.75" customHeight="1">
      <c r="A76" s="482" t="inlineStr">
        <is>
          <t>quasar blue</t>
        </is>
      </c>
      <c r="B76" s="483" t="n"/>
      <c r="C76" s="484" t="n"/>
      <c r="D76" s="484" t="n"/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DC76" s="5" t="n"/>
      <c r="DD76" s="5" t="n"/>
      <c r="DF76" s="5" t="n"/>
      <c r="DI76" s="5" t="n"/>
      <c r="DM76" s="327" t="n"/>
      <c r="DN76" s="173" t="n"/>
      <c r="DO76" s="173" t="n"/>
      <c r="DP76" s="327" t="n"/>
      <c r="DR76" s="327" t="n"/>
      <c r="DS76" s="327" t="n"/>
    </row>
    <row r="77" hidden="1" ht="18.75" customHeight="1">
      <c r="A77" s="482" t="inlineStr">
        <is>
          <t>arbo</t>
        </is>
      </c>
      <c r="B77" s="483" t="n"/>
      <c r="C77" s="484" t="n"/>
      <c r="D77" s="484" t="n"/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CY77" s="173" t="n"/>
      <c r="DC77" s="5" t="n"/>
      <c r="DD77" s="5" t="n"/>
      <c r="DI77" s="5" t="n"/>
      <c r="DM77" s="327" t="n"/>
      <c r="DP77" s="327" t="n"/>
      <c r="DR77" s="327" t="n"/>
      <c r="DS77" s="327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CY78" s="173" t="n"/>
      <c r="DM78" s="327" t="n"/>
      <c r="DP78" s="327" t="n"/>
      <c r="DR78" s="327" t="n"/>
      <c r="DS78" s="327" t="n"/>
    </row>
    <row r="79" hidden="1" ht="18.75" customHeight="1">
      <c r="A79" s="482" t="inlineStr">
        <is>
          <t>shampoo banana</t>
        </is>
      </c>
      <c r="B79" s="483" t="n"/>
      <c r="C79" s="484" t="n"/>
      <c r="D79" s="484" t="n"/>
      <c r="F79" s="697" t="n"/>
      <c r="G79" s="697" t="n"/>
      <c r="H79" s="697" t="n"/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CY79" s="173" t="n"/>
    </row>
    <row r="80" hidden="1" ht="18.75" customHeight="1">
      <c r="A80" s="482" t="inlineStr">
        <is>
          <t>hidratante feira</t>
        </is>
      </c>
      <c r="B80" s="483" t="n"/>
      <c r="C80" s="484" t="n"/>
      <c r="D80" s="484" t="n"/>
      <c r="F80" s="697" t="n"/>
      <c r="G80" s="697" t="n"/>
      <c r="H80" s="697" t="n"/>
      <c r="I80" s="697" t="n"/>
      <c r="J80" s="697" t="n"/>
      <c r="K80" s="697" t="n"/>
      <c r="L80" s="697" t="n"/>
      <c r="M80" s="697" t="n"/>
      <c r="N80" s="697" t="n"/>
      <c r="O80" s="697" t="n"/>
      <c r="P80" s="697" t="n"/>
      <c r="Q80" s="697" t="n"/>
      <c r="R80" s="697" t="n"/>
      <c r="S80" s="697" t="n"/>
      <c r="T80" s="697" t="n"/>
      <c r="U80" s="697" t="n"/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</row>
    <row r="81" hidden="1" ht="18.75" customHeight="1">
      <c r="A81" s="781" t="inlineStr">
        <is>
          <t>malbec shampoo + condicionador</t>
        </is>
      </c>
      <c r="B81" s="731" t="n"/>
      <c r="C81" s="731" t="n"/>
      <c r="D81" s="775" t="n"/>
      <c r="F81" s="697" t="n"/>
      <c r="G81" s="697" t="n"/>
      <c r="H81" s="697" t="n"/>
      <c r="I81" s="697" t="n"/>
      <c r="J81" s="697" t="n"/>
      <c r="K81" s="697" t="n"/>
      <c r="L81" s="697" t="n"/>
      <c r="M81" s="697" t="n"/>
      <c r="N81" s="697" t="n"/>
      <c r="O81" s="697" t="n"/>
      <c r="P81" s="697" t="n"/>
      <c r="Q81" s="697" t="n"/>
      <c r="R81" s="697" t="n"/>
      <c r="S81" s="697" t="n"/>
      <c r="T81" s="697" t="n"/>
      <c r="U81" s="697" t="n"/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</row>
    <row r="82" hidden="1" ht="18.75" customHeight="1">
      <c r="A82" s="781" t="inlineStr">
        <is>
          <t>LILAC</t>
        </is>
      </c>
      <c r="B82" s="731" t="n"/>
      <c r="C82" s="731" t="n"/>
      <c r="D82" s="775" t="n"/>
      <c r="F82" s="697" t="n"/>
      <c r="G82" s="697" t="n"/>
      <c r="H82" s="697" t="n"/>
      <c r="I82" s="697" t="n"/>
      <c r="J82" s="697" t="n"/>
      <c r="K82" s="697" t="n"/>
      <c r="L82" s="697" t="n"/>
      <c r="M82" s="697" t="n"/>
      <c r="N82" s="697" t="n"/>
      <c r="O82" s="697" t="n"/>
      <c r="P82" s="697" t="n"/>
      <c r="Q82" s="697" t="n"/>
      <c r="R82" s="697" t="n"/>
      <c r="S82" s="697" t="n"/>
      <c r="T82" s="697" t="n"/>
      <c r="U82" s="697" t="n"/>
      <c r="V82" s="697" t="n"/>
      <c r="W82" s="697" t="n"/>
      <c r="X82" s="697" t="n"/>
      <c r="Y82" s="697" t="n"/>
      <c r="Z82" s="697" t="n"/>
      <c r="AA82" s="697" t="n"/>
      <c r="AB82" s="697" t="n"/>
      <c r="AC82" s="697" t="n"/>
      <c r="AD82" s="697" t="n"/>
      <c r="AE82" s="697" t="n"/>
      <c r="AF82" s="697" t="n"/>
      <c r="AG82" s="697" t="n"/>
      <c r="AH82" s="697" t="n"/>
      <c r="AI82" s="697" t="n"/>
      <c r="AJ82" s="697" t="n"/>
      <c r="AK82" s="697" t="n"/>
      <c r="AL82" s="697" t="n"/>
      <c r="AM82" s="697" t="n"/>
      <c r="AN82" s="697" t="n"/>
      <c r="AO82" s="697" t="n"/>
      <c r="AP82" s="697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/>
      <c r="BA82" s="697" t="n"/>
      <c r="BB82" s="697" t="n"/>
      <c r="BC82" s="697" t="n"/>
      <c r="BD82" s="697" t="n"/>
      <c r="BE82" s="697" t="n"/>
      <c r="BF82" s="697" t="n"/>
      <c r="BG82" s="697" t="n"/>
      <c r="BH82" s="697" t="n"/>
      <c r="BI82" s="697" t="n"/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697" t="n"/>
    </row>
    <row r="83">
      <c r="A83" s="781" t="inlineStr">
        <is>
          <t>UOMINI SPIRIT</t>
        </is>
      </c>
      <c r="B83" s="731" t="n"/>
      <c r="C83" s="731" t="n"/>
      <c r="D83" s="775" t="n"/>
      <c r="F83" s="697" t="n">
        <v>0</v>
      </c>
      <c r="G83" s="697" t="n">
        <v>0</v>
      </c>
      <c r="H83" s="697" t="n">
        <v>0</v>
      </c>
      <c r="I83" s="697" t="n">
        <v>0</v>
      </c>
      <c r="J83" s="697" t="n">
        <v>0</v>
      </c>
      <c r="K83" s="697" t="n">
        <v>0</v>
      </c>
      <c r="L83" s="697" t="n">
        <v>0</v>
      </c>
      <c r="M83" s="697" t="n">
        <v>0</v>
      </c>
      <c r="N83" s="697" t="n">
        <v>0</v>
      </c>
      <c r="O83" s="697" t="n">
        <v>0</v>
      </c>
      <c r="P83" s="697" t="n">
        <v>0</v>
      </c>
      <c r="Q83" s="697" t="n">
        <v>0</v>
      </c>
      <c r="R83" s="697" t="n">
        <v>0</v>
      </c>
      <c r="S83" s="697" t="n">
        <v>0</v>
      </c>
      <c r="T83" s="697" t="n">
        <v>0</v>
      </c>
      <c r="U83" s="697" t="n">
        <v>0</v>
      </c>
      <c r="V83" s="697" t="n">
        <v>0</v>
      </c>
      <c r="W83" s="697" t="n">
        <v>0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inlineStr">
        <is>
          <t>GLAMOUR SECRETS</t>
        </is>
      </c>
      <c r="B84" s="731" t="n"/>
      <c r="C84" s="731" t="n"/>
      <c r="D84" s="775" t="n"/>
      <c r="F84" s="697" t="n">
        <v>0</v>
      </c>
      <c r="G84" s="697" t="n">
        <v>0</v>
      </c>
      <c r="H84" s="697" t="n">
        <v>0</v>
      </c>
      <c r="I84" s="697" t="n">
        <v>0</v>
      </c>
      <c r="J84" s="697" t="n">
        <v>0</v>
      </c>
      <c r="K84" s="697" t="n">
        <v>0</v>
      </c>
      <c r="L84" s="697" t="n">
        <v>0</v>
      </c>
      <c r="M84" s="697" t="n">
        <v>0</v>
      </c>
      <c r="N84" s="697" t="n">
        <v>0</v>
      </c>
      <c r="O84" s="697" t="n">
        <v>0</v>
      </c>
      <c r="P84" s="697" t="n">
        <v>0</v>
      </c>
      <c r="Q84" s="697" t="n">
        <v>0</v>
      </c>
      <c r="R84" s="697" t="n">
        <v>0</v>
      </c>
      <c r="S84" s="697" t="n">
        <v>0</v>
      </c>
      <c r="T84" s="697" t="n">
        <v>0</v>
      </c>
      <c r="U84" s="697" t="n">
        <v>0</v>
      </c>
      <c r="V84" s="697" t="n">
        <v>0</v>
      </c>
      <c r="W84" s="697" t="n">
        <v>0</v>
      </c>
      <c r="X84" s="697" t="n">
        <v>0</v>
      </c>
      <c r="Y84" s="697" t="n">
        <v>0</v>
      </c>
      <c r="Z84" s="697" t="n">
        <v>0</v>
      </c>
      <c r="AA84" s="697" t="n">
        <v>0</v>
      </c>
      <c r="AB84" s="697" t="n">
        <v>0</v>
      </c>
      <c r="AC84" s="697" t="n">
        <v>0</v>
      </c>
      <c r="AD84" s="697" t="n">
        <v>0</v>
      </c>
      <c r="AE84" s="697" t="n">
        <v>0</v>
      </c>
      <c r="AF84" s="697" t="n">
        <v>0</v>
      </c>
      <c r="AG84" s="697" t="n">
        <v>0</v>
      </c>
      <c r="AH84" s="697" t="n">
        <v>0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</row>
    <row r="85">
      <c r="A85" s="781" t="inlineStr">
        <is>
          <t>MALBEC ICON</t>
        </is>
      </c>
      <c r="B85" s="731" t="n"/>
      <c r="C85" s="731" t="n"/>
      <c r="D85" s="775" t="n"/>
      <c r="F85" s="697" t="n"/>
      <c r="G85" s="697" t="n">
        <v>0</v>
      </c>
      <c r="H85" s="697" t="n">
        <v>10</v>
      </c>
      <c r="I85" s="697" t="n">
        <v>10</v>
      </c>
      <c r="J85" s="697" t="n">
        <v>10</v>
      </c>
      <c r="K85" s="697" t="n">
        <v>0</v>
      </c>
      <c r="L85" s="697" t="n">
        <v>0</v>
      </c>
      <c r="M85" s="697" t="n">
        <v>0</v>
      </c>
      <c r="N85" s="697" t="n">
        <v>0</v>
      </c>
      <c r="O85" s="697" t="n">
        <v>0</v>
      </c>
      <c r="P85" s="697" t="n">
        <v>0</v>
      </c>
      <c r="Q85" s="697" t="n">
        <v>0</v>
      </c>
      <c r="R85" s="697" t="n">
        <v>0</v>
      </c>
      <c r="S85" s="697" t="n">
        <v>0</v>
      </c>
      <c r="T85" s="697" t="n">
        <v>0</v>
      </c>
      <c r="U85" s="697" t="n">
        <v>0</v>
      </c>
      <c r="V85" s="697" t="n">
        <v>0</v>
      </c>
      <c r="W85" s="697" t="n">
        <v>0</v>
      </c>
      <c r="X85" s="697" t="n">
        <v>0</v>
      </c>
      <c r="Y85" s="697" t="n">
        <v>0</v>
      </c>
      <c r="Z85" s="697" t="n">
        <v>0</v>
      </c>
      <c r="AA85" s="697" t="n">
        <v>0</v>
      </c>
      <c r="AB85" s="697" t="n">
        <v>0</v>
      </c>
      <c r="AC85" s="697" t="n">
        <v>0</v>
      </c>
      <c r="AD85" s="697" t="n">
        <v>0</v>
      </c>
      <c r="AE85" s="697" t="n">
        <v>0</v>
      </c>
      <c r="AF85" s="697" t="n">
        <v>0</v>
      </c>
      <c r="AG85" s="697" t="n">
        <v>0</v>
      </c>
      <c r="AH85" s="697" t="n">
        <v>0</v>
      </c>
      <c r="AI85" s="697" t="n">
        <v>0</v>
      </c>
      <c r="AJ85" s="697" t="n">
        <v>0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29" t="n"/>
    </row>
    <row r="86">
      <c r="A86" s="781" t="inlineStr">
        <is>
          <t>FLORATTA RED PASSION</t>
        </is>
      </c>
      <c r="B86" s="731" t="n"/>
      <c r="C86" s="731" t="n"/>
      <c r="D86" s="775" t="n"/>
      <c r="F86" s="697" t="n"/>
      <c r="G86" s="697" t="n">
        <v>0</v>
      </c>
      <c r="H86" s="697" t="n">
        <v>30</v>
      </c>
      <c r="I86" s="697" t="n">
        <v>20</v>
      </c>
      <c r="J86" s="697" t="n">
        <v>20</v>
      </c>
      <c r="K86" s="697" t="n">
        <v>10</v>
      </c>
      <c r="L86" s="697" t="n">
        <v>10</v>
      </c>
      <c r="M86" s="697" t="n">
        <v>10</v>
      </c>
      <c r="N86" s="697" t="n">
        <v>10</v>
      </c>
      <c r="O86" s="697" t="n">
        <v>0</v>
      </c>
      <c r="P86" s="697" t="n">
        <v>0</v>
      </c>
      <c r="Q86" s="697" t="n">
        <v>0</v>
      </c>
      <c r="R86" s="697" t="n">
        <v>0</v>
      </c>
      <c r="S86" s="697" t="n">
        <v>0</v>
      </c>
      <c r="T86" s="697" t="n">
        <v>0</v>
      </c>
      <c r="U86" s="697" t="n">
        <v>0</v>
      </c>
      <c r="V86" s="697" t="n">
        <v>0</v>
      </c>
      <c r="W86" s="697" t="n">
        <v>0</v>
      </c>
      <c r="X86" s="697" t="n">
        <v>0</v>
      </c>
      <c r="Y86" s="697" t="n">
        <v>0</v>
      </c>
      <c r="Z86" s="697" t="n">
        <v>0</v>
      </c>
      <c r="AA86" s="697" t="n">
        <v>0</v>
      </c>
      <c r="AB86" s="697" t="n">
        <v>0</v>
      </c>
      <c r="AC86" s="697" t="n">
        <v>0</v>
      </c>
      <c r="AD86" s="697" t="n">
        <v>0</v>
      </c>
      <c r="AE86" s="697" t="n">
        <v>0</v>
      </c>
      <c r="AF86" s="697" t="n">
        <v>0</v>
      </c>
      <c r="AG86" s="697" t="n">
        <v>0</v>
      </c>
      <c r="AH86" s="697" t="n">
        <v>0</v>
      </c>
      <c r="AI86" s="697" t="n">
        <v>0</v>
      </c>
      <c r="AJ86" s="697" t="n">
        <v>0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</row>
    <row r="87">
      <c r="A87" s="781" t="inlineStr">
        <is>
          <t>CBEM HIDR. DOCURA NA PESSEGURA</t>
        </is>
      </c>
      <c r="B87" s="731" t="n"/>
      <c r="C87" s="731" t="n"/>
      <c r="D87" s="775" t="n"/>
      <c r="J87" s="697" t="n">
        <v>0</v>
      </c>
      <c r="K87" s="697" t="n">
        <v>15</v>
      </c>
      <c r="L87" s="697" t="n">
        <v>10</v>
      </c>
      <c r="M87" s="697" t="n">
        <v>10</v>
      </c>
      <c r="N87" s="697" t="n">
        <v>10</v>
      </c>
      <c r="O87" s="697" t="n">
        <v>5</v>
      </c>
      <c r="P87" s="697" t="n">
        <v>0</v>
      </c>
      <c r="Q87" s="697" t="n">
        <v>0</v>
      </c>
      <c r="R87" s="697" t="n">
        <v>0</v>
      </c>
      <c r="S87" s="697" t="n">
        <v>0</v>
      </c>
      <c r="T87" s="697" t="n">
        <v>0</v>
      </c>
      <c r="U87" s="697" t="n">
        <v>0</v>
      </c>
      <c r="V87" s="697" t="n">
        <v>0</v>
      </c>
      <c r="W87" s="697" t="n">
        <v>0</v>
      </c>
      <c r="X87" s="697" t="n">
        <v>0</v>
      </c>
      <c r="Y87" s="697" t="n">
        <v>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</row>
    <row r="88">
      <c r="A88" s="781" t="inlineStr">
        <is>
          <t>SACHÊ SERUM BOTIK</t>
        </is>
      </c>
      <c r="B88" s="731" t="n"/>
      <c r="C88" s="731" t="n"/>
      <c r="D88" s="775" t="n"/>
      <c r="BM88" s="697" t="n">
        <v>0</v>
      </c>
      <c r="BN88" s="697" t="n">
        <v>95</v>
      </c>
      <c r="BO88" s="697" t="n">
        <v>100</v>
      </c>
      <c r="BP88" s="697" t="n">
        <v>95</v>
      </c>
      <c r="BQ88" s="697" t="n">
        <v>90</v>
      </c>
      <c r="BR88" s="697" t="n">
        <v>85</v>
      </c>
      <c r="BS88" s="697" t="n">
        <v>85</v>
      </c>
      <c r="BT88" s="697" t="n">
        <v>85</v>
      </c>
      <c r="BU88" s="697" t="n">
        <v>80</v>
      </c>
      <c r="BV88" s="697" t="n">
        <v>65</v>
      </c>
      <c r="BW88" s="697" t="n">
        <v>65</v>
      </c>
      <c r="BX88" s="697" t="n">
        <v>11</v>
      </c>
      <c r="BY88" s="697" t="n">
        <v>11</v>
      </c>
    </row>
    <row r="89">
      <c r="A89" s="781" t="inlineStr">
        <is>
          <t xml:space="preserve">EGEO DOLCE </t>
        </is>
      </c>
      <c r="B89" s="731" t="n"/>
      <c r="C89" s="731" t="n"/>
      <c r="D89" s="775" t="n"/>
      <c r="BM89" s="697" t="n">
        <v>0</v>
      </c>
      <c r="BN89" s="697" t="n">
        <v>45</v>
      </c>
      <c r="BO89" s="697" t="n">
        <v>45</v>
      </c>
      <c r="BP89" s="697" t="n">
        <v>40</v>
      </c>
      <c r="BQ89" s="697" t="n">
        <v>30</v>
      </c>
      <c r="BR89" s="697" t="n">
        <v>20</v>
      </c>
      <c r="BS89" s="697" t="n">
        <v>15</v>
      </c>
      <c r="BT89" s="697" t="n">
        <v>15</v>
      </c>
      <c r="BU89" s="697" t="n">
        <v>2</v>
      </c>
      <c r="BV89" s="697" t="n">
        <v>0</v>
      </c>
      <c r="BW89" s="697" t="n">
        <v>0</v>
      </c>
      <c r="BX89" s="697" t="n">
        <v>0</v>
      </c>
      <c r="BY89" s="697" t="n">
        <v>0</v>
      </c>
    </row>
    <row r="90">
      <c r="A90" s="781" t="inlineStr">
        <is>
          <t>CLASH</t>
        </is>
      </c>
      <c r="B90" s="731" t="n"/>
      <c r="C90" s="731" t="n"/>
      <c r="D90" s="775" t="n"/>
      <c r="BM90" s="697" t="n">
        <v>0</v>
      </c>
      <c r="BN90" s="697" t="n">
        <v>15</v>
      </c>
      <c r="BO90" s="697" t="n">
        <v>15</v>
      </c>
      <c r="BP90" s="697" t="n">
        <v>10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</row>
    <row r="91">
      <c r="A91" s="781" t="inlineStr">
        <is>
          <t xml:space="preserve">HIDRATANTE CEREJA DE FASE </t>
        </is>
      </c>
      <c r="B91" s="731" t="n"/>
      <c r="C91" s="731" t="n"/>
      <c r="D91" s="775" t="n"/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104</v>
      </c>
      <c r="BS91" s="697" t="n">
        <v>100</v>
      </c>
      <c r="BT91" s="697" t="n">
        <v>100</v>
      </c>
      <c r="BU91" s="697" t="n">
        <v>100</v>
      </c>
      <c r="BV91" s="697" t="n">
        <v>84</v>
      </c>
      <c r="BW91" s="697" t="n">
        <v>84</v>
      </c>
      <c r="BX91" s="697" t="n">
        <v>19</v>
      </c>
      <c r="BY91" s="697" t="n">
        <v>18</v>
      </c>
    </row>
    <row r="92">
      <c r="A92" s="781" t="n"/>
      <c r="B92" s="731" t="n"/>
      <c r="C92" s="731" t="n"/>
      <c r="D92" s="775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</row>
    <row r="93">
      <c r="A93" s="781" t="n"/>
      <c r="B93" s="731" t="n"/>
      <c r="C93" s="731" t="n"/>
      <c r="D93" s="775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/>
      <c r="BY93" s="697" t="n"/>
    </row>
  </sheetData>
  <mergeCells count="25">
    <mergeCell ref="A91:D91"/>
    <mergeCell ref="F5:BZ5"/>
    <mergeCell ref="A72:D72"/>
    <mergeCell ref="EF7:EN7"/>
    <mergeCell ref="A81:D81"/>
    <mergeCell ref="A93:D93"/>
    <mergeCell ref="A83:D83"/>
    <mergeCell ref="A92:D92"/>
    <mergeCell ref="A82:D82"/>
    <mergeCell ref="A5:A6"/>
    <mergeCell ref="A88:D88"/>
    <mergeCell ref="A78:D78"/>
    <mergeCell ref="A87:D87"/>
    <mergeCell ref="B5:B6"/>
    <mergeCell ref="A90:D90"/>
    <mergeCell ref="A84:D84"/>
    <mergeCell ref="D5:D6"/>
    <mergeCell ref="B3:D3"/>
    <mergeCell ref="A89:D89"/>
    <mergeCell ref="A74:D74"/>
    <mergeCell ref="A86:D86"/>
    <mergeCell ref="A1:CA1"/>
    <mergeCell ref="A85:D85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Planilha19">
    <tabColor theme="8"/>
    <outlinePr summaryBelow="1" summaryRight="1"/>
    <pageSetUpPr fitToPage="1"/>
  </sheetPr>
  <dimension ref="A1:SK127"/>
  <sheetViews>
    <sheetView showGridLines="0" topLeftCell="A100" zoomScale="80" zoomScaleNormal="80" zoomScaleSheetLayoutView="50" workbookViewId="0">
      <selection activeCell="BZ119" sqref="BZ119"/>
    </sheetView>
  </sheetViews>
  <sheetFormatPr baseColWidth="8" defaultColWidth="9.140625" defaultRowHeight="18.75"/>
  <cols>
    <col width="36.5703125" customWidth="1" min="1" max="1"/>
    <col width="10.28515625" customWidth="1" min="2" max="2"/>
    <col width="15.85546875" customWidth="1" min="3" max="3"/>
    <col width="17.5703125" customWidth="1" min="4" max="4"/>
    <col width="1.140625" customWidth="1" min="5" max="5"/>
    <col hidden="1" width="9.5703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.5703125" customWidth="1" min="77" max="77"/>
    <col hidden="1" width="13" customWidth="1" min="78" max="78"/>
    <col width="13" customWidth="1" min="79" max="79"/>
    <col width="13" customWidth="1" min="80" max="80"/>
    <col width="10.5703125" customWidth="1" min="81" max="81"/>
    <col width="1.5703125" customWidth="1" min="82" max="82"/>
    <col width="17.28515625" customWidth="1" min="83" max="83"/>
    <col width="14.28515625" customWidth="1" min="84" max="84"/>
    <col width="1.42578125" customWidth="1" min="85" max="85"/>
    <col width="15.7109375" customWidth="1" min="86" max="86"/>
    <col width="1.42578125" customWidth="1" min="87" max="87"/>
    <col width="9.28515625" customWidth="1" min="88" max="88"/>
    <col width="13" customWidth="1" min="89" max="89"/>
    <col hidden="1" width="13" customWidth="1" min="90" max="90"/>
    <col hidden="1"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9.28515625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.85546875" customWidth="1" min="108" max="108"/>
    <col hidden="1" width="9.28515625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3" customWidth="1" min="117" max="117"/>
    <col hidden="1" width="13" customWidth="1" min="118" max="118"/>
    <col hidden="1" width="13" customWidth="1" min="119" max="119"/>
    <col hidden="1" width="13" customWidth="1" min="120" max="120"/>
    <col hidden="1" width="13" customWidth="1" min="121" max="121"/>
    <col hidden="1" width="11.85546875" customWidth="1" min="122" max="122"/>
    <col hidden="1" width="9.28515625" customWidth="1" min="123" max="123"/>
    <col hidden="1" width="11" customWidth="1" min="124" max="124"/>
    <col hidden="1" width="9.28515625" customWidth="1" min="125" max="125"/>
    <col hidden="1" width="11" customWidth="1" min="126" max="126"/>
    <col hidden="1" width="9.28515625" customWidth="1" min="127" max="127"/>
    <col hidden="1" width="9.140625" customWidth="1" min="128" max="128"/>
    <col hidden="1" width="9.28515625" customWidth="1" min="129" max="129"/>
    <col hidden="1" width="13" customWidth="1" min="130" max="130"/>
    <col hidden="1" width="13.7109375" customWidth="1" min="131" max="131"/>
    <col hidden="1" width="9.28515625" customWidth="1" min="132" max="132"/>
    <col hidden="1" width="11" customWidth="1" min="133" max="133"/>
    <col hidden="1" width="9.28515625" customWidth="1" min="134" max="134"/>
    <col hidden="1" width="13" customWidth="1" min="135" max="135"/>
    <col hidden="1" width="13" customWidth="1" min="136" max="136"/>
    <col hidden="1" width="11" customWidth="1" min="137" max="137"/>
    <col hidden="1" width="13" customWidth="1" min="138" max="138"/>
    <col hidden="1" width="9.28515625" customWidth="1" min="139" max="139"/>
    <col hidden="1" width="14" customWidth="1" min="140" max="140"/>
    <col hidden="1" width="9.28515625" customWidth="1" min="141" max="141"/>
    <col hidden="1" width="13" customWidth="1" min="142" max="142"/>
    <col hidden="1" width="13" customWidth="1" min="143" max="143"/>
    <col hidden="1" width="12.7109375" customWidth="1" min="144" max="144"/>
    <col hidden="1" width="9.28515625" customWidth="1" min="145" max="145"/>
    <col hidden="1" width="13" customWidth="1" min="146" max="146"/>
    <col hidden="1" width="13" customWidth="1" min="147" max="147"/>
    <col hidden="1" width="13" customWidth="1" min="148" max="148"/>
    <col hidden="1" width="13" customWidth="1" min="149" max="149"/>
    <col hidden="1" width="15.28515625" customWidth="1" min="150" max="150"/>
    <col hidden="1" width="13" customWidth="1" min="151" max="151"/>
    <col hidden="1" width="73.85546875" customWidth="1" min="152" max="152"/>
    <col hidden="1" width="15.28515625" customWidth="1" min="153" max="153"/>
    <col hidden="1" width="13.140625" customWidth="1" min="154" max="154"/>
    <col hidden="1" width="9.28515625" customWidth="1" min="155" max="155"/>
    <col hidden="1" width="13.140625" customWidth="1" min="156" max="156"/>
    <col hidden="1" width="9.28515625" customWidth="1" min="157" max="157"/>
    <col hidden="1" width="13" customWidth="1" min="158" max="158"/>
    <col hidden="1" width="12.5703125" customWidth="1" min="159" max="159"/>
    <col hidden="1" width="9.28515625" customWidth="1" min="160" max="160"/>
    <col hidden="1" width="13" customWidth="1" min="161" max="161"/>
    <col hidden="1" width="13" customWidth="1" min="162" max="162"/>
    <col hidden="1" width="13" customWidth="1" min="163" max="163"/>
    <col hidden="1" width="13" customWidth="1" min="164" max="164"/>
    <col hidden="1" width="12.5703125" customWidth="1" min="165" max="165"/>
    <col hidden="1" width="28.42578125" customWidth="1" min="166" max="166"/>
    <col hidden="1" width="9.28515625" customWidth="1" min="167" max="167"/>
    <col hidden="1" width="13" customWidth="1" min="168" max="168"/>
    <col hidden="1" width="12.140625" customWidth="1" min="169" max="169"/>
    <col hidden="1" width="9.28515625" customWidth="1" min="170" max="170"/>
    <col hidden="1" width="12" customWidth="1" min="171" max="171"/>
    <col hidden="1" width="9.28515625" customWidth="1" min="172" max="172"/>
    <col hidden="1" width="13" customWidth="1" min="173" max="173"/>
    <col hidden="1" width="12" customWidth="1" min="174" max="174"/>
    <col hidden="1" width="12.42578125" customWidth="1" min="175" max="175"/>
    <col hidden="1" width="9.28515625" customWidth="1" min="176" max="176"/>
    <col hidden="1" width="13" customWidth="1" min="177" max="177"/>
    <col hidden="1" width="11.85546875" customWidth="1" min="178" max="178"/>
    <col hidden="1" width="9.28515625" customWidth="1" min="179" max="179"/>
    <col hidden="1" width="13" customWidth="1" min="180" max="180"/>
    <col hidden="1" width="12.42578125" customWidth="1" min="181" max="181"/>
    <col hidden="1" width="9.28515625" customWidth="1" min="182" max="182"/>
    <col hidden="1" width="11" customWidth="1" min="183" max="183"/>
    <col hidden="1" width="9.28515625" customWidth="1" min="184" max="184"/>
    <col hidden="1" width="13" customWidth="1" min="185" max="185"/>
    <col hidden="1" width="13" customWidth="1" min="186" max="186"/>
    <col hidden="1" width="13" customWidth="1" min="187" max="187"/>
    <col hidden="1" width="13" customWidth="1" min="188" max="188"/>
    <col hidden="1" width="13" customWidth="1" min="189" max="189"/>
    <col width="4" customWidth="1" min="190" max="190"/>
    <col hidden="1" width="32.85546875" customWidth="1" min="191" max="191"/>
    <col hidden="1" width="9.140625" customWidth="1" min="192" max="192"/>
    <col hidden="1" width="8.7109375" customWidth="1" min="193" max="193"/>
    <col hidden="1" width="13" customWidth="1" min="194" max="194"/>
    <col hidden="1" width="13" customWidth="1" min="195" max="195"/>
    <col hidden="1" width="13" customWidth="1" min="196" max="196"/>
    <col hidden="1" width="13" customWidth="1" min="197" max="197"/>
    <col hidden="1" width="13" customWidth="1" min="198" max="198"/>
    <col hidden="1" width="13" customWidth="1" min="199" max="199"/>
    <col hidden="1" width="13" customWidth="1" min="200" max="200"/>
    <col hidden="1" width="13" customWidth="1" min="201" max="201"/>
    <col hidden="1" width="13" customWidth="1" min="202" max="202"/>
    <col hidden="1" width="13" customWidth="1" min="203" max="203"/>
    <col hidden="1" width="13" customWidth="1" min="204" max="204"/>
    <col width="13" customWidth="1" min="205" max="205"/>
    <col width="13" customWidth="1" min="206" max="206"/>
    <col hidden="1" width="10.5703125" customWidth="1" min="207" max="207"/>
    <col width="4.42578125" customWidth="1" min="208" max="208"/>
    <col hidden="1" width="32.85546875" customWidth="1" min="209" max="209"/>
    <col hidden="1" width="13" customWidth="1" min="210" max="210"/>
    <col hidden="1" width="8.7109375" customWidth="1" min="211" max="211"/>
    <col hidden="1" width="13" customWidth="1" min="212" max="212"/>
    <col hidden="1" width="13" customWidth="1" min="213" max="213"/>
    <col hidden="1" width="13" customWidth="1" min="214" max="214"/>
    <col hidden="1" width="13" customWidth="1" min="215" max="215"/>
    <col hidden="1" width="13" customWidth="1" min="216" max="216"/>
    <col hidden="1" width="13" customWidth="1" min="217" max="217"/>
    <col hidden="1" width="13" customWidth="1" min="218" max="218"/>
    <col width="13" customWidth="1" min="219" max="219"/>
    <col width="13" customWidth="1" min="220" max="220"/>
    <col hidden="1" width="10.5703125" customWidth="1" min="221" max="221"/>
    <col hidden="1" width="32.85546875" customWidth="1" min="223" max="223"/>
    <col hidden="1" width="9.140625" customWidth="1" min="224" max="224"/>
    <col hidden="1" width="8.7109375" customWidth="1" min="225" max="225"/>
    <col hidden="1" width="13" customWidth="1" min="226" max="226"/>
    <col hidden="1" width="13" customWidth="1" min="227" max="227"/>
    <col hidden="1" width="13" customWidth="1" min="228" max="228"/>
    <col hidden="1" width="13" customWidth="1" min="229" max="229"/>
    <col hidden="1" width="13" customWidth="1" min="230" max="230"/>
    <col hidden="1" width="13" customWidth="1" min="231" max="231"/>
    <col hidden="1" width="13" customWidth="1" min="232" max="232"/>
    <col hidden="1" width="13" customWidth="1" min="233" max="233"/>
    <col width="13" customWidth="1" min="234" max="234"/>
    <col width="13" customWidth="1" min="235" max="235"/>
    <col hidden="1" width="10.5703125" customWidth="1" min="236" max="236"/>
    <col width="4.42578125" customWidth="1" min="237" max="237"/>
    <col hidden="1" width="32.85546875" customWidth="1" min="238" max="238"/>
    <col hidden="1" width="9.140625" customWidth="1" min="239" max="239"/>
    <col hidden="1" width="8.7109375" customWidth="1" min="240" max="240"/>
    <col hidden="1" width="13" customWidth="1" min="241" max="241"/>
    <col hidden="1" width="13" customWidth="1" min="242" max="242"/>
    <col hidden="1" width="13" customWidth="1" min="243" max="243"/>
    <col width="13" customWidth="1" min="244" max="244"/>
    <col width="13" customWidth="1" min="245" max="245"/>
    <col hidden="1" width="10.5703125" customWidth="1" min="246" max="246"/>
    <col hidden="1" width="13" customWidth="1" min="248" max="248"/>
    <col width="9.140625" customWidth="1" min="254" max="25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488" t="n"/>
      <c r="CB1" s="488" t="n"/>
      <c r="CC1" s="488" t="n"/>
      <c r="CD1" s="488" t="n"/>
      <c r="CE1" s="5" t="n"/>
      <c r="CF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306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P1" s="5" t="n"/>
      <c r="DQ1" s="5" t="n"/>
      <c r="DR1" s="5" t="n"/>
      <c r="DS1" s="5" t="n"/>
      <c r="DU1" s="5" t="n"/>
      <c r="DV1" s="5" t="n"/>
      <c r="DW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L1" s="5" t="n"/>
      <c r="FM1" s="5" t="n"/>
      <c r="FN1" s="5" t="n"/>
      <c r="FP1" s="5" t="n"/>
      <c r="FQ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  <c r="GD1" s="5" t="n"/>
      <c r="GE1" s="5" t="n"/>
      <c r="GF1" s="5" t="n"/>
      <c r="GG1" s="5" t="n"/>
    </row>
    <row r="2">
      <c r="A2" s="43" t="inlineStr">
        <is>
          <t>LOJA:</t>
        </is>
      </c>
      <c r="B2" s="722" t="inlineStr">
        <is>
          <t>CD BAURU</t>
        </is>
      </c>
      <c r="C2" s="723" t="n"/>
      <c r="D2" s="724" t="n"/>
      <c r="CE2" s="5" t="n"/>
      <c r="CF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306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U2" s="5" t="n"/>
      <c r="DV2" s="5" t="n"/>
      <c r="DW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L2" s="5" t="n"/>
      <c r="FM2" s="5" t="n"/>
      <c r="FN2" s="5" t="n"/>
      <c r="FP2" s="5" t="n"/>
      <c r="FQ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  <c r="GD2" s="5" t="n"/>
      <c r="GE2" s="5" t="n"/>
      <c r="GF2" s="5" t="n"/>
      <c r="GG2" s="5" t="n"/>
    </row>
    <row r="3">
      <c r="A3" s="43" t="inlineStr">
        <is>
          <t>Responsável:</t>
        </is>
      </c>
      <c r="B3" s="725" t="inlineStr">
        <is>
          <t>DENNER / GEOVANA</t>
        </is>
      </c>
      <c r="C3" s="723" t="n"/>
      <c r="D3" s="724" t="n"/>
      <c r="E3" s="726" t="n"/>
      <c r="CC3" s="726" t="n"/>
      <c r="CE3" s="5" t="n"/>
      <c r="CF3" s="5" t="n"/>
      <c r="CG3" s="726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306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P3" s="5" t="n"/>
      <c r="DQ3" s="5" t="n"/>
      <c r="DR3" s="5" t="n"/>
      <c r="DS3" s="5" t="n"/>
      <c r="DU3" s="5" t="n"/>
      <c r="DV3" s="5" t="n"/>
      <c r="DW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L3" s="5" t="n"/>
      <c r="FM3" s="5" t="n"/>
      <c r="FN3" s="5" t="n"/>
      <c r="FP3" s="5" t="n"/>
      <c r="FQ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  <c r="GD3" s="5" t="n"/>
      <c r="GE3" s="5" t="n"/>
      <c r="GF3" s="5" t="n"/>
      <c r="GG3" s="5" t="n"/>
    </row>
    <row r="4" ht="8.25" customHeight="1">
      <c r="CE4" s="5" t="n"/>
      <c r="CF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306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306" t="n"/>
      <c r="FP4" s="5" t="n"/>
      <c r="FQ4" s="5" t="n"/>
      <c r="FR4" s="306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  <c r="GD4" s="5" t="n"/>
      <c r="GE4" s="5" t="n"/>
      <c r="GF4" s="5" t="n"/>
      <c r="GG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E5" s="44" t="inlineStr">
        <is>
          <t>Pendências</t>
        </is>
      </c>
      <c r="CF5" s="44" t="inlineStr">
        <is>
          <t>Pendências</t>
        </is>
      </c>
      <c r="CH5" s="12" t="inlineStr">
        <is>
          <t>Novo Pedido</t>
        </is>
      </c>
      <c r="CI5" s="793" t="n">
        <v>46161.48089931349</v>
      </c>
      <c r="CJ5" s="794" t="n">
        <v>46149</v>
      </c>
      <c r="CK5" s="794" t="n">
        <v>46142</v>
      </c>
      <c r="CL5" s="794" t="n">
        <v>46114</v>
      </c>
      <c r="CM5" s="794" t="n">
        <v>46107</v>
      </c>
      <c r="CN5" s="795" t="n">
        <v>46065</v>
      </c>
      <c r="CO5" s="794" t="n">
        <v>46099</v>
      </c>
      <c r="CP5" s="794" t="n">
        <v>46092</v>
      </c>
      <c r="CQ5" s="796" t="n">
        <v>46045</v>
      </c>
      <c r="CR5" s="794" t="n">
        <v>46077</v>
      </c>
      <c r="CS5" s="794" t="n">
        <v>46048</v>
      </c>
      <c r="CT5" s="794" t="n">
        <v>46043</v>
      </c>
      <c r="CU5" s="794" t="n">
        <v>46024</v>
      </c>
      <c r="CV5" s="794" t="n">
        <v>46017</v>
      </c>
      <c r="CW5" s="794" t="n">
        <v>46007</v>
      </c>
      <c r="CX5" s="794" t="n">
        <v>46001</v>
      </c>
      <c r="CY5" s="794" t="n">
        <v>46001</v>
      </c>
      <c r="CZ5" s="794" t="n">
        <v>45994</v>
      </c>
      <c r="DA5" s="794" t="n">
        <v>45986</v>
      </c>
      <c r="DB5" s="794" t="n">
        <v>45980</v>
      </c>
      <c r="DC5" s="794" t="n">
        <v>45980</v>
      </c>
      <c r="DD5" s="797" t="inlineStr">
        <is>
          <t>TRANSF.</t>
        </is>
      </c>
      <c r="DE5" s="794" t="n">
        <v>45973</v>
      </c>
      <c r="DF5" s="794" t="n">
        <v>45965</v>
      </c>
      <c r="DG5" s="794" t="n">
        <v>45960</v>
      </c>
      <c r="DH5" s="794" t="n">
        <v>45951</v>
      </c>
      <c r="DI5" s="737" t="n">
        <v>45903</v>
      </c>
      <c r="DJ5" s="794" t="n">
        <v>45945</v>
      </c>
      <c r="DK5" s="794" t="n">
        <v>45937</v>
      </c>
      <c r="DL5" s="794" t="n">
        <v>45931</v>
      </c>
      <c r="DM5" s="794" t="n">
        <v>45931</v>
      </c>
      <c r="DN5" s="794" t="n">
        <v>45915</v>
      </c>
      <c r="DO5" s="794" t="n">
        <v>45923</v>
      </c>
      <c r="DP5" s="794" t="n">
        <v>45903</v>
      </c>
      <c r="DQ5" s="794" t="n">
        <v>45915</v>
      </c>
      <c r="DR5" s="797" t="inlineStr">
        <is>
          <t>TRANSF.</t>
        </is>
      </c>
      <c r="DS5" s="794" t="n">
        <v>45909</v>
      </c>
      <c r="DT5" s="738" t="inlineStr">
        <is>
          <t>TRANSF.</t>
        </is>
      </c>
      <c r="DU5" s="794" t="n">
        <v>45895</v>
      </c>
      <c r="DV5" s="797" t="inlineStr">
        <is>
          <t>TRANSF.</t>
        </is>
      </c>
      <c r="DW5" s="794" t="n">
        <v>45881</v>
      </c>
      <c r="DX5" s="738" t="n">
        <v>45839</v>
      </c>
      <c r="DY5" s="794" t="n">
        <v>45888</v>
      </c>
      <c r="DZ5" s="794" t="n">
        <v>45881</v>
      </c>
      <c r="EA5" s="797" t="inlineStr">
        <is>
          <t>TRANSF.</t>
        </is>
      </c>
      <c r="EB5" s="794" t="n">
        <v>45874</v>
      </c>
      <c r="EC5" s="797" t="inlineStr">
        <is>
          <t>TRANSF.</t>
        </is>
      </c>
      <c r="ED5" s="794" t="n">
        <v>45867</v>
      </c>
      <c r="EE5" s="794" t="n">
        <v>45867</v>
      </c>
      <c r="EF5" s="794" t="n">
        <v>45860</v>
      </c>
      <c r="EG5" s="797" t="inlineStr">
        <is>
          <t>TRANSF.</t>
        </is>
      </c>
      <c r="EH5" s="797" t="inlineStr">
        <is>
          <t>TRANSF.</t>
        </is>
      </c>
      <c r="EI5" s="794" t="n">
        <v>45853</v>
      </c>
      <c r="EJ5" s="739" t="inlineStr">
        <is>
          <t xml:space="preserve">TRANSF. </t>
        </is>
      </c>
      <c r="EK5" s="794" t="n">
        <v>45848</v>
      </c>
      <c r="EL5" s="794" t="n">
        <v>45839</v>
      </c>
      <c r="EM5" s="794" t="n">
        <v>45839</v>
      </c>
      <c r="EN5" s="797" t="inlineStr">
        <is>
          <t>TRANSF.</t>
        </is>
      </c>
      <c r="EO5" s="794" t="n">
        <v>45790</v>
      </c>
      <c r="EP5" s="794" t="n">
        <v>45825</v>
      </c>
      <c r="EQ5" s="794" t="n">
        <v>45819</v>
      </c>
      <c r="ER5" s="794" t="n">
        <v>45813</v>
      </c>
      <c r="ES5" s="794" t="n">
        <v>45798</v>
      </c>
      <c r="ET5" s="797" t="inlineStr">
        <is>
          <t>TRANSF.</t>
        </is>
      </c>
      <c r="EU5" s="797" t="inlineStr">
        <is>
          <t>TRANSF.</t>
        </is>
      </c>
      <c r="EV5" s="797" t="inlineStr">
        <is>
          <t>TRANSF.</t>
        </is>
      </c>
      <c r="EW5" s="797" t="inlineStr">
        <is>
          <t>TRANSF.</t>
        </is>
      </c>
      <c r="EX5" s="742" t="inlineStr">
        <is>
          <t>TRANSF.</t>
        </is>
      </c>
      <c r="EY5" s="794" t="n">
        <v>45784</v>
      </c>
      <c r="EZ5" s="797" t="inlineStr">
        <is>
          <t>TRANSF.</t>
        </is>
      </c>
      <c r="FA5" s="794" t="n">
        <v>45784</v>
      </c>
      <c r="FB5" s="794" t="n">
        <v>45764</v>
      </c>
      <c r="FC5" s="797" t="inlineStr">
        <is>
          <t>TRANSF.</t>
        </is>
      </c>
      <c r="FD5" s="794" t="n">
        <v>45783</v>
      </c>
      <c r="FE5" s="794" t="n">
        <v>45770</v>
      </c>
      <c r="FF5" s="794" t="n">
        <v>45775</v>
      </c>
      <c r="FG5" s="794" t="n">
        <v>45770</v>
      </c>
      <c r="FH5" s="794" t="n">
        <v>45770</v>
      </c>
      <c r="FI5" s="797" t="inlineStr">
        <is>
          <t>TRANSF.</t>
        </is>
      </c>
      <c r="FJ5" s="797" t="inlineStr">
        <is>
          <t>TRANSF.</t>
        </is>
      </c>
      <c r="FK5" s="794" t="n">
        <v>45756</v>
      </c>
      <c r="FL5" s="794" t="n">
        <v>45735</v>
      </c>
      <c r="FM5" s="797" t="inlineStr">
        <is>
          <t>TRANSF.</t>
        </is>
      </c>
      <c r="FN5" s="794" t="n">
        <v>45743</v>
      </c>
      <c r="FO5" s="746" t="inlineStr">
        <is>
          <t>TRANSF.</t>
        </is>
      </c>
      <c r="FP5" s="794" t="n">
        <v>45722</v>
      </c>
      <c r="FQ5" s="794" t="n">
        <v>45722</v>
      </c>
      <c r="FR5" s="746" t="n">
        <v>45700</v>
      </c>
      <c r="FS5" s="797" t="inlineStr">
        <is>
          <t>TRANSF.</t>
        </is>
      </c>
      <c r="FT5" s="794" t="n">
        <v>45714</v>
      </c>
      <c r="FU5" s="794" t="n">
        <v>45706</v>
      </c>
      <c r="FV5" s="794" t="n">
        <v>45684</v>
      </c>
      <c r="FW5" s="794" t="n">
        <v>45699</v>
      </c>
      <c r="FX5" s="794" t="n">
        <v>45693</v>
      </c>
      <c r="FY5" s="797" t="inlineStr">
        <is>
          <t>TRANSF.</t>
        </is>
      </c>
      <c r="FZ5" s="794" t="n">
        <v>45685</v>
      </c>
      <c r="GA5" s="797" t="inlineStr">
        <is>
          <t>TRANSF.</t>
        </is>
      </c>
      <c r="GB5" s="794" t="n">
        <v>45674</v>
      </c>
      <c r="GC5" s="794" t="n">
        <v>45664</v>
      </c>
      <c r="GD5" s="794" t="n">
        <v>45660</v>
      </c>
      <c r="GE5" s="794" t="n">
        <v>45660</v>
      </c>
      <c r="GF5" s="794" t="n">
        <v>45652</v>
      </c>
      <c r="GG5" s="794" t="n">
        <v>45643</v>
      </c>
      <c r="GI5" s="235" t="inlineStr">
        <is>
          <t>MÃES/2025</t>
        </is>
      </c>
      <c r="GJ5" s="798" t="inlineStr">
        <is>
          <t>PCT</t>
        </is>
      </c>
      <c r="GK5" s="322" t="n">
        <v>45726</v>
      </c>
      <c r="GL5" s="322" t="n">
        <v>45733</v>
      </c>
      <c r="GM5" s="322" t="n">
        <v>45740</v>
      </c>
      <c r="GN5" s="322" t="n">
        <v>45747</v>
      </c>
      <c r="GO5" s="322" t="n">
        <v>45754</v>
      </c>
      <c r="GP5" s="322" t="n">
        <v>45761</v>
      </c>
      <c r="GQ5" s="322" t="n">
        <v>45768</v>
      </c>
      <c r="GR5" s="322" t="n">
        <v>45775</v>
      </c>
      <c r="GS5" s="322" t="n">
        <v>45782</v>
      </c>
      <c r="GT5" s="322" t="n">
        <v>45789</v>
      </c>
      <c r="GU5" s="799" t="n">
        <v>46160</v>
      </c>
      <c r="GV5" s="322" t="n">
        <v>45796</v>
      </c>
      <c r="GW5" s="800" t="n">
        <v>46161.48024462963</v>
      </c>
      <c r="GX5" s="800" t="n">
        <v>46161.48090264305</v>
      </c>
      <c r="GY5" s="801" t="inlineStr">
        <is>
          <t>USOU</t>
        </is>
      </c>
      <c r="GZ5" s="886" t="n"/>
      <c r="HA5" s="542" t="inlineStr">
        <is>
          <t>NAMORADOS/2025</t>
        </is>
      </c>
      <c r="HC5" s="363" t="n"/>
      <c r="HD5" s="363" t="n"/>
      <c r="HE5" s="363" t="n"/>
      <c r="HF5" s="363" t="n"/>
      <c r="HG5" s="363" t="n"/>
      <c r="HH5" s="363" t="n"/>
      <c r="HI5" s="363" t="n"/>
      <c r="HJ5" s="363" t="n"/>
      <c r="HK5" s="363" t="n"/>
      <c r="HL5" s="363" t="n"/>
      <c r="HO5" s="550" t="inlineStr">
        <is>
          <t>PAIS/2025</t>
        </is>
      </c>
      <c r="HQ5" s="407" t="n"/>
      <c r="HR5" s="407" t="n"/>
      <c r="HS5" s="407" t="n"/>
      <c r="HT5" s="407" t="n"/>
      <c r="HU5" s="407" t="n"/>
      <c r="HV5" s="407" t="n"/>
      <c r="HW5" s="407" t="n"/>
      <c r="HX5" s="407" t="n"/>
      <c r="HY5" s="887" t="n"/>
      <c r="IL5" s="691" t="n"/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46161.48024612269</v>
      </c>
      <c r="CB6" s="747" t="n">
        <v>46161.48090400481</v>
      </c>
      <c r="CC6" s="748" t="inlineStr">
        <is>
          <t>USOU</t>
        </is>
      </c>
      <c r="CD6" s="5" t="n"/>
      <c r="CE6" s="415" t="inlineStr">
        <is>
          <t>TRANSF.</t>
        </is>
      </c>
      <c r="CF6" s="294" t="n"/>
      <c r="CG6" s="5" t="n"/>
      <c r="CH6" s="752" t="n">
        <v>46156</v>
      </c>
      <c r="CI6" s="793" t="n">
        <v>46161.48089931369</v>
      </c>
      <c r="CJ6" s="794" t="n">
        <v>46156</v>
      </c>
      <c r="CK6" s="794" t="n">
        <v>46142</v>
      </c>
      <c r="CL6" s="794" t="n">
        <v>46121</v>
      </c>
      <c r="CM6" s="794" t="n">
        <v>46113</v>
      </c>
      <c r="CN6" s="795" t="n">
        <v>46112</v>
      </c>
      <c r="CO6" s="794" t="n">
        <v>46105</v>
      </c>
      <c r="CP6" s="794" t="n">
        <v>46100</v>
      </c>
      <c r="CQ6" s="796" t="n">
        <v>46090</v>
      </c>
      <c r="CR6" s="794" t="n">
        <v>46084</v>
      </c>
      <c r="CS6" s="794" t="n">
        <v>46073</v>
      </c>
      <c r="CT6" s="794" t="n">
        <v>46050</v>
      </c>
      <c r="CU6" s="794" t="n">
        <v>46035</v>
      </c>
      <c r="CV6" s="794" t="n">
        <v>46029</v>
      </c>
      <c r="CW6" s="794" t="n">
        <v>46010</v>
      </c>
      <c r="CX6" s="794" t="n">
        <v>46008</v>
      </c>
      <c r="CY6" s="794" t="n">
        <v>46009</v>
      </c>
      <c r="CZ6" s="794" t="n">
        <v>46001</v>
      </c>
      <c r="DA6" s="794" t="n">
        <v>45992</v>
      </c>
      <c r="DB6" s="794" t="n">
        <v>45992</v>
      </c>
      <c r="DC6" s="794" t="n">
        <v>45988</v>
      </c>
      <c r="DD6" s="797" t="n">
        <v>45982</v>
      </c>
      <c r="DE6" s="794" t="n">
        <v>45980</v>
      </c>
      <c r="DF6" s="794" t="n">
        <v>45971</v>
      </c>
      <c r="DG6" s="794" t="n">
        <v>45967</v>
      </c>
      <c r="DH6" s="794" t="n">
        <v>45958</v>
      </c>
      <c r="DI6" s="753" t="n">
        <v>45958</v>
      </c>
      <c r="DJ6" s="794" t="n">
        <v>45952</v>
      </c>
      <c r="DK6" s="794" t="n">
        <v>45938</v>
      </c>
      <c r="DL6" s="794" t="n">
        <v>45936</v>
      </c>
      <c r="DM6" s="794" t="n">
        <v>45938</v>
      </c>
      <c r="DN6" s="794" t="n">
        <v>45929</v>
      </c>
      <c r="DO6" s="794" t="n">
        <v>45926</v>
      </c>
      <c r="DP6" s="794" t="n">
        <v>45905</v>
      </c>
      <c r="DQ6" s="794" t="n">
        <v>45919</v>
      </c>
      <c r="DR6" s="797" t="n">
        <v>45918</v>
      </c>
      <c r="DS6" s="794" t="n">
        <v>45917</v>
      </c>
      <c r="DT6" s="738" t="n">
        <v>45903</v>
      </c>
      <c r="DU6" s="794" t="n">
        <v>45898</v>
      </c>
      <c r="DV6" s="797" t="n">
        <v>45896</v>
      </c>
      <c r="DW6" s="794" t="n">
        <v>45896</v>
      </c>
      <c r="DX6" s="738" t="n">
        <v>45894</v>
      </c>
      <c r="DY6" s="794" t="n">
        <v>45890</v>
      </c>
      <c r="DZ6" s="794" t="n">
        <v>45884</v>
      </c>
      <c r="EA6" s="797" t="n">
        <v>45881</v>
      </c>
      <c r="EB6" s="794" t="n">
        <v>45881</v>
      </c>
      <c r="EC6" s="797" t="n">
        <v>45876</v>
      </c>
      <c r="ED6" s="794" t="n">
        <v>45875</v>
      </c>
      <c r="EE6" s="794" t="n">
        <v>45868</v>
      </c>
      <c r="EF6" s="794" t="n">
        <v>45862</v>
      </c>
      <c r="EG6" s="797" t="n">
        <v>45861</v>
      </c>
      <c r="EH6" s="797" t="n">
        <v>45860</v>
      </c>
      <c r="EI6" s="794" t="n">
        <v>45859</v>
      </c>
      <c r="EJ6" s="739" t="n">
        <v>45855</v>
      </c>
      <c r="EK6" s="794" t="n">
        <v>45853</v>
      </c>
      <c r="EL6" s="794" t="n">
        <v>45852</v>
      </c>
      <c r="EM6" s="794" t="n">
        <v>45841</v>
      </c>
      <c r="EN6" s="797" t="n">
        <v>45835</v>
      </c>
      <c r="EO6" s="794" t="n">
        <v>45832</v>
      </c>
      <c r="EP6" s="794" t="n">
        <v>45828</v>
      </c>
      <c r="EQ6" s="794" t="n">
        <v>45821</v>
      </c>
      <c r="ER6" s="794" t="n">
        <v>45819</v>
      </c>
      <c r="ES6" s="794" t="n">
        <v>45817</v>
      </c>
      <c r="ET6" s="797" t="n">
        <v>45811</v>
      </c>
      <c r="EU6" s="797" t="n">
        <v>45810</v>
      </c>
      <c r="EV6" s="797" t="n">
        <v>45806</v>
      </c>
      <c r="EW6" s="797" t="n">
        <v>45803</v>
      </c>
      <c r="EX6" s="755" t="n">
        <v>45803</v>
      </c>
      <c r="EY6" s="794" t="n">
        <v>45798</v>
      </c>
      <c r="EZ6" s="797" t="n">
        <v>45796</v>
      </c>
      <c r="FA6" s="794" t="n">
        <v>45793</v>
      </c>
      <c r="FB6" s="794" t="n">
        <v>45793</v>
      </c>
      <c r="FC6" s="797" t="n">
        <v>45791</v>
      </c>
      <c r="FD6" s="794" t="n">
        <v>45786</v>
      </c>
      <c r="FE6" s="794" t="n">
        <v>45786</v>
      </c>
      <c r="FF6" s="794" t="n">
        <v>45779</v>
      </c>
      <c r="FG6" s="794" t="n">
        <v>45777</v>
      </c>
      <c r="FH6" s="794" t="n">
        <v>45775</v>
      </c>
      <c r="FI6" s="797" t="n">
        <v>45775</v>
      </c>
      <c r="FJ6" s="797" t="n">
        <v>45770</v>
      </c>
      <c r="FK6" s="794" t="n">
        <v>45762</v>
      </c>
      <c r="FL6" s="794" t="n">
        <v>45757</v>
      </c>
      <c r="FM6" s="797" t="n">
        <v>45751</v>
      </c>
      <c r="FN6" s="794" t="n">
        <v>45748</v>
      </c>
      <c r="FO6" s="746" t="n">
        <v>45729</v>
      </c>
      <c r="FP6" s="794" t="n">
        <v>45727</v>
      </c>
      <c r="FQ6" s="794" t="n">
        <v>45727</v>
      </c>
      <c r="FR6" s="746" t="n">
        <v>45722</v>
      </c>
      <c r="FS6" s="797" t="n">
        <v>45722</v>
      </c>
      <c r="FT6" s="794" t="n">
        <v>45721</v>
      </c>
      <c r="FU6" s="794" t="n">
        <v>45713</v>
      </c>
      <c r="FV6" s="794" t="n">
        <v>45712</v>
      </c>
      <c r="FW6" s="794" t="n">
        <v>45706</v>
      </c>
      <c r="FX6" s="794" t="n">
        <v>45699</v>
      </c>
      <c r="FY6" s="797" t="n">
        <v>45687</v>
      </c>
      <c r="FZ6" s="794" t="n">
        <v>45686</v>
      </c>
      <c r="GA6" s="797" t="n">
        <v>45684</v>
      </c>
      <c r="GB6" s="794" t="n">
        <v>45678</v>
      </c>
      <c r="GC6" s="794" t="n">
        <v>45670</v>
      </c>
      <c r="GD6" s="794" t="n">
        <v>45667</v>
      </c>
      <c r="GE6" s="794" t="n">
        <v>45665</v>
      </c>
      <c r="GF6" s="794" t="n">
        <v>45659</v>
      </c>
      <c r="GG6" s="794" t="n">
        <v>45652</v>
      </c>
      <c r="GI6" s="745" t="n"/>
      <c r="GJ6" s="745" t="n"/>
      <c r="GK6" s="745" t="n"/>
      <c r="GL6" s="745" t="n"/>
      <c r="GM6" s="745" t="n"/>
      <c r="GN6" s="745" t="n"/>
      <c r="GO6" s="745" t="n"/>
      <c r="GP6" s="745" t="n"/>
      <c r="GQ6" s="745" t="n"/>
      <c r="GR6" s="745" t="n"/>
      <c r="GS6" s="745" t="n"/>
      <c r="GT6" s="745" t="n"/>
      <c r="GU6" s="745" t="n"/>
      <c r="GV6" s="745" t="n"/>
      <c r="GW6" s="802" t="n"/>
      <c r="GX6" s="802" t="n"/>
      <c r="GY6" s="803" t="n"/>
      <c r="GZ6" s="853" t="n"/>
      <c r="HA6" s="803" t="n"/>
      <c r="HB6" s="782" t="n"/>
      <c r="HC6" s="363" t="n"/>
      <c r="HD6" s="363" t="n"/>
      <c r="HE6" s="363" t="n"/>
      <c r="HF6" s="363" t="n"/>
      <c r="HG6" s="363" t="n"/>
      <c r="HH6" s="363" t="n"/>
      <c r="HI6" s="363" t="n"/>
      <c r="HJ6" s="363" t="n"/>
      <c r="HO6" s="803" t="n"/>
      <c r="HP6" s="782" t="n"/>
      <c r="HQ6" s="407" t="n"/>
      <c r="HR6" s="407" t="n"/>
      <c r="HS6" s="407" t="n"/>
      <c r="HT6" s="407" t="n"/>
      <c r="HU6" s="407" t="n"/>
      <c r="HV6" s="407" t="n"/>
      <c r="HW6" s="407" t="n"/>
      <c r="HX6" s="407" t="n"/>
      <c r="HY6" s="782" t="n"/>
      <c r="HZ6" s="782" t="n"/>
      <c r="IA6" s="783" t="n"/>
      <c r="IB6" s="782" t="n"/>
      <c r="IC6" s="782" t="n"/>
      <c r="ID6" s="782" t="n"/>
      <c r="IE6" s="782" t="n"/>
      <c r="IF6" s="782" t="n"/>
      <c r="IG6" s="782" t="n"/>
      <c r="IH6" s="782" t="n"/>
      <c r="II6" s="782" t="n"/>
      <c r="IJ6" s="783" t="n"/>
      <c r="IK6" s="783" t="n"/>
      <c r="IL6" s="555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5" t="n"/>
      <c r="CE7" s="13" t="n"/>
      <c r="CF7" s="13" t="n"/>
      <c r="CG7" s="5" t="n"/>
      <c r="CH7" s="13" t="n"/>
      <c r="CI7" s="203" t="n"/>
      <c r="CJ7" s="203" t="n"/>
      <c r="CK7" s="203" t="n"/>
      <c r="CL7" s="203" t="n"/>
      <c r="CM7" s="203" t="n"/>
      <c r="CN7" s="307" t="inlineStr">
        <is>
          <t>MÃES</t>
        </is>
      </c>
      <c r="CO7" s="203" t="n"/>
      <c r="CP7" s="203" t="n"/>
      <c r="CQ7" s="307" t="inlineStr">
        <is>
          <t>MÃES</t>
        </is>
      </c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3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203" t="n"/>
      <c r="DQ7" s="203" t="n"/>
      <c r="DR7" s="203" t="n"/>
      <c r="DS7" s="203" t="n"/>
      <c r="DT7" s="307" t="inlineStr">
        <is>
          <t>HP</t>
        </is>
      </c>
      <c r="DU7" s="203" t="n"/>
      <c r="DV7" s="203" t="n"/>
      <c r="DW7" s="203" t="n"/>
      <c r="DX7" s="307" t="inlineStr">
        <is>
          <t>HP</t>
        </is>
      </c>
      <c r="DY7" s="203" t="n"/>
      <c r="DZ7" s="203" t="n"/>
      <c r="EA7" s="203" t="n"/>
      <c r="EB7" s="203" t="n"/>
      <c r="EC7" s="203" t="n"/>
      <c r="ED7" s="203" t="n"/>
      <c r="EE7" s="203" t="n"/>
      <c r="EF7" s="203" t="n"/>
      <c r="EG7" s="203" t="n"/>
      <c r="EH7" s="203" t="n"/>
      <c r="EI7" s="203" t="n"/>
      <c r="EJ7" s="33" t="inlineStr">
        <is>
          <t>PAIS/25</t>
        </is>
      </c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203" t="n"/>
      <c r="EV7" s="203" t="n"/>
      <c r="EW7" s="203" t="n"/>
      <c r="EX7" s="13" t="inlineStr">
        <is>
          <t>NAMO/25</t>
        </is>
      </c>
      <c r="EY7" s="379" t="inlineStr">
        <is>
          <t>EUD</t>
        </is>
      </c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203" t="n"/>
      <c r="FL7" s="203" t="n"/>
      <c r="FM7" s="203" t="n"/>
      <c r="FN7" s="203" t="n"/>
      <c r="FO7" s="307" t="inlineStr">
        <is>
          <t>MÃES/25</t>
        </is>
      </c>
      <c r="FP7" s="203" t="n"/>
      <c r="FQ7" s="203" t="n"/>
      <c r="FR7" s="307" t="inlineStr">
        <is>
          <t>MÃES/25</t>
        </is>
      </c>
      <c r="FS7" s="203" t="n"/>
      <c r="FT7" s="203" t="n"/>
      <c r="FU7" s="203" t="n"/>
      <c r="FV7" s="33" t="inlineStr">
        <is>
          <t>LUAPACK</t>
        </is>
      </c>
      <c r="FW7" s="203" t="n"/>
      <c r="FX7" s="203" t="n"/>
      <c r="FY7" s="203" t="n"/>
      <c r="FZ7" s="203" t="n"/>
      <c r="GA7" s="203" t="n"/>
      <c r="GB7" s="203" t="n"/>
      <c r="GC7" s="203" t="n"/>
      <c r="GD7" s="203" t="n"/>
      <c r="GE7" s="203" t="n"/>
      <c r="GF7" s="203" t="n"/>
      <c r="GG7" s="203" t="n"/>
      <c r="GI7" s="298" t="inlineStr">
        <is>
          <t xml:space="preserve">SACOLAS </t>
        </is>
      </c>
      <c r="GJ7" s="298" t="n"/>
      <c r="GK7" s="298" t="n"/>
      <c r="GL7" s="298" t="n"/>
      <c r="GM7" s="298" t="n"/>
      <c r="GN7" s="298" t="n"/>
      <c r="GO7" s="298" t="n"/>
      <c r="GP7" s="298" t="n"/>
      <c r="GQ7" s="298" t="n"/>
      <c r="GR7" s="298" t="n"/>
      <c r="GS7" s="298" t="n"/>
      <c r="GT7" s="298" t="n"/>
      <c r="GU7" s="298" t="n"/>
      <c r="GV7" s="298" t="n"/>
      <c r="GW7" s="298" t="n"/>
      <c r="GX7" s="298" t="n"/>
      <c r="GY7" s="299" t="n"/>
      <c r="HA7" s="804" t="inlineStr">
        <is>
          <t xml:space="preserve">SACOLAS </t>
        </is>
      </c>
      <c r="HB7" s="805" t="inlineStr">
        <is>
          <t>PCT</t>
        </is>
      </c>
      <c r="HC7" s="398" t="n">
        <v>45796</v>
      </c>
      <c r="HD7" s="398" t="n">
        <v>45803</v>
      </c>
      <c r="HE7" s="398" t="n">
        <v>45810</v>
      </c>
      <c r="HF7" s="398" t="n">
        <v>45817</v>
      </c>
      <c r="HG7" s="398" t="n">
        <v>45824</v>
      </c>
      <c r="HH7" s="398" t="n">
        <v>45831</v>
      </c>
      <c r="HI7" s="398" t="n">
        <v>45838</v>
      </c>
      <c r="HJ7" s="806" t="n">
        <v>46160</v>
      </c>
      <c r="HK7" s="888" t="n">
        <v>46161.48024385417</v>
      </c>
      <c r="HL7" s="888" t="n">
        <v>46161.48090187514</v>
      </c>
      <c r="HM7" s="808" t="inlineStr">
        <is>
          <t>USOU</t>
        </is>
      </c>
      <c r="HO7" s="809" t="inlineStr">
        <is>
          <t xml:space="preserve">SACOLAS </t>
        </is>
      </c>
      <c r="HP7" s="810" t="inlineStr">
        <is>
          <t>PCT</t>
        </is>
      </c>
      <c r="HQ7" s="811" t="n">
        <v>45845</v>
      </c>
      <c r="HR7" s="811" t="n">
        <v>45852</v>
      </c>
      <c r="HS7" s="811" t="n">
        <v>45859</v>
      </c>
      <c r="HT7" s="811" t="n">
        <v>45866</v>
      </c>
      <c r="HU7" s="811" t="n">
        <v>45873</v>
      </c>
      <c r="HV7" s="811" t="n">
        <v>45880</v>
      </c>
      <c r="HW7" s="811" t="n">
        <v>45887</v>
      </c>
      <c r="HX7" s="811" t="n">
        <v>45894</v>
      </c>
      <c r="HY7" s="737" t="n">
        <v>46160</v>
      </c>
      <c r="HZ7" s="812" t="n">
        <v>46161.48024309028</v>
      </c>
      <c r="IA7" s="812" t="n">
        <v>46161.48090115543</v>
      </c>
      <c r="IB7" s="813" t="inlineStr">
        <is>
          <t>USOU</t>
        </is>
      </c>
      <c r="ID7" s="814" t="inlineStr">
        <is>
          <t>SACOLAS VENDA</t>
        </is>
      </c>
      <c r="IE7" s="815" t="inlineStr">
        <is>
          <t>PCT</t>
        </is>
      </c>
      <c r="IF7" s="513" t="n">
        <v>45950</v>
      </c>
      <c r="IG7" s="513" t="n">
        <v>45957</v>
      </c>
      <c r="IH7" s="513" t="n">
        <v>45964</v>
      </c>
      <c r="II7" s="737" t="n">
        <v>46160</v>
      </c>
      <c r="IJ7" s="812" t="n">
        <v>46161.48024232639</v>
      </c>
      <c r="IK7" s="812" t="n">
        <v>46161.48090045072</v>
      </c>
      <c r="IL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1000</v>
      </c>
      <c r="E8" s="5" t="n"/>
      <c r="F8" s="237">
        <f>2100+GD8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1500+FO8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600+FF8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600+EC8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0+DL8</f>
        <v/>
      </c>
      <c r="AT8" s="237" t="n">
        <v>900</v>
      </c>
      <c r="AU8" s="237" t="n">
        <v>300</v>
      </c>
      <c r="AV8" s="237">
        <f>300+DH8</f>
        <v/>
      </c>
      <c r="AW8" s="237" t="n">
        <v>1500</v>
      </c>
      <c r="AX8" s="237" t="n">
        <v>900</v>
      </c>
      <c r="AY8" s="237">
        <f>900+DD8</f>
        <v/>
      </c>
      <c r="AZ8" s="237" t="n">
        <v>1500</v>
      </c>
      <c r="BA8" s="237">
        <f>1500+DA8</f>
        <v/>
      </c>
      <c r="BB8" s="237">
        <f>2400+CY8</f>
        <v/>
      </c>
      <c r="BC8" s="237" t="n">
        <v>2400</v>
      </c>
      <c r="BD8" s="237">
        <f>2400+CW8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900+CP8</f>
        <v/>
      </c>
      <c r="BP8" s="237" t="n">
        <v>900</v>
      </c>
      <c r="BQ8" s="237">
        <f>900+CN8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237" t="n">
        <v>300</v>
      </c>
      <c r="BZ8" s="237" t="n"/>
      <c r="CA8" s="154" t="n"/>
      <c r="CB8" s="154" t="n"/>
      <c r="CC8" s="198">
        <f>CA8+IF(NOT(ISBLANK(OFFSET(CC8,0,6))),N(OFFSET(CC8,0,6)),N(OFFSET(CC8,0,7)))-CB8</f>
        <v/>
      </c>
      <c r="CD8" s="5" t="n"/>
      <c r="CE8" s="22" t="n"/>
      <c r="CF8" s="22" t="n"/>
      <c r="CG8" s="5" t="n"/>
      <c r="CH8" s="27" t="n">
        <v>600</v>
      </c>
      <c r="CI8" s="757" t="n">
        <v>0</v>
      </c>
      <c r="CJ8" s="23" t="n">
        <v>0</v>
      </c>
      <c r="CK8" s="23" t="n">
        <v>0</v>
      </c>
      <c r="CL8" s="23" t="n">
        <v>600</v>
      </c>
      <c r="CM8" s="23" t="n"/>
      <c r="CN8" s="23" t="n"/>
      <c r="CO8" s="23" t="n"/>
      <c r="CP8" s="23" t="n">
        <v>300</v>
      </c>
      <c r="CQ8" s="23" t="n"/>
      <c r="CR8" s="23" t="n">
        <v>300</v>
      </c>
      <c r="CS8" s="23" t="n"/>
      <c r="CT8" s="23" t="n"/>
      <c r="CU8" s="23" t="n"/>
      <c r="CV8" s="23" t="n"/>
      <c r="CW8" s="23" t="n"/>
      <c r="CX8" s="23" t="n"/>
      <c r="CY8" s="23" t="n">
        <v>600</v>
      </c>
      <c r="CZ8" s="23" t="n"/>
      <c r="DA8" s="23" t="n">
        <v>600</v>
      </c>
      <c r="DB8" s="23" t="n"/>
      <c r="DC8" s="23" t="n">
        <v>1200</v>
      </c>
      <c r="DD8" s="219" t="n"/>
      <c r="DE8" s="23" t="n"/>
      <c r="DF8" s="23" t="n">
        <v>600</v>
      </c>
      <c r="DG8" s="23" t="n"/>
      <c r="DH8" s="23" t="n"/>
      <c r="DI8" s="23" t="n"/>
      <c r="DJ8" s="23" t="n">
        <v>1200</v>
      </c>
      <c r="DK8" s="23" t="n"/>
      <c r="DL8" s="23" t="n"/>
      <c r="DM8" s="23" t="n"/>
      <c r="DN8" s="23" t="n">
        <v>1200</v>
      </c>
      <c r="DO8" s="23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/>
      <c r="EC8" s="23" t="n"/>
      <c r="ED8" s="23" t="n"/>
      <c r="EE8" s="23" t="n">
        <v>1200</v>
      </c>
      <c r="EF8" s="23" t="n"/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/>
      <c r="FB8" s="23" t="n"/>
      <c r="FC8" s="23" t="n"/>
      <c r="FD8" s="23" t="n">
        <v>900</v>
      </c>
      <c r="FE8" s="23" t="n"/>
      <c r="FF8" s="23" t="n">
        <v>600</v>
      </c>
      <c r="FG8" s="23" t="n">
        <v>600</v>
      </c>
      <c r="FH8" s="23" t="n">
        <v>600</v>
      </c>
      <c r="FI8" s="23" t="n"/>
      <c r="FJ8" s="282" t="inlineStr">
        <is>
          <t>300 P/ GV + 300 P/ SHN</t>
        </is>
      </c>
      <c r="FK8" s="23" t="n"/>
      <c r="FL8" s="23" t="n"/>
      <c r="FM8" s="23" t="n"/>
      <c r="FN8" s="23" t="n"/>
      <c r="FO8" s="219" t="n"/>
      <c r="FP8" s="23" t="n">
        <v>600</v>
      </c>
      <c r="FQ8" s="23" t="n">
        <v>600</v>
      </c>
      <c r="FR8" s="219" t="n"/>
      <c r="FS8" s="23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/>
      <c r="GC8" s="23" t="n"/>
      <c r="GD8" s="23" t="n"/>
      <c r="GE8" s="23" t="n"/>
      <c r="GF8" s="23" t="n">
        <v>600</v>
      </c>
      <c r="GG8" s="23" t="n"/>
      <c r="GI8" s="299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S8" s="299" t="n"/>
      <c r="GT8" s="299" t="n"/>
      <c r="GU8" s="299" t="n"/>
      <c r="GV8" s="299" t="n"/>
      <c r="GW8" s="299" t="n"/>
      <c r="GX8" s="299" t="n"/>
      <c r="GY8" s="816" t="n"/>
      <c r="HA8" s="816" t="n"/>
      <c r="HB8" s="816" t="n"/>
      <c r="HC8" s="816" t="n"/>
      <c r="HD8" s="816" t="n"/>
      <c r="HE8" s="816" t="n"/>
      <c r="HF8" s="816" t="n"/>
      <c r="HG8" s="816" t="n"/>
      <c r="HH8" s="816" t="n"/>
      <c r="HI8" s="816" t="n"/>
      <c r="HJ8" s="532" t="n"/>
      <c r="HK8" s="816" t="n"/>
      <c r="HL8" s="889" t="n"/>
      <c r="HM8" s="816" t="n"/>
      <c r="HO8" s="816" t="n"/>
      <c r="HP8" s="816" t="n"/>
      <c r="HQ8" s="816" t="n"/>
      <c r="HR8" s="816" t="n"/>
      <c r="HS8" s="816" t="n"/>
      <c r="HT8" s="816" t="n"/>
      <c r="HU8" s="816" t="n"/>
      <c r="HV8" s="816" t="n"/>
      <c r="HW8" s="816" t="n"/>
      <c r="HX8" s="816" t="n"/>
      <c r="HY8" s="816" t="n"/>
      <c r="HZ8" s="816" t="n"/>
      <c r="IA8" s="889" t="n"/>
      <c r="IB8" s="745" t="n"/>
      <c r="ID8" s="819" t="n"/>
      <c r="IE8" s="745" t="n"/>
      <c r="IF8" s="816" t="n"/>
      <c r="IG8" s="816" t="n"/>
      <c r="IH8" s="816" t="n"/>
      <c r="II8" s="562" t="n"/>
      <c r="IJ8" s="818" t="n"/>
      <c r="IK8" s="818" t="n"/>
      <c r="IL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2600</v>
      </c>
      <c r="E9" s="5" t="n"/>
      <c r="F9" s="237" t="n">
        <v>7000</v>
      </c>
      <c r="G9" s="237">
        <f>6800+GC9</f>
        <v/>
      </c>
      <c r="H9" s="237" t="n">
        <v>7600</v>
      </c>
      <c r="I9" s="237">
        <f>6800+FZ9</f>
        <v/>
      </c>
      <c r="J9" s="237" t="n">
        <v>6200</v>
      </c>
      <c r="K9" s="237" t="n">
        <v>6000</v>
      </c>
      <c r="L9" s="237" t="n">
        <v>4800</v>
      </c>
      <c r="M9" s="237">
        <f>3800+FU9</f>
        <v/>
      </c>
      <c r="N9" s="237">
        <f>4800+FS9</f>
        <v/>
      </c>
      <c r="O9" s="237">
        <f>4800+FR9</f>
        <v/>
      </c>
      <c r="P9" s="237">
        <f>5600+FO9</f>
        <v/>
      </c>
      <c r="Q9" s="237" t="n">
        <v>6600</v>
      </c>
      <c r="R9" s="237" t="n">
        <v>5800</v>
      </c>
      <c r="S9" s="237">
        <f>4600+FL9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1400+EP9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1400+EI9</f>
        <v/>
      </c>
      <c r="AI9" s="237" t="n">
        <v>1800</v>
      </c>
      <c r="AJ9" s="237" t="n">
        <v>3000</v>
      </c>
      <c r="AK9" s="237">
        <f>2600+EC9</f>
        <v/>
      </c>
      <c r="AL9" s="237">
        <f>2600-1000</f>
        <v/>
      </c>
      <c r="AM9" s="237" t="n">
        <v>1000</v>
      </c>
      <c r="AN9" s="237" t="n">
        <v>1400</v>
      </c>
      <c r="AO9" s="237">
        <f>800+DS9</f>
        <v/>
      </c>
      <c r="AP9" s="237" t="n">
        <v>2400</v>
      </c>
      <c r="AQ9" s="237">
        <f>1000+DQ9-400</f>
        <v/>
      </c>
      <c r="AR9" s="237">
        <f>0+DO9</f>
        <v/>
      </c>
      <c r="AS9" s="237">
        <f>1400+DL9</f>
        <v/>
      </c>
      <c r="AT9" s="237" t="n">
        <v>3400</v>
      </c>
      <c r="AU9" s="237" t="n">
        <v>3000</v>
      </c>
      <c r="AV9" s="237" t="n">
        <v>1400</v>
      </c>
      <c r="AW9" s="237">
        <f>800+DF9</f>
        <v/>
      </c>
      <c r="AX9" s="237" t="n">
        <v>2200</v>
      </c>
      <c r="AY9" s="237">
        <f>1200+DD9</f>
        <v/>
      </c>
      <c r="AZ9" s="237">
        <f>400+DC9-400</f>
        <v/>
      </c>
      <c r="BA9" s="237">
        <f>1500+DA9</f>
        <v/>
      </c>
      <c r="BB9" s="237">
        <f>3600+CY9</f>
        <v/>
      </c>
      <c r="BC9" s="237">
        <f>4600+CX9</f>
        <v/>
      </c>
      <c r="BD9" s="237">
        <f>5200+CW9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1400+CP9</f>
        <v/>
      </c>
      <c r="BP9" s="237" t="n">
        <v>2600</v>
      </c>
      <c r="BQ9" s="237">
        <f>1200+CN9</f>
        <v/>
      </c>
      <c r="BR9" s="237">
        <f>2400+CM9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>
        <f>6400-2000</f>
        <v/>
      </c>
      <c r="BY9" s="237" t="n">
        <v>2800</v>
      </c>
      <c r="BZ9" s="237" t="n"/>
      <c r="CA9" s="154" t="n"/>
      <c r="CB9" s="154" t="n"/>
      <c r="CC9" s="198">
        <f>CA9+IF(NOT(ISBLANK(OFFSET(CC9,0,6))),N(OFFSET(CC9,0,6)),N(OFFSET(CC9,0,7)))-CB9</f>
        <v/>
      </c>
      <c r="CD9" s="5" t="n"/>
      <c r="CE9" s="468" t="inlineStr">
        <is>
          <t>2000 P/ ERB</t>
        </is>
      </c>
      <c r="CF9" s="468" t="inlineStr">
        <is>
          <t>1000 P/ ERB</t>
        </is>
      </c>
      <c r="CG9" s="5" t="n"/>
      <c r="CH9" s="27" t="n">
        <v>2000</v>
      </c>
      <c r="CI9" s="757" t="n">
        <v>0</v>
      </c>
      <c r="CJ9" s="23" t="n">
        <v>0</v>
      </c>
      <c r="CK9" s="23" t="n">
        <v>0</v>
      </c>
      <c r="CL9" s="23" t="n">
        <v>4000</v>
      </c>
      <c r="CM9" s="23" t="n"/>
      <c r="CN9" s="419" t="n">
        <v>4000</v>
      </c>
      <c r="CO9" s="23" t="n">
        <v>2000</v>
      </c>
      <c r="CP9" s="23" t="n">
        <v>2000</v>
      </c>
      <c r="CQ9" s="23" t="n"/>
      <c r="CR9" s="23" t="n">
        <v>2600</v>
      </c>
      <c r="CS9" s="23" t="n">
        <v>3000</v>
      </c>
      <c r="CT9" s="23" t="n"/>
      <c r="CU9" s="23" t="n"/>
      <c r="CV9" s="23" t="n">
        <v>2000</v>
      </c>
      <c r="CW9" s="23" t="n"/>
      <c r="CX9" s="23" t="n"/>
      <c r="CY9" s="23" t="n">
        <v>1000</v>
      </c>
      <c r="CZ9" s="23" t="n">
        <v>1000</v>
      </c>
      <c r="DA9" s="23" t="n">
        <v>2000</v>
      </c>
      <c r="DB9" s="23" t="n"/>
      <c r="DC9" s="23" t="n">
        <v>3000</v>
      </c>
      <c r="DD9" s="198" t="inlineStr">
        <is>
          <t>400 P/ ERB</t>
        </is>
      </c>
      <c r="DE9" s="23" t="n">
        <v>2600</v>
      </c>
      <c r="DF9" s="23" t="n">
        <v>1000</v>
      </c>
      <c r="DG9" s="23" t="n"/>
      <c r="DH9" s="23" t="n">
        <v>2600</v>
      </c>
      <c r="DI9" s="219" t="n">
        <v>200</v>
      </c>
      <c r="DJ9" s="23" t="n"/>
      <c r="DK9" s="23" t="n"/>
      <c r="DL9" s="23" t="n"/>
      <c r="DM9" s="23" t="n"/>
      <c r="DN9" s="23" t="n">
        <v>2600</v>
      </c>
      <c r="DO9" s="23" t="n"/>
      <c r="DP9" s="23" t="n"/>
      <c r="DQ9" s="23" t="n">
        <v>2000</v>
      </c>
      <c r="DR9" s="192" t="inlineStr">
        <is>
          <t>400 P/ ER</t>
        </is>
      </c>
      <c r="DS9" s="23" t="n">
        <v>1600</v>
      </c>
      <c r="DT9" s="434" t="inlineStr">
        <is>
          <t>60 P/ ER</t>
        </is>
      </c>
      <c r="DU9" s="23" t="n">
        <v>3000</v>
      </c>
      <c r="DV9" s="23" t="n"/>
      <c r="DW9" s="23" t="n"/>
      <c r="DX9" s="219" t="n">
        <v>100</v>
      </c>
      <c r="DY9" s="23" t="n">
        <v>2600</v>
      </c>
      <c r="DZ9" s="23" t="n"/>
      <c r="EA9" s="192" t="inlineStr">
        <is>
          <t>1000 P/ ER</t>
        </is>
      </c>
      <c r="EB9" s="23" t="n"/>
      <c r="EC9" s="23" t="n"/>
      <c r="ED9" s="23" t="n"/>
      <c r="EE9" s="23" t="n">
        <v>1000</v>
      </c>
      <c r="EF9" s="23" t="n">
        <v>2600</v>
      </c>
      <c r="EG9" s="23" t="n"/>
      <c r="EH9" s="23" t="n"/>
      <c r="EI9" s="23" t="n"/>
      <c r="EJ9" s="23" t="n"/>
      <c r="EK9" s="23" t="n">
        <v>1600</v>
      </c>
      <c r="EL9" s="23" t="n"/>
      <c r="EM9" s="23" t="n">
        <v>1600</v>
      </c>
      <c r="EN9" s="23" t="n"/>
      <c r="EO9" s="23" t="n"/>
      <c r="EP9" s="23" t="n">
        <v>1800</v>
      </c>
      <c r="EQ9" s="23" t="n"/>
      <c r="ER9" s="23" t="n">
        <v>1800</v>
      </c>
      <c r="ES9" s="23" t="n"/>
      <c r="ET9" s="23" t="n"/>
      <c r="EU9" s="23" t="n"/>
      <c r="EV9" s="282" t="inlineStr">
        <is>
          <t>800 P/ SHN + 600 P/ TDQ + 200 P/ GV + 800 P/ Q7 + 200 P/ Q2</t>
        </is>
      </c>
      <c r="EW9" s="23" t="n"/>
      <c r="EX9" s="23" t="n"/>
      <c r="EY9" s="23" t="n"/>
      <c r="EZ9" s="23" t="n"/>
      <c r="FA9" s="23" t="n"/>
      <c r="FB9" s="23" t="n"/>
      <c r="FC9" s="23" t="n"/>
      <c r="FD9" s="23" t="n"/>
      <c r="FE9" s="23" t="n"/>
      <c r="FF9" s="23" t="n"/>
      <c r="FG9" s="23" t="n">
        <v>2600</v>
      </c>
      <c r="FH9" s="23" t="n"/>
      <c r="FI9" s="282" t="inlineStr">
        <is>
          <t>400 P/ ER</t>
        </is>
      </c>
      <c r="FJ9" s="23" t="n"/>
      <c r="FK9" s="23" t="n"/>
      <c r="FL9" s="23" t="n"/>
      <c r="FM9" s="23" t="n"/>
      <c r="FN9" s="23" t="n">
        <v>4000</v>
      </c>
      <c r="FO9" s="219" t="n"/>
      <c r="FP9" s="23" t="n">
        <v>1400</v>
      </c>
      <c r="FQ9" s="23" t="n">
        <v>1400</v>
      </c>
      <c r="FR9" s="219" t="n">
        <v>3400</v>
      </c>
      <c r="FS9" s="23" t="n"/>
      <c r="FT9" s="23" t="n">
        <v>1200</v>
      </c>
      <c r="FU9" s="23" t="n">
        <v>1200</v>
      </c>
      <c r="FV9" s="23" t="n"/>
      <c r="FW9" s="23" t="n">
        <v>2000</v>
      </c>
      <c r="FX9" s="23" t="n"/>
      <c r="FY9" s="23" t="n"/>
      <c r="FZ9" s="23" t="n"/>
      <c r="GA9" s="23" t="n"/>
      <c r="GB9" s="23" t="n">
        <v>400</v>
      </c>
      <c r="GC9" s="23" t="n">
        <v>400</v>
      </c>
      <c r="GD9" s="23" t="n"/>
      <c r="GE9" s="23" t="n">
        <v>600</v>
      </c>
      <c r="GF9" s="23" t="n"/>
      <c r="GG9" s="23" t="n"/>
      <c r="GI9" s="300" t="inlineStr">
        <is>
          <t>SACOLA P</t>
        </is>
      </c>
      <c r="GJ9" s="301" t="n">
        <v>200</v>
      </c>
      <c r="GK9" s="162">
        <f>FP9</f>
        <v/>
      </c>
      <c r="GL9" s="162" t="n">
        <v>3400</v>
      </c>
      <c r="GM9" s="162" t="n">
        <v>3400</v>
      </c>
      <c r="GN9" s="162" t="n">
        <v>3400</v>
      </c>
      <c r="GO9" s="162" t="n">
        <v>3200</v>
      </c>
      <c r="GP9" s="162" t="n">
        <v>3200</v>
      </c>
      <c r="GQ9" s="162" t="n">
        <v>1600</v>
      </c>
      <c r="GR9" s="162" t="n">
        <v>1400</v>
      </c>
      <c r="GS9" s="162" t="n">
        <v>1200</v>
      </c>
      <c r="GT9" s="162" t="n">
        <v>0</v>
      </c>
      <c r="GU9" s="162" t="n"/>
      <c r="GV9" s="162" t="n">
        <v>0</v>
      </c>
      <c r="GW9" s="162" t="n"/>
      <c r="GX9" s="162" t="n"/>
      <c r="GY9" s="745" t="n"/>
      <c r="HA9" s="819" t="n"/>
      <c r="HB9" s="745" t="n"/>
      <c r="HC9" s="745" t="n"/>
      <c r="HD9" s="745" t="n"/>
      <c r="HE9" s="745" t="n"/>
      <c r="HF9" s="745" t="n"/>
      <c r="HG9" s="745" t="n"/>
      <c r="HH9" s="745" t="n"/>
      <c r="HI9" s="745" t="n"/>
      <c r="HJ9" s="512" t="n"/>
      <c r="HK9" s="745" t="n"/>
      <c r="HL9" s="890" t="n"/>
      <c r="HM9" s="745" t="n"/>
      <c r="HO9" s="819" t="n"/>
      <c r="HP9" s="745" t="n"/>
      <c r="HQ9" s="745" t="n"/>
      <c r="HR9" s="745" t="n"/>
      <c r="HS9" s="745" t="n"/>
      <c r="HT9" s="745" t="n"/>
      <c r="HU9" s="745" t="n"/>
      <c r="HV9" s="745" t="n"/>
      <c r="HW9" s="745" t="n"/>
      <c r="HX9" s="745" t="n"/>
      <c r="HY9" s="514" t="n"/>
      <c r="HZ9" s="821" t="n"/>
      <c r="IA9" s="821" t="n"/>
      <c r="IB9" s="745" t="n"/>
      <c r="ID9" s="65" t="inlineStr">
        <is>
          <t>SACOLA P</t>
        </is>
      </c>
      <c r="IE9" s="208" t="n">
        <v>200</v>
      </c>
      <c r="IF9" s="162" t="n">
        <v>0</v>
      </c>
      <c r="IG9" s="162">
        <f>DG9</f>
        <v/>
      </c>
      <c r="IH9" s="162" t="n">
        <v>200</v>
      </c>
      <c r="II9" s="162" t="n"/>
      <c r="IJ9" s="162" t="n"/>
      <c r="IK9" s="162" t="n"/>
      <c r="IL9" s="452">
        <f>IJ9+IF(NOT(ISBLANK(OFFSET(IL9,0,6))),N(OFFSET(IL9,0,6)),N(OFFSET(IL9,0,7)))-IK9</f>
        <v/>
      </c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2200+FZ10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2000+FL10-400</f>
        <v/>
      </c>
      <c r="T10" s="237" t="n">
        <v>4400</v>
      </c>
      <c r="U10" s="237">
        <f>2200+FI10</f>
        <v/>
      </c>
      <c r="V10" s="237" t="n">
        <v>2800</v>
      </c>
      <c r="W10" s="237">
        <f>2800+FF10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1400+EI10</f>
        <v/>
      </c>
      <c r="AI10" s="237" t="n">
        <v>1400</v>
      </c>
      <c r="AJ10" s="237" t="n">
        <v>1000</v>
      </c>
      <c r="AK10" s="237">
        <f>1200+EC10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1200+DH10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1200+CY10</f>
        <v/>
      </c>
      <c r="BC10" s="237">
        <f>2400+CX10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1400+CS10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>
        <f>1800-400</f>
        <v/>
      </c>
      <c r="BY10" s="237" t="n">
        <v>1400</v>
      </c>
      <c r="BZ10" s="237" t="n"/>
      <c r="CA10" s="154" t="n"/>
      <c r="CB10" s="154" t="n"/>
      <c r="CC10" s="198">
        <f>CA10+IF(NOT(ISBLANK(OFFSET(CC10,0,6))),N(OFFSET(CC10,0,6)),N(OFFSET(CC10,0,7)))-CB10</f>
        <v/>
      </c>
      <c r="CD10" s="5" t="n"/>
      <c r="CE10" s="468" t="inlineStr">
        <is>
          <t>400 P/ ERB</t>
        </is>
      </c>
      <c r="CF10" s="468" t="inlineStr">
        <is>
          <t>600 P/ ERB</t>
        </is>
      </c>
      <c r="CG10" s="5" t="n"/>
      <c r="CH10" s="27" t="n"/>
      <c r="CI10" s="757" t="n">
        <v>0</v>
      </c>
      <c r="CJ10" s="23" t="n">
        <v>0</v>
      </c>
      <c r="CK10" s="23" t="n">
        <v>0</v>
      </c>
      <c r="CL10" s="23" t="n"/>
      <c r="CM10" s="23" t="n"/>
      <c r="CN10" s="419" t="n">
        <v>3000</v>
      </c>
      <c r="CO10" s="23" t="n"/>
      <c r="CP10" s="23" t="n"/>
      <c r="CQ10" s="467" t="n">
        <v>1500</v>
      </c>
      <c r="CR10" s="23" t="n"/>
      <c r="CS10" s="23" t="n"/>
      <c r="CT10" s="23" t="n"/>
      <c r="CU10" s="23" t="n">
        <v>1400</v>
      </c>
      <c r="CV10" s="23" t="n">
        <v>800</v>
      </c>
      <c r="CW10" s="23" t="n"/>
      <c r="CX10" s="23" t="n"/>
      <c r="CY10" s="23" t="n"/>
      <c r="CZ10" s="23" t="n">
        <v>400</v>
      </c>
      <c r="DA10" s="23" t="n">
        <v>800</v>
      </c>
      <c r="DB10" s="23" t="n"/>
      <c r="DC10" s="23" t="n"/>
      <c r="DD10" s="198" t="inlineStr">
        <is>
          <t>400 P/ ERB</t>
        </is>
      </c>
      <c r="DE10" s="23" t="n"/>
      <c r="DF10" s="23" t="n"/>
      <c r="DG10" s="23" t="n">
        <v>800</v>
      </c>
      <c r="DH10" s="23" t="n"/>
      <c r="DI10" s="219" t="n">
        <v>200</v>
      </c>
      <c r="DJ10" s="23" t="n">
        <v>600</v>
      </c>
      <c r="DK10" s="23" t="n"/>
      <c r="DL10" s="23" t="n">
        <v>1000</v>
      </c>
      <c r="DM10" s="23" t="n"/>
      <c r="DN10" s="23" t="n"/>
      <c r="DO10" s="23" t="n">
        <v>400</v>
      </c>
      <c r="DP10" s="23" t="n"/>
      <c r="DQ10" s="23" t="n"/>
      <c r="DR10" s="192" t="inlineStr">
        <is>
          <t>400 P/ ER</t>
        </is>
      </c>
      <c r="DS10" s="23" t="n"/>
      <c r="DT10" s="434" t="inlineStr">
        <is>
          <t>60 P/ ER</t>
        </is>
      </c>
      <c r="DU10" s="23" t="n"/>
      <c r="DV10" s="23" t="n"/>
      <c r="DW10" s="23" t="n"/>
      <c r="DX10" s="219" t="n">
        <v>100</v>
      </c>
      <c r="DY10" s="23" t="n">
        <v>1400</v>
      </c>
      <c r="DZ10" s="23" t="n"/>
      <c r="EA10" s="192" t="inlineStr">
        <is>
          <t>600 P/ ER</t>
        </is>
      </c>
      <c r="EB10" s="23" t="inlineStr">
        <is>
          <t> </t>
        </is>
      </c>
      <c r="EC10" s="23" t="n"/>
      <c r="ED10" s="23" t="n"/>
      <c r="EE10" s="23" t="n">
        <v>400</v>
      </c>
      <c r="EF10" s="23" t="n"/>
      <c r="EG10" s="23" t="n"/>
      <c r="EH10" s="23" t="n"/>
      <c r="EI10" s="23" t="n"/>
      <c r="EJ10" s="292" t="inlineStr">
        <is>
          <t>1000 DE ER</t>
        </is>
      </c>
      <c r="EK10" s="23" t="n">
        <v>400</v>
      </c>
      <c r="EL10" s="23" t="n"/>
      <c r="EM10" s="23" t="n"/>
      <c r="EN10" s="23" t="n"/>
      <c r="EO10" s="23" t="n"/>
      <c r="EP10" s="23" t="n"/>
      <c r="EQ10" s="23" t="n"/>
      <c r="ER10" s="23" t="n"/>
      <c r="ES10" s="23" t="n"/>
      <c r="ET10" s="23" t="n"/>
      <c r="EU10" s="23" t="n"/>
      <c r="EV10" s="23" t="n"/>
      <c r="EW10" s="282" t="inlineStr">
        <is>
          <t>2000 P/ ERB</t>
        </is>
      </c>
      <c r="EX10" s="23" t="n"/>
      <c r="EY10" s="23" t="n"/>
      <c r="EZ10" s="23" t="n"/>
      <c r="FA10" s="23" t="n"/>
      <c r="FB10" s="23" t="n"/>
      <c r="FC10" s="23" t="n"/>
      <c r="FD10" s="23" t="n"/>
      <c r="FE10" s="23" t="n"/>
      <c r="FF10" s="23" t="n"/>
      <c r="FG10" s="23" t="n"/>
      <c r="FH10" s="23" t="n">
        <v>2600</v>
      </c>
      <c r="FI10" s="23" t="n"/>
      <c r="FJ10" s="23" t="n"/>
      <c r="FK10" s="23" t="n">
        <v>600</v>
      </c>
      <c r="FL10" s="23" t="n"/>
      <c r="FM10" s="282" t="inlineStr">
        <is>
          <t>400 P/ ER</t>
        </is>
      </c>
      <c r="FN10" s="23" t="n">
        <v>3000</v>
      </c>
      <c r="FO10" s="219" t="n"/>
      <c r="FP10" s="23" t="n"/>
      <c r="FQ10" s="23" t="n"/>
      <c r="FR10" s="219" t="n">
        <v>2600</v>
      </c>
      <c r="FS10" s="23" t="n"/>
      <c r="FT10" s="23" t="n"/>
      <c r="FU10" s="23" t="n"/>
      <c r="FV10" s="23" t="n"/>
      <c r="FW10" s="23" t="n"/>
      <c r="FX10" s="23" t="n"/>
      <c r="FY10" s="23" t="n"/>
      <c r="FZ10" s="23" t="n"/>
      <c r="GA10" s="23" t="n"/>
      <c r="GB10" s="23" t="n">
        <v>600</v>
      </c>
      <c r="GC10" s="23" t="n">
        <v>400</v>
      </c>
      <c r="GD10" s="23" t="n"/>
      <c r="GE10" s="23" t="n"/>
      <c r="GF10" s="23" t="n"/>
      <c r="GG10" s="23" t="n">
        <v>1600</v>
      </c>
      <c r="GI10" s="65" t="inlineStr">
        <is>
          <t>SACOLA M</t>
        </is>
      </c>
      <c r="GJ10" s="208" t="n">
        <v>200</v>
      </c>
      <c r="GK10" s="699">
        <f>FP10</f>
        <v/>
      </c>
      <c r="GL10" s="699" t="n">
        <v>1800</v>
      </c>
      <c r="GM10" s="699" t="n">
        <v>1600</v>
      </c>
      <c r="GN10" s="162" t="n">
        <v>1000</v>
      </c>
      <c r="GO10" s="162" t="n">
        <v>800</v>
      </c>
      <c r="GP10" s="162" t="n">
        <v>800</v>
      </c>
      <c r="GQ10" s="162" t="n">
        <v>400</v>
      </c>
      <c r="GR10" s="162" t="n">
        <v>200</v>
      </c>
      <c r="GS10" s="162" t="n">
        <v>200</v>
      </c>
      <c r="GT10" s="162" t="n">
        <v>0</v>
      </c>
      <c r="GU10" s="162" t="n"/>
      <c r="GV10" s="162" t="n">
        <v>0</v>
      </c>
      <c r="GW10" s="162" t="n"/>
      <c r="GX10" s="162" t="n"/>
      <c r="GY10" s="302" t="n">
        <v>0</v>
      </c>
      <c r="HA10" s="65" t="inlineStr">
        <is>
          <t>SACOLA M</t>
        </is>
      </c>
      <c r="HB10" s="208" t="n">
        <v>200</v>
      </c>
      <c r="HC10" s="162" t="n">
        <v>0</v>
      </c>
      <c r="HD10" s="162" t="n">
        <v>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162" t="n">
        <v>0</v>
      </c>
      <c r="HJ10" s="162" t="n"/>
      <c r="HK10" s="162" t="n"/>
      <c r="HL10" s="162" t="n"/>
      <c r="HM10" s="525">
        <f>HK10+IF(NOT(ISBLANK(OFFSET(HM10,0,6))),N(OFFSET(HM10,0,6)),N(OFFSET(HM10,0,7)))-HL10</f>
        <v/>
      </c>
      <c r="HO10" s="65" t="inlineStr">
        <is>
          <t>SACOLA M</t>
        </is>
      </c>
      <c r="HP10" s="208" t="n">
        <v>200</v>
      </c>
      <c r="HQ10" s="162" t="n">
        <v>0</v>
      </c>
      <c r="HR10" s="162">
        <f>0+1000</f>
        <v/>
      </c>
      <c r="HS10" s="162" t="n">
        <v>1000</v>
      </c>
      <c r="HT10" s="162" t="n">
        <v>200</v>
      </c>
      <c r="HU10" s="162" t="n">
        <v>0</v>
      </c>
      <c r="HV10" s="162" t="n">
        <v>0</v>
      </c>
      <c r="HW10" s="162" t="n">
        <v>0</v>
      </c>
      <c r="HX10" s="162" t="n">
        <v>0</v>
      </c>
      <c r="HY10" s="162" t="n"/>
      <c r="HZ10" s="162" t="n"/>
      <c r="IA10" s="162" t="n"/>
      <c r="IB10" s="520" t="n">
        <v>0</v>
      </c>
      <c r="ID10" s="65" t="inlineStr">
        <is>
          <t>SACOLA M</t>
        </is>
      </c>
      <c r="IE10" s="208" t="n">
        <v>200</v>
      </c>
      <c r="IF10" s="162" t="n">
        <v>0</v>
      </c>
      <c r="IG10" s="162">
        <f>DG10</f>
        <v/>
      </c>
      <c r="IH10" s="162" t="n">
        <v>200</v>
      </c>
      <c r="II10" s="162" t="n"/>
      <c r="IJ10" s="162" t="n"/>
      <c r="IK10" s="162" t="n"/>
      <c r="IL10" s="452">
        <f>IJ10+IF(NOT(ISBLANK(OFFSET(IL10,0,6))),N(OFFSET(IL10,0,6)),N(OFFSET(IL10,0,7)))-IK10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500+FL11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200+DH11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800+CY11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237" t="n">
        <v>0</v>
      </c>
      <c r="BZ11" s="237" t="n"/>
      <c r="CA11" s="154" t="n"/>
      <c r="CB11" s="154" t="n"/>
      <c r="CC11" s="198">
        <f>CA11+IF(NOT(ISBLANK(OFFSET(CC11,0,6))),N(OFFSET(CC11,0,6)),N(OFFSET(CC11,0,7)))-CB11</f>
        <v/>
      </c>
      <c r="CD11" s="5" t="n"/>
      <c r="CE11" s="22" t="n"/>
      <c r="CF11" s="468" t="inlineStr">
        <is>
          <t>500 DE ERB</t>
        </is>
      </c>
      <c r="CG11" s="5" t="n"/>
      <c r="CH11" s="27" t="n"/>
      <c r="CI11" s="757" t="n">
        <v>0</v>
      </c>
      <c r="CJ11" s="23" t="n">
        <v>0</v>
      </c>
      <c r="CK11" s="23" t="n">
        <v>0</v>
      </c>
      <c r="CL11" s="23" t="n"/>
      <c r="CM11" s="23" t="n"/>
      <c r="CN11" s="419" t="n">
        <v>100</v>
      </c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/>
      <c r="DA11" s="23" t="n">
        <v>600</v>
      </c>
      <c r="DB11" s="23" t="n"/>
      <c r="DC11" s="23" t="n"/>
      <c r="DD11" s="219" t="n"/>
      <c r="DE11" s="23" t="n"/>
      <c r="DF11" s="23" t="n"/>
      <c r="DG11" s="23" t="n">
        <v>600</v>
      </c>
      <c r="DH11" s="23" t="n"/>
      <c r="DI11" s="219" t="n">
        <v>100</v>
      </c>
      <c r="DJ11" s="23" t="n">
        <v>500</v>
      </c>
      <c r="DK11" s="23" t="n"/>
      <c r="DL11" s="23" t="n">
        <v>100</v>
      </c>
      <c r="DM11" s="23" t="n"/>
      <c r="DN11" s="23" t="n"/>
      <c r="DO11" s="23" t="n">
        <v>200</v>
      </c>
      <c r="DP11" s="23" t="n"/>
      <c r="DQ11" s="23" t="n"/>
      <c r="DR11" s="23" t="n"/>
      <c r="DS11" s="23" t="n"/>
      <c r="DT11" s="434" t="inlineStr">
        <is>
          <t>75 P/ ER</t>
        </is>
      </c>
      <c r="DU11" s="23" t="n"/>
      <c r="DV11" s="23" t="n"/>
      <c r="DW11" s="23" t="n"/>
      <c r="DX11" s="219" t="n">
        <v>150</v>
      </c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/>
      <c r="EM11" s="23" t="n"/>
      <c r="EN11" s="23" t="n"/>
      <c r="EO11" s="23" t="n"/>
      <c r="EP11" s="23" t="n">
        <v>400</v>
      </c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/>
      <c r="FL11" s="23" t="n"/>
      <c r="FM11" s="23" t="n"/>
      <c r="FN11" s="23" t="n">
        <v>300</v>
      </c>
      <c r="FO11" s="219" t="n"/>
      <c r="FP11" s="23" t="n"/>
      <c r="FQ11" s="23" t="n"/>
      <c r="FR11" s="219" t="n">
        <v>800</v>
      </c>
      <c r="FS11" s="23" t="n"/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D11" s="23" t="n"/>
      <c r="GE11" s="23" t="n"/>
      <c r="GF11" s="23" t="n"/>
      <c r="GG11" s="23" t="n"/>
      <c r="GI11" s="66" t="inlineStr">
        <is>
          <t>SACOLA G</t>
        </is>
      </c>
      <c r="GJ11" s="208" t="n">
        <v>100</v>
      </c>
      <c r="GK11" s="699">
        <f>FP11</f>
        <v/>
      </c>
      <c r="GL11" s="699" t="n">
        <v>200</v>
      </c>
      <c r="GM11" s="699" t="n">
        <v>200</v>
      </c>
      <c r="GN11" s="162" t="n">
        <v>100</v>
      </c>
      <c r="GO11" s="162" t="n">
        <v>100</v>
      </c>
      <c r="GP11" s="162" t="n">
        <v>100</v>
      </c>
      <c r="GQ11" s="162" t="n">
        <v>100</v>
      </c>
      <c r="GR11" s="162" t="n">
        <v>100</v>
      </c>
      <c r="GS11" s="162" t="n">
        <v>100</v>
      </c>
      <c r="GT11" s="162" t="n">
        <v>0</v>
      </c>
      <c r="GU11" s="162" t="n"/>
      <c r="GV11" s="162" t="n">
        <v>0</v>
      </c>
      <c r="GW11" s="162" t="n"/>
      <c r="GX11" s="162" t="n"/>
      <c r="GY11" s="302" t="n">
        <v>0</v>
      </c>
      <c r="HA11" s="66" t="inlineStr">
        <is>
          <t>SACOLA G</t>
        </is>
      </c>
      <c r="HB11" s="208" t="n">
        <v>100</v>
      </c>
      <c r="HC11" s="162" t="n">
        <v>0</v>
      </c>
      <c r="HD11" s="162" t="n">
        <v>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162" t="n">
        <v>0</v>
      </c>
      <c r="HJ11" s="162" t="n"/>
      <c r="HK11" s="162" t="n"/>
      <c r="HL11" s="162" t="n"/>
      <c r="HM11" s="525">
        <f>HK11+IF(NOT(ISBLANK(OFFSET(HM11,0,6))),N(OFFSET(HM11,0,6)),N(OFFSET(HM11,0,7)))-HL11</f>
        <v/>
      </c>
      <c r="HO11" s="35" t="n"/>
      <c r="ID11" s="65" t="inlineStr">
        <is>
          <t>SACOLA G</t>
        </is>
      </c>
      <c r="IE11" s="208" t="n">
        <v>100</v>
      </c>
      <c r="IF11" s="162" t="n">
        <v>0</v>
      </c>
      <c r="IG11" s="162">
        <f>DG11</f>
        <v/>
      </c>
      <c r="IH11" s="162" t="n">
        <v>100</v>
      </c>
      <c r="II11" s="162" t="n"/>
      <c r="IJ11" s="162" t="n"/>
      <c r="IK11" s="162" t="n"/>
      <c r="IL11" s="452">
        <f>IJ11+IF(NOT(ISBLANK(OFFSET(IL11,0,6))),N(OFFSET(IL11,0,6)),N(OFFSET(IL11,0,7)))-IK11</f>
        <v/>
      </c>
      <c r="IN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822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237" t="n"/>
      <c r="BZ12" s="237" t="n"/>
      <c r="CA12" s="154" t="n"/>
      <c r="CB12" s="154" t="n"/>
      <c r="CC12" s="198">
        <f>CA12+IF(NOT(ISBLANK(OFFSET(CC12,0,6))),N(OFFSET(CC12,0,6)),N(OFFSET(CC12,0,7)))-CB12</f>
        <v/>
      </c>
      <c r="CD12" s="5" t="n"/>
      <c r="CE12" s="22" t="n"/>
      <c r="CF12" s="22" t="n"/>
      <c r="CG12" s="5" t="n"/>
      <c r="CH12" s="27" t="n"/>
      <c r="CI12" s="757" t="n"/>
      <c r="CJ12" s="23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3" t="n"/>
      <c r="DA12" s="23" t="n"/>
      <c r="DB12" s="23" t="n"/>
      <c r="DC12" s="23" t="n"/>
      <c r="DD12" s="219" t="n"/>
      <c r="DE12" s="23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3" t="n"/>
      <c r="DQ12" s="23" t="n"/>
      <c r="DR12" s="23" t="n"/>
      <c r="DS12" s="23" t="n"/>
      <c r="DT12" s="219" t="n"/>
      <c r="DU12" s="23" t="n"/>
      <c r="DV12" s="23" t="n"/>
      <c r="DW12" s="23" t="n"/>
      <c r="DX12" s="219" t="n"/>
      <c r="DY12" s="23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3" t="n"/>
      <c r="FL12" s="23" t="n"/>
      <c r="FM12" s="23" t="n"/>
      <c r="FN12" s="23" t="n"/>
      <c r="FO12" s="219" t="n"/>
      <c r="FP12" s="23" t="n"/>
      <c r="FQ12" s="23" t="n"/>
      <c r="FR12" s="219" t="n"/>
      <c r="FS12" s="282" t="inlineStr">
        <is>
          <t>600 P/ ER</t>
        </is>
      </c>
      <c r="FT12" s="23" t="n"/>
      <c r="FU12" s="23" t="n"/>
      <c r="FV12" s="23" t="n"/>
      <c r="FW12" s="23" t="n"/>
      <c r="FX12" s="23" t="n"/>
      <c r="FY12" s="282" t="inlineStr">
        <is>
          <t>600 P/ ER</t>
        </is>
      </c>
      <c r="FZ12" s="23" t="n"/>
      <c r="GA12" s="23" t="n"/>
      <c r="GB12" s="23" t="n"/>
      <c r="GC12" s="23" t="n"/>
      <c r="GD12" s="23" t="n"/>
      <c r="GE12" s="23" t="n"/>
      <c r="GF12" s="23" t="n"/>
      <c r="GG12" s="23" t="n"/>
      <c r="GI12" s="35" t="n"/>
      <c r="HA12" s="35" t="n"/>
      <c r="HO12" s="35" t="n"/>
      <c r="ID12" s="35" t="n"/>
    </row>
    <row r="13" hidden="1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822" t="n"/>
      <c r="E13" s="5" t="n"/>
      <c r="F13" s="697" t="n">
        <v>500</v>
      </c>
      <c r="G13" s="697" t="n">
        <v>400</v>
      </c>
      <c r="H13" s="697" t="n">
        <v>600</v>
      </c>
      <c r="I13" s="697" t="n">
        <v>600</v>
      </c>
      <c r="J13" s="697">
        <f>600-600</f>
        <v/>
      </c>
      <c r="K13" s="697" t="n">
        <v>0</v>
      </c>
      <c r="L13" s="697" t="n">
        <v>0</v>
      </c>
      <c r="M13" s="697" t="n">
        <v>0</v>
      </c>
      <c r="N13" s="697" t="n">
        <v>0</v>
      </c>
      <c r="O13" s="697" t="n">
        <v>0</v>
      </c>
      <c r="P13" s="697" t="n">
        <v>0</v>
      </c>
      <c r="Q13" s="697" t="n">
        <v>0</v>
      </c>
      <c r="R13" s="697" t="n"/>
      <c r="S13" s="697" t="n"/>
      <c r="T13" s="697" t="n"/>
      <c r="U13" s="697" t="n"/>
      <c r="V13" s="697" t="n"/>
      <c r="W13" s="697" t="n"/>
      <c r="X13" s="697" t="n"/>
      <c r="Y13" s="697" t="n"/>
      <c r="Z13" s="697" t="n"/>
      <c r="AA13" s="697" t="n"/>
      <c r="AB13" s="697" t="n"/>
      <c r="AC13" s="697" t="n"/>
      <c r="AD13" s="697" t="n"/>
      <c r="AE13" s="697" t="n"/>
      <c r="AF13" s="697" t="n">
        <v>300</v>
      </c>
      <c r="AG13" s="697" t="n"/>
      <c r="AH13" s="697" t="n"/>
      <c r="AI13" s="697" t="n"/>
      <c r="AJ13" s="697" t="n"/>
      <c r="AK13" s="697" t="n"/>
      <c r="AL13" s="697" t="n"/>
      <c r="AM13" s="697" t="n"/>
      <c r="AN13" s="697" t="n"/>
      <c r="AO13" s="697" t="n"/>
      <c r="AP13" s="697" t="n"/>
      <c r="AQ13" s="697" t="n"/>
      <c r="AR13" s="697" t="n"/>
      <c r="AS13" s="697" t="n"/>
      <c r="AT13" s="697" t="n"/>
      <c r="AU13" s="697" t="n"/>
      <c r="AV13" s="697" t="n"/>
      <c r="AW13" s="697" t="n"/>
      <c r="AX13" s="697" t="n"/>
      <c r="AY13" s="697" t="n"/>
      <c r="AZ13" s="697" t="n"/>
      <c r="BA13" s="697" t="n"/>
      <c r="BB13" s="697" t="n"/>
      <c r="BC13" s="697" t="n"/>
      <c r="BD13" s="697" t="n"/>
      <c r="BE13" s="697" t="n"/>
      <c r="BF13" s="697" t="n"/>
      <c r="BG13" s="697" t="n"/>
      <c r="BH13" s="697" t="n"/>
      <c r="BI13" s="697" t="n"/>
      <c r="BJ13" s="697" t="n"/>
      <c r="BK13" s="697" t="n"/>
      <c r="BL13" s="697" t="n"/>
      <c r="BM13" s="697" t="n"/>
      <c r="BN13" s="697" t="n"/>
      <c r="BO13" s="697" t="n"/>
      <c r="BP13" s="697" t="n"/>
      <c r="BQ13" s="697" t="n"/>
      <c r="BR13" s="697" t="n"/>
      <c r="BS13" s="697" t="n"/>
      <c r="BT13" s="697" t="n"/>
      <c r="BU13" s="697" t="n"/>
      <c r="BV13" s="697" t="n"/>
      <c r="BW13" s="697" t="n"/>
      <c r="BX13" s="697" t="n"/>
      <c r="BY13" s="697" t="n"/>
      <c r="BZ13" s="697" t="n"/>
      <c r="CA13" s="699" t="n"/>
      <c r="CB13" s="699" t="n"/>
      <c r="CC13" s="198">
        <f>CA13+IF(NOT(ISBLANK(OFFSET(CC13,0,6))),N(OFFSET(CC13,0,6)),N(OFFSET(CC13,0,7)))-CB13</f>
        <v/>
      </c>
      <c r="CD13" s="5" t="n"/>
      <c r="CE13" s="22" t="n"/>
      <c r="CF13" s="22" t="n"/>
      <c r="CG13" s="5" t="n"/>
      <c r="CH13" s="27" t="n"/>
      <c r="CI13" s="757" t="n"/>
      <c r="CJ13" s="23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3" t="n"/>
      <c r="DA13" s="23" t="n"/>
      <c r="DB13" s="23" t="n"/>
      <c r="DC13" s="23" t="n"/>
      <c r="DD13" s="219" t="n"/>
      <c r="DE13" s="23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3" t="n"/>
      <c r="DQ13" s="23" t="n"/>
      <c r="DR13" s="23" t="n"/>
      <c r="DS13" s="23" t="n"/>
      <c r="DT13" s="219" t="n"/>
      <c r="DU13" s="23" t="n"/>
      <c r="DV13" s="23" t="n"/>
      <c r="DW13" s="23" t="n"/>
      <c r="DX13" s="219" t="n"/>
      <c r="DY13" s="23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3" t="n"/>
      <c r="FL13" s="23" t="n"/>
      <c r="FM13" s="23" t="n"/>
      <c r="FN13" s="23" t="n"/>
      <c r="FO13" s="219" t="n"/>
      <c r="FP13" s="23" t="n"/>
      <c r="FQ13" s="23" t="n"/>
      <c r="FR13" s="219" t="n"/>
      <c r="FS13" s="282" t="inlineStr">
        <is>
          <t>600 P/ ER</t>
        </is>
      </c>
      <c r="FT13" s="23" t="n"/>
      <c r="FU13" s="23" t="n"/>
      <c r="FV13" s="23" t="n"/>
      <c r="FW13" s="23" t="n"/>
      <c r="FX13" s="23" t="n"/>
      <c r="FY13" s="282" t="inlineStr">
        <is>
          <t>600 P/ ER</t>
        </is>
      </c>
      <c r="FZ13" s="23" t="n"/>
      <c r="GA13" s="23" t="n"/>
      <c r="GB13" s="23" t="n"/>
      <c r="GC13" s="23" t="n">
        <v>200</v>
      </c>
      <c r="GD13" s="23" t="n"/>
      <c r="GE13" s="23" t="n"/>
      <c r="GF13" s="23" t="n"/>
      <c r="GG13" s="23" t="n"/>
      <c r="GI13" s="35" t="n"/>
      <c r="HA13" s="35" t="n"/>
      <c r="HO13" s="35" t="n"/>
      <c r="ID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2" t="n"/>
      <c r="CB14" s="2" t="n"/>
      <c r="CC14" s="4" t="n"/>
      <c r="CD14" s="4" t="n"/>
      <c r="CE14" s="150" t="n"/>
      <c r="CF14" s="150" t="n"/>
      <c r="CG14" s="5" t="n"/>
      <c r="CH14" s="18" t="n"/>
      <c r="CI14" s="823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308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20" t="n"/>
      <c r="DQ14" s="20" t="n"/>
      <c r="DR14" s="20" t="n"/>
      <c r="DS14" s="20" t="n"/>
      <c r="DT14" s="47" t="n"/>
      <c r="DU14" s="20" t="n"/>
      <c r="DV14" s="20" t="n"/>
      <c r="DW14" s="20" t="n"/>
      <c r="DX14" s="47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L14" s="20" t="n"/>
      <c r="FM14" s="20" t="n"/>
      <c r="FN14" s="20" t="n"/>
      <c r="FO14" s="308" t="n"/>
      <c r="FP14" s="20" t="n"/>
      <c r="FQ14" s="20" t="n"/>
      <c r="FR14" s="308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D14" s="20" t="n"/>
      <c r="GE14" s="20" t="n"/>
      <c r="GF14" s="20" t="n"/>
      <c r="GG14" s="20" t="n"/>
      <c r="GI14" s="35" t="n"/>
      <c r="HA14" s="35" t="n"/>
      <c r="HO14" s="35" t="n"/>
      <c r="ID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6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45908</v>
      </c>
      <c r="AQ15" s="746" t="n">
        <v>45915</v>
      </c>
      <c r="AR15" s="746" t="n">
        <v>45922</v>
      </c>
      <c r="AS15" s="746" t="n">
        <v>45929</v>
      </c>
      <c r="AT15" s="746" t="n">
        <v>45936</v>
      </c>
      <c r="AU15" s="746" t="n">
        <v>45943</v>
      </c>
      <c r="AV15" s="746" t="n">
        <v>45950</v>
      </c>
      <c r="AW15" s="746" t="n">
        <v>45957</v>
      </c>
      <c r="AX15" s="746" t="n">
        <v>45964</v>
      </c>
      <c r="AY15" s="746" t="n">
        <v>45971</v>
      </c>
      <c r="AZ15" s="746" t="n">
        <v>45978</v>
      </c>
      <c r="BA15" s="746" t="n">
        <v>45985</v>
      </c>
      <c r="BB15" s="746" t="n">
        <v>45992</v>
      </c>
      <c r="BC15" s="746" t="n">
        <v>45999</v>
      </c>
      <c r="BD15" s="746" t="n">
        <v>46006</v>
      </c>
      <c r="BE15" s="746" t="n">
        <v>46013</v>
      </c>
      <c r="BF15" s="746" t="n">
        <v>46020</v>
      </c>
      <c r="BG15" s="746" t="n">
        <v>46027</v>
      </c>
      <c r="BH15" s="746" t="n">
        <v>46034</v>
      </c>
      <c r="BI15" s="746" t="n">
        <v>46041</v>
      </c>
      <c r="BJ15" s="746" t="n">
        <v>46048</v>
      </c>
      <c r="BK15" s="746" t="n">
        <v>46055</v>
      </c>
      <c r="BL15" s="746" t="n">
        <v>46062</v>
      </c>
      <c r="BM15" s="746" t="n">
        <v>46069</v>
      </c>
      <c r="BN15" s="746" t="n">
        <v>46076</v>
      </c>
      <c r="BO15" s="746" t="n">
        <v>46083</v>
      </c>
      <c r="BP15" s="746" t="n">
        <v>46090</v>
      </c>
      <c r="BQ15" s="746" t="n">
        <v>46097</v>
      </c>
      <c r="BR15" s="746" t="n">
        <v>46104</v>
      </c>
      <c r="BS15" s="746" t="n">
        <v>46111</v>
      </c>
      <c r="BT15" s="746" t="n">
        <v>46118</v>
      </c>
      <c r="BU15" s="746" t="n">
        <v>46125</v>
      </c>
      <c r="BV15" s="746" t="n">
        <v>46132</v>
      </c>
      <c r="BW15" s="746" t="n">
        <v>46139</v>
      </c>
      <c r="BX15" s="746" t="n">
        <v>46146</v>
      </c>
      <c r="BY15" s="746" t="n">
        <v>46154</v>
      </c>
      <c r="BZ15" s="746" t="n">
        <v>46160</v>
      </c>
      <c r="CA15" s="747" t="n">
        <v>46161.48024612269</v>
      </c>
      <c r="CB15" s="747" t="n">
        <v>46161.4809040051</v>
      </c>
      <c r="CC15" s="748" t="inlineStr">
        <is>
          <t>USOU</t>
        </is>
      </c>
      <c r="CD15" s="5" t="n"/>
      <c r="CE15" s="44" t="inlineStr">
        <is>
          <t>Pendências</t>
        </is>
      </c>
      <c r="CF15" s="44" t="inlineStr">
        <is>
          <t>Pendências</t>
        </is>
      </c>
      <c r="CG15" s="5" t="n"/>
      <c r="CH15" s="12" t="inlineStr">
        <is>
          <t>Novo Pedido</t>
        </is>
      </c>
      <c r="CI15" s="824" t="n">
        <v>46161.48089931403</v>
      </c>
      <c r="CJ15" s="794" t="n">
        <v>46149</v>
      </c>
      <c r="CK15" s="794" t="n">
        <v>46142</v>
      </c>
      <c r="CL15" s="794" t="n">
        <v>46114</v>
      </c>
      <c r="CM15" s="794" t="n">
        <v>46107</v>
      </c>
      <c r="CN15" s="795" t="n">
        <v>46065</v>
      </c>
      <c r="CO15" s="794" t="n">
        <v>46099</v>
      </c>
      <c r="CP15" s="794" t="n">
        <v>46092</v>
      </c>
      <c r="CQ15" s="796" t="n">
        <v>46045</v>
      </c>
      <c r="CR15" s="794" t="n">
        <v>46077</v>
      </c>
      <c r="CS15" s="794" t="n">
        <v>46048</v>
      </c>
      <c r="CT15" s="794" t="n">
        <v>46043</v>
      </c>
      <c r="CU15" s="794" t="n">
        <v>46024</v>
      </c>
      <c r="CV15" s="794" t="n">
        <v>46017</v>
      </c>
      <c r="CW15" s="794" t="n">
        <v>46007</v>
      </c>
      <c r="CX15" s="794" t="n">
        <v>46001</v>
      </c>
      <c r="CY15" s="794" t="n">
        <v>46001</v>
      </c>
      <c r="CZ15" s="794" t="n">
        <v>45994</v>
      </c>
      <c r="DA15" s="794" t="n">
        <v>45986</v>
      </c>
      <c r="DB15" s="794" t="n">
        <v>45980</v>
      </c>
      <c r="DC15" s="794" t="n">
        <v>45980</v>
      </c>
      <c r="DD15" s="797" t="n">
        <v>45982</v>
      </c>
      <c r="DE15" s="794" t="n">
        <v>45973</v>
      </c>
      <c r="DF15" s="794" t="n">
        <v>45965</v>
      </c>
      <c r="DG15" s="794" t="n">
        <v>45960</v>
      </c>
      <c r="DH15" s="794" t="n">
        <v>45951</v>
      </c>
      <c r="DI15" s="737" t="n">
        <v>45903</v>
      </c>
      <c r="DJ15" s="794" t="n">
        <v>45945</v>
      </c>
      <c r="DK15" s="794" t="n">
        <v>45937</v>
      </c>
      <c r="DL15" s="794" t="n">
        <v>45931</v>
      </c>
      <c r="DM15" s="794" t="n">
        <v>45931</v>
      </c>
      <c r="DN15" s="794" t="n">
        <v>45915</v>
      </c>
      <c r="DO15" s="794" t="n">
        <v>45923</v>
      </c>
      <c r="DP15" s="794" t="n">
        <v>45903</v>
      </c>
      <c r="DQ15" s="794" t="n">
        <v>45915</v>
      </c>
      <c r="DR15" s="797" t="n">
        <v>45918</v>
      </c>
      <c r="DS15" s="794" t="n">
        <v>45909</v>
      </c>
      <c r="DT15" s="738" t="n">
        <v>45903</v>
      </c>
      <c r="DU15" s="794" t="n">
        <v>45895</v>
      </c>
      <c r="DV15" s="797" t="n">
        <v>45896</v>
      </c>
      <c r="DW15" s="794" t="n">
        <v>45881</v>
      </c>
      <c r="DX15" s="738" t="n">
        <v>45839</v>
      </c>
      <c r="DY15" s="794" t="n">
        <v>45888</v>
      </c>
      <c r="DZ15" s="794" t="n">
        <v>45881</v>
      </c>
      <c r="EA15" s="797" t="n">
        <v>45881</v>
      </c>
      <c r="EB15" s="794" t="n">
        <v>45874</v>
      </c>
      <c r="EC15" s="797" t="n">
        <v>45876</v>
      </c>
      <c r="ED15" s="794" t="n">
        <v>45867</v>
      </c>
      <c r="EE15" s="794" t="n">
        <v>45867</v>
      </c>
      <c r="EF15" s="794" t="n">
        <v>45860</v>
      </c>
      <c r="EG15" s="797" t="n">
        <v>45861</v>
      </c>
      <c r="EH15" s="797" t="n">
        <v>45860</v>
      </c>
      <c r="EI15" s="794" t="n">
        <v>45853</v>
      </c>
      <c r="EJ15" s="739" t="n">
        <v>45855</v>
      </c>
      <c r="EK15" s="794" t="n">
        <v>45848</v>
      </c>
      <c r="EL15" s="794" t="n">
        <v>45839</v>
      </c>
      <c r="EM15" s="794" t="n">
        <v>45839</v>
      </c>
      <c r="EN15" s="797" t="n">
        <v>45835</v>
      </c>
      <c r="EO15" s="794" t="n">
        <v>45790</v>
      </c>
      <c r="EP15" s="794" t="n">
        <v>45825</v>
      </c>
      <c r="EQ15" s="794" t="n">
        <v>45819</v>
      </c>
      <c r="ER15" s="794" t="n">
        <v>45813</v>
      </c>
      <c r="ES15" s="794" t="n">
        <v>45797</v>
      </c>
      <c r="ET15" s="797" t="n">
        <v>45811</v>
      </c>
      <c r="EU15" s="797" t="n">
        <v>45810</v>
      </c>
      <c r="EV15" s="797" t="n">
        <v>45806</v>
      </c>
      <c r="EW15" s="797" t="n">
        <v>45803</v>
      </c>
      <c r="EX15" s="755" t="n">
        <v>45803</v>
      </c>
      <c r="EY15" s="794" t="n">
        <v>45784</v>
      </c>
      <c r="EZ15" s="797" t="n">
        <v>45796</v>
      </c>
      <c r="FA15" s="794" t="n">
        <v>45784</v>
      </c>
      <c r="FB15" s="794" t="n">
        <v>45764</v>
      </c>
      <c r="FC15" s="797" t="n">
        <v>45791</v>
      </c>
      <c r="FD15" s="794" t="n">
        <v>45783</v>
      </c>
      <c r="FE15" s="794" t="n">
        <v>45770</v>
      </c>
      <c r="FF15" s="794" t="n">
        <v>45775</v>
      </c>
      <c r="FG15" s="794" t="n">
        <v>45770</v>
      </c>
      <c r="FH15" s="794" t="n">
        <v>45770</v>
      </c>
      <c r="FI15" s="797" t="n">
        <v>45775</v>
      </c>
      <c r="FJ15" s="797" t="n">
        <v>45770</v>
      </c>
      <c r="FK15" s="794" t="n">
        <v>45756</v>
      </c>
      <c r="FL15" s="794" t="n">
        <v>45735</v>
      </c>
      <c r="FM15" s="797" t="n">
        <v>45751</v>
      </c>
      <c r="FN15" s="794" t="n">
        <v>45743</v>
      </c>
      <c r="FO15" s="746" t="n">
        <v>45729</v>
      </c>
      <c r="FP15" s="794" t="n">
        <v>45722</v>
      </c>
      <c r="FQ15" s="794" t="n">
        <v>45722</v>
      </c>
      <c r="FR15" s="746" t="n">
        <v>45700</v>
      </c>
      <c r="FS15" s="797" t="n">
        <v>45722</v>
      </c>
      <c r="FT15" s="794" t="n">
        <v>45714</v>
      </c>
      <c r="FU15" s="794" t="n">
        <v>45706</v>
      </c>
      <c r="FV15" s="794" t="n">
        <v>45684</v>
      </c>
      <c r="FW15" s="794" t="n">
        <v>45699</v>
      </c>
      <c r="FX15" s="794" t="n">
        <v>45693</v>
      </c>
      <c r="FY15" s="797" t="n">
        <v>45687</v>
      </c>
      <c r="FZ15" s="794" t="n">
        <v>45685</v>
      </c>
      <c r="GA15" s="797" t="n">
        <v>45684</v>
      </c>
      <c r="GB15" s="794" t="n">
        <v>45674</v>
      </c>
      <c r="GC15" s="794" t="n">
        <v>45664</v>
      </c>
      <c r="GD15" s="794" t="n">
        <v>45660</v>
      </c>
      <c r="GE15" s="794" t="n">
        <v>45660</v>
      </c>
      <c r="GF15" s="794" t="n">
        <v>45652</v>
      </c>
      <c r="GG15" s="794" t="n">
        <v>45643</v>
      </c>
      <c r="GI15" s="298" t="inlineStr">
        <is>
          <t>SACOLAS VENDA</t>
        </is>
      </c>
      <c r="GJ15" s="544" t="inlineStr">
        <is>
          <t>PCT</t>
        </is>
      </c>
      <c r="GK15" s="536" t="n">
        <v>45726</v>
      </c>
      <c r="GL15" s="536" t="n">
        <v>45733</v>
      </c>
      <c r="GM15" s="536" t="n">
        <v>45740</v>
      </c>
      <c r="GN15" s="322" t="n">
        <v>45747</v>
      </c>
      <c r="GO15" s="536" t="n">
        <v>45754</v>
      </c>
      <c r="GP15" s="536" t="n">
        <v>45761</v>
      </c>
      <c r="GQ15" s="536" t="n">
        <v>45768</v>
      </c>
      <c r="GR15" s="536" t="n">
        <v>45775</v>
      </c>
      <c r="GS15" s="536" t="n">
        <v>45782</v>
      </c>
      <c r="GT15" s="536" t="n">
        <v>45789</v>
      </c>
      <c r="GU15" s="825" t="n">
        <v>46160</v>
      </c>
      <c r="GV15" s="536" t="n">
        <v>45796</v>
      </c>
      <c r="GW15" s="800" t="n">
        <v>46161.48024462963</v>
      </c>
      <c r="GX15" s="800" t="n">
        <v>46161.48090264336</v>
      </c>
      <c r="GY15" s="235" t="inlineStr">
        <is>
          <t>USOU</t>
        </is>
      </c>
      <c r="HA15" s="804" t="inlineStr">
        <is>
          <t>SACOLAS VENDA</t>
        </is>
      </c>
      <c r="HB15" s="805" t="inlineStr">
        <is>
          <t>PCT</t>
        </is>
      </c>
      <c r="HC15" s="398" t="n">
        <v>45796</v>
      </c>
      <c r="HD15" s="398" t="n">
        <v>45803</v>
      </c>
      <c r="HE15" s="398" t="n">
        <v>45810</v>
      </c>
      <c r="HF15" s="398" t="n">
        <v>45817</v>
      </c>
      <c r="HG15" s="398" t="n">
        <v>45824</v>
      </c>
      <c r="HH15" s="398" t="n">
        <v>45831</v>
      </c>
      <c r="HI15" s="398" t="n">
        <v>45838</v>
      </c>
      <c r="HJ15" s="806" t="n">
        <v>46160</v>
      </c>
      <c r="HK15" s="888" t="n">
        <v>46161.48024385417</v>
      </c>
      <c r="HL15" s="888" t="n">
        <v>46161.48090187543</v>
      </c>
      <c r="HM15" s="368" t="inlineStr">
        <is>
          <t>USOU</t>
        </is>
      </c>
      <c r="HO15" s="809" t="inlineStr">
        <is>
          <t>SACOLAS VENDA</t>
        </is>
      </c>
      <c r="HP15" s="810" t="inlineStr">
        <is>
          <t>PCT</t>
        </is>
      </c>
      <c r="HQ15" s="811" t="n">
        <v>45845</v>
      </c>
      <c r="HR15" s="811" t="n">
        <v>45852</v>
      </c>
      <c r="HS15" s="811" t="n">
        <v>45859</v>
      </c>
      <c r="HT15" s="811" t="n">
        <v>45866</v>
      </c>
      <c r="HU15" s="811" t="n">
        <v>45873</v>
      </c>
      <c r="HV15" s="811" t="n">
        <v>45880</v>
      </c>
      <c r="HW15" s="811" t="n">
        <v>45887</v>
      </c>
      <c r="HX15" s="811" t="n">
        <v>45894</v>
      </c>
      <c r="HY15" s="737" t="n">
        <v>46160</v>
      </c>
      <c r="HZ15" s="812" t="n">
        <v>46161.48024309028</v>
      </c>
      <c r="IA15" s="812" t="n">
        <v>46161.48090115571</v>
      </c>
      <c r="IB15" s="813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699" t="n">
        <v>280</v>
      </c>
      <c r="C16" s="762" t="n">
        <v>166.44</v>
      </c>
      <c r="D16" s="382" t="n">
        <v>20</v>
      </c>
      <c r="E16" s="826" t="n"/>
      <c r="F16" s="31">
        <f>41+GD16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63+FO16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0+DC16</f>
        <v/>
      </c>
      <c r="BA16" s="31" t="n">
        <v>300</v>
      </c>
      <c r="BB16" s="31" t="n">
        <v>260</v>
      </c>
      <c r="BC16" s="31" t="n">
        <v>159</v>
      </c>
      <c r="BD16" s="31">
        <f>141+CW16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31" t="n">
        <v>54</v>
      </c>
      <c r="BZ16" s="31" t="n">
        <v>12</v>
      </c>
      <c r="CA16" s="766" t="n">
        <v>12</v>
      </c>
      <c r="CB16" s="766" t="n">
        <v>12</v>
      </c>
      <c r="CC16" s="192">
        <f>CA16+IF(NOT(ISBLANK(OFFSET(CC16,0,6))),N(OFFSET(CC16,0,6)),N(OFFSET(CC16,0,7)))-CB16</f>
        <v/>
      </c>
      <c r="CD16" s="72" t="n"/>
      <c r="CE16" s="22" t="n"/>
      <c r="CF16" s="22" t="n"/>
      <c r="CG16" s="5" t="n"/>
      <c r="CH16" s="27" t="n"/>
      <c r="CI16" s="433" t="n">
        <v>0</v>
      </c>
      <c r="CJ16" s="23" t="n">
        <v>0</v>
      </c>
      <c r="CK16" s="23" t="n">
        <v>0</v>
      </c>
      <c r="CL16" s="23" t="n"/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/>
      <c r="CV16" s="23" t="n"/>
      <c r="CW16" s="23" t="n"/>
      <c r="CX16" s="23" t="n"/>
      <c r="CY16" s="23" t="n">
        <v>300</v>
      </c>
      <c r="CZ16" s="23" t="n"/>
      <c r="DA16" s="23" t="n"/>
      <c r="DB16" s="23" t="n"/>
      <c r="DC16" s="23" t="n"/>
      <c r="DD16" s="219" t="n"/>
      <c r="DE16" s="23" t="n">
        <v>300</v>
      </c>
      <c r="DF16" s="23" t="n"/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/>
      <c r="EC16" s="23" t="n"/>
      <c r="ED16" s="23" t="n"/>
      <c r="EE16" s="23" t="n"/>
      <c r="EF16" s="23" t="n">
        <v>28</v>
      </c>
      <c r="EG16" s="23" t="n"/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3" t="n"/>
      <c r="FL16" s="23" t="n"/>
      <c r="FM16" s="23" t="n"/>
      <c r="FN16" s="23" t="n"/>
      <c r="FO16" s="219" t="n"/>
      <c r="FP16" s="23" t="n">
        <v>28</v>
      </c>
      <c r="FQ16" s="23" t="n">
        <v>28</v>
      </c>
      <c r="FR16" s="219" t="n">
        <v>800</v>
      </c>
      <c r="FS16" s="23" t="n"/>
      <c r="FT16" s="23" t="n"/>
      <c r="FU16" s="23" t="n"/>
      <c r="FV16" s="23" t="n"/>
      <c r="FW16" s="23" t="n"/>
      <c r="FX16" s="23" t="n"/>
      <c r="FY16" s="23" t="n"/>
      <c r="FZ16" s="23" t="n"/>
      <c r="GA16" s="23" t="n"/>
      <c r="GB16" s="23" t="n"/>
      <c r="GC16" s="23" t="n">
        <v>56</v>
      </c>
      <c r="GD16" s="23" t="n"/>
      <c r="GE16" s="23" t="n"/>
      <c r="GF16" s="23" t="n">
        <v>28</v>
      </c>
      <c r="GG16" s="23" t="n">
        <v>28</v>
      </c>
      <c r="GI16" s="65" t="inlineStr">
        <is>
          <t>SACOLA P</t>
        </is>
      </c>
      <c r="GJ16" s="208" t="n">
        <v>200</v>
      </c>
      <c r="GK16" s="699">
        <f>FP16</f>
        <v/>
      </c>
      <c r="GL16" s="699" t="n">
        <v>800</v>
      </c>
      <c r="GM16" s="699" t="n">
        <v>789</v>
      </c>
      <c r="GN16" s="699" t="n">
        <v>757</v>
      </c>
      <c r="GO16" s="699" t="n">
        <v>704</v>
      </c>
      <c r="GP16" s="699" t="n">
        <v>683</v>
      </c>
      <c r="GQ16" s="699" t="n">
        <v>381</v>
      </c>
      <c r="GR16" s="699" t="n">
        <v>380</v>
      </c>
      <c r="GS16" s="699" t="n">
        <v>375</v>
      </c>
      <c r="GT16" s="699" t="n">
        <v>0</v>
      </c>
      <c r="GU16" s="699" t="n"/>
      <c r="GV16" s="699" t="n">
        <v>0</v>
      </c>
      <c r="GW16" s="699" t="n"/>
      <c r="GX16" s="699" t="n"/>
      <c r="GY16" s="745" t="n"/>
      <c r="HA16" s="819" t="n"/>
      <c r="HB16" s="745" t="n"/>
      <c r="HC16" s="745" t="n"/>
      <c r="HD16" s="745" t="n"/>
      <c r="HE16" s="745" t="n"/>
      <c r="HF16" s="745" t="n"/>
      <c r="HG16" s="745" t="n"/>
      <c r="HH16" s="745" t="n"/>
      <c r="HI16" s="745" t="n"/>
      <c r="HJ16" s="512" t="n"/>
      <c r="HK16" s="745" t="n"/>
      <c r="HL16" s="890" t="n"/>
      <c r="HM16" s="745" t="n"/>
      <c r="HO16" s="819" t="n"/>
      <c r="HP16" s="745" t="n"/>
      <c r="HQ16" s="745" t="n"/>
      <c r="HR16" s="745" t="n"/>
      <c r="HS16" s="745" t="n"/>
      <c r="HT16" s="745" t="n"/>
      <c r="HU16" s="745" t="n"/>
      <c r="HV16" s="745" t="n"/>
      <c r="HW16" s="745" t="n"/>
      <c r="HX16" s="745" t="n"/>
      <c r="HY16" s="514" t="n"/>
      <c r="HZ16" s="821" t="n"/>
      <c r="IA16" s="821" t="n"/>
      <c r="IB16" s="745" t="n"/>
    </row>
    <row r="17" ht="18" customFormat="1" customHeight="1" s="3">
      <c r="A17" s="37" t="inlineStr">
        <is>
          <t>KIT SACOLA P VERDE (KIT C/ 10)</t>
        </is>
      </c>
      <c r="B17" s="699" t="n">
        <v>200</v>
      </c>
      <c r="C17" s="762" t="n">
        <v>184.08</v>
      </c>
      <c r="D17" s="382" t="n">
        <v>20</v>
      </c>
      <c r="E17" s="2" t="n"/>
      <c r="F17" s="697">
        <f>37+GD17</f>
        <v/>
      </c>
      <c r="G17" s="697" t="n">
        <v>33</v>
      </c>
      <c r="H17" s="697" t="n">
        <v>84</v>
      </c>
      <c r="I17" s="697" t="n">
        <v>78</v>
      </c>
      <c r="J17" s="697" t="n">
        <v>76</v>
      </c>
      <c r="K17" s="697" t="n">
        <v>62</v>
      </c>
      <c r="L17" s="697">
        <f>60+FV17</f>
        <v/>
      </c>
      <c r="M17" s="697" t="n">
        <v>100</v>
      </c>
      <c r="N17" s="697" t="n">
        <v>96</v>
      </c>
      <c r="O17" s="697" t="n">
        <v>92</v>
      </c>
      <c r="P17" s="697" t="n">
        <v>89</v>
      </c>
      <c r="Q17" s="697" t="n">
        <v>87</v>
      </c>
      <c r="R17" s="697" t="n">
        <v>80</v>
      </c>
      <c r="S17" s="697" t="n">
        <v>80</v>
      </c>
      <c r="T17" s="697" t="n">
        <v>78</v>
      </c>
      <c r="U17" s="697" t="n">
        <v>74</v>
      </c>
      <c r="V17" s="697" t="n">
        <v>70</v>
      </c>
      <c r="W17" s="697" t="n">
        <v>70</v>
      </c>
      <c r="X17" s="697" t="n">
        <v>68</v>
      </c>
      <c r="Y17" s="697" t="n">
        <v>62</v>
      </c>
      <c r="Z17" s="697" t="n">
        <v>57</v>
      </c>
      <c r="AA17" s="697" t="n">
        <v>54</v>
      </c>
      <c r="AB17" s="697" t="n">
        <v>53</v>
      </c>
      <c r="AC17" s="697" t="n">
        <v>48</v>
      </c>
      <c r="AD17" s="697" t="n">
        <v>40</v>
      </c>
      <c r="AE17" s="697">
        <f>37+41</f>
        <v/>
      </c>
      <c r="AF17" s="697" t="n">
        <v>68</v>
      </c>
      <c r="AG17" s="697" t="n">
        <v>66</v>
      </c>
      <c r="AH17" s="697" t="n">
        <v>64</v>
      </c>
      <c r="AI17" s="697" t="n">
        <v>59</v>
      </c>
      <c r="AJ17" s="697" t="n">
        <v>56</v>
      </c>
      <c r="AK17" s="697" t="n">
        <v>55</v>
      </c>
      <c r="AL17" s="697" t="n">
        <v>41</v>
      </c>
      <c r="AM17" s="697" t="n">
        <v>34</v>
      </c>
      <c r="AN17" s="697" t="n">
        <v>25</v>
      </c>
      <c r="AO17" s="697" t="n">
        <v>20</v>
      </c>
      <c r="AP17" s="697" t="n">
        <v>19</v>
      </c>
      <c r="AQ17" s="697" t="n">
        <v>11</v>
      </c>
      <c r="AR17" s="697" t="n">
        <v>28</v>
      </c>
      <c r="AS17" s="697" t="n">
        <v>26</v>
      </c>
      <c r="AT17" s="697" t="n">
        <v>23</v>
      </c>
      <c r="AU17" s="697" t="n">
        <v>18</v>
      </c>
      <c r="AV17" s="697" t="n">
        <v>14</v>
      </c>
      <c r="AW17" s="697" t="n">
        <v>11</v>
      </c>
      <c r="AX17" s="697" t="n">
        <v>11</v>
      </c>
      <c r="AY17" s="697" t="n">
        <v>2</v>
      </c>
      <c r="AZ17" s="697">
        <f>0+DC17</f>
        <v/>
      </c>
      <c r="BA17" s="697" t="n">
        <v>200</v>
      </c>
      <c r="BB17" s="697" t="n">
        <v>186</v>
      </c>
      <c r="BC17" s="697">
        <f>180+CX17</f>
        <v/>
      </c>
      <c r="BD17" s="697">
        <f>360+CW17</f>
        <v/>
      </c>
      <c r="BE17" s="697" t="n">
        <v>555</v>
      </c>
      <c r="BF17" s="697" t="n">
        <v>533</v>
      </c>
      <c r="BG17" s="697" t="n">
        <v>533</v>
      </c>
      <c r="BH17" s="697" t="n">
        <v>533</v>
      </c>
      <c r="BI17" s="697" t="n">
        <v>527</v>
      </c>
      <c r="BJ17" s="697" t="n">
        <v>525</v>
      </c>
      <c r="BK17" s="697" t="n">
        <v>520</v>
      </c>
      <c r="BL17" s="697" t="n">
        <v>517</v>
      </c>
      <c r="BM17" s="697" t="n">
        <v>517</v>
      </c>
      <c r="BN17" s="697" t="n">
        <v>517</v>
      </c>
      <c r="BO17" s="697" t="n">
        <v>501</v>
      </c>
      <c r="BP17" s="697" t="n">
        <v>489</v>
      </c>
      <c r="BQ17" s="697" t="n">
        <v>489</v>
      </c>
      <c r="BR17" s="697" t="n">
        <v>461</v>
      </c>
      <c r="BS17" s="697" t="n">
        <v>457</v>
      </c>
      <c r="BT17" s="697" t="n"/>
      <c r="BU17" s="697" t="n"/>
      <c r="BV17" s="697" t="n"/>
      <c r="BW17" s="697" t="n"/>
      <c r="BX17" s="697" t="n"/>
      <c r="BY17" s="697" t="n">
        <v>356</v>
      </c>
      <c r="BZ17" s="697" t="n">
        <v>354</v>
      </c>
      <c r="CA17" s="699" t="n">
        <v>354</v>
      </c>
      <c r="CB17" s="699" t="n">
        <v>354</v>
      </c>
      <c r="CC17" s="192">
        <f>CA17+IF(NOT(ISBLANK(OFFSET(CC17,0,6))),N(OFFSET(CC17,0,6)),N(OFFSET(CC17,0,7)))-CB17</f>
        <v/>
      </c>
      <c r="CD17" s="72" t="n"/>
      <c r="CE17" s="22" t="n"/>
      <c r="CF17" s="22" t="n"/>
      <c r="CG17" s="5" t="n"/>
      <c r="CH17" s="27" t="n"/>
      <c r="CI17" s="757" t="n">
        <v>0</v>
      </c>
      <c r="CJ17" s="23" t="n">
        <v>0</v>
      </c>
      <c r="CK17" s="23" t="n">
        <v>0</v>
      </c>
      <c r="CL17" s="23" t="n"/>
      <c r="CM17" s="23" t="n"/>
      <c r="CN17" s="419" t="n">
        <v>200</v>
      </c>
      <c r="CO17" s="23" t="n"/>
      <c r="CP17" s="23" t="n"/>
      <c r="CQ17" s="23" t="n"/>
      <c r="CR17" s="23" t="n"/>
      <c r="CS17" s="23" t="n"/>
      <c r="CT17" s="23" t="n"/>
      <c r="CU17" s="23" t="n"/>
      <c r="CV17" s="23" t="n"/>
      <c r="CW17" s="23" t="n"/>
      <c r="CX17" s="23" t="n"/>
      <c r="CY17" s="23" t="n">
        <v>200</v>
      </c>
      <c r="CZ17" s="23" t="n">
        <v>200</v>
      </c>
      <c r="DA17" s="23" t="n"/>
      <c r="DB17" s="23" t="n"/>
      <c r="DC17" s="23" t="n"/>
      <c r="DD17" s="219" t="n"/>
      <c r="DE17" s="23" t="n">
        <v>200</v>
      </c>
      <c r="DF17" s="23" t="n"/>
      <c r="DG17" s="23" t="n"/>
      <c r="DH17" s="23" t="n"/>
      <c r="DI17" s="23" t="n"/>
      <c r="DJ17" s="23" t="n"/>
      <c r="DK17" s="23" t="n"/>
      <c r="DL17" s="23" t="n"/>
      <c r="DM17" s="23" t="n"/>
      <c r="DN17" s="23" t="n"/>
      <c r="DO17" s="23" t="n"/>
      <c r="DP17" s="23" t="n"/>
      <c r="DQ17" s="23" t="n">
        <v>20</v>
      </c>
      <c r="DR17" s="23" t="n"/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3" t="n"/>
      <c r="EG17" s="23" t="n"/>
      <c r="EH17" s="23" t="n"/>
      <c r="EI17" s="23" t="n"/>
      <c r="EJ17" s="292" t="inlineStr">
        <is>
          <t>100 DE ER</t>
        </is>
      </c>
      <c r="EK17" s="23" t="n"/>
      <c r="EL17" s="23" t="n"/>
      <c r="EM17" s="23" t="n"/>
      <c r="EN17" s="282" t="inlineStr">
        <is>
          <t>41 DE ERB</t>
        </is>
      </c>
      <c r="EO17" s="23" t="n"/>
      <c r="EP17" s="23" t="n"/>
      <c r="EQ17" s="23" t="n"/>
      <c r="ER17" s="23" t="n"/>
      <c r="ES17" s="23" t="n"/>
      <c r="ET17" s="23" t="n"/>
      <c r="EU17" s="23" t="n"/>
      <c r="EV17" s="23" t="n"/>
      <c r="EW17" s="23" t="n"/>
      <c r="EX17" s="376" t="inlineStr">
        <is>
          <t>50 DE ERB</t>
        </is>
      </c>
      <c r="EY17" s="23" t="n"/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3" t="n"/>
      <c r="FL17" s="23" t="n"/>
      <c r="FM17" s="23" t="n"/>
      <c r="FN17" s="23" t="n"/>
      <c r="FO17" s="219" t="n"/>
      <c r="FP17" s="23" t="n"/>
      <c r="FQ17" s="23" t="n"/>
      <c r="FR17" s="219" t="n">
        <v>600</v>
      </c>
      <c r="FS17" s="23" t="n"/>
      <c r="FT17" s="23" t="n"/>
      <c r="FU17" s="23" t="n"/>
      <c r="FV17" s="23" t="n"/>
      <c r="FW17" s="23" t="n"/>
      <c r="FX17" s="23" t="n">
        <v>40</v>
      </c>
      <c r="FY17" s="23" t="n"/>
      <c r="FZ17" s="23" t="n"/>
      <c r="GA17" s="23" t="n"/>
      <c r="GB17" s="23" t="n"/>
      <c r="GC17" s="23" t="n">
        <v>60</v>
      </c>
      <c r="GD17" s="23" t="n"/>
      <c r="GE17" s="23" t="n"/>
      <c r="GF17" s="23" t="n">
        <v>40</v>
      </c>
      <c r="GG17" s="23" t="n">
        <v>20</v>
      </c>
      <c r="GI17" s="65" t="inlineStr">
        <is>
          <t>SACOLA M</t>
        </is>
      </c>
      <c r="GJ17" s="208" t="n">
        <v>200</v>
      </c>
      <c r="GK17" s="699">
        <f>FP17</f>
        <v/>
      </c>
      <c r="GL17" s="699" t="n">
        <v>565</v>
      </c>
      <c r="GM17" s="699" t="n">
        <v>505</v>
      </c>
      <c r="GN17" s="699" t="n">
        <v>505</v>
      </c>
      <c r="GO17" s="699" t="n">
        <v>495</v>
      </c>
      <c r="GP17" s="699" t="n">
        <v>469</v>
      </c>
      <c r="GQ17" s="699" t="n">
        <v>466</v>
      </c>
      <c r="GR17" s="699" t="n">
        <v>456</v>
      </c>
      <c r="GS17" s="699" t="n">
        <v>456</v>
      </c>
      <c r="GT17" s="699" t="n">
        <v>0</v>
      </c>
      <c r="GU17" s="699" t="n"/>
      <c r="GV17" s="699" t="n">
        <v>0</v>
      </c>
      <c r="GW17" s="699" t="n"/>
      <c r="GX17" s="699" t="n"/>
      <c r="GY17" s="303" t="n">
        <v>0</v>
      </c>
      <c r="HA17" s="65" t="inlineStr">
        <is>
          <t>SACOLA M</t>
        </is>
      </c>
      <c r="HB17" s="208" t="n">
        <v>200</v>
      </c>
      <c r="HC17" s="699">
        <f>0+50</f>
        <v/>
      </c>
      <c r="HD17" s="699" t="n">
        <v>50</v>
      </c>
      <c r="HE17" s="699" t="n">
        <v>0</v>
      </c>
      <c r="HF17" s="699" t="n">
        <v>0</v>
      </c>
      <c r="HG17" s="699" t="n">
        <v>0</v>
      </c>
      <c r="HH17" s="699" t="n">
        <v>0</v>
      </c>
      <c r="HI17" s="699" t="n">
        <v>0</v>
      </c>
      <c r="HJ17" s="699" t="n"/>
      <c r="HK17" s="699" t="n"/>
      <c r="HL17" s="699" t="n"/>
      <c r="HM17" s="369" t="n">
        <v>0</v>
      </c>
      <c r="HO17" s="65" t="inlineStr">
        <is>
          <t>SACOLA M</t>
        </is>
      </c>
      <c r="HP17" s="208" t="n">
        <v>200</v>
      </c>
      <c r="HQ17" s="699" t="n">
        <v>0</v>
      </c>
      <c r="HR17" s="699">
        <f>0+100</f>
        <v/>
      </c>
      <c r="HS17" s="699" t="n">
        <v>100</v>
      </c>
      <c r="HT17" s="699" t="n">
        <v>99</v>
      </c>
      <c r="HU17" s="699" t="n">
        <v>90</v>
      </c>
      <c r="HV17" s="699" t="n">
        <v>46</v>
      </c>
      <c r="HW17" s="699" t="n">
        <v>39</v>
      </c>
      <c r="HX17" s="699" t="n">
        <v>38</v>
      </c>
      <c r="HY17" s="699" t="n"/>
      <c r="HZ17" s="699" t="n"/>
      <c r="IA17" s="699" t="n"/>
      <c r="IB17" s="412">
        <f>HZ17+IF(NOT(ISBLANK(OFFSET(IB17,0,6))),N(OFFSET(IB17,0,6)),N(OFFSET(IB17,0,7)))-IA17</f>
        <v/>
      </c>
    </row>
    <row r="18" ht="19.5" customFormat="1" customHeight="1" s="3">
      <c r="A18" s="37" t="inlineStr">
        <is>
          <t>KIT SACOLA M VERDE (KIT C/ 10)</t>
        </is>
      </c>
      <c r="B18" s="699" t="n">
        <v>150</v>
      </c>
      <c r="C18" s="762" t="n">
        <v>181.31</v>
      </c>
      <c r="D18" s="382" t="n">
        <v>20</v>
      </c>
      <c r="E18" s="2" t="n"/>
      <c r="F18" s="697" t="n">
        <v>26</v>
      </c>
      <c r="G18" s="697">
        <f>24+GC18</f>
        <v/>
      </c>
      <c r="H18" s="697" t="n">
        <v>35</v>
      </c>
      <c r="I18" s="697">
        <f>31+FZ18</f>
        <v/>
      </c>
      <c r="J18" s="697" t="n">
        <v>45</v>
      </c>
      <c r="K18" s="697" t="n">
        <v>40</v>
      </c>
      <c r="L18" s="697" t="n">
        <v>39</v>
      </c>
      <c r="M18" s="697" t="n">
        <v>39</v>
      </c>
      <c r="N18" s="697" t="n">
        <v>38</v>
      </c>
      <c r="O18" s="697" t="n">
        <v>35</v>
      </c>
      <c r="P18" s="697" t="n">
        <v>31</v>
      </c>
      <c r="Q18" s="697" t="n">
        <v>30</v>
      </c>
      <c r="R18" s="697" t="n">
        <v>27</v>
      </c>
      <c r="S18" s="697" t="n">
        <v>24</v>
      </c>
      <c r="T18" s="697" t="n">
        <v>23</v>
      </c>
      <c r="U18" s="697">
        <f>19+FI18</f>
        <v/>
      </c>
      <c r="V18" s="697" t="n">
        <v>26</v>
      </c>
      <c r="W18" s="697" t="n">
        <v>26</v>
      </c>
      <c r="X18" s="697" t="n">
        <v>25</v>
      </c>
      <c r="Y18" s="697" t="n">
        <v>21</v>
      </c>
      <c r="Z18" s="697" t="n">
        <v>18</v>
      </c>
      <c r="AA18" s="697" t="n">
        <v>16</v>
      </c>
      <c r="AB18" s="697" t="n">
        <v>14</v>
      </c>
      <c r="AC18" s="697" t="n">
        <v>12</v>
      </c>
      <c r="AD18" s="697" t="n">
        <v>9</v>
      </c>
      <c r="AE18" s="697" t="n">
        <v>23</v>
      </c>
      <c r="AF18" s="697" t="n">
        <v>19</v>
      </c>
      <c r="AG18" s="697" t="n">
        <v>19</v>
      </c>
      <c r="AH18" s="697" t="n">
        <v>18</v>
      </c>
      <c r="AI18" s="697" t="n">
        <v>14</v>
      </c>
      <c r="AJ18" s="697" t="n">
        <v>11</v>
      </c>
      <c r="AK18" s="697" t="n">
        <v>11</v>
      </c>
      <c r="AL18" s="697" t="n">
        <v>6</v>
      </c>
      <c r="AM18" s="697" t="n">
        <v>16</v>
      </c>
      <c r="AN18" s="697" t="n">
        <v>30</v>
      </c>
      <c r="AO18" s="697" t="n">
        <v>28</v>
      </c>
      <c r="AP18" s="697" t="n">
        <v>28</v>
      </c>
      <c r="AQ18" s="697" t="n">
        <v>24</v>
      </c>
      <c r="AR18" s="697" t="n">
        <v>22</v>
      </c>
      <c r="AS18" s="697" t="n">
        <v>21</v>
      </c>
      <c r="AT18" s="697" t="n">
        <v>19</v>
      </c>
      <c r="AU18" s="697" t="n">
        <v>16</v>
      </c>
      <c r="AV18" s="697" t="n">
        <v>16</v>
      </c>
      <c r="AW18" s="697" t="n">
        <v>13</v>
      </c>
      <c r="AX18" s="697" t="n">
        <v>13</v>
      </c>
      <c r="AY18" s="697" t="n">
        <v>10</v>
      </c>
      <c r="AZ18" s="697" t="n">
        <v>7</v>
      </c>
      <c r="BA18" s="697" t="n">
        <v>1</v>
      </c>
      <c r="BB18" s="697" t="n">
        <v>0</v>
      </c>
      <c r="BC18" s="697">
        <f>0+CX18</f>
        <v/>
      </c>
      <c r="BD18" s="697" t="n">
        <v>185</v>
      </c>
      <c r="BE18" s="697" t="n">
        <v>160</v>
      </c>
      <c r="BF18" s="697" t="n">
        <v>149</v>
      </c>
      <c r="BG18" s="697" t="n">
        <v>147</v>
      </c>
      <c r="BH18" s="697" t="n">
        <v>142</v>
      </c>
      <c r="BI18" s="697" t="n">
        <v>141</v>
      </c>
      <c r="BJ18" s="697" t="n">
        <v>140</v>
      </c>
      <c r="BK18" s="697" t="n">
        <v>134</v>
      </c>
      <c r="BL18" s="697" t="n">
        <v>129</v>
      </c>
      <c r="BM18" s="697" t="n">
        <v>129</v>
      </c>
      <c r="BN18" s="697" t="n">
        <v>127</v>
      </c>
      <c r="BO18" s="697" t="n">
        <v>120</v>
      </c>
      <c r="BP18" s="697" t="n">
        <v>94</v>
      </c>
      <c r="BQ18" s="697" t="n">
        <v>74</v>
      </c>
      <c r="BR18" s="697" t="n">
        <v>57</v>
      </c>
      <c r="BS18" s="697" t="n">
        <v>51</v>
      </c>
      <c r="BT18" s="697" t="n"/>
      <c r="BU18" s="697" t="n"/>
      <c r="BV18" s="697" t="n"/>
      <c r="BW18" s="697" t="n"/>
      <c r="BX18" s="697" t="n"/>
      <c r="BY18" s="697" t="n">
        <v>0</v>
      </c>
      <c r="BZ18" s="697" t="n">
        <v>0</v>
      </c>
      <c r="CA18" s="699" t="n">
        <v>0</v>
      </c>
      <c r="CB18" s="699" t="n">
        <v>0</v>
      </c>
      <c r="CC18" s="192">
        <f>CA18+IF(NOT(ISBLANK(OFFSET(CC18,0,6))),N(OFFSET(CC18,0,6)),N(OFFSET(CC18,0,7)))-CB18</f>
        <v/>
      </c>
      <c r="CD18" s="72" t="n"/>
      <c r="CE18" s="22" t="n"/>
      <c r="CF18" s="22" t="n"/>
      <c r="CG18" s="5" t="n"/>
      <c r="CH18" s="27" t="n">
        <v>200</v>
      </c>
      <c r="CI18" s="757" t="n">
        <v>0</v>
      </c>
      <c r="CJ18" s="23" t="n">
        <v>0</v>
      </c>
      <c r="CK18" s="23" t="n">
        <v>0</v>
      </c>
      <c r="CL18" s="23" t="n"/>
      <c r="CM18" s="23" t="n"/>
      <c r="CN18" s="419" t="n">
        <v>200</v>
      </c>
      <c r="CO18" s="23" t="n"/>
      <c r="CP18" s="23" t="n"/>
      <c r="CQ18" s="467" t="n">
        <v>300</v>
      </c>
      <c r="CR18" s="23" t="n"/>
      <c r="CS18" s="23" t="n"/>
      <c r="CT18" s="23" t="n"/>
      <c r="CU18" s="23" t="n"/>
      <c r="CV18" s="23" t="n"/>
      <c r="CW18" s="23" t="n"/>
      <c r="CX18" s="23" t="n"/>
      <c r="CY18" s="23" t="n"/>
      <c r="CZ18" s="23" t="n">
        <v>200</v>
      </c>
      <c r="DA18" s="23" t="n"/>
      <c r="DB18" s="23" t="n"/>
      <c r="DC18" s="23" t="n"/>
      <c r="DD18" s="219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/>
      <c r="DV18" s="23" t="n"/>
      <c r="DW18" s="23" t="n"/>
      <c r="DX18" s="23" t="n"/>
      <c r="DY18" s="23" t="n">
        <v>15</v>
      </c>
      <c r="DZ18" s="23" t="n">
        <v>15</v>
      </c>
      <c r="EA18" s="23" t="n"/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/>
      <c r="EM18" s="23" t="n"/>
      <c r="EN18" s="23" t="n"/>
      <c r="EO18" s="23" t="n"/>
      <c r="EP18" s="23" t="n">
        <v>15</v>
      </c>
      <c r="EQ18" s="23" t="n"/>
      <c r="ER18" s="23" t="n"/>
      <c r="ES18" s="23" t="n"/>
      <c r="ET18" s="23" t="n"/>
      <c r="EU18" s="23" t="n"/>
      <c r="EV18" s="23" t="n"/>
      <c r="EW18" s="23" t="n"/>
      <c r="EX18" s="376" t="inlineStr">
        <is>
          <t>10 DE ERB</t>
        </is>
      </c>
      <c r="EY18" s="23" t="n"/>
      <c r="EZ18" s="23" t="n"/>
      <c r="FA18" s="23" t="n"/>
      <c r="FB18" s="23" t="n"/>
      <c r="FC18" s="23" t="n"/>
      <c r="FD18" s="23" t="n"/>
      <c r="FE18" s="23" t="n"/>
      <c r="FF18" s="23" t="n"/>
      <c r="FG18" s="23" t="n"/>
      <c r="FH18" s="23" t="n"/>
      <c r="FI18" s="23" t="n"/>
      <c r="FJ18" s="23" t="n"/>
      <c r="FK18" s="23" t="n">
        <v>15</v>
      </c>
      <c r="FL18" s="23" t="n"/>
      <c r="FM18" s="23" t="n"/>
      <c r="FN18" s="23" t="n"/>
      <c r="FO18" s="219" t="n"/>
      <c r="FP18" s="23" t="n"/>
      <c r="FQ18" s="23" t="n"/>
      <c r="FR18" s="219" t="n"/>
      <c r="FS18" s="23" t="n"/>
      <c r="FT18" s="23" t="n"/>
      <c r="FU18" s="23" t="n"/>
      <c r="FV18" s="23" t="n"/>
      <c r="FW18" s="23" t="n"/>
      <c r="FX18" s="23" t="n"/>
      <c r="FY18" s="23" t="n"/>
      <c r="FZ18" s="23" t="n"/>
      <c r="GA18" s="23" t="n"/>
      <c r="GB18" s="23" t="n">
        <v>15</v>
      </c>
      <c r="GC18" s="23" t="n"/>
      <c r="GD18" s="23" t="n"/>
      <c r="GE18" s="23" t="n">
        <v>15</v>
      </c>
      <c r="GF18" s="23" t="n"/>
      <c r="GG18" s="23" t="n"/>
      <c r="GI18" s="66" t="inlineStr">
        <is>
          <t>SACOLA G</t>
        </is>
      </c>
      <c r="GJ18" s="208" t="n">
        <v>100</v>
      </c>
      <c r="GK18" s="699">
        <f>FT18</f>
        <v/>
      </c>
      <c r="GL18" s="699" t="n">
        <v>0</v>
      </c>
      <c r="GM18" s="699" t="n">
        <v>0</v>
      </c>
      <c r="GN18" s="699" t="n">
        <v>0</v>
      </c>
      <c r="GO18" s="699" t="n">
        <v>0</v>
      </c>
      <c r="GP18" s="699" t="n">
        <v>0</v>
      </c>
      <c r="GQ18" s="699" t="n">
        <v>0</v>
      </c>
      <c r="GR18" s="699" t="n">
        <v>0</v>
      </c>
      <c r="GS18" s="699" t="n">
        <v>0</v>
      </c>
      <c r="GT18" s="699" t="n">
        <v>0</v>
      </c>
      <c r="GU18" s="699" t="n"/>
      <c r="GV18" s="699" t="n">
        <v>0</v>
      </c>
      <c r="GW18" s="699" t="n"/>
      <c r="GX18" s="699" t="n"/>
      <c r="GY18" s="303" t="n">
        <v>0</v>
      </c>
      <c r="HA18" s="66" t="inlineStr">
        <is>
          <t>SACOLA G</t>
        </is>
      </c>
      <c r="HB18" s="208" t="n">
        <v>100</v>
      </c>
      <c r="HC18" s="699">
        <f>0+10</f>
        <v/>
      </c>
      <c r="HD18" s="699" t="n">
        <v>10</v>
      </c>
      <c r="HE18" s="699" t="n">
        <v>0</v>
      </c>
      <c r="HF18" s="699" t="n">
        <v>0</v>
      </c>
      <c r="HG18" s="699" t="n">
        <v>0</v>
      </c>
      <c r="HH18" s="699" t="n">
        <v>0</v>
      </c>
      <c r="HI18" s="699" t="n">
        <v>0</v>
      </c>
      <c r="HJ18" s="699" t="n"/>
      <c r="HK18" s="699" t="n"/>
      <c r="HL18" s="699" t="n"/>
      <c r="HM18" s="369" t="n">
        <v>0</v>
      </c>
      <c r="HO18" s="35" t="n"/>
      <c r="ID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4" t="n"/>
      <c r="BZ19" s="4" t="n"/>
      <c r="CA19" s="2" t="n"/>
      <c r="CB19" s="2" t="n"/>
      <c r="CC19" s="16" t="n"/>
      <c r="CD19" s="5" t="n"/>
      <c r="CE19" s="16" t="n"/>
      <c r="CF19" s="16" t="n"/>
      <c r="CG19" s="5" t="n"/>
      <c r="CH19" s="4" t="n"/>
      <c r="CI19" s="827" t="n"/>
      <c r="CJ19" s="20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20" t="n"/>
      <c r="DA19" s="20" t="n"/>
      <c r="DB19" s="20" t="n"/>
      <c r="DC19" s="20" t="n"/>
      <c r="DD19" s="308" t="n"/>
      <c r="DE19" s="20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20" t="n"/>
      <c r="FL19" s="20" t="n"/>
      <c r="FM19" s="20" t="n"/>
      <c r="FN19" s="20" t="n"/>
      <c r="FO19" s="308" t="n"/>
      <c r="FP19" s="20" t="n"/>
      <c r="FQ19" s="20" t="n"/>
      <c r="FR19" s="308" t="n"/>
      <c r="FS19" s="20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D19" s="20" t="n"/>
      <c r="GE19" s="20" t="n"/>
      <c r="GF19" s="20" t="n"/>
      <c r="GG19" s="20" t="n"/>
      <c r="HA19" s="35" t="n"/>
      <c r="HO19" s="35" t="n"/>
      <c r="ID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6" t="n"/>
      <c r="F20" s="746" t="n">
        <v>45656</v>
      </c>
      <c r="G20" s="746" t="n">
        <v>45663</v>
      </c>
      <c r="H20" s="746" t="n">
        <v>45670</v>
      </c>
      <c r="I20" s="746" t="n">
        <v>45677</v>
      </c>
      <c r="J20" s="746" t="n">
        <v>45684</v>
      </c>
      <c r="K20" s="746" t="n">
        <v>45691</v>
      </c>
      <c r="L20" s="746" t="n">
        <v>45698</v>
      </c>
      <c r="M20" s="746" t="n">
        <v>45705</v>
      </c>
      <c r="N20" s="746" t="n">
        <v>45712</v>
      </c>
      <c r="O20" s="746" t="n">
        <v>45719</v>
      </c>
      <c r="P20" s="746" t="n">
        <v>45726</v>
      </c>
      <c r="Q20" s="746" t="n">
        <v>45733</v>
      </c>
      <c r="R20" s="746" t="n">
        <v>45740</v>
      </c>
      <c r="S20" s="746" t="n">
        <v>45747</v>
      </c>
      <c r="T20" s="746" t="n">
        <v>45754</v>
      </c>
      <c r="U20" s="746" t="n">
        <v>45761</v>
      </c>
      <c r="V20" s="746" t="n">
        <v>45768</v>
      </c>
      <c r="W20" s="746" t="n">
        <v>45775</v>
      </c>
      <c r="X20" s="746" t="n">
        <v>45782</v>
      </c>
      <c r="Y20" s="746" t="n">
        <v>45789</v>
      </c>
      <c r="Z20" s="746" t="n">
        <v>45796</v>
      </c>
      <c r="AA20" s="746" t="n">
        <v>45803</v>
      </c>
      <c r="AB20" s="746" t="n">
        <v>45810</v>
      </c>
      <c r="AC20" s="746" t="n">
        <v>45817</v>
      </c>
      <c r="AD20" s="746" t="n">
        <v>45824</v>
      </c>
      <c r="AE20" s="746" t="n">
        <v>45831</v>
      </c>
      <c r="AF20" s="746" t="n">
        <v>45838</v>
      </c>
      <c r="AG20" s="746" t="n">
        <v>45845</v>
      </c>
      <c r="AH20" s="746" t="n">
        <v>45852</v>
      </c>
      <c r="AI20" s="746" t="n">
        <v>45859</v>
      </c>
      <c r="AJ20" s="746" t="n">
        <v>45866</v>
      </c>
      <c r="AK20" s="746" t="n">
        <v>45873</v>
      </c>
      <c r="AL20" s="746" t="n">
        <v>45880</v>
      </c>
      <c r="AM20" s="746" t="n">
        <v>45887</v>
      </c>
      <c r="AN20" s="746" t="n">
        <v>45894</v>
      </c>
      <c r="AO20" s="746" t="n">
        <v>45901</v>
      </c>
      <c r="AP20" s="746" t="n">
        <v>45908</v>
      </c>
      <c r="AQ20" s="746" t="n">
        <v>45915</v>
      </c>
      <c r="AR20" s="746" t="n">
        <v>45922</v>
      </c>
      <c r="AS20" s="746" t="n">
        <v>45929</v>
      </c>
      <c r="AT20" s="746" t="n">
        <v>45936</v>
      </c>
      <c r="AU20" s="746" t="n">
        <v>45943</v>
      </c>
      <c r="AV20" s="746" t="n">
        <v>45950</v>
      </c>
      <c r="AW20" s="746" t="n">
        <v>45957</v>
      </c>
      <c r="AX20" s="746" t="n">
        <v>45964</v>
      </c>
      <c r="AY20" s="746" t="n">
        <v>45971</v>
      </c>
      <c r="AZ20" s="746" t="n">
        <v>45978</v>
      </c>
      <c r="BA20" s="746" t="n">
        <v>45985</v>
      </c>
      <c r="BB20" s="746" t="n">
        <v>45992</v>
      </c>
      <c r="BC20" s="746" t="n">
        <v>45999</v>
      </c>
      <c r="BD20" s="746" t="n">
        <v>46006</v>
      </c>
      <c r="BE20" s="746" t="n">
        <v>46013</v>
      </c>
      <c r="BF20" s="746" t="n">
        <v>46020</v>
      </c>
      <c r="BG20" s="746" t="n">
        <v>46027</v>
      </c>
      <c r="BH20" s="746" t="n">
        <v>46034</v>
      </c>
      <c r="BI20" s="746" t="n">
        <v>46041</v>
      </c>
      <c r="BJ20" s="746" t="n">
        <v>46048</v>
      </c>
      <c r="BK20" s="746" t="n">
        <v>46055</v>
      </c>
      <c r="BL20" s="746" t="n">
        <v>46062</v>
      </c>
      <c r="BM20" s="746" t="n">
        <v>46069</v>
      </c>
      <c r="BN20" s="746" t="n">
        <v>46076</v>
      </c>
      <c r="BO20" s="746" t="n">
        <v>46083</v>
      </c>
      <c r="BP20" s="746" t="n">
        <v>46090</v>
      </c>
      <c r="BQ20" s="746" t="n">
        <v>46097</v>
      </c>
      <c r="BR20" s="746" t="n">
        <v>46104</v>
      </c>
      <c r="BS20" s="746" t="n">
        <v>46111</v>
      </c>
      <c r="BT20" s="746" t="n">
        <v>46118</v>
      </c>
      <c r="BU20" s="746" t="n">
        <v>46125</v>
      </c>
      <c r="BV20" s="746" t="n">
        <v>46132</v>
      </c>
      <c r="BW20" s="746" t="n">
        <v>46139</v>
      </c>
      <c r="BX20" s="746" t="n">
        <v>46146</v>
      </c>
      <c r="BY20" s="746" t="n">
        <v>46154</v>
      </c>
      <c r="BZ20" s="746" t="n">
        <v>46160</v>
      </c>
      <c r="CA20" s="747" t="n">
        <v>46161.48024612269</v>
      </c>
      <c r="CB20" s="747" t="n">
        <v>46161.4809040053</v>
      </c>
      <c r="CC20" s="748" t="inlineStr">
        <is>
          <t>USOU</t>
        </is>
      </c>
      <c r="CD20" s="5" t="n"/>
      <c r="CE20" s="44" t="inlineStr">
        <is>
          <t>Pendências</t>
        </is>
      </c>
      <c r="CF20" s="44" t="inlineStr">
        <is>
          <t>Pendências</t>
        </is>
      </c>
      <c r="CG20" s="5" t="n"/>
      <c r="CH20" s="12" t="inlineStr">
        <is>
          <t>Novo Pedido</t>
        </is>
      </c>
      <c r="CI20" s="824" t="n">
        <v>46161.48089931424</v>
      </c>
      <c r="CJ20" s="794" t="n">
        <v>46149</v>
      </c>
      <c r="CK20" s="794" t="n">
        <v>46142</v>
      </c>
      <c r="CL20" s="794" t="n">
        <v>46114</v>
      </c>
      <c r="CM20" s="794" t="n">
        <v>46107</v>
      </c>
      <c r="CN20" s="795" t="n">
        <v>46065</v>
      </c>
      <c r="CO20" s="794" t="n">
        <v>46099</v>
      </c>
      <c r="CP20" s="794" t="n">
        <v>46092</v>
      </c>
      <c r="CQ20" s="796" t="n">
        <v>46045</v>
      </c>
      <c r="CR20" s="794" t="n">
        <v>46077</v>
      </c>
      <c r="CS20" s="794" t="n">
        <v>46048</v>
      </c>
      <c r="CT20" s="794" t="n">
        <v>46043</v>
      </c>
      <c r="CU20" s="794" t="n">
        <v>46024</v>
      </c>
      <c r="CV20" s="794" t="n">
        <v>46017</v>
      </c>
      <c r="CW20" s="794" t="n">
        <v>46007</v>
      </c>
      <c r="CX20" s="794" t="n">
        <v>46001</v>
      </c>
      <c r="CY20" s="794" t="n">
        <v>46001</v>
      </c>
      <c r="CZ20" s="794" t="n">
        <v>45994</v>
      </c>
      <c r="DA20" s="794" t="n">
        <v>45986</v>
      </c>
      <c r="DB20" s="794" t="n">
        <v>45980</v>
      </c>
      <c r="DC20" s="794" t="n">
        <v>45980</v>
      </c>
      <c r="DD20" s="797" t="n">
        <v>45982</v>
      </c>
      <c r="DE20" s="794" t="n">
        <v>45973</v>
      </c>
      <c r="DF20" s="794" t="n">
        <v>45965</v>
      </c>
      <c r="DG20" s="794" t="n">
        <v>45960</v>
      </c>
      <c r="DH20" s="794" t="n">
        <v>45951</v>
      </c>
      <c r="DI20" s="737" t="n">
        <v>45903</v>
      </c>
      <c r="DJ20" s="794" t="n">
        <v>45945</v>
      </c>
      <c r="DK20" s="794" t="n">
        <v>45937</v>
      </c>
      <c r="DL20" s="794" t="n">
        <v>45931</v>
      </c>
      <c r="DM20" s="794" t="n">
        <v>45931</v>
      </c>
      <c r="DN20" s="794" t="n">
        <v>45915</v>
      </c>
      <c r="DO20" s="794" t="n">
        <v>45923</v>
      </c>
      <c r="DP20" s="794" t="n">
        <v>45903</v>
      </c>
      <c r="DQ20" s="794" t="n">
        <v>45915</v>
      </c>
      <c r="DR20" s="797" t="n">
        <v>45918</v>
      </c>
      <c r="DS20" s="794" t="n">
        <v>45909</v>
      </c>
      <c r="DT20" s="738" t="n">
        <v>45903</v>
      </c>
      <c r="DU20" s="794" t="n">
        <v>45895</v>
      </c>
      <c r="DV20" s="797" t="n">
        <v>45896</v>
      </c>
      <c r="DW20" s="794" t="n">
        <v>45881</v>
      </c>
      <c r="DX20" s="738" t="n">
        <v>45839</v>
      </c>
      <c r="DY20" s="794" t="n">
        <v>45888</v>
      </c>
      <c r="DZ20" s="794" t="n">
        <v>45881</v>
      </c>
      <c r="EA20" s="797" t="n">
        <v>45881</v>
      </c>
      <c r="EB20" s="794" t="n">
        <v>45874</v>
      </c>
      <c r="EC20" s="797" t="n">
        <v>45876</v>
      </c>
      <c r="ED20" s="794" t="n">
        <v>45867</v>
      </c>
      <c r="EE20" s="794" t="n">
        <v>45867</v>
      </c>
      <c r="EF20" s="794" t="n">
        <v>45860</v>
      </c>
      <c r="EG20" s="797" t="n">
        <v>45861</v>
      </c>
      <c r="EH20" s="797" t="n">
        <v>45860</v>
      </c>
      <c r="EI20" s="794" t="n">
        <v>45853</v>
      </c>
      <c r="EJ20" s="739" t="n">
        <v>45855</v>
      </c>
      <c r="EK20" s="794" t="n">
        <v>45848</v>
      </c>
      <c r="EL20" s="794" t="n">
        <v>45839</v>
      </c>
      <c r="EM20" s="794" t="n">
        <v>45839</v>
      </c>
      <c r="EN20" s="797" t="n">
        <v>45835</v>
      </c>
      <c r="EO20" s="794" t="n">
        <v>45790</v>
      </c>
      <c r="EP20" s="794" t="n">
        <v>45825</v>
      </c>
      <c r="EQ20" s="794" t="n">
        <v>45819</v>
      </c>
      <c r="ER20" s="794" t="n">
        <v>45813</v>
      </c>
      <c r="ES20" s="794" t="n">
        <v>45797</v>
      </c>
      <c r="ET20" s="797" t="n">
        <v>45811</v>
      </c>
      <c r="EU20" s="797" t="n">
        <v>45810</v>
      </c>
      <c r="EV20" s="797" t="n">
        <v>45806</v>
      </c>
      <c r="EW20" s="797" t="n">
        <v>45803</v>
      </c>
      <c r="EX20" s="755" t="n">
        <v>45803</v>
      </c>
      <c r="EY20" s="794" t="n">
        <v>45784</v>
      </c>
      <c r="EZ20" s="797" t="n">
        <v>45796</v>
      </c>
      <c r="FA20" s="794" t="n">
        <v>45784</v>
      </c>
      <c r="FB20" s="794" t="n">
        <v>45764</v>
      </c>
      <c r="FC20" s="797" t="n">
        <v>45791</v>
      </c>
      <c r="FD20" s="794" t="n">
        <v>45783</v>
      </c>
      <c r="FE20" s="794" t="n">
        <v>45770</v>
      </c>
      <c r="FF20" s="794" t="n">
        <v>45775</v>
      </c>
      <c r="FG20" s="794" t="n">
        <v>45770</v>
      </c>
      <c r="FH20" s="794" t="n">
        <v>45770</v>
      </c>
      <c r="FI20" s="797" t="n">
        <v>45775</v>
      </c>
      <c r="FJ20" s="797" t="n">
        <v>45770</v>
      </c>
      <c r="FK20" s="794" t="n">
        <v>45756</v>
      </c>
      <c r="FL20" s="794" t="n">
        <v>45735</v>
      </c>
      <c r="FM20" s="797" t="n">
        <v>45751</v>
      </c>
      <c r="FN20" s="794" t="n">
        <v>45743</v>
      </c>
      <c r="FO20" s="746" t="n">
        <v>45729</v>
      </c>
      <c r="FP20" s="794" t="n">
        <v>45722</v>
      </c>
      <c r="FQ20" s="794" t="n">
        <v>45722</v>
      </c>
      <c r="FR20" s="746" t="n">
        <v>45700</v>
      </c>
      <c r="FS20" s="797" t="n">
        <v>45722</v>
      </c>
      <c r="FT20" s="794" t="n">
        <v>45714</v>
      </c>
      <c r="FU20" s="794" t="n">
        <v>45706</v>
      </c>
      <c r="FV20" s="794" t="n">
        <v>45684</v>
      </c>
      <c r="FW20" s="794" t="n">
        <v>45699</v>
      </c>
      <c r="FX20" s="794" t="n">
        <v>45693</v>
      </c>
      <c r="FY20" s="797" t="n">
        <v>45687</v>
      </c>
      <c r="FZ20" s="794" t="n">
        <v>45685</v>
      </c>
      <c r="GA20" s="797" t="n">
        <v>45684</v>
      </c>
      <c r="GB20" s="794" t="n">
        <v>45674</v>
      </c>
      <c r="GC20" s="794" t="n">
        <v>45664</v>
      </c>
      <c r="GD20" s="794" t="n">
        <v>45660</v>
      </c>
      <c r="GE20" s="794" t="n">
        <v>45660</v>
      </c>
      <c r="GF20" s="794" t="n">
        <v>45652</v>
      </c>
      <c r="GG20" s="794" t="n">
        <v>45643</v>
      </c>
      <c r="GI20" s="304" t="inlineStr">
        <is>
          <t>DIVERSOS VENDA</t>
        </is>
      </c>
      <c r="GJ20" s="544" t="inlineStr">
        <is>
          <t>PCT</t>
        </is>
      </c>
      <c r="GK20" s="536" t="n">
        <v>45726</v>
      </c>
      <c r="GL20" s="536" t="n">
        <v>45733</v>
      </c>
      <c r="GM20" s="536" t="n">
        <v>45740</v>
      </c>
      <c r="GN20" s="322" t="n">
        <v>45747</v>
      </c>
      <c r="GO20" s="536" t="n">
        <v>45754</v>
      </c>
      <c r="GP20" s="536" t="n">
        <v>45761</v>
      </c>
      <c r="GQ20" s="536" t="n">
        <v>45768</v>
      </c>
      <c r="GR20" s="536" t="n">
        <v>45775</v>
      </c>
      <c r="GS20" s="536" t="n">
        <v>45782</v>
      </c>
      <c r="GT20" s="536" t="n">
        <v>45789</v>
      </c>
      <c r="GU20" s="825" t="n">
        <v>46160</v>
      </c>
      <c r="GV20" s="536" t="n">
        <v>45796</v>
      </c>
      <c r="GW20" s="800" t="n">
        <v>46161.48024462963</v>
      </c>
      <c r="GX20" s="800" t="n">
        <v>46161.48090264347</v>
      </c>
      <c r="GY20" s="235" t="inlineStr">
        <is>
          <t>USOU</t>
        </is>
      </c>
      <c r="HA20" s="366" t="inlineStr">
        <is>
          <t>DIVERSOS VENDA</t>
        </is>
      </c>
      <c r="HB20" s="524" t="inlineStr">
        <is>
          <t>PCT</t>
        </is>
      </c>
      <c r="HC20" s="511" t="n">
        <v>45796</v>
      </c>
      <c r="HD20" s="511" t="n">
        <v>45803</v>
      </c>
      <c r="HE20" s="511" t="n">
        <v>45810</v>
      </c>
      <c r="HF20" s="511" t="n">
        <v>45817</v>
      </c>
      <c r="HG20" s="511" t="n">
        <v>45824</v>
      </c>
      <c r="HH20" s="511" t="n">
        <v>45831</v>
      </c>
      <c r="HI20" s="511" t="n">
        <v>45838</v>
      </c>
      <c r="HJ20" s="806" t="n">
        <v>46160</v>
      </c>
      <c r="HK20" s="807" t="n">
        <v>46161.48024385417</v>
      </c>
      <c r="HL20" s="807" t="n">
        <v>46161.48090187554</v>
      </c>
      <c r="HM20" s="368" t="inlineStr">
        <is>
          <t>USOU</t>
        </is>
      </c>
      <c r="HO20" s="222" t="inlineStr">
        <is>
          <t>DIVERSOS VENDA</t>
        </is>
      </c>
      <c r="HP20" s="519" t="inlineStr">
        <is>
          <t>PCT</t>
        </is>
      </c>
      <c r="HQ20" s="513" t="n">
        <v>45845</v>
      </c>
      <c r="HR20" s="513" t="n">
        <v>45852</v>
      </c>
      <c r="HS20" s="513" t="n">
        <v>45859</v>
      </c>
      <c r="HT20" s="513" t="n">
        <v>45866</v>
      </c>
      <c r="HU20" s="513" t="n">
        <v>45873</v>
      </c>
      <c r="HV20" s="513" t="n">
        <v>45880</v>
      </c>
      <c r="HW20" s="513" t="n">
        <v>45887</v>
      </c>
      <c r="HX20" s="513" t="n">
        <v>45894</v>
      </c>
      <c r="HY20" s="737" t="n">
        <v>46160</v>
      </c>
      <c r="HZ20" s="812" t="n">
        <v>46161.48024309028</v>
      </c>
      <c r="IA20" s="812" t="n">
        <v>46161.48090115582</v>
      </c>
      <c r="IB20" s="411" t="inlineStr">
        <is>
          <t>USOU</t>
        </is>
      </c>
      <c r="ID20" s="438" t="inlineStr">
        <is>
          <t>DIVERSOS VENDA</t>
        </is>
      </c>
      <c r="IE20" s="571" t="inlineStr">
        <is>
          <t>PCT</t>
        </is>
      </c>
      <c r="IF20" s="513" t="n">
        <v>45950</v>
      </c>
      <c r="IG20" s="513" t="n">
        <v>45957</v>
      </c>
      <c r="IH20" s="513" t="n">
        <v>45964</v>
      </c>
      <c r="II20" s="737" t="n">
        <v>46160</v>
      </c>
      <c r="IJ20" s="812" t="n">
        <v>46161.48024232639</v>
      </c>
      <c r="IK20" s="812" t="n">
        <v>46161.48090045103</v>
      </c>
      <c r="IL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699" t="n">
        <v>500</v>
      </c>
      <c r="C21" s="762" t="n">
        <v>95.90000000000001</v>
      </c>
      <c r="D21" s="382" t="n">
        <v>15</v>
      </c>
      <c r="E21" s="726" t="n"/>
      <c r="F21" s="697" t="n">
        <v>76</v>
      </c>
      <c r="G21" s="697" t="n">
        <v>75</v>
      </c>
      <c r="H21" s="697" t="n">
        <v>75</v>
      </c>
      <c r="I21" s="697" t="n">
        <v>74</v>
      </c>
      <c r="J21" s="697" t="n">
        <v>74</v>
      </c>
      <c r="K21" s="697" t="n">
        <v>73</v>
      </c>
      <c r="L21" s="697" t="n">
        <v>71</v>
      </c>
      <c r="M21" s="697" t="n">
        <v>71</v>
      </c>
      <c r="N21" s="697" t="n">
        <v>71</v>
      </c>
      <c r="O21" s="697" t="n">
        <v>70</v>
      </c>
      <c r="P21" s="697" t="n">
        <v>68</v>
      </c>
      <c r="Q21" s="697" t="n">
        <v>68</v>
      </c>
      <c r="R21" s="697" t="n">
        <v>68</v>
      </c>
      <c r="S21" s="697" t="n">
        <v>61</v>
      </c>
      <c r="T21" s="697" t="n">
        <v>60</v>
      </c>
      <c r="U21" s="697" t="n">
        <v>58</v>
      </c>
      <c r="V21" s="697" t="n">
        <v>58</v>
      </c>
      <c r="W21" s="697" t="n">
        <v>58</v>
      </c>
      <c r="X21" s="697" t="n">
        <v>56</v>
      </c>
      <c r="Y21" s="697" t="n">
        <v>56</v>
      </c>
      <c r="Z21" s="697" t="n">
        <v>56</v>
      </c>
      <c r="AA21" s="697" t="n">
        <v>54</v>
      </c>
      <c r="AB21" s="697" t="n">
        <v>52</v>
      </c>
      <c r="AC21" s="697" t="n">
        <v>52</v>
      </c>
      <c r="AD21" s="697" t="n">
        <v>46</v>
      </c>
      <c r="AE21" s="697" t="n">
        <v>42</v>
      </c>
      <c r="AF21" s="697" t="n">
        <v>40</v>
      </c>
      <c r="AG21" s="697" t="n">
        <v>40</v>
      </c>
      <c r="AH21" s="697" t="n">
        <v>38</v>
      </c>
      <c r="AI21" s="697" t="n">
        <v>36</v>
      </c>
      <c r="AJ21" s="697" t="n">
        <v>34</v>
      </c>
      <c r="AK21" s="697" t="n">
        <v>34</v>
      </c>
      <c r="AL21" s="697" t="n">
        <v>22</v>
      </c>
      <c r="AM21" s="697" t="n">
        <v>18</v>
      </c>
      <c r="AN21" s="697" t="n">
        <v>17</v>
      </c>
      <c r="AO21" s="697" t="n">
        <v>16</v>
      </c>
      <c r="AP21" s="697" t="n">
        <v>15</v>
      </c>
      <c r="AQ21" s="697" t="n">
        <v>5</v>
      </c>
      <c r="AR21" s="697" t="n">
        <v>22</v>
      </c>
      <c r="AS21" s="697" t="n">
        <v>22</v>
      </c>
      <c r="AT21" s="697" t="n">
        <v>20</v>
      </c>
      <c r="AU21" s="697" t="n">
        <v>20</v>
      </c>
      <c r="AV21" s="697" t="n">
        <v>20</v>
      </c>
      <c r="AW21" s="697" t="n">
        <v>20</v>
      </c>
      <c r="AX21" s="697" t="n">
        <v>20</v>
      </c>
      <c r="AY21" s="697" t="n">
        <v>20</v>
      </c>
      <c r="AZ21" s="697" t="n">
        <v>20</v>
      </c>
      <c r="BA21" s="697" t="n">
        <v>0</v>
      </c>
      <c r="BB21" s="697" t="n">
        <v>0</v>
      </c>
      <c r="BC21" s="697">
        <f>0+CX21</f>
        <v/>
      </c>
      <c r="BD21" s="697" t="n">
        <v>200</v>
      </c>
      <c r="BE21" s="697" t="n">
        <v>144</v>
      </c>
      <c r="BF21" s="697" t="n">
        <v>143</v>
      </c>
      <c r="BG21" s="697" t="n">
        <v>143</v>
      </c>
      <c r="BH21" s="697" t="n">
        <v>127</v>
      </c>
      <c r="BI21" s="697" t="n">
        <v>99</v>
      </c>
      <c r="BJ21" s="697" t="n">
        <v>89</v>
      </c>
      <c r="BK21" s="697" t="n">
        <v>289</v>
      </c>
      <c r="BL21" s="697" t="n">
        <v>285</v>
      </c>
      <c r="BM21" s="697" t="n">
        <v>285</v>
      </c>
      <c r="BN21" s="697" t="n">
        <v>275</v>
      </c>
      <c r="BO21" s="697" t="n">
        <v>233</v>
      </c>
      <c r="BP21" s="697" t="n">
        <v>233</v>
      </c>
      <c r="BQ21" s="697" t="n">
        <v>223</v>
      </c>
      <c r="BR21" s="697" t="n">
        <v>195</v>
      </c>
      <c r="BS21" s="697" t="n">
        <v>162</v>
      </c>
      <c r="BT21" s="697" t="n"/>
      <c r="BU21" s="697" t="n"/>
      <c r="BV21" s="697" t="n"/>
      <c r="BW21" s="697" t="n"/>
      <c r="BX21" s="697" t="n"/>
      <c r="BY21" s="697" t="n">
        <v>9</v>
      </c>
      <c r="BZ21" s="697" t="n">
        <v>9</v>
      </c>
      <c r="CA21" s="699" t="n">
        <v>9</v>
      </c>
      <c r="CB21" s="699" t="n">
        <v>9</v>
      </c>
      <c r="CC21" s="192">
        <f>CA21+IF(NOT(ISBLANK(OFFSET(CC21,0,6))),N(OFFSET(CC21,0,6)),N(OFFSET(CC21,0,7)))-CB21</f>
        <v/>
      </c>
      <c r="CD21" s="5" t="n"/>
      <c r="CE21" s="22" t="n"/>
      <c r="CF21" s="22" t="n"/>
      <c r="CG21" s="5" t="n"/>
      <c r="CH21" s="27" t="n">
        <v>200</v>
      </c>
      <c r="CI21" s="828" t="n">
        <v>0</v>
      </c>
      <c r="CJ21" s="40" t="n">
        <v>0</v>
      </c>
      <c r="CK21" s="40" t="n">
        <v>0</v>
      </c>
      <c r="CL21" s="40" t="n"/>
      <c r="CM21" s="40" t="n"/>
      <c r="CN21" s="419" t="n">
        <v>20</v>
      </c>
      <c r="CO21" s="40" t="n"/>
      <c r="CP21" s="40" t="n"/>
      <c r="CQ21" s="467" t="n">
        <v>200</v>
      </c>
      <c r="CR21" s="40" t="n"/>
      <c r="CS21" s="40" t="n"/>
      <c r="CT21" s="40" t="n">
        <v>200</v>
      </c>
      <c r="CU21" s="40" t="n"/>
      <c r="CV21" s="40" t="n"/>
      <c r="CW21" s="40" t="n"/>
      <c r="CX21" s="40" t="n"/>
      <c r="CY21" s="40" t="n"/>
      <c r="CZ21" s="40" t="n">
        <v>200</v>
      </c>
      <c r="DA21" s="40" t="n"/>
      <c r="DB21" s="40" t="n"/>
      <c r="DC21" s="40" t="n"/>
      <c r="DD21" s="219" t="n"/>
      <c r="DE21" s="40" t="n"/>
      <c r="DF21" s="40" t="n"/>
      <c r="DG21" s="40" t="n"/>
      <c r="DH21" s="40" t="n"/>
      <c r="DI21" s="219" t="n">
        <v>20</v>
      </c>
      <c r="DJ21" s="40" t="n"/>
      <c r="DK21" s="40" t="n"/>
      <c r="DL21" s="40" t="n"/>
      <c r="DM21" s="40" t="n"/>
      <c r="DN21" s="40" t="n"/>
      <c r="DO21" s="40" t="n"/>
      <c r="DP21" s="40" t="n"/>
      <c r="DQ21" s="40" t="n">
        <v>20</v>
      </c>
      <c r="DR21" s="40" t="n"/>
      <c r="DS21" s="40" t="n"/>
      <c r="DT21" s="23" t="n"/>
      <c r="DU21" s="40" t="n"/>
      <c r="DV21" s="40" t="n"/>
      <c r="DW21" s="40" t="n"/>
      <c r="DX21" s="23" t="n"/>
      <c r="DY21" s="40" t="n"/>
      <c r="DZ21" s="40" t="n"/>
      <c r="EA21" s="40" t="n"/>
      <c r="EB21" s="40" t="n"/>
      <c r="EC21" s="40" t="n"/>
      <c r="ED21" s="40" t="n"/>
      <c r="EE21" s="40" t="n"/>
      <c r="EF21" s="40" t="n"/>
      <c r="EG21" s="40" t="n"/>
      <c r="EH21" s="40" t="n"/>
      <c r="EI21" s="40" t="n"/>
      <c r="EJ21" s="292" t="inlineStr">
        <is>
          <t>10 DE ER</t>
        </is>
      </c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40" t="n"/>
      <c r="FL21" s="40" t="n"/>
      <c r="FM21" s="40" t="n"/>
      <c r="FN21" s="40" t="n"/>
      <c r="FO21" s="219" t="n"/>
      <c r="FP21" s="40" t="n"/>
      <c r="FQ21" s="40" t="n"/>
      <c r="FR21" s="219" t="n">
        <v>30</v>
      </c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D21" s="40" t="n"/>
      <c r="GE21" s="40" t="n"/>
      <c r="GF21" s="40" t="n"/>
      <c r="GG21" s="40" t="n"/>
      <c r="GI21" s="37" t="inlineStr">
        <is>
          <t>KIT PAPEL SEDA 10 PC C/ 20</t>
        </is>
      </c>
      <c r="GJ21" s="208" t="n">
        <v>200</v>
      </c>
      <c r="GK21" s="699">
        <f>FP21</f>
        <v/>
      </c>
      <c r="GL21" s="699" t="n">
        <v>30</v>
      </c>
      <c r="GM21" s="699" t="n">
        <v>29</v>
      </c>
      <c r="GN21" s="699" t="n">
        <v>17</v>
      </c>
      <c r="GO21" s="699" t="n">
        <v>15</v>
      </c>
      <c r="GP21" s="699" t="n">
        <v>9</v>
      </c>
      <c r="GQ21" s="699" t="n">
        <v>6</v>
      </c>
      <c r="GR21" s="699" t="n">
        <v>2</v>
      </c>
      <c r="GS21" s="699" t="n">
        <v>2</v>
      </c>
      <c r="GT21" s="699" t="n">
        <v>2</v>
      </c>
      <c r="GU21" s="699" t="n"/>
      <c r="GV21" s="699" t="n">
        <v>0</v>
      </c>
      <c r="GW21" s="699" t="n"/>
      <c r="GX21" s="699" t="n"/>
      <c r="GY21" s="303">
        <f>GW21+IF(NOT(ISBLANK(OFFSET(GY21,0,6))),N(OFFSET(GY21,0,6)),N(OFFSET(GY21,0,7)))-GX21</f>
        <v/>
      </c>
      <c r="HA21" s="37" t="inlineStr">
        <is>
          <t>KIT PAPEL SEDA 10 PC C/ 20</t>
        </is>
      </c>
      <c r="HB21" s="208" t="n">
        <v>200</v>
      </c>
      <c r="HC21" s="699" t="n">
        <v>0</v>
      </c>
      <c r="HD21" s="699" t="n">
        <v>0</v>
      </c>
      <c r="HE21" s="699" t="n">
        <v>0</v>
      </c>
      <c r="HF21" s="699" t="n">
        <v>0</v>
      </c>
      <c r="HG21" s="699" t="n">
        <v>0</v>
      </c>
      <c r="HH21" s="699" t="n">
        <v>0</v>
      </c>
      <c r="HI21" s="699" t="n">
        <v>0</v>
      </c>
      <c r="HJ21" s="699" t="n"/>
      <c r="HK21" s="699" t="n"/>
      <c r="HL21" s="699" t="n"/>
      <c r="HM21" s="369">
        <f>HK21+IF(NOT(ISBLANK(OFFSET(HM21,0,6))),N(OFFSET(HM21,0,6)),N(OFFSET(HM21,0,7)))-HL21</f>
        <v/>
      </c>
      <c r="HO21" s="37" t="inlineStr">
        <is>
          <t>KIT PAPEL SEDA 10 PC C/ 20</t>
        </is>
      </c>
      <c r="HP21" s="208" t="n">
        <v>200</v>
      </c>
      <c r="HQ21" s="699" t="n">
        <v>0</v>
      </c>
      <c r="HR21" s="699">
        <f>0+10</f>
        <v/>
      </c>
      <c r="HS21" s="699" t="n">
        <v>10</v>
      </c>
      <c r="HT21" s="699" t="n">
        <v>3</v>
      </c>
      <c r="HU21" s="699" t="n">
        <v>1</v>
      </c>
      <c r="HV21" s="699" t="n">
        <v>0</v>
      </c>
      <c r="HW21" s="699" t="n">
        <v>0</v>
      </c>
      <c r="HX21" s="699" t="n">
        <v>0</v>
      </c>
      <c r="HY21" s="699" t="n"/>
      <c r="HZ21" s="699" t="n"/>
      <c r="IA21" s="699" t="n"/>
      <c r="IB21" s="412" t="n">
        <v>0</v>
      </c>
      <c r="ID21" s="37" t="inlineStr">
        <is>
          <t>KIT PAPEL SEDA 10 PC C/ 20</t>
        </is>
      </c>
      <c r="IE21" s="208" t="n">
        <v>200</v>
      </c>
      <c r="IF21" s="699" t="n">
        <v>0</v>
      </c>
      <c r="IG21" s="699">
        <f>DG21</f>
        <v/>
      </c>
      <c r="IH21" s="699" t="n">
        <v>20</v>
      </c>
      <c r="II21" s="699" t="n"/>
      <c r="IJ21" s="699" t="n"/>
      <c r="IK21" s="699" t="n"/>
      <c r="IL21" s="235">
        <f>IJ21+IF(NOT(ISBLANK(OFFSET(IL21,0,6))),N(OFFSET(IL21,0,6)),N(OFFSET(IL21,0,7)))-IK21</f>
        <v/>
      </c>
    </row>
    <row r="22" customFormat="1" s="3">
      <c r="A22" s="37" t="inlineStr">
        <is>
          <t>KIT ETIQUETAS (50 c/50un)</t>
        </is>
      </c>
      <c r="B22" s="699" t="n">
        <v>2500</v>
      </c>
      <c r="C22" s="762" t="n">
        <v>66.87</v>
      </c>
      <c r="D22" s="382" t="n">
        <v>15</v>
      </c>
      <c r="E22" s="726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19+FI22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31" t="n">
        <v>0</v>
      </c>
      <c r="BZ22" s="31" t="n">
        <v>0</v>
      </c>
      <c r="CA22" s="766" t="n">
        <v>0</v>
      </c>
      <c r="CB22" s="766" t="n">
        <v>0</v>
      </c>
      <c r="CC22" s="192">
        <f>CA22+IF(NOT(ISBLANK(OFFSET(CC22,0,6))),N(OFFSET(CC22,0,6)),N(OFFSET(CC22,0,7)))-CB22</f>
        <v/>
      </c>
      <c r="CD22" s="5" t="n"/>
      <c r="CE22" s="22" t="n"/>
      <c r="CF22" s="22" t="n"/>
      <c r="CG22" s="5" t="n"/>
      <c r="CH22" s="27" t="n">
        <v>2</v>
      </c>
      <c r="CI22" s="828" t="n">
        <v>0</v>
      </c>
      <c r="CJ22" s="40" t="n">
        <v>0</v>
      </c>
      <c r="CK22" s="40" t="n">
        <v>0</v>
      </c>
      <c r="CL22" s="40" t="n"/>
      <c r="CM22" s="40" t="n"/>
      <c r="CN22" s="40" t="n"/>
      <c r="CO22" s="40" t="n"/>
      <c r="CP22" s="40" t="n"/>
      <c r="CQ22" s="467" t="n">
        <v>2</v>
      </c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40" t="n"/>
      <c r="DA22" s="40" t="n"/>
      <c r="DB22" s="40" t="n"/>
      <c r="DC22" s="40" t="n"/>
      <c r="DD22" s="198" t="inlineStr">
        <is>
          <t>05 P/ ERB</t>
        </is>
      </c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40" t="n"/>
      <c r="DQ22" s="40" t="n"/>
      <c r="DR22" s="40" t="n"/>
      <c r="DS22" s="40" t="n"/>
      <c r="DT22" s="23" t="n"/>
      <c r="DU22" s="40" t="n"/>
      <c r="DV22" s="40" t="n"/>
      <c r="DW22" s="40" t="n"/>
      <c r="DX22" s="23" t="n"/>
      <c r="DY22" s="40" t="n"/>
      <c r="DZ22" s="40" t="n">
        <v>50</v>
      </c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/>
      <c r="FH22" s="40" t="n"/>
      <c r="FI22" s="40" t="n"/>
      <c r="FJ22" s="40" t="n"/>
      <c r="FK22" s="40" t="n">
        <v>50</v>
      </c>
      <c r="FL22" s="40" t="n"/>
      <c r="FM22" s="40" t="n"/>
      <c r="FN22" s="40" t="n"/>
      <c r="FO22" s="219" t="n"/>
      <c r="FP22" s="40" t="n"/>
      <c r="FQ22" s="40" t="n"/>
      <c r="FR22" s="219" t="n">
        <v>15</v>
      </c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D22" s="40" t="n"/>
      <c r="GE22" s="40" t="n"/>
      <c r="GF22" s="40" t="n"/>
      <c r="GG22" s="40" t="n"/>
      <c r="GI22" s="37" t="inlineStr">
        <is>
          <t>KIT TAGS 15 PC C/ 10</t>
        </is>
      </c>
      <c r="GJ22" s="208" t="n">
        <v>150</v>
      </c>
      <c r="GK22" s="699">
        <f>FP22</f>
        <v/>
      </c>
      <c r="GL22" s="699" t="n">
        <v>15</v>
      </c>
      <c r="GM22" s="699" t="n">
        <v>12</v>
      </c>
      <c r="GN22" s="699" t="n">
        <v>0</v>
      </c>
      <c r="GO22" s="699" t="n">
        <v>0</v>
      </c>
      <c r="GP22" s="699" t="n">
        <v>0</v>
      </c>
      <c r="GQ22" s="699" t="n">
        <v>0</v>
      </c>
      <c r="GR22" s="699" t="n">
        <v>0</v>
      </c>
      <c r="GS22" s="699" t="n">
        <v>0</v>
      </c>
      <c r="GT22" s="699" t="n">
        <v>0</v>
      </c>
      <c r="GU22" s="699" t="n"/>
      <c r="GV22" s="699" t="n">
        <v>0</v>
      </c>
      <c r="GW22" s="699" t="n"/>
      <c r="GX22" s="699" t="n"/>
      <c r="GY22" s="303">
        <f>GW22+IF(NOT(ISBLANK(OFFSET(GY22,0,6))),N(OFFSET(GY22,0,6)),N(OFFSET(GY22,0,7)))-GX22</f>
        <v/>
      </c>
      <c r="HA22" s="37" t="inlineStr">
        <is>
          <t>KIT TAGS 15 PC C/ 10</t>
        </is>
      </c>
      <c r="HB22" s="208" t="n">
        <v>150</v>
      </c>
      <c r="HC22" s="699" t="n">
        <v>0</v>
      </c>
      <c r="HD22" s="699" t="n">
        <v>0</v>
      </c>
      <c r="HE22" s="699" t="n">
        <v>0</v>
      </c>
      <c r="HF22" s="699" t="n">
        <v>0</v>
      </c>
      <c r="HG22" s="699" t="n">
        <v>0</v>
      </c>
      <c r="HH22" s="699" t="n">
        <v>0</v>
      </c>
      <c r="HI22" s="699" t="n">
        <v>0</v>
      </c>
      <c r="HJ22" s="699" t="n"/>
      <c r="HK22" s="699" t="n"/>
      <c r="HL22" s="699" t="n"/>
      <c r="HM22" s="369">
        <f>HK22+IF(NOT(ISBLANK(OFFSET(HM22,0,6))),N(OFFSET(HM22,0,6)),N(OFFSET(HM22,0,7)))-HL22</f>
        <v/>
      </c>
    </row>
    <row r="23" ht="20.25" customFormat="1" customHeight="1" s="3">
      <c r="A23" s="37" t="inlineStr">
        <is>
          <t>KIT TAGS  (21 c/ 50 un)</t>
        </is>
      </c>
      <c r="B23" s="699" t="n">
        <v>1050</v>
      </c>
      <c r="C23" s="762" t="n">
        <v>52.14</v>
      </c>
      <c r="D23" s="382" t="n">
        <v>10</v>
      </c>
      <c r="E23" s="2" t="n"/>
      <c r="F23" s="697" t="n">
        <v>46</v>
      </c>
      <c r="G23" s="697" t="n">
        <v>45</v>
      </c>
      <c r="H23" s="697" t="n">
        <v>45</v>
      </c>
      <c r="I23" s="697" t="n">
        <v>45</v>
      </c>
      <c r="J23" s="697" t="n">
        <v>45</v>
      </c>
      <c r="K23" s="697" t="n">
        <v>45</v>
      </c>
      <c r="L23" s="697" t="n">
        <v>45</v>
      </c>
      <c r="M23" s="697" t="n">
        <v>43</v>
      </c>
      <c r="N23" s="697" t="n">
        <v>43</v>
      </c>
      <c r="O23" s="697" t="n">
        <v>42</v>
      </c>
      <c r="P23" s="697" t="n">
        <v>42</v>
      </c>
      <c r="Q23" s="697" t="n">
        <v>42</v>
      </c>
      <c r="R23" s="697" t="n">
        <v>42</v>
      </c>
      <c r="S23" s="697" t="n">
        <v>42</v>
      </c>
      <c r="T23" s="697" t="n">
        <v>42</v>
      </c>
      <c r="U23" s="697" t="n">
        <v>42</v>
      </c>
      <c r="V23" s="697" t="n">
        <v>42</v>
      </c>
      <c r="W23" s="697" t="n">
        <v>39</v>
      </c>
      <c r="X23" s="697" t="n">
        <v>38</v>
      </c>
      <c r="Y23" s="697" t="n">
        <v>37</v>
      </c>
      <c r="Z23" s="697" t="n">
        <v>37</v>
      </c>
      <c r="AA23" s="697" t="n">
        <v>37</v>
      </c>
      <c r="AB23" s="697" t="n">
        <v>35</v>
      </c>
      <c r="AC23" s="697" t="n">
        <v>35</v>
      </c>
      <c r="AD23" s="697" t="n">
        <v>34</v>
      </c>
      <c r="AE23" s="697" t="n">
        <v>33</v>
      </c>
      <c r="AF23" s="697" t="n">
        <v>32</v>
      </c>
      <c r="AG23" s="697" t="n">
        <v>32</v>
      </c>
      <c r="AH23" s="697" t="n">
        <v>30</v>
      </c>
      <c r="AI23" s="697" t="n">
        <v>30</v>
      </c>
      <c r="AJ23" s="697" t="n">
        <v>30</v>
      </c>
      <c r="AK23" s="697" t="n">
        <v>29</v>
      </c>
      <c r="AL23" s="697" t="n">
        <v>24</v>
      </c>
      <c r="AM23" s="697" t="n">
        <v>24</v>
      </c>
      <c r="AN23" s="697" t="n">
        <v>24</v>
      </c>
      <c r="AO23" s="697" t="n">
        <v>23</v>
      </c>
      <c r="AP23" s="697" t="n">
        <v>23</v>
      </c>
      <c r="AQ23" s="697" t="n">
        <v>21</v>
      </c>
      <c r="AR23" s="697" t="n">
        <v>20</v>
      </c>
      <c r="AS23" s="697" t="n">
        <v>20</v>
      </c>
      <c r="AT23" s="697" t="n">
        <v>19</v>
      </c>
      <c r="AU23" s="697" t="n">
        <v>19</v>
      </c>
      <c r="AV23" s="697" t="n">
        <v>19</v>
      </c>
      <c r="AW23" s="697" t="n">
        <v>19</v>
      </c>
      <c r="AX23" s="697" t="n">
        <v>18</v>
      </c>
      <c r="AY23" s="697" t="n">
        <v>18</v>
      </c>
      <c r="AZ23" s="697" t="n">
        <v>18</v>
      </c>
      <c r="BA23" s="697" t="n">
        <v>18</v>
      </c>
      <c r="BB23" s="697" t="n">
        <v>18</v>
      </c>
      <c r="BC23" s="697" t="n">
        <v>17</v>
      </c>
      <c r="BD23" s="697" t="n">
        <v>17</v>
      </c>
      <c r="BE23" s="697" t="n">
        <v>17</v>
      </c>
      <c r="BF23" s="697" t="n">
        <v>17</v>
      </c>
      <c r="BG23" s="697" t="n">
        <v>17</v>
      </c>
      <c r="BH23" s="697" t="n">
        <v>17</v>
      </c>
      <c r="BI23" s="697" t="n">
        <v>17</v>
      </c>
      <c r="BJ23" s="697" t="n">
        <v>17</v>
      </c>
      <c r="BK23" s="697" t="n">
        <v>17</v>
      </c>
      <c r="BL23" s="697" t="n">
        <v>17</v>
      </c>
      <c r="BM23" s="697" t="n">
        <v>17</v>
      </c>
      <c r="BN23" s="697" t="n">
        <v>17</v>
      </c>
      <c r="BO23" s="697" t="n">
        <v>16</v>
      </c>
      <c r="BP23" s="697" t="n">
        <v>16</v>
      </c>
      <c r="BQ23" s="697" t="n">
        <v>16</v>
      </c>
      <c r="BR23" s="697" t="n">
        <v>13</v>
      </c>
      <c r="BS23" s="697" t="n">
        <v>12</v>
      </c>
      <c r="BT23" s="697" t="n"/>
      <c r="BU23" s="697" t="n"/>
      <c r="BV23" s="697" t="n"/>
      <c r="BW23" s="697" t="n"/>
      <c r="BX23" s="697" t="n"/>
      <c r="BY23" s="697" t="n">
        <v>10</v>
      </c>
      <c r="BZ23" s="697" t="n">
        <v>9</v>
      </c>
      <c r="CA23" s="699" t="n">
        <v>9</v>
      </c>
      <c r="CB23" s="699" t="n">
        <v>9</v>
      </c>
      <c r="CC23" s="192">
        <f>CA23+IF(NOT(ISBLANK(OFFSET(CC23,0,6))),N(OFFSET(CC23,0,6)),N(OFFSET(CC23,0,7)))-CB23</f>
        <v/>
      </c>
      <c r="CD23" s="5" t="n"/>
      <c r="CE23" s="22" t="n"/>
      <c r="CF23" s="22" t="n"/>
      <c r="CG23" s="5" t="n"/>
      <c r="CH23" s="27" t="n"/>
      <c r="CI23" s="828" t="n">
        <v>0</v>
      </c>
      <c r="CJ23" s="40" t="n">
        <v>0</v>
      </c>
      <c r="CK23" s="40" t="n">
        <v>0</v>
      </c>
      <c r="CL23" s="40" t="n"/>
      <c r="CM23" s="40" t="n"/>
      <c r="CN23" s="40" t="n"/>
      <c r="CO23" s="40" t="n"/>
      <c r="CP23" s="40" t="n"/>
      <c r="CQ23" s="467" t="n">
        <v>10</v>
      </c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40" t="n"/>
      <c r="DA23" s="40" t="n"/>
      <c r="DB23" s="40" t="n"/>
      <c r="DC23" s="40" t="n"/>
      <c r="DD23" s="219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40" t="n"/>
      <c r="DQ23" s="40" t="n"/>
      <c r="DR23" s="40" t="n"/>
      <c r="DS23" s="40" t="n"/>
      <c r="DT23" s="23" t="n"/>
      <c r="DU23" s="40" t="n"/>
      <c r="DV23" s="40" t="n"/>
      <c r="DW23" s="40" t="n"/>
      <c r="DX23" s="23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40" t="n"/>
      <c r="FL23" s="40" t="n"/>
      <c r="FM23" s="40" t="n"/>
      <c r="FN23" s="40" t="n"/>
      <c r="FO23" s="219" t="n"/>
      <c r="FP23" s="40" t="n"/>
      <c r="FQ23" s="40" t="n"/>
      <c r="FR23" s="219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D23" s="40" t="n"/>
      <c r="GE23" s="40" t="n"/>
      <c r="GF23" s="40" t="n"/>
      <c r="GG23" s="40" t="n"/>
      <c r="GI23" s="35" t="n"/>
      <c r="HA23" s="35" t="n"/>
      <c r="HO23" s="35" t="n"/>
      <c r="ID23" s="35" t="n"/>
    </row>
    <row r="24" ht="20.45" customFormat="1" customHeight="1" s="3">
      <c r="A24" s="35" t="n"/>
      <c r="CC24" s="573" t="n"/>
      <c r="CD24" s="5" t="n"/>
      <c r="CE24" s="11" t="n"/>
      <c r="CF24" s="11" t="n"/>
      <c r="CG24" s="5" t="n"/>
      <c r="CI24" s="21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21" t="n"/>
      <c r="DA24" s="21" t="n"/>
      <c r="DB24" s="21" t="n"/>
      <c r="DC24" s="21" t="n"/>
      <c r="DD24" s="1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21" t="n"/>
      <c r="FL24" s="21" t="n"/>
      <c r="FM24" s="21" t="n"/>
      <c r="FN24" s="21" t="n"/>
      <c r="FO24" s="11" t="n"/>
      <c r="FP24" s="21" t="n"/>
      <c r="FQ24" s="21" t="n"/>
      <c r="FR24" s="11" t="n"/>
      <c r="FS24" s="2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D24" s="21" t="n"/>
      <c r="GE24" s="21" t="n"/>
      <c r="GF24" s="21" t="n"/>
      <c r="GG24" s="21" t="n"/>
      <c r="GZ24" s="5" t="n"/>
      <c r="HA24" s="35" t="n"/>
      <c r="HO24" s="35" t="n"/>
      <c r="ID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0</v>
      </c>
      <c r="CB25" s="747" t="n">
        <v>0</v>
      </c>
      <c r="CC25" s="748" t="inlineStr">
        <is>
          <t>USOU</t>
        </is>
      </c>
      <c r="CE25" s="44" t="inlineStr">
        <is>
          <t>Pendências</t>
        </is>
      </c>
      <c r="CF25" s="44" t="inlineStr">
        <is>
          <t>Pendências</t>
        </is>
      </c>
      <c r="CG25" s="5" t="n"/>
      <c r="CH25" s="12" t="inlineStr">
        <is>
          <t>Novo Pedido</t>
        </is>
      </c>
      <c r="CI25" s="793" t="n">
        <v>46161.48089931445</v>
      </c>
      <c r="CJ25" s="794" t="n">
        <v>46149</v>
      </c>
      <c r="CK25" s="794" t="n">
        <v>46142</v>
      </c>
      <c r="CL25" s="794" t="n">
        <v>46114</v>
      </c>
      <c r="CM25" s="794" t="n">
        <v>46107</v>
      </c>
      <c r="CN25" s="795" t="n">
        <v>46065</v>
      </c>
      <c r="CO25" s="794" t="n">
        <v>46099</v>
      </c>
      <c r="CP25" s="794" t="n">
        <v>46092</v>
      </c>
      <c r="CQ25" s="796" t="n">
        <v>46045</v>
      </c>
      <c r="CR25" s="794" t="n">
        <v>46077</v>
      </c>
      <c r="CS25" s="794" t="n">
        <v>46048</v>
      </c>
      <c r="CT25" s="794" t="n">
        <v>46043</v>
      </c>
      <c r="CU25" s="794" t="n">
        <v>46024</v>
      </c>
      <c r="CV25" s="794" t="n">
        <v>46017</v>
      </c>
      <c r="CW25" s="794" t="n">
        <v>46007</v>
      </c>
      <c r="CX25" s="794" t="n">
        <v>46001</v>
      </c>
      <c r="CY25" s="794" t="n">
        <v>46001</v>
      </c>
      <c r="CZ25" s="794" t="n">
        <v>45994</v>
      </c>
      <c r="DA25" s="794" t="n">
        <v>45986</v>
      </c>
      <c r="DB25" s="794" t="n">
        <v>45980</v>
      </c>
      <c r="DC25" s="794" t="n">
        <v>45980</v>
      </c>
      <c r="DD25" s="797" t="n">
        <v>45982</v>
      </c>
      <c r="DE25" s="794" t="n">
        <v>45973</v>
      </c>
      <c r="DF25" s="794" t="n">
        <v>45965</v>
      </c>
      <c r="DG25" s="794" t="n">
        <v>45960</v>
      </c>
      <c r="DH25" s="794" t="n">
        <v>45951</v>
      </c>
      <c r="DI25" s="737" t="n">
        <v>45903</v>
      </c>
      <c r="DJ25" s="794" t="n">
        <v>45945</v>
      </c>
      <c r="DK25" s="794" t="n">
        <v>45937</v>
      </c>
      <c r="DL25" s="794" t="n">
        <v>45931</v>
      </c>
      <c r="DM25" s="794" t="n">
        <v>45931</v>
      </c>
      <c r="DN25" s="794" t="n">
        <v>45915</v>
      </c>
      <c r="DO25" s="794" t="n">
        <v>45923</v>
      </c>
      <c r="DP25" s="794" t="n">
        <v>45903</v>
      </c>
      <c r="DQ25" s="794" t="n">
        <v>45915</v>
      </c>
      <c r="DR25" s="797" t="n">
        <v>45918</v>
      </c>
      <c r="DS25" s="794" t="n">
        <v>45909</v>
      </c>
      <c r="DT25" s="738" t="n">
        <v>45903</v>
      </c>
      <c r="DU25" s="794" t="n">
        <v>45895</v>
      </c>
      <c r="DV25" s="797" t="n">
        <v>45896</v>
      </c>
      <c r="DW25" s="794" t="n">
        <v>45881</v>
      </c>
      <c r="DX25" s="738" t="n">
        <v>45839</v>
      </c>
      <c r="DY25" s="794" t="n">
        <v>45888</v>
      </c>
      <c r="DZ25" s="794" t="n">
        <v>45881</v>
      </c>
      <c r="EA25" s="797" t="n">
        <v>45881</v>
      </c>
      <c r="EB25" s="794" t="n">
        <v>45874</v>
      </c>
      <c r="EC25" s="797" t="n">
        <v>45876</v>
      </c>
      <c r="ED25" s="794" t="n">
        <v>45867</v>
      </c>
      <c r="EE25" s="794" t="n">
        <v>45867</v>
      </c>
      <c r="EF25" s="794" t="n">
        <v>45860</v>
      </c>
      <c r="EG25" s="797" t="n">
        <v>45861</v>
      </c>
      <c r="EH25" s="797" t="n">
        <v>45860</v>
      </c>
      <c r="EI25" s="794" t="n">
        <v>45853</v>
      </c>
      <c r="EJ25" s="739" t="n">
        <v>45855</v>
      </c>
      <c r="EK25" s="794" t="n">
        <v>45848</v>
      </c>
      <c r="EL25" s="794" t="n">
        <v>45839</v>
      </c>
      <c r="EM25" s="794" t="n">
        <v>45839</v>
      </c>
      <c r="EN25" s="797" t="n">
        <v>45835</v>
      </c>
      <c r="EO25" s="794" t="n">
        <v>45790</v>
      </c>
      <c r="EP25" s="794" t="n">
        <v>45825</v>
      </c>
      <c r="EQ25" s="794" t="n">
        <v>45819</v>
      </c>
      <c r="ER25" s="794" t="n">
        <v>45813</v>
      </c>
      <c r="ES25" s="794" t="n">
        <v>45797</v>
      </c>
      <c r="ET25" s="797" t="n">
        <v>45811</v>
      </c>
      <c r="EU25" s="797" t="n">
        <v>45810</v>
      </c>
      <c r="EV25" s="797" t="n">
        <v>45806</v>
      </c>
      <c r="EW25" s="797" t="n">
        <v>45803</v>
      </c>
      <c r="EX25" s="755" t="n">
        <v>45803</v>
      </c>
      <c r="EY25" s="794" t="n">
        <v>45784</v>
      </c>
      <c r="EZ25" s="797" t="n">
        <v>45796</v>
      </c>
      <c r="FA25" s="794" t="n">
        <v>45784</v>
      </c>
      <c r="FB25" s="794" t="n">
        <v>45764</v>
      </c>
      <c r="FC25" s="797" t="n">
        <v>45791</v>
      </c>
      <c r="FD25" s="794" t="n">
        <v>45783</v>
      </c>
      <c r="FE25" s="794" t="n">
        <v>45770</v>
      </c>
      <c r="FF25" s="794" t="n">
        <v>45775</v>
      </c>
      <c r="FG25" s="794" t="n">
        <v>45770</v>
      </c>
      <c r="FH25" s="794" t="n">
        <v>45770</v>
      </c>
      <c r="FI25" s="797" t="n">
        <v>45775</v>
      </c>
      <c r="FJ25" s="797" t="n">
        <v>45770</v>
      </c>
      <c r="FK25" s="794" t="n">
        <v>45756</v>
      </c>
      <c r="FL25" s="794" t="n">
        <v>45735</v>
      </c>
      <c r="FM25" s="797" t="n">
        <v>45751</v>
      </c>
      <c r="FN25" s="794" t="n">
        <v>45743</v>
      </c>
      <c r="FO25" s="746" t="n">
        <v>45729</v>
      </c>
      <c r="FP25" s="794" t="n">
        <v>45722</v>
      </c>
      <c r="FQ25" s="794" t="n">
        <v>45722</v>
      </c>
      <c r="FR25" s="746" t="n">
        <v>45700</v>
      </c>
      <c r="FS25" s="797" t="n">
        <v>45722</v>
      </c>
      <c r="FT25" s="794" t="n">
        <v>45714</v>
      </c>
      <c r="FU25" s="794" t="n">
        <v>45706</v>
      </c>
      <c r="FV25" s="794" t="n">
        <v>45684</v>
      </c>
      <c r="FW25" s="794" t="n">
        <v>45699</v>
      </c>
      <c r="FX25" s="794" t="n">
        <v>45693</v>
      </c>
      <c r="FY25" s="797" t="n">
        <v>45687</v>
      </c>
      <c r="FZ25" s="794" t="n">
        <v>45685</v>
      </c>
      <c r="GA25" s="797" t="n">
        <v>45684</v>
      </c>
      <c r="GB25" s="794" t="n">
        <v>45674</v>
      </c>
      <c r="GC25" s="794" t="n">
        <v>45664</v>
      </c>
      <c r="GD25" s="794" t="n">
        <v>45660</v>
      </c>
      <c r="GE25" s="794" t="n">
        <v>45660</v>
      </c>
      <c r="GF25" s="794" t="n">
        <v>45652</v>
      </c>
      <c r="GG25" s="794" t="n">
        <v>45643</v>
      </c>
      <c r="GI25" s="304" t="inlineStr">
        <is>
          <t>CAIXAS</t>
        </is>
      </c>
      <c r="GJ25" s="544" t="inlineStr">
        <is>
          <t>PCT</t>
        </is>
      </c>
      <c r="GK25" s="536" t="n">
        <v>45726</v>
      </c>
      <c r="GL25" s="536" t="n">
        <v>45733</v>
      </c>
      <c r="GM25" s="536" t="n">
        <v>45740</v>
      </c>
      <c r="GN25" s="322" t="n">
        <v>45747</v>
      </c>
      <c r="GO25" s="536" t="n">
        <v>45754</v>
      </c>
      <c r="GP25" s="536" t="n">
        <v>45761</v>
      </c>
      <c r="GQ25" s="536" t="n">
        <v>45768</v>
      </c>
      <c r="GR25" s="536" t="n">
        <v>45775</v>
      </c>
      <c r="GS25" s="536" t="n">
        <v>45782</v>
      </c>
      <c r="GT25" s="536" t="n">
        <v>45789</v>
      </c>
      <c r="GU25" s="825" t="n">
        <v>46160</v>
      </c>
      <c r="GV25" s="536" t="n">
        <v>45796</v>
      </c>
      <c r="GW25" s="800" t="n">
        <v>46161.48024462963</v>
      </c>
      <c r="GX25" s="800" t="n">
        <v>46161.48090264358</v>
      </c>
      <c r="GY25" s="235" t="inlineStr">
        <is>
          <t>USOU</t>
        </is>
      </c>
      <c r="GZ25" s="5" t="n"/>
      <c r="HA25" s="369" t="inlineStr">
        <is>
          <t>CAIXAS</t>
        </is>
      </c>
      <c r="HB25" s="805" t="inlineStr">
        <is>
          <t>PCT</t>
        </is>
      </c>
      <c r="HC25" s="398" t="n">
        <v>45796</v>
      </c>
      <c r="HD25" s="398" t="n">
        <v>45803</v>
      </c>
      <c r="HE25" s="398" t="n">
        <v>45810</v>
      </c>
      <c r="HF25" s="398" t="n">
        <v>45817</v>
      </c>
      <c r="HG25" s="398" t="n">
        <v>45824</v>
      </c>
      <c r="HH25" s="398" t="n">
        <v>45831</v>
      </c>
      <c r="HI25" s="398" t="n">
        <v>45838</v>
      </c>
      <c r="HJ25" s="806" t="n">
        <v>46160</v>
      </c>
      <c r="HK25" s="888" t="n">
        <v>46161.48024385417</v>
      </c>
      <c r="HL25" s="888" t="n">
        <v>46161.48090187564</v>
      </c>
      <c r="HM25" s="368" t="inlineStr">
        <is>
          <t>USOU</t>
        </is>
      </c>
      <c r="HO25" s="412" t="inlineStr">
        <is>
          <t>CAIXAS</t>
        </is>
      </c>
      <c r="HP25" s="810" t="inlineStr">
        <is>
          <t>PCT</t>
        </is>
      </c>
      <c r="HQ25" s="811" t="n">
        <v>45845</v>
      </c>
      <c r="HR25" s="811" t="n">
        <v>45852</v>
      </c>
      <c r="HS25" s="811" t="n">
        <v>45859</v>
      </c>
      <c r="HT25" s="811" t="n">
        <v>45866</v>
      </c>
      <c r="HU25" s="811" t="n">
        <v>45873</v>
      </c>
      <c r="HV25" s="811" t="n">
        <v>45880</v>
      </c>
      <c r="HW25" s="811" t="n">
        <v>45887</v>
      </c>
      <c r="HX25" s="811" t="n">
        <v>45894</v>
      </c>
      <c r="HY25" s="737" t="n">
        <v>46160</v>
      </c>
      <c r="HZ25" s="812" t="n">
        <v>46161.48024309028</v>
      </c>
      <c r="IA25" s="812" t="n">
        <v>46161.48090115593</v>
      </c>
      <c r="IB25" s="411" t="inlineStr">
        <is>
          <t>USOU</t>
        </is>
      </c>
      <c r="ID25" s="438" t="inlineStr">
        <is>
          <t>CAIXAS</t>
        </is>
      </c>
      <c r="IE25" s="829" t="inlineStr">
        <is>
          <t>PCT</t>
        </is>
      </c>
      <c r="IF25" s="513" t="n">
        <v>45950</v>
      </c>
      <c r="IG25" s="513" t="n">
        <v>45957</v>
      </c>
      <c r="IH25" s="513" t="n">
        <v>45964</v>
      </c>
      <c r="II25" s="737" t="n">
        <v>46160</v>
      </c>
      <c r="IJ25" s="812" t="n">
        <v>46161.48024232639</v>
      </c>
      <c r="IK25" s="812" t="n">
        <v>46161.48090045115</v>
      </c>
      <c r="IL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65" t="n">
        <v>239.21</v>
      </c>
      <c r="D26" s="382" t="n">
        <v>15</v>
      </c>
      <c r="E26" s="2" t="n"/>
      <c r="F26" s="697" t="n">
        <v>32</v>
      </c>
      <c r="G26" s="697" t="n">
        <v>31</v>
      </c>
      <c r="H26" s="697" t="n">
        <v>28</v>
      </c>
      <c r="I26" s="697" t="n">
        <v>27</v>
      </c>
      <c r="J26" s="697" t="n">
        <v>27</v>
      </c>
      <c r="K26" s="697" t="n">
        <v>27</v>
      </c>
      <c r="L26" s="697" t="n">
        <v>24</v>
      </c>
      <c r="M26" s="697">
        <f>23+FU26</f>
        <v/>
      </c>
      <c r="N26" s="697" t="n">
        <v>98</v>
      </c>
      <c r="O26" s="697" t="n">
        <v>95</v>
      </c>
      <c r="P26" s="697" t="n">
        <v>94</v>
      </c>
      <c r="Q26" s="697" t="n">
        <v>90</v>
      </c>
      <c r="R26" s="697" t="n">
        <v>85</v>
      </c>
      <c r="S26" s="697" t="n">
        <v>82</v>
      </c>
      <c r="T26" s="697" t="n">
        <v>82</v>
      </c>
      <c r="U26" s="697" t="n">
        <v>80</v>
      </c>
      <c r="V26" s="697" t="n">
        <v>79</v>
      </c>
      <c r="W26" s="697" t="n">
        <v>79</v>
      </c>
      <c r="X26" s="697" t="n">
        <v>78</v>
      </c>
      <c r="Y26" s="697" t="n">
        <v>72</v>
      </c>
      <c r="Z26" s="697" t="n">
        <v>68</v>
      </c>
      <c r="AA26" s="697" t="n">
        <v>64</v>
      </c>
      <c r="AB26" s="697">
        <f>57-20</f>
        <v/>
      </c>
      <c r="AC26" s="697" t="n">
        <v>35</v>
      </c>
      <c r="AD26" s="697" t="n">
        <v>25</v>
      </c>
      <c r="AE26" s="697" t="n">
        <v>99</v>
      </c>
      <c r="AF26" s="697" t="n">
        <v>89</v>
      </c>
      <c r="AG26" s="697" t="n">
        <v>89</v>
      </c>
      <c r="AH26" s="697" t="n">
        <v>82</v>
      </c>
      <c r="AI26" s="697">
        <f>80-10</f>
        <v/>
      </c>
      <c r="AJ26" s="697" t="n">
        <v>69</v>
      </c>
      <c r="AK26" s="697">
        <f>69-20</f>
        <v/>
      </c>
      <c r="AL26" s="697" t="n">
        <v>40</v>
      </c>
      <c r="AM26" s="697" t="n">
        <v>37</v>
      </c>
      <c r="AN26" s="697" t="n">
        <v>35</v>
      </c>
      <c r="AO26" s="697" t="n">
        <v>32</v>
      </c>
      <c r="AP26" s="697" t="n">
        <v>30</v>
      </c>
      <c r="AQ26" s="697" t="n">
        <v>27</v>
      </c>
      <c r="AR26" s="697" t="n">
        <v>22</v>
      </c>
      <c r="AS26" s="697" t="n">
        <v>22</v>
      </c>
      <c r="AT26" s="697" t="n">
        <v>19</v>
      </c>
      <c r="AU26" s="697" t="n">
        <v>17</v>
      </c>
      <c r="AV26" s="697" t="n">
        <v>4</v>
      </c>
      <c r="AW26" s="697" t="n">
        <v>2</v>
      </c>
      <c r="AX26" s="697" t="n">
        <v>1</v>
      </c>
      <c r="AY26" s="697" t="n">
        <v>0</v>
      </c>
      <c r="AZ26" s="697">
        <f>0+20</f>
        <v/>
      </c>
      <c r="BA26" s="697" t="n">
        <v>20</v>
      </c>
      <c r="BB26" s="697" t="n">
        <v>13</v>
      </c>
      <c r="BC26" s="697" t="n">
        <v>2</v>
      </c>
      <c r="BD26" s="697" t="n">
        <v>1</v>
      </c>
      <c r="BE26" s="697" t="n">
        <v>0</v>
      </c>
      <c r="BF26" s="697" t="n">
        <v>0</v>
      </c>
      <c r="BG26" s="697" t="n">
        <v>0</v>
      </c>
      <c r="BH26" s="697" t="n">
        <v>0</v>
      </c>
      <c r="BI26" s="697" t="n">
        <v>0</v>
      </c>
      <c r="BJ26" s="697" t="n">
        <v>0</v>
      </c>
      <c r="BK26" s="697" t="n">
        <v>150</v>
      </c>
      <c r="BL26" s="697" t="n">
        <v>149</v>
      </c>
      <c r="BM26" s="697" t="n">
        <v>149</v>
      </c>
      <c r="BN26" s="697" t="n">
        <v>149</v>
      </c>
      <c r="BO26" s="697" t="n">
        <v>148</v>
      </c>
      <c r="BP26" s="697" t="n">
        <v>144</v>
      </c>
      <c r="BQ26" s="697" t="n">
        <v>144</v>
      </c>
      <c r="BR26" s="697" t="n">
        <v>140</v>
      </c>
      <c r="BS26" s="697" t="n">
        <v>140</v>
      </c>
      <c r="BT26" s="697" t="n">
        <v>140</v>
      </c>
      <c r="BU26" s="697" t="n">
        <v>140</v>
      </c>
      <c r="BV26" s="697" t="n">
        <v>140</v>
      </c>
      <c r="BW26" s="697" t="n">
        <v>140</v>
      </c>
      <c r="BX26" s="697" t="n">
        <v>140</v>
      </c>
      <c r="BY26" s="697" t="n">
        <v>126</v>
      </c>
      <c r="BZ26" s="697" t="n">
        <v>125</v>
      </c>
      <c r="CA26" s="699" t="n">
        <v>125</v>
      </c>
      <c r="CB26" s="699" t="n">
        <v>125</v>
      </c>
      <c r="CC26" s="192">
        <f>CA26+IF(NOT(ISBLANK(OFFSET(CC26,0,6))),N(OFFSET(CC26,0,6)),N(OFFSET(CC26,0,7)))-CB26</f>
        <v/>
      </c>
      <c r="CE26" s="22" t="n"/>
      <c r="CF26" s="22" t="n"/>
      <c r="CG26" s="5" t="n"/>
      <c r="CH26" s="27" t="n"/>
      <c r="CI26" s="830" t="n">
        <v>0</v>
      </c>
      <c r="CJ26" s="40" t="n">
        <v>0</v>
      </c>
      <c r="CK26" s="40" t="n">
        <v>0</v>
      </c>
      <c r="CL26" s="40" t="n"/>
      <c r="CM26" s="40" t="n"/>
      <c r="CN26" s="419" t="n">
        <v>150</v>
      </c>
      <c r="CO26" s="40" t="n"/>
      <c r="CP26" s="40" t="n"/>
      <c r="CQ26" s="467" t="n">
        <v>200</v>
      </c>
      <c r="CR26" s="40" t="n"/>
      <c r="CS26" s="40" t="n"/>
      <c r="CT26" s="40" t="n">
        <v>150</v>
      </c>
      <c r="CU26" s="40" t="n"/>
      <c r="CV26" s="40" t="n"/>
      <c r="CW26" s="40" t="n"/>
      <c r="CX26" s="40" t="n"/>
      <c r="CY26" s="40" t="n"/>
      <c r="CZ26" s="40" t="n"/>
      <c r="DA26" s="40" t="n"/>
      <c r="DB26" s="40" t="n"/>
      <c r="DC26" s="40" t="n"/>
      <c r="DD26" s="192" t="inlineStr">
        <is>
          <t>20 DE ERB</t>
        </is>
      </c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40" t="n"/>
      <c r="DZ26" s="40" t="n"/>
      <c r="EA26" s="40" t="n"/>
      <c r="EB26" s="40" t="n"/>
      <c r="EC26" s="192" t="inlineStr">
        <is>
          <t>20 P/ ER</t>
        </is>
      </c>
      <c r="ED26" s="40" t="n"/>
      <c r="EE26" s="40" t="n"/>
      <c r="EF26" s="40" t="n"/>
      <c r="EG26" s="40" t="n"/>
      <c r="EH26" s="282" t="inlineStr">
        <is>
          <t>10 P/ ER</t>
        </is>
      </c>
      <c r="EI26" s="40" t="n"/>
      <c r="EJ26" s="40" t="n"/>
      <c r="EK26" s="40" t="n"/>
      <c r="EL26" s="40" t="n"/>
      <c r="EM26" s="40" t="n"/>
      <c r="EN26" s="40" t="n"/>
      <c r="EO26" s="40" t="n"/>
      <c r="EP26" s="40" t="n">
        <v>75</v>
      </c>
      <c r="EQ26" s="40" t="n"/>
      <c r="ER26" s="40" t="n"/>
      <c r="ES26" s="40" t="n"/>
      <c r="ET26" s="282" t="inlineStr">
        <is>
          <t>20 P/ ER</t>
        </is>
      </c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40" t="n"/>
      <c r="FL26" s="40" t="n"/>
      <c r="FM26" s="40" t="n"/>
      <c r="FN26" s="40" t="n"/>
      <c r="FO26" s="292" t="inlineStr">
        <is>
          <t>50 P/ ER</t>
        </is>
      </c>
      <c r="FP26" s="40" t="n"/>
      <c r="FQ26" s="40" t="n"/>
      <c r="FR26" s="219" t="n">
        <v>150</v>
      </c>
      <c r="FS26" s="40" t="n"/>
      <c r="FT26" s="40" t="n"/>
      <c r="FU26" s="40" t="n"/>
      <c r="FV26" s="40" t="n"/>
      <c r="FW26" s="40" t="n">
        <v>75</v>
      </c>
      <c r="FX26" s="40" t="n"/>
      <c r="FY26" s="40" t="n"/>
      <c r="FZ26" s="40" t="n"/>
      <c r="GA26" s="40" t="n"/>
      <c r="GB26" s="40" t="n"/>
      <c r="GC26" s="40" t="n"/>
      <c r="GD26" s="40" t="n"/>
      <c r="GE26" s="40" t="n"/>
      <c r="GF26" s="40" t="n"/>
      <c r="GG26" s="40" t="n"/>
      <c r="GI26" s="37" t="inlineStr">
        <is>
          <t>KIT CAIXA P</t>
        </is>
      </c>
      <c r="GJ26" s="208" t="n">
        <v>150</v>
      </c>
      <c r="GK26" s="699">
        <f>FP26</f>
        <v/>
      </c>
      <c r="GL26" s="699">
        <f>150-50</f>
        <v/>
      </c>
      <c r="GM26" s="699" t="n">
        <v>100</v>
      </c>
      <c r="GN26" s="699" t="n">
        <v>95</v>
      </c>
      <c r="GO26" s="699" t="n">
        <v>95</v>
      </c>
      <c r="GP26" s="699" t="n">
        <v>91</v>
      </c>
      <c r="GQ26" s="699" t="n">
        <v>49</v>
      </c>
      <c r="GR26" s="699" t="n">
        <v>45</v>
      </c>
      <c r="GS26" s="699" t="n">
        <v>40</v>
      </c>
      <c r="GT26" s="699" t="n">
        <v>0</v>
      </c>
      <c r="GU26" s="699" t="n"/>
      <c r="GV26" s="699" t="n">
        <v>0</v>
      </c>
      <c r="GW26" s="699" t="n"/>
      <c r="GX26" s="699" t="n"/>
      <c r="GY26" s="745" t="n"/>
      <c r="HA26" s="745" t="n"/>
      <c r="HB26" s="745" t="n"/>
      <c r="HC26" s="745" t="n"/>
      <c r="HD26" s="745" t="n"/>
      <c r="HE26" s="745" t="n"/>
      <c r="HF26" s="745" t="n"/>
      <c r="HG26" s="745" t="n"/>
      <c r="HH26" s="745" t="n"/>
      <c r="HI26" s="745" t="n"/>
      <c r="HJ26" s="512" t="n"/>
      <c r="HK26" s="745" t="n"/>
      <c r="HL26" s="890" t="n"/>
      <c r="HM26" s="745" t="n"/>
      <c r="HO26" s="745" t="n"/>
      <c r="HP26" s="745" t="n"/>
      <c r="HQ26" s="745" t="n"/>
      <c r="HR26" s="745" t="n"/>
      <c r="HS26" s="745" t="n"/>
      <c r="HT26" s="745" t="n"/>
      <c r="HU26" s="745" t="n"/>
      <c r="HV26" s="745" t="n"/>
      <c r="HW26" s="745" t="n"/>
      <c r="HX26" s="745" t="n"/>
      <c r="HY26" s="514" t="n"/>
      <c r="HZ26" s="821" t="n"/>
      <c r="IA26" s="821" t="n"/>
      <c r="IB26" s="745" t="n"/>
      <c r="ID26" s="37" t="inlineStr">
        <is>
          <t xml:space="preserve">CAIXA P </t>
        </is>
      </c>
      <c r="IE26" s="208" t="n">
        <v>150</v>
      </c>
      <c r="IF26" s="699" t="n">
        <v>0</v>
      </c>
      <c r="IG26" s="699" t="n">
        <v>0</v>
      </c>
      <c r="IH26" s="162" t="n">
        <v>0</v>
      </c>
      <c r="II26" s="162" t="n"/>
      <c r="IJ26" s="162" t="n"/>
      <c r="IK26" s="162" t="n"/>
      <c r="IL26" s="545">
        <f>IJ26+IF(NOT(ISBLANK(OFFSET(IL26,0,6))),N(OFFSET(IL26,0,6)),N(OFFSET(IL26,0,7)))-IK26</f>
        <v/>
      </c>
      <c r="IN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62" t="n">
        <v>312.27</v>
      </c>
      <c r="D27" s="382" t="n">
        <v>15</v>
      </c>
      <c r="E27" s="2" t="n"/>
      <c r="F27" s="697" t="n">
        <v>36</v>
      </c>
      <c r="G27" s="697" t="n">
        <v>34</v>
      </c>
      <c r="H27" s="697" t="n">
        <v>31</v>
      </c>
      <c r="I27" s="697" t="n">
        <v>28</v>
      </c>
      <c r="J27" s="697" t="n">
        <v>28</v>
      </c>
      <c r="K27" s="697" t="n">
        <v>23</v>
      </c>
      <c r="L27" s="697" t="n">
        <v>19</v>
      </c>
      <c r="M27" s="697">
        <f>17+FU27</f>
        <v/>
      </c>
      <c r="N27" s="697" t="n">
        <v>91</v>
      </c>
      <c r="O27" s="697" t="n">
        <v>89</v>
      </c>
      <c r="P27" s="697" t="n">
        <v>87</v>
      </c>
      <c r="Q27" s="697" t="n">
        <v>86</v>
      </c>
      <c r="R27" s="697" t="n">
        <v>85</v>
      </c>
      <c r="S27" s="697" t="n">
        <v>84</v>
      </c>
      <c r="T27" s="697" t="n">
        <v>84</v>
      </c>
      <c r="U27" s="697" t="n">
        <v>79</v>
      </c>
      <c r="V27" s="697" t="n">
        <v>78</v>
      </c>
      <c r="W27" s="697" t="n">
        <v>78</v>
      </c>
      <c r="X27" s="697" t="n">
        <v>78</v>
      </c>
      <c r="Y27" s="697" t="n">
        <v>70</v>
      </c>
      <c r="Z27" s="697" t="n">
        <v>67</v>
      </c>
      <c r="AA27" s="697" t="n">
        <v>65</v>
      </c>
      <c r="AB27" s="697" t="n">
        <v>59</v>
      </c>
      <c r="AC27" s="697" t="n">
        <v>53</v>
      </c>
      <c r="AD27" s="697" t="n">
        <v>46</v>
      </c>
      <c r="AE27" s="697" t="n">
        <v>46</v>
      </c>
      <c r="AF27" s="697" t="n">
        <v>40</v>
      </c>
      <c r="AG27" s="697" t="n">
        <v>40</v>
      </c>
      <c r="AH27" s="697" t="n">
        <v>36</v>
      </c>
      <c r="AI27" s="697" t="n">
        <v>31</v>
      </c>
      <c r="AJ27" s="697" t="n">
        <v>23</v>
      </c>
      <c r="AK27" s="697" t="n">
        <v>22</v>
      </c>
      <c r="AL27" s="697" t="n">
        <v>16</v>
      </c>
      <c r="AM27" s="697" t="n">
        <v>12</v>
      </c>
      <c r="AN27" s="697" t="n">
        <v>9</v>
      </c>
      <c r="AO27" s="697" t="n">
        <v>6</v>
      </c>
      <c r="AP27" s="697" t="n">
        <v>5</v>
      </c>
      <c r="AQ27" s="697" t="n">
        <v>4</v>
      </c>
      <c r="AR27" s="697" t="n">
        <v>3</v>
      </c>
      <c r="AS27" s="697" t="n">
        <v>2</v>
      </c>
      <c r="AT27" s="697" t="n">
        <v>1</v>
      </c>
      <c r="AU27" s="697" t="n">
        <v>0</v>
      </c>
      <c r="AV27" s="697" t="n">
        <v>0</v>
      </c>
      <c r="AW27" s="697" t="n">
        <v>0</v>
      </c>
      <c r="AX27" s="697" t="n">
        <v>0</v>
      </c>
      <c r="AY27" s="697" t="n">
        <v>0</v>
      </c>
      <c r="AZ27" s="697" t="n">
        <v>0</v>
      </c>
      <c r="BA27" s="697">
        <f>0+DA27</f>
        <v/>
      </c>
      <c r="BB27" s="697" t="n">
        <v>100</v>
      </c>
      <c r="BC27" s="697" t="n">
        <v>94</v>
      </c>
      <c r="BD27" s="697" t="n">
        <v>94</v>
      </c>
      <c r="BE27" s="697" t="n">
        <v>84</v>
      </c>
      <c r="BF27" s="697" t="n">
        <v>83</v>
      </c>
      <c r="BG27" s="697" t="n">
        <v>83</v>
      </c>
      <c r="BH27" s="697" t="n">
        <v>80</v>
      </c>
      <c r="BI27" s="697" t="n">
        <v>80</v>
      </c>
      <c r="BJ27" s="697" t="n">
        <v>79</v>
      </c>
      <c r="BK27" s="697" t="n">
        <v>77</v>
      </c>
      <c r="BL27" s="697" t="n">
        <v>76</v>
      </c>
      <c r="BM27" s="697" t="n">
        <v>76</v>
      </c>
      <c r="BN27" s="697" t="n">
        <v>76</v>
      </c>
      <c r="BO27" s="697" t="n">
        <v>76</v>
      </c>
      <c r="BP27" s="697" t="n">
        <v>75</v>
      </c>
      <c r="BQ27" s="697" t="n">
        <v>73</v>
      </c>
      <c r="BR27" s="697" t="n">
        <v>71</v>
      </c>
      <c r="BS27" s="697" t="n">
        <v>70</v>
      </c>
      <c r="BT27" s="697" t="n">
        <v>70</v>
      </c>
      <c r="BU27" s="697" t="n">
        <v>70</v>
      </c>
      <c r="BV27" s="697" t="n">
        <v>70</v>
      </c>
      <c r="BW27" s="697" t="n">
        <v>70</v>
      </c>
      <c r="BX27" s="697" t="n">
        <v>70</v>
      </c>
      <c r="BY27" s="697" t="n">
        <v>46</v>
      </c>
      <c r="BZ27" s="697" t="n">
        <v>45</v>
      </c>
      <c r="CA27" s="699" t="n">
        <v>45</v>
      </c>
      <c r="CB27" s="699" t="n">
        <v>45</v>
      </c>
      <c r="CC27" s="192">
        <f>CA27+IF(NOT(ISBLANK(OFFSET(CC27,0,6))),N(OFFSET(CC27,0,6)),N(OFFSET(CC27,0,7)))-CB27</f>
        <v/>
      </c>
      <c r="CE27" s="22" t="inlineStr">
        <is>
          <t>50 P/ ER</t>
        </is>
      </c>
      <c r="CF27" s="22" t="n"/>
      <c r="CG27" s="5" t="n"/>
      <c r="CH27" s="27" t="n"/>
      <c r="CI27" s="830" t="n">
        <v>0</v>
      </c>
      <c r="CJ27" s="40" t="n">
        <v>0</v>
      </c>
      <c r="CK27" s="40" t="n">
        <v>0</v>
      </c>
      <c r="CL27" s="40" t="n"/>
      <c r="CM27" s="40" t="n"/>
      <c r="CN27" s="419" t="n">
        <v>100</v>
      </c>
      <c r="CO27" s="40" t="n"/>
      <c r="CP27" s="40" t="n"/>
      <c r="CQ27" s="467" t="n">
        <v>100</v>
      </c>
      <c r="CR27" s="40" t="n"/>
      <c r="CS27" s="40" t="n"/>
      <c r="CT27" s="40" t="n"/>
      <c r="CU27" s="40" t="n"/>
      <c r="CV27" s="40" t="n"/>
      <c r="CW27" s="40" t="n"/>
      <c r="CX27" s="40" t="n"/>
      <c r="CY27" s="40" t="n"/>
      <c r="CZ27" s="40" t="n"/>
      <c r="DA27" s="40" t="n"/>
      <c r="DB27" s="40" t="n"/>
      <c r="DC27" s="40" t="n">
        <v>100</v>
      </c>
      <c r="DD27" s="219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40" t="n"/>
      <c r="DQ27" s="40" t="n"/>
      <c r="DR27" s="40" t="n"/>
      <c r="DS27" s="40" t="n"/>
      <c r="DT27" s="23" t="n"/>
      <c r="DU27" s="40" t="n"/>
      <c r="DV27" s="40" t="n"/>
      <c r="DW27" s="40" t="n"/>
      <c r="DX27" s="23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40" t="n"/>
      <c r="EV27" s="40" t="n"/>
      <c r="EW27" s="40" t="n"/>
      <c r="EX27" s="376" t="inlineStr">
        <is>
          <t>50 DE ERB</t>
        </is>
      </c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40" t="n"/>
      <c r="FM27" s="40" t="n"/>
      <c r="FN27" s="40" t="n"/>
      <c r="FO27" s="292" t="inlineStr">
        <is>
          <t>50 P/ ER</t>
        </is>
      </c>
      <c r="FP27" s="40" t="n"/>
      <c r="FQ27" s="40" t="n"/>
      <c r="FR27" s="219" t="n">
        <v>100</v>
      </c>
      <c r="FS27" s="40" t="n"/>
      <c r="FT27" s="40" t="n"/>
      <c r="FU27" s="40" t="n"/>
      <c r="FV27" s="40" t="n"/>
      <c r="FW27" s="40" t="n">
        <v>75</v>
      </c>
      <c r="FX27" s="40" t="n"/>
      <c r="FY27" s="40" t="n"/>
      <c r="FZ27" s="40" t="n"/>
      <c r="GA27" s="40" t="n"/>
      <c r="GB27" s="40" t="n"/>
      <c r="GC27" s="40" t="n"/>
      <c r="GD27" s="40" t="n"/>
      <c r="GE27" s="40" t="n"/>
      <c r="GF27" s="40" t="n"/>
      <c r="GG27" s="40" t="n"/>
      <c r="GI27" s="37" t="inlineStr">
        <is>
          <t>KIT CAIXA M</t>
        </is>
      </c>
      <c r="GJ27" s="208" t="n">
        <v>100</v>
      </c>
      <c r="GK27" s="699">
        <f>FP27</f>
        <v/>
      </c>
      <c r="GL27" s="699">
        <f>100-50</f>
        <v/>
      </c>
      <c r="GM27" s="699" t="n">
        <v>50</v>
      </c>
      <c r="GN27" s="699" t="n">
        <v>48</v>
      </c>
      <c r="GO27" s="699" t="n">
        <v>48</v>
      </c>
      <c r="GP27" s="699" t="n">
        <v>48</v>
      </c>
      <c r="GQ27" s="699" t="n">
        <v>25</v>
      </c>
      <c r="GR27" s="699" t="n">
        <v>16</v>
      </c>
      <c r="GS27" s="699" t="n">
        <v>5</v>
      </c>
      <c r="GT27" s="699" t="n">
        <v>1</v>
      </c>
      <c r="GU27" s="699" t="n"/>
      <c r="GV27" s="699" t="n">
        <v>0</v>
      </c>
      <c r="GW27" s="699" t="n"/>
      <c r="GX27" s="699" t="n"/>
      <c r="GY27" s="303">
        <f>GW27+IF(NOT(ISBLANK(OFFSET(GY27,0,6))),N(OFFSET(GY27,0,6)),N(OFFSET(GY27,0,7)))-GX27</f>
        <v/>
      </c>
      <c r="GZ27" s="5" t="n"/>
      <c r="HA27" s="37" t="inlineStr">
        <is>
          <t>CAIXA M</t>
        </is>
      </c>
      <c r="HB27" s="208" t="n">
        <v>100</v>
      </c>
      <c r="HC27" s="699">
        <f>0+50</f>
        <v/>
      </c>
      <c r="HD27" s="699" t="n">
        <v>50</v>
      </c>
      <c r="HE27" s="699" t="n">
        <v>31</v>
      </c>
      <c r="HF27" s="699" t="n">
        <v>19</v>
      </c>
      <c r="HG27" s="699" t="n">
        <v>6</v>
      </c>
      <c r="HH27" s="699" t="n">
        <v>3</v>
      </c>
      <c r="HI27" s="699" t="n">
        <v>3</v>
      </c>
      <c r="HJ27" s="699" t="n"/>
      <c r="HK27" s="699" t="n"/>
      <c r="HL27" s="699" t="n"/>
      <c r="HM27" s="369">
        <f>HK27+IF(NOT(ISBLANK(OFFSET(HM27,0,6))),N(OFFSET(HM27,0,6)),N(OFFSET(HM27,0,7)))-HL27</f>
        <v/>
      </c>
      <c r="HO27" s="37" t="inlineStr">
        <is>
          <t>CAIXA M/24</t>
        </is>
      </c>
      <c r="HP27" s="208" t="n">
        <v>100</v>
      </c>
      <c r="HQ27" s="699" t="n">
        <v>21</v>
      </c>
      <c r="HR27" s="699" t="n">
        <v>14</v>
      </c>
      <c r="HS27" s="699" t="n">
        <v>13</v>
      </c>
      <c r="HT27" s="699" t="n">
        <v>11</v>
      </c>
      <c r="HU27" s="699" t="n">
        <v>11</v>
      </c>
      <c r="HV27" s="699" t="n">
        <v>0</v>
      </c>
      <c r="HW27" s="699" t="n">
        <v>0</v>
      </c>
      <c r="HX27" s="699" t="n">
        <v>0</v>
      </c>
      <c r="HY27" s="699" t="n"/>
      <c r="HZ27" s="699" t="n"/>
      <c r="IA27" s="699" t="n"/>
      <c r="IB27" s="412">
        <f>HZ27+IF(NOT(ISBLANK(OFFSET(IB27,0,6))),N(OFFSET(IB27,0,6)),N(OFFSET(IB27,0,7)))-IA27</f>
        <v/>
      </c>
      <c r="ID27" s="37" t="inlineStr">
        <is>
          <t>CAIXA M</t>
        </is>
      </c>
      <c r="IE27" s="208" t="n">
        <v>100</v>
      </c>
      <c r="IF27" s="699" t="n">
        <v>0</v>
      </c>
      <c r="IG27" s="699" t="n">
        <v>0</v>
      </c>
      <c r="IH27" s="699" t="n">
        <v>0</v>
      </c>
      <c r="II27" s="699" t="n"/>
      <c r="IJ27" s="699" t="n"/>
      <c r="IK27" s="699" t="n"/>
      <c r="IL27" s="545">
        <f>IJ27+IF(NOT(ISBLANK(OFFSET(IL27,0,6))),N(OFFSET(IL27,0,6)),N(OFFSET(IL27,0,7)))-IK27</f>
        <v/>
      </c>
      <c r="IN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62" t="n">
        <v>367.65</v>
      </c>
      <c r="D28" s="382" t="n">
        <v>5</v>
      </c>
      <c r="F28" s="697" t="n">
        <v>23</v>
      </c>
      <c r="G28" s="697" t="n">
        <v>23</v>
      </c>
      <c r="H28" s="697" t="n">
        <v>22</v>
      </c>
      <c r="I28" s="697" t="n">
        <v>21</v>
      </c>
      <c r="J28" s="697" t="n">
        <v>20</v>
      </c>
      <c r="K28" s="697" t="n">
        <v>20</v>
      </c>
      <c r="L28" s="697" t="n">
        <v>20</v>
      </c>
      <c r="M28" s="697" t="n">
        <v>20</v>
      </c>
      <c r="N28" s="697" t="n">
        <v>20</v>
      </c>
      <c r="O28" s="697" t="n">
        <v>20</v>
      </c>
      <c r="P28" s="697" t="n">
        <v>20</v>
      </c>
      <c r="Q28" s="697" t="n">
        <v>20</v>
      </c>
      <c r="R28" s="697" t="n">
        <v>20</v>
      </c>
      <c r="S28" s="697" t="n">
        <v>19</v>
      </c>
      <c r="T28" s="697" t="n">
        <v>19</v>
      </c>
      <c r="U28" s="697" t="n">
        <v>19</v>
      </c>
      <c r="V28" s="697" t="n">
        <v>19</v>
      </c>
      <c r="W28" s="697" t="n">
        <v>19</v>
      </c>
      <c r="X28" s="697" t="n">
        <v>19</v>
      </c>
      <c r="Y28" s="697" t="n">
        <v>18</v>
      </c>
      <c r="Z28" s="697" t="n">
        <v>17</v>
      </c>
      <c r="AA28" s="697" t="n">
        <v>17</v>
      </c>
      <c r="AB28" s="697" t="n">
        <v>17</v>
      </c>
      <c r="AC28" s="697" t="n">
        <v>17</v>
      </c>
      <c r="AD28" s="697" t="n">
        <v>17</v>
      </c>
      <c r="AE28" s="697" t="n">
        <v>17</v>
      </c>
      <c r="AF28" s="697" t="n">
        <v>17</v>
      </c>
      <c r="AG28" s="697" t="n">
        <v>17</v>
      </c>
      <c r="AH28" s="697" t="n">
        <v>17</v>
      </c>
      <c r="AI28" s="697" t="n">
        <v>17</v>
      </c>
      <c r="AJ28" s="697" t="n">
        <v>16</v>
      </c>
      <c r="AK28" s="697" t="n">
        <v>16</v>
      </c>
      <c r="AL28" s="697" t="n">
        <v>16</v>
      </c>
      <c r="AM28" s="697" t="n">
        <v>16</v>
      </c>
      <c r="AN28" s="697" t="n">
        <v>16</v>
      </c>
      <c r="AO28" s="697" t="n">
        <v>12</v>
      </c>
      <c r="AP28" s="697" t="n">
        <v>10</v>
      </c>
      <c r="AQ28" s="697" t="n">
        <v>10</v>
      </c>
      <c r="AR28" s="697" t="n">
        <v>10</v>
      </c>
      <c r="AS28" s="697" t="n">
        <v>10</v>
      </c>
      <c r="AT28" s="697" t="n">
        <v>10</v>
      </c>
      <c r="AU28" s="697" t="n">
        <v>10</v>
      </c>
      <c r="AV28" s="697" t="n">
        <v>10</v>
      </c>
      <c r="AW28" s="697" t="n">
        <v>5</v>
      </c>
      <c r="AX28" s="697" t="n">
        <v>4</v>
      </c>
      <c r="AY28" s="697" t="n">
        <v>0</v>
      </c>
      <c r="AZ28" s="697" t="n">
        <v>0</v>
      </c>
      <c r="BA28" s="697" t="n">
        <v>0</v>
      </c>
      <c r="BB28" s="697" t="n">
        <v>0</v>
      </c>
      <c r="BC28" s="697" t="n">
        <v>0</v>
      </c>
      <c r="BD28" s="697" t="n">
        <v>0</v>
      </c>
      <c r="BE28" s="697" t="n">
        <v>0</v>
      </c>
      <c r="BF28" s="697" t="n">
        <v>0</v>
      </c>
      <c r="BG28" s="697" t="n">
        <v>0</v>
      </c>
      <c r="BH28" s="697" t="n">
        <v>0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>
        <v>0</v>
      </c>
      <c r="BT28" s="697" t="n">
        <v>0</v>
      </c>
      <c r="BU28" s="697" t="n">
        <v>0</v>
      </c>
      <c r="BV28" s="697" t="n">
        <v>0</v>
      </c>
      <c r="BW28" s="697" t="n">
        <v>0</v>
      </c>
      <c r="BX28" s="697" t="n">
        <v>0</v>
      </c>
      <c r="BY28" s="697" t="n">
        <v>0</v>
      </c>
      <c r="BZ28" s="697" t="n">
        <v>0</v>
      </c>
      <c r="CA28" s="699" t="n">
        <v>0</v>
      </c>
      <c r="CB28" s="699" t="n">
        <v>0</v>
      </c>
      <c r="CC28" s="192">
        <f>CA28+IF(NOT(ISBLANK(OFFSET(CC28,0,6))),N(OFFSET(CC28,0,6)),N(OFFSET(CC28,0,7)))-CB28</f>
        <v/>
      </c>
      <c r="CE28" s="22" t="n"/>
      <c r="CF28" s="161" t="n"/>
      <c r="CH28" s="27" t="n"/>
      <c r="CI28" s="830" t="n">
        <v>0</v>
      </c>
      <c r="CJ28" s="40" t="n">
        <v>0</v>
      </c>
      <c r="CK28" s="40" t="n">
        <v>0</v>
      </c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219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40" t="n"/>
      <c r="DQ28" s="40" t="n"/>
      <c r="DR28" s="40" t="n"/>
      <c r="DS28" s="40" t="n"/>
      <c r="DT28" s="23" t="n"/>
      <c r="DU28" s="40" t="n"/>
      <c r="DV28" s="40" t="n"/>
      <c r="DW28" s="40" t="n"/>
      <c r="DX28" s="23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292" t="inlineStr">
        <is>
          <t>75 DE ER</t>
        </is>
      </c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376" t="inlineStr">
        <is>
          <t>50 DE ERB</t>
        </is>
      </c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40" t="n"/>
      <c r="FM28" s="40" t="n"/>
      <c r="FN28" s="40" t="n"/>
      <c r="FO28" s="292" t="inlineStr">
        <is>
          <t>80 P/ ER</t>
        </is>
      </c>
      <c r="FP28" s="40" t="n"/>
      <c r="FQ28" s="40" t="n"/>
      <c r="FR28" s="219" t="n">
        <v>200</v>
      </c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D28" s="40" t="n"/>
      <c r="GE28" s="40" t="n"/>
      <c r="GF28" s="40" t="n"/>
      <c r="GG28" s="40" t="n"/>
      <c r="GI28" s="37" t="inlineStr">
        <is>
          <t>ENVELOPE C/ VISOR P</t>
        </is>
      </c>
      <c r="GJ28" s="208" t="n">
        <v>200</v>
      </c>
      <c r="GK28" s="699">
        <f>FP28</f>
        <v/>
      </c>
      <c r="GL28" s="699">
        <f>200-80</f>
        <v/>
      </c>
      <c r="GM28" s="699" t="n">
        <v>120</v>
      </c>
      <c r="GN28" s="699" t="n">
        <v>106</v>
      </c>
      <c r="GO28" s="699" t="n">
        <v>100</v>
      </c>
      <c r="GP28" s="699" t="n">
        <v>85</v>
      </c>
      <c r="GQ28" s="699" t="n">
        <v>45</v>
      </c>
      <c r="GR28" s="699" t="n">
        <v>45</v>
      </c>
      <c r="GS28" s="699" t="n">
        <v>42</v>
      </c>
      <c r="GT28" s="699" t="n">
        <v>0</v>
      </c>
      <c r="GU28" s="699" t="n"/>
      <c r="GV28" s="699" t="n">
        <v>0</v>
      </c>
      <c r="GW28" s="699" t="n"/>
      <c r="GX28" s="699" t="n"/>
      <c r="GY28" s="303">
        <f>GW28+IF(NOT(ISBLANK(OFFSET(GY28,0,6))),N(OFFSET(GY28,0,6)),N(OFFSET(GY28,0,7)))-GX28</f>
        <v/>
      </c>
      <c r="HA28" s="37" t="inlineStr">
        <is>
          <t>ENVELOPE C/ VISOR M</t>
        </is>
      </c>
      <c r="HB28" s="208" t="n">
        <v>100</v>
      </c>
      <c r="HC28" s="699">
        <f>0+50</f>
        <v/>
      </c>
      <c r="HD28" s="699" t="n">
        <v>50</v>
      </c>
      <c r="HE28" s="699" t="n">
        <v>48</v>
      </c>
      <c r="HF28" s="699" t="n">
        <v>31</v>
      </c>
      <c r="HG28" s="699" t="n">
        <v>0</v>
      </c>
      <c r="HH28" s="699" t="n">
        <v>0</v>
      </c>
      <c r="HI28" s="699" t="n">
        <v>0</v>
      </c>
      <c r="HJ28" s="699" t="n"/>
      <c r="HK28" s="699" t="n"/>
      <c r="HL28" s="699" t="n"/>
      <c r="HM28" s="369">
        <f>HK28+IF(NOT(ISBLANK(OFFSET(HM28,0,6))),N(OFFSET(HM28,0,6)),N(OFFSET(HM28,0,7)))-HL28</f>
        <v/>
      </c>
      <c r="HO28" s="37" t="inlineStr">
        <is>
          <t>ENVELOPE C/ VISOR M</t>
        </is>
      </c>
      <c r="HP28" s="208" t="n">
        <v>150</v>
      </c>
      <c r="HQ28" s="699" t="n">
        <v>0</v>
      </c>
      <c r="HR28" s="699">
        <f>0+75</f>
        <v/>
      </c>
      <c r="HS28" s="699" t="n">
        <v>75</v>
      </c>
      <c r="HT28" s="699" t="n">
        <v>75</v>
      </c>
      <c r="HU28" s="699" t="n">
        <v>70</v>
      </c>
      <c r="HV28" s="699" t="n">
        <v>22</v>
      </c>
      <c r="HW28" s="699" t="n">
        <v>22</v>
      </c>
      <c r="HX28" s="699" t="n">
        <v>21</v>
      </c>
      <c r="HY28" s="699" t="n"/>
      <c r="HZ28" s="699" t="n"/>
      <c r="IA28" s="699" t="n"/>
      <c r="IB28" s="412">
        <f>HZ28+IF(NOT(ISBLANK(OFFSET(IB28,0,6))),N(OFFSET(IB28,0,6)),N(OFFSET(IB28,0,7)))-IA28</f>
        <v/>
      </c>
      <c r="ID28" s="37" t="inlineStr">
        <is>
          <t>CARTUCHO P</t>
        </is>
      </c>
      <c r="IE28" s="208" t="n">
        <v>200</v>
      </c>
      <c r="IF28" s="699" t="n">
        <v>0</v>
      </c>
      <c r="IG28" s="699" t="n">
        <v>0</v>
      </c>
      <c r="IH28" s="699" t="n">
        <v>0</v>
      </c>
      <c r="II28" s="699" t="n"/>
      <c r="IJ28" s="699" t="n"/>
      <c r="IK28" s="699" t="n"/>
      <c r="IL28" s="545">
        <f>IJ28+IF(NOT(ISBLANK(OFFSET(IL28,0,6))),N(OFFSET(IL28,0,6)),N(OFFSET(IL28,0,7)))-IK28</f>
        <v/>
      </c>
    </row>
    <row r="29" customFormat="1" s="3">
      <c r="CG29" s="5" t="n"/>
      <c r="DD29" s="309" t="n"/>
      <c r="DT29" s="47" t="n"/>
      <c r="DX29" s="47" t="n"/>
      <c r="FO29" s="292" t="inlineStr">
        <is>
          <t>60 P/ ER</t>
        </is>
      </c>
      <c r="FR29" s="219" t="n">
        <v>150</v>
      </c>
      <c r="GI29" s="37" t="inlineStr">
        <is>
          <t>ENVELOPE C/ VISOR M</t>
        </is>
      </c>
      <c r="GJ29" s="208" t="n">
        <v>150</v>
      </c>
      <c r="GK29" s="699">
        <f>FP29</f>
        <v/>
      </c>
      <c r="GL29" s="699">
        <f>150-60</f>
        <v/>
      </c>
      <c r="GM29" s="699" t="n">
        <v>86</v>
      </c>
      <c r="GN29" s="699" t="n">
        <v>78</v>
      </c>
      <c r="GO29" s="699" t="n">
        <v>75</v>
      </c>
      <c r="GP29" s="699" t="n">
        <v>69</v>
      </c>
      <c r="GQ29" s="699" t="n">
        <v>32</v>
      </c>
      <c r="GR29" s="699" t="n">
        <v>32</v>
      </c>
      <c r="GS29" s="699" t="n">
        <v>31</v>
      </c>
      <c r="GT29" s="699" t="n">
        <v>0</v>
      </c>
      <c r="GU29" s="699" t="n"/>
      <c r="GV29" s="699" t="n">
        <v>0</v>
      </c>
      <c r="GW29" s="699" t="n"/>
      <c r="GX29" s="699" t="n"/>
      <c r="GY29" s="303">
        <f>GW29+IF(NOT(ISBLANK(OFFSET(GY29,0,6))),N(OFFSET(GY29,0,6)),N(OFFSET(GY29,0,7)))-GX29</f>
        <v/>
      </c>
      <c r="GZ29" s="5" t="n"/>
      <c r="HA29" s="35" t="n"/>
      <c r="HC29" s="2" t="n"/>
      <c r="HD29" s="2" t="n"/>
      <c r="HE29" s="2" t="n"/>
      <c r="HF29" s="2" t="n"/>
      <c r="HG29" s="2" t="n"/>
      <c r="HH29" s="2" t="n"/>
      <c r="HI29" s="2" t="n"/>
      <c r="HJ29" s="2" t="n"/>
      <c r="HK29" s="2" t="n"/>
      <c r="HL29" s="2" t="n"/>
      <c r="HO29" s="35" t="n"/>
      <c r="HQ29" s="2" t="n"/>
      <c r="HR29" s="2" t="n"/>
      <c r="HS29" s="2" t="n"/>
      <c r="HT29" s="2" t="n"/>
      <c r="HU29" s="2" t="n"/>
      <c r="HV29" s="2" t="n"/>
      <c r="HW29" s="2" t="n"/>
      <c r="HX29" s="2" t="n"/>
      <c r="HY29" s="2" t="n"/>
      <c r="HZ29" s="2" t="n"/>
      <c r="IA29" s="2" t="n"/>
      <c r="ID29" s="37" t="inlineStr">
        <is>
          <t>CARTUCHO M</t>
        </is>
      </c>
      <c r="IE29" s="208" t="n">
        <v>150</v>
      </c>
      <c r="IF29" s="699" t="n">
        <v>0</v>
      </c>
      <c r="IG29" s="699" t="n">
        <v>0</v>
      </c>
      <c r="IH29" s="699" t="n">
        <v>0</v>
      </c>
      <c r="II29" s="699" t="n"/>
      <c r="IJ29" s="699" t="n"/>
      <c r="IK29" s="699" t="n"/>
      <c r="IL29" s="545">
        <f>IJ29+IF(NOT(ISBLANK(OFFSET(IL29,0,6))),N(OFFSET(IL29,0,6)),N(OFFSET(IL29,0,7)))-IK29</f>
        <v/>
      </c>
    </row>
    <row r="30" hidden="1" customFormat="1" s="3">
      <c r="CG30" s="5" t="n"/>
      <c r="DD30" s="309" t="n"/>
      <c r="FO30" s="308" t="n"/>
      <c r="FR30" s="308" t="n"/>
      <c r="GI30" s="35" t="n"/>
      <c r="GK30" s="2" t="n"/>
      <c r="GL30" s="2" t="n"/>
      <c r="GM30" s="2" t="n"/>
      <c r="GN30" s="2" t="n"/>
      <c r="GO30" s="2" t="n"/>
      <c r="GP30" s="2" t="n"/>
      <c r="GQ30" s="2" t="n"/>
      <c r="GR30" s="2" t="n"/>
      <c r="GS30" s="2" t="n"/>
      <c r="GT30" s="2" t="n"/>
      <c r="GU30" s="2" t="n"/>
      <c r="GV30" s="2" t="n"/>
      <c r="GW30" s="2" t="n"/>
      <c r="GX30" s="2" t="n"/>
      <c r="GZ30" s="5" t="n"/>
      <c r="HA30" s="5" t="n"/>
      <c r="HB30" s="5" t="n"/>
      <c r="HC30" s="5" t="n"/>
      <c r="HD30" s="5" t="n"/>
      <c r="HE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O30" s="5" t="n"/>
      <c r="HP30" s="5" t="n"/>
      <c r="HQ30" s="5" t="n"/>
      <c r="HR30" s="5" t="n"/>
      <c r="HS30" s="5" t="n"/>
      <c r="HT30" s="5" t="n"/>
      <c r="HU30" s="5" t="n"/>
      <c r="HV30" s="5" t="n"/>
      <c r="HW30" s="5" t="n"/>
      <c r="HX30" s="5" t="n"/>
      <c r="HY30" s="5" t="n"/>
      <c r="HZ30" s="5" t="n"/>
      <c r="IA30" s="5" t="n"/>
      <c r="IB30" s="5" t="n"/>
      <c r="ID30" s="5" t="n"/>
      <c r="IE30" s="5" t="n"/>
      <c r="IF30" s="5" t="n"/>
      <c r="IG30" s="5" t="n"/>
      <c r="IH30" s="5" t="n"/>
      <c r="II30" s="5" t="n"/>
      <c r="IJ30" s="5" t="n"/>
      <c r="IK30" s="5" t="n"/>
      <c r="IL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73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45908</v>
      </c>
      <c r="AQ31" s="746" t="n">
        <v>45915</v>
      </c>
      <c r="AR31" s="746" t="n">
        <v>45922</v>
      </c>
      <c r="AS31" s="746" t="n">
        <v>45929</v>
      </c>
      <c r="AT31" s="746" t="n">
        <v>45936</v>
      </c>
      <c r="AU31" s="746" t="n">
        <v>45943</v>
      </c>
      <c r="AV31" s="746" t="n">
        <v>45950</v>
      </c>
      <c r="AW31" s="746" t="n">
        <v>45957</v>
      </c>
      <c r="AX31" s="746" t="n">
        <v>45964</v>
      </c>
      <c r="AY31" s="746" t="n">
        <v>45971</v>
      </c>
      <c r="AZ31" s="746" t="n">
        <v>45978</v>
      </c>
      <c r="BA31" s="746" t="n">
        <v>45985</v>
      </c>
      <c r="BB31" s="746" t="n">
        <v>45992</v>
      </c>
      <c r="BC31" s="746" t="n">
        <v>45999</v>
      </c>
      <c r="BD31" s="746" t="n">
        <v>46006</v>
      </c>
      <c r="BE31" s="746" t="n">
        <v>46013</v>
      </c>
      <c r="BF31" s="746" t="n">
        <v>46020</v>
      </c>
      <c r="BG31" s="746" t="n">
        <v>46027</v>
      </c>
      <c r="BH31" s="746" t="n">
        <v>46034</v>
      </c>
      <c r="BI31" s="746" t="n">
        <v>46041</v>
      </c>
      <c r="BJ31" s="746" t="n">
        <v>46048</v>
      </c>
      <c r="BK31" s="746" t="n">
        <v>46055</v>
      </c>
      <c r="BL31" s="746" t="n">
        <v>46062</v>
      </c>
      <c r="BM31" s="746" t="n">
        <v>46069</v>
      </c>
      <c r="BN31" s="746" t="n">
        <v>46076</v>
      </c>
      <c r="BO31" s="746" t="n">
        <v>46083</v>
      </c>
      <c r="BP31" s="746" t="n">
        <v>46090</v>
      </c>
      <c r="BQ31" s="746" t="n">
        <v>46097</v>
      </c>
      <c r="BR31" s="746" t="n">
        <v>46104</v>
      </c>
      <c r="BS31" s="746" t="n">
        <v>46111</v>
      </c>
      <c r="BT31" s="746" t="n">
        <v>46118</v>
      </c>
      <c r="BU31" s="746" t="n">
        <v>46125</v>
      </c>
      <c r="BV31" s="746" t="n">
        <v>46132</v>
      </c>
      <c r="BW31" s="746" t="n">
        <v>46139</v>
      </c>
      <c r="BX31" s="746" t="n">
        <v>46146</v>
      </c>
      <c r="BY31" s="746" t="n">
        <v>46154</v>
      </c>
      <c r="BZ31" s="746" t="n">
        <v>46160</v>
      </c>
      <c r="CA31" s="747" t="n">
        <v>46161.48024612269</v>
      </c>
      <c r="CB31" s="747" t="n">
        <v>46161.48090400553</v>
      </c>
      <c r="CC31" s="748" t="inlineStr">
        <is>
          <t>USOU</t>
        </is>
      </c>
      <c r="CE31" s="44" t="inlineStr">
        <is>
          <t>Pendências</t>
        </is>
      </c>
      <c r="CF31" s="44" t="inlineStr">
        <is>
          <t>Pendências</t>
        </is>
      </c>
      <c r="CH31" s="12" t="inlineStr">
        <is>
          <t>Novo Pedido</t>
        </is>
      </c>
      <c r="CI31" s="793" t="n">
        <v>46161.48089931467</v>
      </c>
      <c r="CJ31" s="794" t="n">
        <v>46149</v>
      </c>
      <c r="CK31" s="794" t="n">
        <v>46142</v>
      </c>
      <c r="CL31" s="794" t="n">
        <v>46114</v>
      </c>
      <c r="CM31" s="794" t="n">
        <v>46107</v>
      </c>
      <c r="CN31" s="795" t="n">
        <v>46065</v>
      </c>
      <c r="CO31" s="794" t="n">
        <v>46099</v>
      </c>
      <c r="CP31" s="794" t="n">
        <v>46092</v>
      </c>
      <c r="CQ31" s="796" t="n">
        <v>46045</v>
      </c>
      <c r="CR31" s="794" t="n">
        <v>46077</v>
      </c>
      <c r="CS31" s="794" t="n">
        <v>46048</v>
      </c>
      <c r="CT31" s="794" t="n">
        <v>46043</v>
      </c>
      <c r="CU31" s="794" t="n">
        <v>46024</v>
      </c>
      <c r="CV31" s="794" t="n">
        <v>46017</v>
      </c>
      <c r="CW31" s="794" t="n">
        <v>46007</v>
      </c>
      <c r="CX31" s="794" t="n">
        <v>46001</v>
      </c>
      <c r="CY31" s="794" t="n">
        <v>46001</v>
      </c>
      <c r="CZ31" s="794" t="n">
        <v>45994</v>
      </c>
      <c r="DA31" s="794" t="n">
        <v>45986</v>
      </c>
      <c r="DB31" s="794" t="n">
        <v>45980</v>
      </c>
      <c r="DC31" s="794" t="n">
        <v>45980</v>
      </c>
      <c r="DD31" s="797" t="n">
        <v>45982</v>
      </c>
      <c r="DE31" s="794" t="n">
        <v>45973</v>
      </c>
      <c r="DF31" s="794" t="n">
        <v>45965</v>
      </c>
      <c r="DG31" s="794" t="n">
        <v>45960</v>
      </c>
      <c r="DH31" s="794" t="n">
        <v>45951</v>
      </c>
      <c r="DI31" s="737" t="n">
        <v>45903</v>
      </c>
      <c r="DJ31" s="794" t="n">
        <v>45945</v>
      </c>
      <c r="DK31" s="794" t="n">
        <v>45937</v>
      </c>
      <c r="DL31" s="794" t="n">
        <v>45931</v>
      </c>
      <c r="DM31" s="794" t="n">
        <v>45931</v>
      </c>
      <c r="DN31" s="794" t="n">
        <v>45915</v>
      </c>
      <c r="DO31" s="794" t="n">
        <v>45923</v>
      </c>
      <c r="DP31" s="794" t="n">
        <v>45903</v>
      </c>
      <c r="DQ31" s="794" t="n">
        <v>45915</v>
      </c>
      <c r="DR31" s="797" t="n">
        <v>45918</v>
      </c>
      <c r="DS31" s="794" t="n">
        <v>45909</v>
      </c>
      <c r="DT31" s="738" t="n">
        <v>45903</v>
      </c>
      <c r="DU31" s="794" t="n">
        <v>45895</v>
      </c>
      <c r="DV31" s="797" t="n">
        <v>45896</v>
      </c>
      <c r="DW31" s="794" t="n">
        <v>45881</v>
      </c>
      <c r="DX31" s="738" t="n">
        <v>45839</v>
      </c>
      <c r="DY31" s="794" t="n">
        <v>45888</v>
      </c>
      <c r="DZ31" s="794" t="n">
        <v>45881</v>
      </c>
      <c r="EA31" s="797" t="n">
        <v>45881</v>
      </c>
      <c r="EB31" s="794" t="n">
        <v>45874</v>
      </c>
      <c r="EC31" s="797" t="n">
        <v>45876</v>
      </c>
      <c r="ED31" s="794" t="n">
        <v>45867</v>
      </c>
      <c r="EE31" s="794" t="n">
        <v>45867</v>
      </c>
      <c r="EF31" s="794" t="n">
        <v>45860</v>
      </c>
      <c r="EG31" s="797" t="n">
        <v>45861</v>
      </c>
      <c r="EH31" s="797" t="n">
        <v>45860</v>
      </c>
      <c r="EI31" s="794" t="n">
        <v>45853</v>
      </c>
      <c r="EJ31" s="739" t="n">
        <v>45855</v>
      </c>
      <c r="EK31" s="794" t="n">
        <v>45848</v>
      </c>
      <c r="EL31" s="794" t="n">
        <v>45839</v>
      </c>
      <c r="EM31" s="794" t="n">
        <v>45839</v>
      </c>
      <c r="EN31" s="797" t="n">
        <v>45835</v>
      </c>
      <c r="EO31" s="794" t="n">
        <v>45790</v>
      </c>
      <c r="EP31" s="794" t="n">
        <v>45825</v>
      </c>
      <c r="EQ31" s="794" t="n">
        <v>45819</v>
      </c>
      <c r="ER31" s="794" t="n">
        <v>45813</v>
      </c>
      <c r="ES31" s="794" t="n">
        <v>45797</v>
      </c>
      <c r="ET31" s="797" t="n">
        <v>45811</v>
      </c>
      <c r="EU31" s="797" t="n">
        <v>45810</v>
      </c>
      <c r="EV31" s="797" t="n">
        <v>45806</v>
      </c>
      <c r="EW31" s="797" t="n">
        <v>45803</v>
      </c>
      <c r="EX31" s="755" t="n">
        <v>45803</v>
      </c>
      <c r="EY31" s="794" t="n">
        <v>45784</v>
      </c>
      <c r="EZ31" s="797" t="n">
        <v>45796</v>
      </c>
      <c r="FA31" s="794" t="n">
        <v>45784</v>
      </c>
      <c r="FB31" s="794" t="n">
        <v>45764</v>
      </c>
      <c r="FC31" s="797" t="n">
        <v>45791</v>
      </c>
      <c r="FD31" s="794" t="n">
        <v>45783</v>
      </c>
      <c r="FE31" s="794" t="n">
        <v>45770</v>
      </c>
      <c r="FF31" s="794" t="n">
        <v>45775</v>
      </c>
      <c r="FG31" s="794" t="n">
        <v>45770</v>
      </c>
      <c r="FH31" s="794" t="n">
        <v>45770</v>
      </c>
      <c r="FI31" s="797" t="n">
        <v>45775</v>
      </c>
      <c r="FJ31" s="797" t="n">
        <v>45770</v>
      </c>
      <c r="FK31" s="794" t="n">
        <v>45756</v>
      </c>
      <c r="FL31" s="794" t="n">
        <v>45735</v>
      </c>
      <c r="FM31" s="797" t="n">
        <v>45751</v>
      </c>
      <c r="FN31" s="794" t="n">
        <v>45743</v>
      </c>
      <c r="FO31" s="746" t="n">
        <v>45729</v>
      </c>
      <c r="FP31" s="794" t="n">
        <v>45722</v>
      </c>
      <c r="FQ31" s="794" t="n">
        <v>45722</v>
      </c>
      <c r="FR31" s="746" t="n">
        <v>45700</v>
      </c>
      <c r="FS31" s="797" t="n">
        <v>45722</v>
      </c>
      <c r="FT31" s="794" t="n">
        <v>45714</v>
      </c>
      <c r="FU31" s="794" t="n">
        <v>45706</v>
      </c>
      <c r="FV31" s="794" t="n">
        <v>45684</v>
      </c>
      <c r="FW31" s="794" t="n">
        <v>45699</v>
      </c>
      <c r="FX31" s="794" t="n">
        <v>45693</v>
      </c>
      <c r="FY31" s="797" t="n">
        <v>45687</v>
      </c>
      <c r="FZ31" s="794" t="n">
        <v>45685</v>
      </c>
      <c r="GA31" s="797" t="n">
        <v>45684</v>
      </c>
      <c r="GB31" s="794" t="n">
        <v>45674</v>
      </c>
      <c r="GC31" s="794" t="n">
        <v>45664</v>
      </c>
      <c r="GD31" s="794" t="n">
        <v>45660</v>
      </c>
      <c r="GE31" s="794" t="n">
        <v>45660</v>
      </c>
      <c r="GF31" s="794" t="n">
        <v>45652</v>
      </c>
      <c r="GG31" s="794" t="n">
        <v>45643</v>
      </c>
      <c r="HM31" s="573" t="n"/>
    </row>
    <row r="32">
      <c r="A32" s="37" t="inlineStr">
        <is>
          <t>KIT OVERBAG OMNI P</t>
        </is>
      </c>
      <c r="B32" s="699" t="n">
        <v>25</v>
      </c>
      <c r="C32" s="762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92+FR32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>
        <v>0</v>
      </c>
      <c r="BY32" s="154" t="n">
        <v>0</v>
      </c>
      <c r="BZ32" s="154" t="n">
        <v>0</v>
      </c>
      <c r="CA32" s="154" t="n"/>
      <c r="CB32" s="154" t="n"/>
      <c r="CC32" s="198">
        <f>CA32+IF(NOT(ISBLANK(OFFSET(CC32,0,6))),N(OFFSET(CC32,0,6)),N(OFFSET(CC32,0,7)))-CB32</f>
        <v/>
      </c>
      <c r="CE32" s="22" t="n"/>
      <c r="CF32" s="22" t="n"/>
      <c r="CH32" s="252" t="n"/>
      <c r="CI32" s="831" t="n">
        <v>0</v>
      </c>
      <c r="CJ32" s="135" t="n">
        <v>0</v>
      </c>
      <c r="CK32" s="135" t="n">
        <v>0</v>
      </c>
      <c r="CL32" s="135" t="n"/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35" t="n"/>
      <c r="DA32" s="135" t="n"/>
      <c r="DB32" s="135" t="n"/>
      <c r="DC32" s="135" t="n"/>
      <c r="DD32" s="198" t="inlineStr">
        <is>
          <t>05 DE ERB</t>
        </is>
      </c>
      <c r="DE32" s="135" t="n"/>
      <c r="DF32" s="135" t="n"/>
      <c r="DG32" s="135" t="n"/>
      <c r="DH32" s="135" t="n"/>
      <c r="DI32" s="135" t="n"/>
      <c r="DJ32" s="135" t="n"/>
      <c r="DK32" s="135" t="n"/>
      <c r="DL32" s="135" t="n"/>
      <c r="DM32" s="135" t="n"/>
      <c r="DN32" s="135" t="n"/>
      <c r="DO32" s="135" t="n"/>
      <c r="DP32" s="135" t="n"/>
      <c r="DQ32" s="135" t="n">
        <v>25</v>
      </c>
      <c r="DR32" s="135" t="n"/>
      <c r="DS32" s="135" t="n"/>
      <c r="DT32" s="23" t="n"/>
      <c r="DU32" s="135" t="n"/>
      <c r="DV32" s="135" t="n"/>
      <c r="DW32" s="135" t="n"/>
      <c r="DX32" s="23" t="n"/>
      <c r="DY32" s="135" t="n"/>
      <c r="DZ32" s="135" t="n"/>
      <c r="EA32" s="135" t="n"/>
      <c r="EB32" s="135" t="n"/>
      <c r="EC32" s="135" t="n"/>
      <c r="ED32" s="135" t="n"/>
      <c r="EE32" s="135" t="n"/>
      <c r="EF32" s="135" t="n"/>
      <c r="EG32" s="406" t="inlineStr">
        <is>
          <t>10 DE ER</t>
        </is>
      </c>
      <c r="EH32" s="135" t="n"/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135" t="n"/>
      <c r="FL32" s="135" t="n"/>
      <c r="FM32" s="135" t="n"/>
      <c r="FN32" s="135" t="n"/>
      <c r="FO32" s="219" t="n"/>
      <c r="FP32" s="135" t="n"/>
      <c r="FQ32" s="135" t="n"/>
      <c r="FR32" s="219" t="n"/>
      <c r="FS32" s="135" t="n"/>
      <c r="FT32" s="135" t="n">
        <v>25</v>
      </c>
      <c r="FU32" s="135" t="n"/>
      <c r="FV32" s="135" t="n"/>
      <c r="FW32" s="135" t="n"/>
      <c r="FX32" s="135" t="n"/>
      <c r="FY32" s="135" t="n"/>
      <c r="FZ32" s="135" t="n"/>
      <c r="GA32" s="135" t="n"/>
      <c r="GB32" s="135" t="n"/>
      <c r="GC32" s="135" t="n">
        <v>25</v>
      </c>
      <c r="GD32" s="135" t="n"/>
      <c r="GE32" s="135" t="n"/>
      <c r="GF32" s="135" t="n"/>
      <c r="GG32" s="135" t="n"/>
    </row>
    <row r="33">
      <c r="A33" s="37" t="inlineStr">
        <is>
          <t>KIT OVERBAG OMNI M</t>
        </is>
      </c>
      <c r="B33" s="699" t="n">
        <v>25</v>
      </c>
      <c r="C33" s="762" t="n">
        <v>57</v>
      </c>
      <c r="D33" s="382" t="n">
        <v>15</v>
      </c>
      <c r="E33" s="573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>
        <v>29</v>
      </c>
      <c r="BU33" s="153" t="n">
        <v>29</v>
      </c>
      <c r="BV33" s="153" t="n">
        <v>29</v>
      </c>
      <c r="BW33" s="153" t="n">
        <v>29</v>
      </c>
      <c r="BX33" s="153" t="n">
        <v>29</v>
      </c>
      <c r="BY33" s="153" t="n">
        <v>23</v>
      </c>
      <c r="BZ33" s="153" t="n">
        <v>23</v>
      </c>
      <c r="CA33" s="153" t="n">
        <v>23</v>
      </c>
      <c r="CB33" s="153" t="n">
        <v>23</v>
      </c>
      <c r="CC33" s="198">
        <f>CA33+IF(NOT(ISBLANK(OFFSET(CC33,0,6))),N(OFFSET(CC33,0,6)),N(OFFSET(CC33,0,7)))-CB33</f>
        <v/>
      </c>
      <c r="CE33" s="22" t="n"/>
      <c r="CF33" s="22" t="n"/>
      <c r="CH33" s="252" t="n"/>
      <c r="CI33" s="831" t="n">
        <v>0</v>
      </c>
      <c r="CJ33" s="135" t="n">
        <v>0</v>
      </c>
      <c r="CK33" s="135" t="n">
        <v>0</v>
      </c>
      <c r="CL33" s="135" t="n"/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35" t="n"/>
      <c r="DA33" s="135" t="n"/>
      <c r="DB33" s="135" t="n"/>
      <c r="DC33" s="135" t="n"/>
      <c r="DD33" s="198" t="inlineStr">
        <is>
          <t>10 P/ ERB</t>
        </is>
      </c>
      <c r="DE33" s="135" t="n"/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135" t="n"/>
      <c r="DQ33" s="135" t="n"/>
      <c r="DR33" s="135" t="n"/>
      <c r="DS33" s="135" t="n"/>
      <c r="DT33" s="23" t="n"/>
      <c r="DU33" s="135" t="n"/>
      <c r="DV33" s="135" t="n"/>
      <c r="DW33" s="135" t="n"/>
      <c r="DX33" s="23" t="n"/>
      <c r="DY33" s="135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135" t="n"/>
      <c r="FL33" s="135" t="n"/>
      <c r="FM33" s="135" t="n"/>
      <c r="FN33" s="135" t="n"/>
      <c r="FO33" s="219" t="n"/>
      <c r="FP33" s="135" t="n"/>
      <c r="FQ33" s="135" t="n"/>
      <c r="FR33" s="219" t="n"/>
      <c r="FS33" s="135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D33" s="135" t="n"/>
      <c r="GE33" s="135" t="n"/>
      <c r="GF33" s="135" t="n"/>
      <c r="GG33" s="135" t="n"/>
      <c r="GZ33" s="573" t="n"/>
      <c r="HA33" s="573" t="n"/>
      <c r="HB33" s="573" t="n"/>
      <c r="HC33" s="573" t="n"/>
      <c r="HD33" s="573" t="n"/>
      <c r="HE33" s="573" t="n"/>
      <c r="HF33" s="573" t="n"/>
      <c r="HG33" s="573" t="n"/>
      <c r="HH33" s="573" t="n"/>
      <c r="HI33" s="573" t="n"/>
      <c r="HJ33" s="573" t="n"/>
      <c r="HK33" s="573" t="n"/>
      <c r="HL33" s="573" t="n"/>
      <c r="HM33" s="573" t="n"/>
      <c r="HO33" s="573" t="n"/>
      <c r="HP33" s="573" t="n"/>
      <c r="HQ33" s="573" t="n"/>
      <c r="HR33" s="573" t="n"/>
      <c r="HS33" s="573" t="n"/>
      <c r="HT33" s="573" t="n"/>
      <c r="HU33" s="573" t="n"/>
      <c r="HV33" s="573" t="n"/>
      <c r="HW33" s="573" t="n"/>
      <c r="HX33" s="573" t="n"/>
      <c r="HY33" s="573" t="n"/>
      <c r="HZ33" s="573" t="n"/>
      <c r="IA33" s="573" t="n"/>
      <c r="IB33" s="573" t="n"/>
      <c r="ID33" s="573" t="n"/>
      <c r="IE33" s="573" t="n"/>
      <c r="IF33" s="573" t="n"/>
      <c r="IG33" s="573" t="n"/>
      <c r="IH33" s="573" t="n"/>
      <c r="II33" s="573" t="n"/>
      <c r="IJ33" s="573" t="n"/>
      <c r="IK33" s="573" t="n"/>
      <c r="IL33" s="573" t="n"/>
    </row>
    <row r="34" ht="17.25" customHeight="1">
      <c r="B34" s="573" t="n"/>
      <c r="E34" s="573" t="n"/>
      <c r="F34" s="573" t="n"/>
      <c r="G34" s="573" t="n"/>
      <c r="H34" s="573" t="n"/>
      <c r="I34" s="573" t="n"/>
      <c r="J34" s="573" t="n"/>
      <c r="K34" s="573" t="n"/>
      <c r="L34" s="573" t="n"/>
      <c r="M34" s="573" t="n"/>
      <c r="N34" s="573" t="n"/>
      <c r="O34" s="573" t="n"/>
      <c r="P34" s="573" t="n"/>
      <c r="Q34" s="573" t="n"/>
      <c r="R34" s="573" t="n"/>
      <c r="S34" s="573" t="n"/>
      <c r="T34" s="573" t="n"/>
      <c r="U34" s="573" t="n"/>
      <c r="V34" s="573" t="n"/>
      <c r="W34" s="573" t="n"/>
      <c r="X34" s="573" t="n"/>
      <c r="Y34" s="573" t="n"/>
      <c r="Z34" s="573" t="n"/>
      <c r="AA34" s="573" t="n"/>
      <c r="AB34" s="573" t="n"/>
      <c r="AC34" s="573" t="n"/>
      <c r="AD34" s="573" t="n"/>
      <c r="AE34" s="573" t="n"/>
      <c r="AF34" s="573" t="n"/>
      <c r="AG34" s="573" t="n"/>
      <c r="AH34" s="573" t="n"/>
      <c r="AI34" s="573" t="n"/>
      <c r="AJ34" s="573" t="n"/>
      <c r="AK34" s="573" t="n"/>
      <c r="AL34" s="573" t="n"/>
      <c r="AM34" s="573" t="n"/>
      <c r="AN34" s="573" t="n"/>
      <c r="AO34" s="573" t="n"/>
      <c r="AP34" s="573" t="n"/>
      <c r="AQ34" s="573" t="n"/>
      <c r="AR34" s="573" t="n"/>
      <c r="AS34" s="573" t="n"/>
      <c r="AT34" s="573" t="n"/>
      <c r="AU34" s="573" t="n"/>
      <c r="AV34" s="573" t="n"/>
      <c r="AW34" s="573" t="n"/>
      <c r="AX34" s="573" t="n"/>
      <c r="AY34" s="573" t="n"/>
      <c r="AZ34" s="573" t="n"/>
      <c r="BA34" s="573" t="n"/>
      <c r="BB34" s="573" t="n"/>
      <c r="BC34" s="573" t="n"/>
      <c r="BD34" s="573" t="n"/>
      <c r="BE34" s="573" t="n"/>
      <c r="BF34" s="573" t="n"/>
      <c r="BG34" s="573" t="n"/>
      <c r="BH34" s="573" t="n"/>
      <c r="BI34" s="573" t="n"/>
      <c r="BJ34" s="573" t="n"/>
      <c r="BK34" s="573" t="n"/>
      <c r="BL34" s="573" t="n"/>
      <c r="BM34" s="573" t="n"/>
      <c r="BN34" s="573" t="n"/>
      <c r="BO34" s="573" t="n"/>
      <c r="BP34" s="573" t="n"/>
      <c r="BQ34" s="573" t="n"/>
      <c r="BR34" s="573" t="n"/>
      <c r="BS34" s="573" t="n"/>
      <c r="BT34" s="573" t="n"/>
      <c r="BU34" s="573" t="n"/>
      <c r="BV34" s="573" t="n"/>
      <c r="BW34" s="573" t="n"/>
      <c r="BX34" s="573" t="n"/>
      <c r="BY34" s="573" t="n"/>
      <c r="BZ34" s="573" t="n"/>
      <c r="CA34" s="573" t="n"/>
      <c r="CB34" s="573" t="n"/>
      <c r="CC34" s="573" t="n"/>
      <c r="CI34" s="749" t="n"/>
      <c r="CJ34" s="749" t="n"/>
      <c r="CK34" s="749" t="n"/>
      <c r="CL34" s="749" t="n"/>
      <c r="CM34" s="749" t="n"/>
      <c r="CN34" s="749" t="n"/>
      <c r="CO34" s="749" t="n"/>
      <c r="CP34" s="749" t="n"/>
      <c r="CQ34" s="749" t="n"/>
      <c r="CR34" s="749" t="n"/>
      <c r="CS34" s="749" t="n"/>
      <c r="CT34" s="749" t="n"/>
      <c r="CU34" s="749" t="n"/>
      <c r="CV34" s="749" t="n"/>
      <c r="CW34" s="749" t="n"/>
      <c r="CX34" s="749" t="n"/>
      <c r="CY34" s="749" t="n"/>
      <c r="CZ34" s="749" t="n"/>
      <c r="DA34" s="749" t="n"/>
      <c r="DB34" s="749" t="n"/>
      <c r="DC34" s="749" t="n"/>
      <c r="DD34" s="749" t="n"/>
      <c r="DE34" s="749" t="n"/>
      <c r="DF34" s="749" t="n"/>
      <c r="DG34" s="749" t="n"/>
      <c r="DH34" s="749" t="n"/>
      <c r="DI34" s="749" t="n"/>
      <c r="DJ34" s="749" t="n"/>
      <c r="DK34" s="749" t="n"/>
      <c r="DL34" s="749" t="n"/>
      <c r="DM34" s="749" t="n"/>
      <c r="DN34" s="749" t="n"/>
      <c r="DO34" s="749" t="n"/>
      <c r="DP34" s="749" t="n"/>
      <c r="DQ34" s="749" t="n"/>
      <c r="DR34" s="749" t="n"/>
      <c r="DS34" s="749" t="n"/>
      <c r="DU34" s="749" t="n"/>
      <c r="DV34" s="749" t="n"/>
      <c r="DW34" s="749" t="n"/>
      <c r="DY34" s="749" t="n"/>
      <c r="DZ34" s="749" t="n"/>
      <c r="EA34" s="749" t="n"/>
      <c r="EB34" s="749" t="n"/>
      <c r="EC34" s="749" t="n"/>
      <c r="ED34" s="749" t="n"/>
      <c r="EE34" s="749" t="n"/>
      <c r="EF34" s="749" t="n"/>
      <c r="EG34" s="749" t="n"/>
      <c r="EH34" s="749" t="n"/>
      <c r="EI34" s="749" t="n"/>
      <c r="EJ34" s="749" t="n"/>
      <c r="EK34" s="749" t="n"/>
      <c r="EL34" s="749" t="n"/>
      <c r="EM34" s="749" t="n"/>
      <c r="EN34" s="749" t="n"/>
      <c r="EO34" s="749" t="n"/>
      <c r="EP34" s="749" t="n"/>
      <c r="EQ34" s="749" t="n"/>
      <c r="ER34" s="749" t="n"/>
      <c r="ES34" s="749" t="n"/>
      <c r="ET34" s="749" t="n"/>
      <c r="EU34" s="749" t="n"/>
      <c r="EV34" s="749" t="n"/>
      <c r="EW34" s="749" t="n"/>
      <c r="EX34" s="749" t="n"/>
      <c r="EY34" s="749" t="n"/>
      <c r="EZ34" s="749" t="n"/>
      <c r="FA34" s="749" t="n"/>
      <c r="FB34" s="749" t="n"/>
      <c r="FC34" s="749" t="n"/>
      <c r="FD34" s="749" t="n"/>
      <c r="FE34" s="749" t="n"/>
      <c r="FF34" s="749" t="n"/>
      <c r="FG34" s="749" t="n"/>
      <c r="FH34" s="749" t="n"/>
      <c r="FI34" s="749" t="n"/>
      <c r="FJ34" s="749" t="n"/>
      <c r="FK34" s="749" t="n"/>
      <c r="FL34" s="749" t="n"/>
      <c r="FM34" s="749" t="n"/>
      <c r="FN34" s="749" t="n"/>
      <c r="FP34" s="749" t="n"/>
      <c r="FQ34" s="749" t="n"/>
      <c r="FS34" s="135" t="n"/>
      <c r="FT34" s="749" t="n"/>
      <c r="FU34" s="749" t="n"/>
      <c r="FV34" s="749" t="n"/>
      <c r="FW34" s="749" t="n"/>
      <c r="FX34" s="749" t="n"/>
      <c r="FY34" s="749" t="n"/>
      <c r="FZ34" s="749" t="n"/>
      <c r="GA34" s="749" t="n"/>
      <c r="GB34" s="749" t="n"/>
      <c r="GC34" s="749" t="n"/>
      <c r="GD34" s="749" t="n"/>
      <c r="GE34" s="749" t="n"/>
      <c r="GF34" s="749" t="n"/>
      <c r="GG34" s="749" t="n"/>
      <c r="GI34" s="573" t="n"/>
      <c r="GJ34" s="573" t="n"/>
      <c r="GK34" s="573" t="n"/>
      <c r="GL34" s="573" t="n"/>
      <c r="GM34" s="573" t="n"/>
      <c r="GN34" s="573" t="n"/>
      <c r="GO34" s="573" t="n"/>
      <c r="GP34" s="573" t="n"/>
      <c r="GQ34" s="573" t="n"/>
      <c r="GR34" s="573" t="n"/>
      <c r="GS34" s="573" t="n"/>
      <c r="GT34" s="573" t="n"/>
      <c r="GU34" s="573" t="n"/>
      <c r="GV34" s="573" t="n"/>
      <c r="GW34" s="573" t="n"/>
      <c r="GX34" s="573" t="n"/>
      <c r="GY34" s="573" t="n"/>
      <c r="GZ34" s="573" t="n"/>
      <c r="HA34" s="573" t="n"/>
      <c r="HB34" s="573" t="n"/>
      <c r="HC34" s="573" t="n"/>
      <c r="HD34" s="573" t="n"/>
      <c r="HE34" s="573" t="n"/>
      <c r="HF34" s="573" t="n"/>
      <c r="HG34" s="573" t="n"/>
      <c r="HH34" s="573" t="n"/>
      <c r="HI34" s="573" t="n"/>
      <c r="HJ34" s="573" t="n"/>
      <c r="HK34" s="573" t="n"/>
      <c r="HL34" s="573" t="n"/>
      <c r="HM34" s="573" t="n"/>
      <c r="HO34" s="573" t="n"/>
      <c r="HP34" s="573" t="n"/>
      <c r="HQ34" s="573" t="n"/>
      <c r="HR34" s="573" t="n"/>
      <c r="HS34" s="573" t="n"/>
      <c r="HT34" s="573" t="n"/>
      <c r="HU34" s="573" t="n"/>
      <c r="HV34" s="573" t="n"/>
      <c r="HW34" s="573" t="n"/>
      <c r="HX34" s="573" t="n"/>
      <c r="HY34" s="573" t="n"/>
      <c r="HZ34" s="573" t="n"/>
      <c r="IA34" s="573" t="n"/>
      <c r="IB34" s="573" t="n"/>
      <c r="ID34" s="573" t="n"/>
      <c r="IE34" s="573" t="n"/>
      <c r="IF34" s="573" t="n"/>
      <c r="IG34" s="573" t="n"/>
      <c r="IH34" s="573" t="n"/>
      <c r="II34" s="573" t="n"/>
      <c r="IJ34" s="573" t="n"/>
      <c r="IK34" s="573" t="n"/>
      <c r="IL34" s="573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6" t="n">
        <v>45656</v>
      </c>
      <c r="G35" s="746" t="n">
        <v>45663</v>
      </c>
      <c r="H35" s="746" t="n">
        <v>45670</v>
      </c>
      <c r="I35" s="746" t="n">
        <v>45677</v>
      </c>
      <c r="J35" s="746" t="n">
        <v>45684</v>
      </c>
      <c r="K35" s="746" t="n">
        <v>45691</v>
      </c>
      <c r="L35" s="746" t="n">
        <v>45698</v>
      </c>
      <c r="M35" s="746" t="n">
        <v>45705</v>
      </c>
      <c r="N35" s="746" t="n">
        <v>45712</v>
      </c>
      <c r="O35" s="746" t="n">
        <v>45719</v>
      </c>
      <c r="P35" s="746" t="n">
        <v>45726</v>
      </c>
      <c r="Q35" s="746" t="n">
        <v>45733</v>
      </c>
      <c r="R35" s="746" t="n">
        <v>45740</v>
      </c>
      <c r="S35" s="746" t="n">
        <v>45747</v>
      </c>
      <c r="T35" s="746" t="n">
        <v>45754</v>
      </c>
      <c r="U35" s="746" t="n">
        <v>45761</v>
      </c>
      <c r="V35" s="746" t="n">
        <v>45768</v>
      </c>
      <c r="W35" s="746" t="n">
        <v>45775</v>
      </c>
      <c r="X35" s="746" t="n">
        <v>45782</v>
      </c>
      <c r="Y35" s="746" t="n">
        <v>45789</v>
      </c>
      <c r="Z35" s="746" t="n">
        <v>45796</v>
      </c>
      <c r="AA35" s="746" t="n">
        <v>45803</v>
      </c>
      <c r="AB35" s="746" t="n">
        <v>45810</v>
      </c>
      <c r="AC35" s="746" t="n">
        <v>45817</v>
      </c>
      <c r="AD35" s="746" t="n">
        <v>45824</v>
      </c>
      <c r="AE35" s="746" t="n">
        <v>45831</v>
      </c>
      <c r="AF35" s="746" t="n">
        <v>45838</v>
      </c>
      <c r="AG35" s="746" t="n">
        <v>45845</v>
      </c>
      <c r="AH35" s="746" t="n">
        <v>45852</v>
      </c>
      <c r="AI35" s="746" t="n">
        <v>45859</v>
      </c>
      <c r="AJ35" s="746" t="n">
        <v>45866</v>
      </c>
      <c r="AK35" s="746" t="n">
        <v>45873</v>
      </c>
      <c r="AL35" s="746" t="n">
        <v>45880</v>
      </c>
      <c r="AM35" s="746" t="n">
        <v>45887</v>
      </c>
      <c r="AN35" s="746" t="n">
        <v>45894</v>
      </c>
      <c r="AO35" s="746" t="n">
        <v>45901</v>
      </c>
      <c r="AP35" s="746" t="n">
        <v>45908</v>
      </c>
      <c r="AQ35" s="746" t="n">
        <v>45915</v>
      </c>
      <c r="AR35" s="746" t="n">
        <v>45922</v>
      </c>
      <c r="AS35" s="746" t="n">
        <v>45929</v>
      </c>
      <c r="AT35" s="746" t="n">
        <v>45936</v>
      </c>
      <c r="AU35" s="746" t="n">
        <v>45943</v>
      </c>
      <c r="AV35" s="746" t="n">
        <v>45950</v>
      </c>
      <c r="AW35" s="746" t="n">
        <v>45957</v>
      </c>
      <c r="AX35" s="746" t="n">
        <v>45964</v>
      </c>
      <c r="AY35" s="746" t="n">
        <v>45971</v>
      </c>
      <c r="AZ35" s="746" t="n">
        <v>45978</v>
      </c>
      <c r="BA35" s="746" t="n">
        <v>45985</v>
      </c>
      <c r="BB35" s="746" t="n">
        <v>45992</v>
      </c>
      <c r="BC35" s="746" t="n">
        <v>45999</v>
      </c>
      <c r="BD35" s="746" t="n">
        <v>46006</v>
      </c>
      <c r="BE35" s="746" t="n">
        <v>46013</v>
      </c>
      <c r="BF35" s="746" t="n">
        <v>46020</v>
      </c>
      <c r="BG35" s="746" t="n">
        <v>46027</v>
      </c>
      <c r="BH35" s="746" t="n">
        <v>46034</v>
      </c>
      <c r="BI35" s="746" t="n">
        <v>46041</v>
      </c>
      <c r="BJ35" s="746" t="n">
        <v>46048</v>
      </c>
      <c r="BK35" s="746" t="n">
        <v>46055</v>
      </c>
      <c r="BL35" s="746" t="n">
        <v>46062</v>
      </c>
      <c r="BM35" s="746" t="n">
        <v>46069</v>
      </c>
      <c r="BN35" s="746" t="n">
        <v>46076</v>
      </c>
      <c r="BO35" s="746" t="n">
        <v>46083</v>
      </c>
      <c r="BP35" s="746" t="n">
        <v>46090</v>
      </c>
      <c r="BQ35" s="746" t="n">
        <v>46097</v>
      </c>
      <c r="BR35" s="746" t="n">
        <v>46104</v>
      </c>
      <c r="BS35" s="746" t="n">
        <v>46111</v>
      </c>
      <c r="BT35" s="746" t="n">
        <v>46118</v>
      </c>
      <c r="BU35" s="746" t="n">
        <v>46125</v>
      </c>
      <c r="BV35" s="746" t="n">
        <v>46132</v>
      </c>
      <c r="BW35" s="746" t="n">
        <v>46139</v>
      </c>
      <c r="BX35" s="746" t="n">
        <v>46146</v>
      </c>
      <c r="BY35" s="746" t="n">
        <v>46154</v>
      </c>
      <c r="BZ35" s="746" t="n">
        <v>46160</v>
      </c>
      <c r="CA35" s="747" t="n">
        <v>46161.48024612269</v>
      </c>
      <c r="CB35" s="747" t="n">
        <v>46161.48090400566</v>
      </c>
      <c r="CC35" s="748" t="inlineStr">
        <is>
          <t>USOU</t>
        </is>
      </c>
      <c r="CE35" s="44" t="inlineStr">
        <is>
          <t>Pendências</t>
        </is>
      </c>
      <c r="CF35" s="44" t="inlineStr">
        <is>
          <t>Pendências</t>
        </is>
      </c>
      <c r="CH35" s="12" t="inlineStr">
        <is>
          <t>Novo Pedido</t>
        </is>
      </c>
      <c r="CI35" s="793" t="n">
        <v>46161.48089931483</v>
      </c>
      <c r="CJ35" s="794" t="n">
        <v>46149</v>
      </c>
      <c r="CK35" s="794" t="n">
        <v>46142</v>
      </c>
      <c r="CL35" s="794" t="n">
        <v>46114</v>
      </c>
      <c r="CM35" s="794" t="n">
        <v>46107</v>
      </c>
      <c r="CN35" s="795" t="n">
        <v>46065</v>
      </c>
      <c r="CO35" s="794" t="n">
        <v>46099</v>
      </c>
      <c r="CP35" s="794" t="n">
        <v>46092</v>
      </c>
      <c r="CQ35" s="796" t="n">
        <v>46045</v>
      </c>
      <c r="CR35" s="794" t="n">
        <v>46077</v>
      </c>
      <c r="CS35" s="794" t="n">
        <v>46048</v>
      </c>
      <c r="CT35" s="794" t="n">
        <v>46043</v>
      </c>
      <c r="CU35" s="794" t="n">
        <v>46024</v>
      </c>
      <c r="CV35" s="794" t="n">
        <v>46017</v>
      </c>
      <c r="CW35" s="794" t="n">
        <v>46007</v>
      </c>
      <c r="CX35" s="794" t="n">
        <v>46001</v>
      </c>
      <c r="CY35" s="794" t="n">
        <v>46001</v>
      </c>
      <c r="CZ35" s="794" t="n">
        <v>45994</v>
      </c>
      <c r="DA35" s="794" t="n">
        <v>45986</v>
      </c>
      <c r="DB35" s="794" t="n">
        <v>45980</v>
      </c>
      <c r="DC35" s="794" t="n">
        <v>45980</v>
      </c>
      <c r="DD35" s="797" t="n">
        <v>45982</v>
      </c>
      <c r="DE35" s="794" t="n">
        <v>45973</v>
      </c>
      <c r="DF35" s="794" t="n">
        <v>45965</v>
      </c>
      <c r="DG35" s="794" t="n">
        <v>45960</v>
      </c>
      <c r="DH35" s="794" t="n">
        <v>45951</v>
      </c>
      <c r="DI35" s="737" t="n">
        <v>45903</v>
      </c>
      <c r="DJ35" s="794" t="n">
        <v>45945</v>
      </c>
      <c r="DK35" s="794" t="n">
        <v>45937</v>
      </c>
      <c r="DL35" s="794" t="n">
        <v>45931</v>
      </c>
      <c r="DM35" s="794" t="n">
        <v>45931</v>
      </c>
      <c r="DN35" s="794" t="n">
        <v>45915</v>
      </c>
      <c r="DO35" s="794" t="n">
        <v>45923</v>
      </c>
      <c r="DP35" s="794" t="n">
        <v>45903</v>
      </c>
      <c r="DQ35" s="794" t="n">
        <v>45915</v>
      </c>
      <c r="DR35" s="797" t="n">
        <v>45918</v>
      </c>
      <c r="DS35" s="794" t="n">
        <v>45909</v>
      </c>
      <c r="DT35" s="738" t="n">
        <v>45903</v>
      </c>
      <c r="DU35" s="794" t="n">
        <v>45895</v>
      </c>
      <c r="DV35" s="797" t="n">
        <v>45896</v>
      </c>
      <c r="DW35" s="794" t="n">
        <v>45881</v>
      </c>
      <c r="DX35" s="738" t="n">
        <v>45839</v>
      </c>
      <c r="DY35" s="794" t="n">
        <v>45888</v>
      </c>
      <c r="DZ35" s="794" t="n">
        <v>45881</v>
      </c>
      <c r="EA35" s="797" t="n">
        <v>45881</v>
      </c>
      <c r="EB35" s="794" t="n">
        <v>45874</v>
      </c>
      <c r="EC35" s="797" t="n">
        <v>45876</v>
      </c>
      <c r="ED35" s="794" t="n">
        <v>45867</v>
      </c>
      <c r="EE35" s="794" t="n">
        <v>45867</v>
      </c>
      <c r="EF35" s="794" t="n">
        <v>45860</v>
      </c>
      <c r="EG35" s="797" t="n">
        <v>45861</v>
      </c>
      <c r="EH35" s="797" t="n">
        <v>45860</v>
      </c>
      <c r="EI35" s="794" t="n">
        <v>45853</v>
      </c>
      <c r="EJ35" s="739" t="n">
        <v>45855</v>
      </c>
      <c r="EK35" s="794" t="n">
        <v>45848</v>
      </c>
      <c r="EL35" s="794" t="n">
        <v>45839</v>
      </c>
      <c r="EM35" s="794" t="n">
        <v>45839</v>
      </c>
      <c r="EN35" s="797" t="n">
        <v>45835</v>
      </c>
      <c r="EO35" s="794" t="n">
        <v>45790</v>
      </c>
      <c r="EP35" s="794" t="n">
        <v>45825</v>
      </c>
      <c r="EQ35" s="794" t="n">
        <v>45819</v>
      </c>
      <c r="ER35" s="794" t="n">
        <v>45813</v>
      </c>
      <c r="ES35" s="794" t="n">
        <v>45797</v>
      </c>
      <c r="ET35" s="797" t="n">
        <v>45811</v>
      </c>
      <c r="EU35" s="797" t="n">
        <v>45810</v>
      </c>
      <c r="EV35" s="797" t="n">
        <v>45806</v>
      </c>
      <c r="EW35" s="797" t="n">
        <v>45803</v>
      </c>
      <c r="EX35" s="755" t="n">
        <v>45803</v>
      </c>
      <c r="EY35" s="794" t="n">
        <v>45784</v>
      </c>
      <c r="EZ35" s="797" t="n">
        <v>45791</v>
      </c>
      <c r="FA35" s="794" t="n">
        <v>45784</v>
      </c>
      <c r="FB35" s="794" t="n">
        <v>45764</v>
      </c>
      <c r="FC35" s="797" t="n">
        <v>45791</v>
      </c>
      <c r="FD35" s="794" t="n">
        <v>45783</v>
      </c>
      <c r="FE35" s="794" t="n">
        <v>45770</v>
      </c>
      <c r="FF35" s="794" t="n">
        <v>45775</v>
      </c>
      <c r="FG35" s="794" t="n">
        <v>45770</v>
      </c>
      <c r="FH35" s="794" t="n">
        <v>45770</v>
      </c>
      <c r="FI35" s="797" t="n">
        <v>45775</v>
      </c>
      <c r="FJ35" s="797" t="n">
        <v>45770</v>
      </c>
      <c r="FK35" s="794" t="n">
        <v>45756</v>
      </c>
      <c r="FL35" s="794" t="n">
        <v>45735</v>
      </c>
      <c r="FM35" s="797" t="n">
        <v>45751</v>
      </c>
      <c r="FN35" s="794" t="n">
        <v>45743</v>
      </c>
      <c r="FO35" s="746" t="n">
        <v>45729</v>
      </c>
      <c r="FP35" s="794" t="n">
        <v>45722</v>
      </c>
      <c r="FQ35" s="794" t="n">
        <v>45722</v>
      </c>
      <c r="FR35" s="746" t="n">
        <v>45700</v>
      </c>
      <c r="FS35" s="797" t="n">
        <v>45722</v>
      </c>
      <c r="FT35" s="794" t="n">
        <v>45714</v>
      </c>
      <c r="FU35" s="794" t="n">
        <v>45706</v>
      </c>
      <c r="FV35" s="794" t="n">
        <v>45684</v>
      </c>
      <c r="FW35" s="794" t="n">
        <v>45699</v>
      </c>
      <c r="FX35" s="794" t="n">
        <v>45693</v>
      </c>
      <c r="FY35" s="797" t="n">
        <v>45687</v>
      </c>
      <c r="FZ35" s="794" t="n">
        <v>45685</v>
      </c>
      <c r="GA35" s="797" t="n">
        <v>45684</v>
      </c>
      <c r="GB35" s="794" t="n">
        <v>45674</v>
      </c>
      <c r="GC35" s="794" t="n">
        <v>45664</v>
      </c>
      <c r="GD35" s="794" t="n">
        <v>45660</v>
      </c>
      <c r="GE35" s="794" t="n">
        <v>45660</v>
      </c>
      <c r="GF35" s="794" t="n">
        <v>45652</v>
      </c>
      <c r="GG35" s="794" t="n">
        <v>45643</v>
      </c>
      <c r="GI35" s="573" t="n"/>
      <c r="GJ35" s="573" t="n"/>
      <c r="GK35" s="573" t="n"/>
      <c r="GL35" s="573" t="n"/>
      <c r="GM35" s="573" t="n"/>
      <c r="GN35" s="573" t="n"/>
      <c r="GO35" s="573" t="n"/>
      <c r="GP35" s="573" t="n"/>
      <c r="GQ35" s="573" t="n"/>
      <c r="GR35" s="573" t="n"/>
      <c r="GS35" s="573" t="n"/>
      <c r="GT35" s="573" t="n"/>
      <c r="GU35" s="573" t="n"/>
      <c r="GV35" s="573" t="n"/>
      <c r="GW35" s="573" t="n"/>
      <c r="GX35" s="573" t="n"/>
      <c r="GY35" s="573" t="n"/>
      <c r="GZ35" s="573" t="n"/>
      <c r="HA35" s="573" t="n"/>
      <c r="HB35" s="573" t="n"/>
      <c r="HC35" s="573" t="n"/>
      <c r="HD35" s="573" t="n"/>
      <c r="HE35" s="573" t="n"/>
      <c r="HF35" s="573" t="n"/>
      <c r="HG35" s="573" t="n"/>
      <c r="HH35" s="573" t="n"/>
      <c r="HI35" s="573" t="n"/>
      <c r="HJ35" s="573" t="n"/>
      <c r="HK35" s="573" t="n"/>
      <c r="HL35" s="573" t="n"/>
      <c r="HM35" s="573" t="n"/>
      <c r="HO35" s="573" t="n"/>
      <c r="HP35" s="573" t="n"/>
      <c r="HQ35" s="573" t="n"/>
      <c r="HR35" s="573" t="n"/>
      <c r="HS35" s="573" t="n"/>
      <c r="HT35" s="573" t="n"/>
      <c r="HU35" s="573" t="n"/>
      <c r="HV35" s="573" t="n"/>
      <c r="HW35" s="573" t="n"/>
      <c r="HX35" s="573" t="n"/>
      <c r="HY35" s="573" t="n"/>
      <c r="HZ35" s="573" t="n"/>
      <c r="IA35" s="573" t="n"/>
      <c r="IB35" s="573" t="n"/>
      <c r="ID35" s="573" t="n"/>
      <c r="IE35" s="573" t="n"/>
      <c r="IF35" s="573" t="n"/>
      <c r="IG35" s="573" t="n"/>
      <c r="IH35" s="573" t="n"/>
      <c r="II35" s="573" t="n"/>
      <c r="IJ35" s="573" t="n"/>
      <c r="IK35" s="573" t="n"/>
      <c r="IL35" s="573" t="n"/>
    </row>
    <row r="36">
      <c r="A36" s="37" t="inlineStr">
        <is>
          <t>SACOLA P OUI</t>
        </is>
      </c>
      <c r="B36" s="32" t="n">
        <v>150</v>
      </c>
      <c r="C36" s="773" t="n">
        <v>469.25</v>
      </c>
      <c r="D36" s="382" t="n">
        <v>10</v>
      </c>
      <c r="E36" s="573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>
        <v>39</v>
      </c>
      <c r="BU36" s="32" t="n">
        <v>39</v>
      </c>
      <c r="BV36" s="32" t="n">
        <v>39</v>
      </c>
      <c r="BW36" s="32" t="n">
        <v>39</v>
      </c>
      <c r="BX36" s="32" t="n">
        <v>39</v>
      </c>
      <c r="BY36" s="32" t="n">
        <v>38</v>
      </c>
      <c r="BZ36" s="32" t="n">
        <v>38</v>
      </c>
      <c r="CA36" s="32" t="n">
        <v>38</v>
      </c>
      <c r="CB36" s="32" t="n">
        <v>38</v>
      </c>
      <c r="CC36" s="192">
        <f>CA36+IF(NOT(ISBLANK(OFFSET(CC36,0,6))),N(OFFSET(CC36,0,6)),N(OFFSET(CC36,0,7)))-CB36</f>
        <v/>
      </c>
      <c r="CE36" s="22" t="n"/>
      <c r="CF36" s="22" t="n"/>
      <c r="CH36" s="27" t="n"/>
      <c r="CI36" s="830" t="n">
        <v>0</v>
      </c>
      <c r="CJ36" s="40" t="n">
        <v>0</v>
      </c>
      <c r="CK36" s="40" t="n">
        <v>0</v>
      </c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40" t="n"/>
      <c r="DA36" s="40" t="n"/>
      <c r="DB36" s="40" t="n"/>
      <c r="DC36" s="40" t="n"/>
      <c r="DD36" s="219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40" t="n"/>
      <c r="DQ36" s="40" t="n"/>
      <c r="DR36" s="40" t="n"/>
      <c r="DS36" s="40" t="n"/>
      <c r="DT36" s="23" t="n"/>
      <c r="DU36" s="40" t="n"/>
      <c r="DV36" s="40" t="n"/>
      <c r="DW36" s="40" t="n"/>
      <c r="DX36" s="23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40" t="n"/>
      <c r="FL36" s="40" t="n"/>
      <c r="FM36" s="40" t="n"/>
      <c r="FN36" s="40" t="n"/>
      <c r="FO36" s="219" t="n"/>
      <c r="FP36" s="40" t="n"/>
      <c r="FQ36" s="40" t="n"/>
      <c r="FR36" s="219" t="n"/>
      <c r="FS36" s="135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D36" s="40" t="n"/>
      <c r="GE36" s="40" t="n"/>
      <c r="GF36" s="40" t="n"/>
      <c r="GG36" s="40" t="n"/>
      <c r="GI36" s="573" t="n"/>
      <c r="GJ36" s="573" t="n"/>
      <c r="GK36" s="573" t="n"/>
      <c r="GL36" s="573" t="n"/>
      <c r="GM36" s="573" t="n"/>
      <c r="GN36" s="573" t="n"/>
      <c r="GO36" s="573" t="n"/>
      <c r="GP36" s="573" t="n"/>
      <c r="GQ36" s="573" t="n"/>
      <c r="GR36" s="573" t="n"/>
      <c r="GS36" s="573" t="n"/>
      <c r="GT36" s="573" t="n"/>
      <c r="GU36" s="573" t="n"/>
      <c r="GV36" s="573" t="n"/>
      <c r="GW36" s="573" t="n"/>
      <c r="GX36" s="573" t="n"/>
      <c r="GY36" s="573" t="n"/>
      <c r="GZ36" s="573" t="n"/>
      <c r="HA36" s="573" t="n"/>
      <c r="HB36" s="573" t="n"/>
      <c r="HC36" s="573" t="n"/>
      <c r="HD36" s="573" t="n"/>
      <c r="HE36" s="573" t="n"/>
      <c r="HF36" s="573" t="n"/>
      <c r="HG36" s="573" t="n"/>
      <c r="HH36" s="573" t="n"/>
      <c r="HI36" s="573" t="n"/>
      <c r="HJ36" s="573" t="n"/>
      <c r="HK36" s="573" t="n"/>
      <c r="HL36" s="573" t="n"/>
      <c r="HM36" s="573" t="n"/>
      <c r="HO36" s="573" t="n"/>
      <c r="HP36" s="573" t="n"/>
      <c r="HQ36" s="573" t="n"/>
      <c r="HR36" s="573" t="n"/>
      <c r="HS36" s="573" t="n"/>
      <c r="HT36" s="573" t="n"/>
      <c r="HU36" s="573" t="n"/>
      <c r="HV36" s="573" t="n"/>
      <c r="HW36" s="573" t="n"/>
      <c r="HX36" s="573" t="n"/>
      <c r="HY36" s="573" t="n"/>
      <c r="HZ36" s="573" t="n"/>
      <c r="IA36" s="573" t="n"/>
      <c r="IB36" s="573" t="n"/>
      <c r="ID36" s="573" t="n"/>
      <c r="IE36" s="573" t="n"/>
      <c r="IF36" s="573" t="n"/>
      <c r="IG36" s="573" t="n"/>
      <c r="IH36" s="573" t="n"/>
      <c r="II36" s="573" t="n"/>
      <c r="IJ36" s="573" t="n"/>
      <c r="IK36" s="573" t="n"/>
      <c r="IL36" s="573" t="n"/>
    </row>
    <row r="37">
      <c r="A37" s="37" t="inlineStr">
        <is>
          <t>SACOLA M OUI</t>
        </is>
      </c>
      <c r="B37" s="32" t="n">
        <v>100</v>
      </c>
      <c r="C37" s="773" t="n">
        <v>368.23</v>
      </c>
      <c r="D37" s="382" t="n">
        <v>10</v>
      </c>
      <c r="E37" s="573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>
        <v>42</v>
      </c>
      <c r="BU37" s="32" t="n">
        <v>42</v>
      </c>
      <c r="BV37" s="32" t="n">
        <v>42</v>
      </c>
      <c r="BW37" s="32" t="n">
        <v>42</v>
      </c>
      <c r="BX37" s="32" t="n">
        <v>42</v>
      </c>
      <c r="BY37" s="32" t="n">
        <v>18</v>
      </c>
      <c r="BZ37" s="32" t="n">
        <v>18</v>
      </c>
      <c r="CA37" s="32" t="n">
        <v>18</v>
      </c>
      <c r="CB37" s="32" t="n">
        <v>18</v>
      </c>
      <c r="CC37" s="192">
        <f>CA37+IF(NOT(ISBLANK(OFFSET(CC37,0,6))),N(OFFSET(CC37,0,6)),N(OFFSET(CC37,0,7)))-CB37</f>
        <v/>
      </c>
      <c r="CE37" s="22" t="n"/>
      <c r="CF37" s="22" t="n"/>
      <c r="CH37" s="27" t="n"/>
      <c r="CI37" s="830" t="n">
        <v>0</v>
      </c>
      <c r="CJ37" s="40" t="n">
        <v>0</v>
      </c>
      <c r="CK37" s="40" t="n">
        <v>0</v>
      </c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40" t="n"/>
      <c r="DA37" s="40" t="n"/>
      <c r="DB37" s="40" t="n"/>
      <c r="DC37" s="40" t="n"/>
      <c r="DD37" s="219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40" t="n"/>
      <c r="DQ37" s="40" t="n"/>
      <c r="DR37" s="40" t="n"/>
      <c r="DS37" s="40" t="n"/>
      <c r="DT37" s="23" t="n"/>
      <c r="DU37" s="40" t="n"/>
      <c r="DV37" s="40" t="n"/>
      <c r="DW37" s="40" t="n"/>
      <c r="DX37" s="23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40" t="n"/>
      <c r="EQ37" s="40" t="n"/>
      <c r="ER37" s="40" t="n"/>
      <c r="ES37" s="40" t="n"/>
      <c r="ET37" s="219" t="n"/>
      <c r="EU37" s="219" t="n"/>
      <c r="EV37" s="219" t="n"/>
      <c r="EW37" s="219" t="n"/>
      <c r="EX37" s="40" t="n"/>
      <c r="EY37" s="40" t="n"/>
      <c r="EZ37" s="219" t="n"/>
      <c r="FA37" s="40" t="n"/>
      <c r="FB37" s="40" t="n"/>
      <c r="FC37" s="282" t="inlineStr">
        <is>
          <t>50 P/ ER</t>
        </is>
      </c>
      <c r="FD37" s="40" t="n"/>
      <c r="FE37" s="40" t="n">
        <v>100</v>
      </c>
      <c r="FF37" s="40" t="n"/>
      <c r="FG37" s="40" t="n"/>
      <c r="FH37" s="40" t="n"/>
      <c r="FI37" s="40" t="n"/>
      <c r="FJ37" s="40" t="n"/>
      <c r="FK37" s="40" t="n"/>
      <c r="FL37" s="40" t="n"/>
      <c r="FM37" s="40" t="n"/>
      <c r="FN37" s="40" t="n"/>
      <c r="FO37" s="219" t="n"/>
      <c r="FP37" s="40" t="n"/>
      <c r="FQ37" s="40" t="n"/>
      <c r="FR37" s="219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D37" s="40" t="n"/>
      <c r="GE37" s="40" t="n"/>
      <c r="GF37" s="40" t="n"/>
      <c r="GG37" s="40" t="n"/>
      <c r="GI37" s="573" t="n"/>
      <c r="GJ37" s="573" t="n"/>
      <c r="GK37" s="573" t="n"/>
      <c r="GL37" s="573" t="n"/>
      <c r="GM37" s="573" t="n"/>
      <c r="GN37" s="573" t="n"/>
      <c r="GO37" s="573" t="n"/>
      <c r="GP37" s="573" t="n"/>
      <c r="GQ37" s="573" t="n"/>
      <c r="GR37" s="573" t="n"/>
      <c r="GS37" s="573" t="n"/>
      <c r="GT37" s="573" t="n"/>
      <c r="GU37" s="573" t="n"/>
      <c r="GV37" s="573" t="n"/>
      <c r="GW37" s="573" t="n"/>
      <c r="GX37" s="573" t="n"/>
      <c r="GY37" s="573" t="n"/>
      <c r="GZ37" s="573" t="n"/>
      <c r="HA37" s="41" t="n"/>
      <c r="HB37" s="41" t="n"/>
      <c r="HC37" s="41" t="n"/>
      <c r="HD37" s="41" t="n"/>
      <c r="HE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O37" s="41" t="n"/>
      <c r="HP37" s="41" t="n"/>
      <c r="HQ37" s="41" t="n"/>
      <c r="HR37" s="41" t="n"/>
      <c r="HS37" s="41" t="n"/>
      <c r="HT37" s="41" t="n"/>
      <c r="HU37" s="41" t="n"/>
      <c r="HV37" s="41" t="n"/>
      <c r="HW37" s="41" t="n"/>
      <c r="HX37" s="41" t="n"/>
      <c r="HY37" s="41" t="n"/>
      <c r="HZ37" s="41" t="n"/>
      <c r="IA37" s="41" t="n"/>
      <c r="IB37" s="41" t="n"/>
      <c r="ID37" s="41" t="n"/>
      <c r="IE37" s="41" t="n"/>
      <c r="IF37" s="41" t="n"/>
      <c r="IG37" s="41" t="n"/>
      <c r="IH37" s="41" t="n"/>
      <c r="II37" s="41" t="n"/>
      <c r="IJ37" s="41" t="n"/>
      <c r="IK37" s="41" t="n"/>
      <c r="IL37" s="41" t="n"/>
    </row>
    <row r="38">
      <c r="A38" s="37" t="inlineStr">
        <is>
          <t>SACOLA G OUI</t>
        </is>
      </c>
      <c r="B38" s="32" t="n">
        <v>50</v>
      </c>
      <c r="C38" s="773" t="n">
        <v>257.98</v>
      </c>
      <c r="D38" s="382" t="n">
        <v>5</v>
      </c>
      <c r="E38" s="573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>
        <v>4</v>
      </c>
      <c r="BU38" s="32" t="n">
        <v>4</v>
      </c>
      <c r="BV38" s="32" t="n">
        <v>4</v>
      </c>
      <c r="BW38" s="32" t="n">
        <v>4</v>
      </c>
      <c r="BX38" s="32" t="n">
        <v>4</v>
      </c>
      <c r="BY38" s="32" t="n">
        <v>2</v>
      </c>
      <c r="BZ38" s="32" t="n">
        <v>0</v>
      </c>
      <c r="CA38" s="32" t="n">
        <v>0</v>
      </c>
      <c r="CB38" s="32" t="n">
        <v>0</v>
      </c>
      <c r="CC38" s="192">
        <f>CA38+IF(NOT(ISBLANK(OFFSET(CC38,0,6))),N(OFFSET(CC38,0,6)),N(OFFSET(CC38,0,7)))-CB38</f>
        <v/>
      </c>
      <c r="CE38" s="22" t="n"/>
      <c r="CF38" s="22" t="n"/>
      <c r="CH38" s="27" t="n"/>
      <c r="CI38" s="830" t="n">
        <v>0</v>
      </c>
      <c r="CJ38" s="40" t="n">
        <v>0</v>
      </c>
      <c r="CK38" s="40" t="n">
        <v>0</v>
      </c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40" t="n"/>
      <c r="DA38" s="40" t="n"/>
      <c r="DB38" s="40" t="n"/>
      <c r="DC38" s="40" t="n"/>
      <c r="DD38" s="219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40" t="n"/>
      <c r="DQ38" s="40" t="n"/>
      <c r="DR38" s="40" t="n"/>
      <c r="DS38" s="40" t="n"/>
      <c r="DT38" s="23" t="n"/>
      <c r="DU38" s="40" t="n"/>
      <c r="DV38" s="40" t="n"/>
      <c r="DW38" s="40" t="n"/>
      <c r="DX38" s="23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40" t="n"/>
      <c r="EQ38" s="40" t="n"/>
      <c r="ER38" s="40" t="n"/>
      <c r="ES38" s="40" t="n"/>
      <c r="ET38" s="219" t="n"/>
      <c r="EU38" s="219" t="n"/>
      <c r="EV38" s="219" t="n"/>
      <c r="EW38" s="219" t="n"/>
      <c r="EX38" s="40" t="n"/>
      <c r="EY38" s="40" t="n"/>
      <c r="EZ38" s="219" t="n"/>
      <c r="FA38" s="40" t="n"/>
      <c r="FB38" s="40" t="n"/>
      <c r="FC38" s="282" t="inlineStr">
        <is>
          <t>20 P/ ER</t>
        </is>
      </c>
      <c r="FD38" s="40" t="n"/>
      <c r="FE38" s="40" t="n"/>
      <c r="FF38" s="40" t="n"/>
      <c r="FG38" s="40" t="n">
        <v>50</v>
      </c>
      <c r="FH38" s="40" t="n"/>
      <c r="FI38" s="40" t="n"/>
      <c r="FJ38" s="40" t="n"/>
      <c r="FK38" s="40" t="n"/>
      <c r="FL38" s="40" t="n"/>
      <c r="FM38" s="40" t="n"/>
      <c r="FN38" s="40" t="n"/>
      <c r="FO38" s="219" t="n"/>
      <c r="FP38" s="40" t="n"/>
      <c r="FQ38" s="40" t="n"/>
      <c r="FR38" s="219" t="n"/>
      <c r="FS38" s="40" t="n"/>
      <c r="FT38" s="40" t="n"/>
      <c r="FU38" s="40" t="n"/>
      <c r="FV38" s="40" t="n"/>
      <c r="FW38" s="40" t="n"/>
      <c r="FX38" s="40" t="n"/>
      <c r="FY38" s="40" t="n"/>
      <c r="FZ38" s="40" t="n"/>
      <c r="GA38" s="282" t="inlineStr">
        <is>
          <t>10 P/ ER</t>
        </is>
      </c>
      <c r="GB38" s="40" t="n"/>
      <c r="GC38" s="40" t="n"/>
      <c r="GD38" s="40" t="n"/>
      <c r="GE38" s="40" t="n"/>
      <c r="GF38" s="40" t="n"/>
      <c r="GG38" s="40" t="n"/>
      <c r="GI38" s="573" t="n"/>
      <c r="GJ38" s="573" t="n"/>
      <c r="GK38" s="573" t="n"/>
      <c r="GL38" s="573" t="n"/>
      <c r="GM38" s="573" t="n"/>
      <c r="GN38" s="573" t="n"/>
      <c r="GO38" s="573" t="n"/>
      <c r="GP38" s="573" t="n"/>
      <c r="GQ38" s="573" t="n"/>
      <c r="GR38" s="573" t="n"/>
      <c r="GS38" s="573" t="n"/>
      <c r="GT38" s="573" t="n"/>
      <c r="GU38" s="573" t="n"/>
      <c r="GV38" s="573" t="n"/>
      <c r="GW38" s="573" t="n"/>
      <c r="GX38" s="573" t="n"/>
      <c r="GY38" s="573" t="n"/>
      <c r="GZ38" s="573" t="n"/>
      <c r="HA38" s="41" t="n"/>
      <c r="HB38" s="41" t="n"/>
      <c r="HC38" s="41" t="n"/>
      <c r="HD38" s="41" t="n"/>
      <c r="HE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O38" s="41" t="n"/>
      <c r="HP38" s="41" t="n"/>
      <c r="HQ38" s="41" t="n"/>
      <c r="HR38" s="41" t="n"/>
      <c r="HS38" s="41" t="n"/>
      <c r="HT38" s="41" t="n"/>
      <c r="HU38" s="41" t="n"/>
      <c r="HV38" s="41" t="n"/>
      <c r="HW38" s="41" t="n"/>
      <c r="HX38" s="41" t="n"/>
      <c r="HY38" s="41" t="n"/>
      <c r="HZ38" s="41" t="n"/>
      <c r="IA38" s="41" t="n"/>
      <c r="IB38" s="41" t="n"/>
      <c r="ID38" s="41" t="n"/>
      <c r="IE38" s="41" t="n"/>
      <c r="IF38" s="41" t="n"/>
      <c r="IG38" s="41" t="n"/>
      <c r="IH38" s="41" t="n"/>
      <c r="II38" s="41" t="n"/>
      <c r="IJ38" s="41" t="n"/>
      <c r="IK38" s="41" t="n"/>
      <c r="IL38" s="41" t="n"/>
    </row>
    <row r="39" customFormat="1" s="3">
      <c r="A39" s="37" t="inlineStr">
        <is>
          <t>SACO M OUI (BRINDE)</t>
        </is>
      </c>
      <c r="B39" s="699" t="n">
        <v>200</v>
      </c>
      <c r="C39" s="762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0+CY39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0+CK39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32">
        <f>0+CH39</f>
        <v/>
      </c>
      <c r="BZ39" s="32" t="n"/>
      <c r="CA39" s="32" t="n"/>
      <c r="CB39" s="32" t="n"/>
      <c r="CC39" s="192">
        <f>CA39+IF(NOT(ISBLANK(OFFSET(CC39,0,6))),N(OFFSET(CC39,0,6)),N(OFFSET(CC39,0,7)))-CB39</f>
        <v/>
      </c>
      <c r="CD39" s="5" t="n"/>
      <c r="CE39" s="22" t="n"/>
      <c r="CF39" s="22" t="n"/>
      <c r="CG39" s="5" t="n"/>
      <c r="CH39" s="27" t="n"/>
      <c r="CI39" s="830" t="n">
        <v>0</v>
      </c>
      <c r="CJ39" s="40" t="n">
        <v>200</v>
      </c>
      <c r="CK39" s="40" t="n">
        <v>0</v>
      </c>
      <c r="CL39" s="40" t="n"/>
      <c r="CM39" s="40" t="n">
        <v>200</v>
      </c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/>
      <c r="CX39" s="40" t="n"/>
      <c r="CY39" s="40" t="n"/>
      <c r="CZ39" s="40" t="n"/>
      <c r="DA39" s="40" t="n">
        <v>400</v>
      </c>
      <c r="DB39" s="40" t="n"/>
      <c r="DC39" s="40" t="n"/>
      <c r="DD39" s="219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40" t="n"/>
      <c r="DO39" s="40" t="n"/>
      <c r="DP39" s="40" t="n"/>
      <c r="DQ39" s="40" t="n"/>
      <c r="DR39" s="192" t="inlineStr">
        <is>
          <t>200 P/ ER</t>
        </is>
      </c>
      <c r="DS39" s="40" t="n"/>
      <c r="DT39" s="23" t="n"/>
      <c r="DU39" s="40" t="n"/>
      <c r="DV39" s="40" t="n"/>
      <c r="DW39" s="40" t="n"/>
      <c r="DX39" s="23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/>
      <c r="EL39" s="40" t="n"/>
      <c r="EM39" s="40" t="n"/>
      <c r="EN39" s="40" t="n"/>
      <c r="EO39" s="40" t="n">
        <v>200</v>
      </c>
      <c r="EP39" s="40" t="n"/>
      <c r="EQ39" s="40" t="n">
        <v>200</v>
      </c>
      <c r="ER39" s="40" t="n"/>
      <c r="ES39" s="40" t="n"/>
      <c r="ET39" s="219" t="n"/>
      <c r="EU39" s="282" t="inlineStr">
        <is>
          <t>200 DE ER</t>
        </is>
      </c>
      <c r="EV39" s="219" t="n"/>
      <c r="EW39" s="219" t="n"/>
      <c r="EX39" s="40" t="n"/>
      <c r="EY39" s="40" t="n"/>
      <c r="EZ39" s="282" t="inlineStr">
        <is>
          <t>200 DE ER</t>
        </is>
      </c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40" t="n"/>
      <c r="FL39" s="40" t="n"/>
      <c r="FM39" s="40" t="n"/>
      <c r="FN39" s="40" t="n"/>
      <c r="FO39" s="219" t="n"/>
      <c r="FP39" s="40" t="n"/>
      <c r="FQ39" s="40" t="n"/>
      <c r="FR39" s="219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D39" s="40" t="n"/>
      <c r="GE39" s="40" t="n"/>
      <c r="GF39" s="40" t="n"/>
      <c r="GG39" s="40" t="n"/>
      <c r="GI39" s="573" t="n"/>
      <c r="GJ39" s="573" t="n"/>
      <c r="GK39" s="573" t="n"/>
      <c r="GL39" s="573" t="n"/>
      <c r="GM39" s="573" t="n"/>
      <c r="GN39" s="573" t="n"/>
      <c r="GO39" s="573" t="n"/>
      <c r="GP39" s="573" t="n"/>
      <c r="GQ39" s="573" t="n"/>
      <c r="GR39" s="573" t="n"/>
      <c r="GS39" s="573" t="n"/>
      <c r="GT39" s="573" t="n"/>
      <c r="GU39" s="573" t="n"/>
      <c r="GV39" s="573" t="n"/>
      <c r="GW39" s="573" t="n"/>
      <c r="GX39" s="573" t="n"/>
      <c r="GY39" s="573" t="n"/>
      <c r="GZ39" s="5" t="n"/>
      <c r="HA39" s="5" t="n"/>
      <c r="HB39" s="5" t="n"/>
      <c r="HC39" s="5" t="n"/>
      <c r="HD39" s="5" t="n"/>
      <c r="HE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O39" s="5" t="n"/>
      <c r="HP39" s="5" t="n"/>
      <c r="HQ39" s="5" t="n"/>
      <c r="HR39" s="5" t="n"/>
      <c r="HS39" s="5" t="n"/>
      <c r="HT39" s="5" t="n"/>
      <c r="HU39" s="5" t="n"/>
      <c r="HV39" s="5" t="n"/>
      <c r="HW39" s="5" t="n"/>
      <c r="HX39" s="5" t="n"/>
      <c r="HY39" s="5" t="n"/>
      <c r="HZ39" s="5" t="n"/>
      <c r="IA39" s="5" t="n"/>
      <c r="IB39" s="5" t="n"/>
      <c r="ID39" s="5" t="n"/>
      <c r="IE39" s="5" t="n"/>
      <c r="IF39" s="5" t="n"/>
      <c r="IG39" s="5" t="n"/>
      <c r="IH39" s="5" t="n"/>
      <c r="II39" s="5" t="n"/>
      <c r="IJ39" s="5" t="n"/>
      <c r="IK39" s="5" t="n"/>
      <c r="IL39" s="5" t="n"/>
    </row>
    <row r="40">
      <c r="B40" s="573" t="n"/>
      <c r="E40" s="573" t="n"/>
      <c r="F40" s="573" t="n"/>
      <c r="G40" s="573" t="n"/>
      <c r="H40" s="573" t="n"/>
      <c r="I40" s="573" t="n"/>
      <c r="J40" s="573" t="n"/>
      <c r="K40" s="573" t="n"/>
      <c r="L40" s="573" t="n"/>
      <c r="M40" s="573" t="n"/>
      <c r="N40" s="573" t="n"/>
      <c r="O40" s="573" t="n"/>
      <c r="P40" s="573" t="n"/>
      <c r="Q40" s="573" t="n"/>
      <c r="R40" s="573" t="n"/>
      <c r="S40" s="573" t="n"/>
      <c r="T40" s="573" t="n"/>
      <c r="U40" s="573" t="n"/>
      <c r="V40" s="573" t="n"/>
      <c r="W40" s="573" t="n"/>
      <c r="X40" s="573" t="n"/>
      <c r="Y40" s="573" t="n"/>
      <c r="Z40" s="573" t="n"/>
      <c r="AA40" s="573" t="n"/>
      <c r="AB40" s="573" t="n"/>
      <c r="AC40" s="573" t="n"/>
      <c r="AD40" s="573" t="n"/>
      <c r="AE40" s="573" t="n"/>
      <c r="AF40" s="573" t="n"/>
      <c r="AG40" s="573" t="n"/>
      <c r="AH40" s="573" t="n"/>
      <c r="AI40" s="573" t="n"/>
      <c r="AJ40" s="573" t="n"/>
      <c r="AK40" s="573" t="n"/>
      <c r="AL40" s="573" t="n"/>
      <c r="AM40" s="573" t="n"/>
      <c r="AN40" s="573" t="n"/>
      <c r="AO40" s="573" t="n"/>
      <c r="AP40" s="573" t="n"/>
      <c r="AQ40" s="573" t="n"/>
      <c r="AR40" s="573" t="n"/>
      <c r="AS40" s="573" t="n"/>
      <c r="AT40" s="573" t="n"/>
      <c r="AU40" s="573" t="n"/>
      <c r="AV40" s="573" t="n"/>
      <c r="AW40" s="573" t="n"/>
      <c r="AX40" s="573" t="n"/>
      <c r="AY40" s="573" t="n"/>
      <c r="AZ40" s="573" t="n"/>
      <c r="BA40" s="573" t="n"/>
      <c r="BB40" s="573" t="n"/>
      <c r="BC40" s="573" t="n"/>
      <c r="BD40" s="573" t="n"/>
      <c r="BE40" s="573" t="n"/>
      <c r="BF40" s="573" t="n"/>
      <c r="BG40" s="573" t="n"/>
      <c r="BH40" s="573" t="n"/>
      <c r="BI40" s="573" t="n"/>
      <c r="BJ40" s="573" t="n"/>
      <c r="BK40" s="573" t="n"/>
      <c r="BL40" s="573" t="n"/>
      <c r="BM40" s="573" t="n"/>
      <c r="BN40" s="573" t="n"/>
      <c r="BO40" s="573" t="n"/>
      <c r="BP40" s="573" t="n"/>
      <c r="BQ40" s="573" t="n"/>
      <c r="BR40" s="573" t="n"/>
      <c r="BS40" s="573" t="n"/>
      <c r="BT40" s="573" t="n"/>
      <c r="BU40" s="573" t="n"/>
      <c r="BV40" s="573" t="n"/>
      <c r="BW40" s="573" t="n"/>
      <c r="BX40" s="573" t="n"/>
      <c r="BY40" s="573" t="n"/>
      <c r="BZ40" s="573" t="n"/>
      <c r="CA40" s="573" t="n"/>
      <c r="CB40" s="573" t="n"/>
      <c r="CI40" s="832" t="n"/>
      <c r="CJ40" s="68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CZ40" s="68" t="n"/>
      <c r="DA40" s="68" t="n"/>
      <c r="DB40" s="68" t="n"/>
      <c r="DC40" s="68" t="n"/>
      <c r="DE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P40" s="68" t="n"/>
      <c r="DQ40" s="68" t="n"/>
      <c r="DR40" s="68" t="n"/>
      <c r="DS40" s="68" t="n"/>
      <c r="DU40" s="68" t="n"/>
      <c r="DV40" s="68" t="n"/>
      <c r="DW40" s="68" t="n"/>
      <c r="DY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K40" s="68" t="n"/>
      <c r="FL40" s="68" t="n"/>
      <c r="FM40" s="68" t="n"/>
      <c r="FN40" s="68" t="n"/>
      <c r="FP40" s="68" t="n"/>
      <c r="FQ40" s="68" t="n"/>
      <c r="FT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D40" s="68" t="n"/>
      <c r="GE40" s="68" t="n"/>
      <c r="GF40" s="68" t="n"/>
      <c r="GG40" s="68" t="n"/>
      <c r="GI40" s="41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  <c r="GT40" s="41" t="n"/>
      <c r="GU40" s="41" t="n"/>
      <c r="GV40" s="41" t="n"/>
      <c r="GW40" s="41" t="n"/>
      <c r="GX40" s="41" t="n"/>
      <c r="GY40" s="41" t="n"/>
      <c r="GZ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6" t="n">
        <v>45656</v>
      </c>
      <c r="G41" s="746" t="n">
        <v>45663</v>
      </c>
      <c r="H41" s="746" t="n">
        <v>45670</v>
      </c>
      <c r="I41" s="746" t="n">
        <v>45677</v>
      </c>
      <c r="J41" s="746" t="n">
        <v>45684</v>
      </c>
      <c r="K41" s="746" t="n">
        <v>45691</v>
      </c>
      <c r="L41" s="746" t="n">
        <v>45698</v>
      </c>
      <c r="M41" s="746" t="n">
        <v>45705</v>
      </c>
      <c r="N41" s="746" t="n">
        <v>45712</v>
      </c>
      <c r="O41" s="746" t="n">
        <v>45719</v>
      </c>
      <c r="P41" s="746" t="n">
        <v>45726</v>
      </c>
      <c r="Q41" s="746" t="n">
        <v>45733</v>
      </c>
      <c r="R41" s="746" t="n">
        <v>45740</v>
      </c>
      <c r="S41" s="746" t="n">
        <v>45747</v>
      </c>
      <c r="T41" s="746" t="n">
        <v>45754</v>
      </c>
      <c r="U41" s="746" t="n">
        <v>45761</v>
      </c>
      <c r="V41" s="746" t="n">
        <v>45768</v>
      </c>
      <c r="W41" s="746" t="n">
        <v>45775</v>
      </c>
      <c r="X41" s="746" t="n">
        <v>45782</v>
      </c>
      <c r="Y41" s="746" t="n">
        <v>45789</v>
      </c>
      <c r="Z41" s="746" t="n">
        <v>45796</v>
      </c>
      <c r="AA41" s="746" t="n">
        <v>45803</v>
      </c>
      <c r="AB41" s="746" t="n">
        <v>45810</v>
      </c>
      <c r="AC41" s="746" t="n">
        <v>45817</v>
      </c>
      <c r="AD41" s="746" t="n">
        <v>45824</v>
      </c>
      <c r="AE41" s="746" t="n">
        <v>45831</v>
      </c>
      <c r="AF41" s="746" t="n">
        <v>45838</v>
      </c>
      <c r="AG41" s="746" t="n">
        <v>45845</v>
      </c>
      <c r="AH41" s="746" t="n">
        <v>45852</v>
      </c>
      <c r="AI41" s="746" t="n">
        <v>45859</v>
      </c>
      <c r="AJ41" s="746" t="n">
        <v>45866</v>
      </c>
      <c r="AK41" s="746" t="n">
        <v>45873</v>
      </c>
      <c r="AL41" s="746" t="n">
        <v>45880</v>
      </c>
      <c r="AM41" s="746" t="n">
        <v>45887</v>
      </c>
      <c r="AN41" s="746" t="n">
        <v>45894</v>
      </c>
      <c r="AO41" s="746" t="n">
        <v>45901</v>
      </c>
      <c r="AP41" s="746" t="n">
        <v>45908</v>
      </c>
      <c r="AQ41" s="746" t="n">
        <v>45915</v>
      </c>
      <c r="AR41" s="746" t="n">
        <v>45922</v>
      </c>
      <c r="AS41" s="746" t="n">
        <v>45929</v>
      </c>
      <c r="AT41" s="746" t="n">
        <v>45936</v>
      </c>
      <c r="AU41" s="746" t="n">
        <v>45943</v>
      </c>
      <c r="AV41" s="746" t="n">
        <v>45950</v>
      </c>
      <c r="AW41" s="746" t="n">
        <v>45957</v>
      </c>
      <c r="AX41" s="746" t="n">
        <v>45964</v>
      </c>
      <c r="AY41" s="746" t="n">
        <v>45971</v>
      </c>
      <c r="AZ41" s="746" t="n">
        <v>45978</v>
      </c>
      <c r="BA41" s="746" t="n">
        <v>45985</v>
      </c>
      <c r="BB41" s="746" t="n">
        <v>45992</v>
      </c>
      <c r="BC41" s="746" t="n">
        <v>45999</v>
      </c>
      <c r="BD41" s="746" t="n">
        <v>46006</v>
      </c>
      <c r="BE41" s="746" t="n">
        <v>46013</v>
      </c>
      <c r="BF41" s="746" t="n">
        <v>46020</v>
      </c>
      <c r="BG41" s="746" t="n">
        <v>46027</v>
      </c>
      <c r="BH41" s="746" t="n">
        <v>46034</v>
      </c>
      <c r="BI41" s="746" t="n">
        <v>46041</v>
      </c>
      <c r="BJ41" s="746" t="n">
        <v>46048</v>
      </c>
      <c r="BK41" s="746" t="n">
        <v>46055</v>
      </c>
      <c r="BL41" s="746" t="n">
        <v>46062</v>
      </c>
      <c r="BM41" s="746" t="n">
        <v>46069</v>
      </c>
      <c r="BN41" s="746" t="n">
        <v>46076</v>
      </c>
      <c r="BO41" s="746" t="n">
        <v>46083</v>
      </c>
      <c r="BP41" s="746" t="n">
        <v>46090</v>
      </c>
      <c r="BQ41" s="746" t="n">
        <v>46097</v>
      </c>
      <c r="BR41" s="746" t="n">
        <v>46104</v>
      </c>
      <c r="BS41" s="746" t="n">
        <v>46111</v>
      </c>
      <c r="BT41" s="746" t="n">
        <v>46118</v>
      </c>
      <c r="BU41" s="746" t="n">
        <v>46125</v>
      </c>
      <c r="BV41" s="746" t="n">
        <v>46132</v>
      </c>
      <c r="BW41" s="746" t="n">
        <v>46139</v>
      </c>
      <c r="BX41" s="746" t="n">
        <v>46146</v>
      </c>
      <c r="BY41" s="746" t="n">
        <v>46154</v>
      </c>
      <c r="BZ41" s="746" t="n">
        <v>46160</v>
      </c>
      <c r="CA41" s="747" t="n">
        <v>46161.48024612269</v>
      </c>
      <c r="CB41" s="747" t="n">
        <v>46161.48090400581</v>
      </c>
      <c r="CC41" s="748" t="inlineStr">
        <is>
          <t>USOU</t>
        </is>
      </c>
      <c r="CE41" s="44" t="inlineStr">
        <is>
          <t>Pendências</t>
        </is>
      </c>
      <c r="CF41" s="44" t="inlineStr">
        <is>
          <t>Pendências</t>
        </is>
      </c>
      <c r="CH41" s="12" t="inlineStr">
        <is>
          <t>Novo Pedido</t>
        </is>
      </c>
      <c r="CI41" s="793" t="n">
        <v>46161.48089931512</v>
      </c>
      <c r="CJ41" s="794" t="n">
        <v>46149</v>
      </c>
      <c r="CK41" s="794" t="n">
        <v>46142</v>
      </c>
      <c r="CL41" s="794" t="n">
        <v>46114</v>
      </c>
      <c r="CM41" s="794" t="n">
        <v>46107</v>
      </c>
      <c r="CN41" s="795" t="n">
        <v>46065</v>
      </c>
      <c r="CO41" s="794" t="n">
        <v>46099</v>
      </c>
      <c r="CP41" s="794" t="n">
        <v>46092</v>
      </c>
      <c r="CQ41" s="796" t="n">
        <v>46045</v>
      </c>
      <c r="CR41" s="794" t="n">
        <v>46077</v>
      </c>
      <c r="CS41" s="794" t="n">
        <v>46048</v>
      </c>
      <c r="CT41" s="794" t="n">
        <v>46043</v>
      </c>
      <c r="CU41" s="794" t="n">
        <v>46024</v>
      </c>
      <c r="CV41" s="794" t="n">
        <v>46017</v>
      </c>
      <c r="CW41" s="794" t="n">
        <v>46007</v>
      </c>
      <c r="CX41" s="794" t="n">
        <v>46001</v>
      </c>
      <c r="CY41" s="794" t="n">
        <v>46001</v>
      </c>
      <c r="CZ41" s="794" t="n">
        <v>45994</v>
      </c>
      <c r="DA41" s="794" t="n">
        <v>45986</v>
      </c>
      <c r="DB41" s="794" t="n">
        <v>45980</v>
      </c>
      <c r="DC41" s="794" t="n">
        <v>45980</v>
      </c>
      <c r="DD41" s="797" t="n">
        <v>45982</v>
      </c>
      <c r="DE41" s="794" t="n">
        <v>45973</v>
      </c>
      <c r="DF41" s="794" t="n">
        <v>45965</v>
      </c>
      <c r="DG41" s="794" t="n">
        <v>45960</v>
      </c>
      <c r="DH41" s="794" t="n">
        <v>45951</v>
      </c>
      <c r="DI41" s="737" t="n">
        <v>45903</v>
      </c>
      <c r="DJ41" s="794" t="n">
        <v>45945</v>
      </c>
      <c r="DK41" s="794" t="n">
        <v>45937</v>
      </c>
      <c r="DL41" s="794" t="n">
        <v>45931</v>
      </c>
      <c r="DM41" s="794" t="n">
        <v>45931</v>
      </c>
      <c r="DN41" s="794" t="n">
        <v>45915</v>
      </c>
      <c r="DO41" s="794" t="n">
        <v>45923</v>
      </c>
      <c r="DP41" s="794" t="n">
        <v>45903</v>
      </c>
      <c r="DQ41" s="794" t="n">
        <v>45915</v>
      </c>
      <c r="DR41" s="797" t="n">
        <v>45918</v>
      </c>
      <c r="DS41" s="794" t="n">
        <v>45909</v>
      </c>
      <c r="DT41" s="738" t="n">
        <v>45903</v>
      </c>
      <c r="DU41" s="794" t="n">
        <v>45895</v>
      </c>
      <c r="DV41" s="797" t="n">
        <v>45896</v>
      </c>
      <c r="DW41" s="794" t="n">
        <v>45881</v>
      </c>
      <c r="DX41" s="738" t="n">
        <v>45839</v>
      </c>
      <c r="DY41" s="794" t="n">
        <v>45888</v>
      </c>
      <c r="DZ41" s="794" t="n">
        <v>45881</v>
      </c>
      <c r="EA41" s="797" t="n">
        <v>45881</v>
      </c>
      <c r="EB41" s="794" t="n">
        <v>45874</v>
      </c>
      <c r="EC41" s="797" t="n">
        <v>45876</v>
      </c>
      <c r="ED41" s="794" t="n">
        <v>45867</v>
      </c>
      <c r="EE41" s="794" t="n">
        <v>45867</v>
      </c>
      <c r="EF41" s="794" t="n">
        <v>45860</v>
      </c>
      <c r="EG41" s="797" t="n">
        <v>45861</v>
      </c>
      <c r="EH41" s="797" t="n">
        <v>45860</v>
      </c>
      <c r="EI41" s="794" t="n">
        <v>45853</v>
      </c>
      <c r="EJ41" s="739" t="n">
        <v>45855</v>
      </c>
      <c r="EK41" s="794" t="n">
        <v>45848</v>
      </c>
      <c r="EL41" s="794" t="n">
        <v>45839</v>
      </c>
      <c r="EM41" s="794" t="n">
        <v>45839</v>
      </c>
      <c r="EN41" s="797" t="n">
        <v>45835</v>
      </c>
      <c r="EO41" s="794" t="n">
        <v>45790</v>
      </c>
      <c r="EP41" s="794" t="n">
        <v>45825</v>
      </c>
      <c r="EQ41" s="794" t="n">
        <v>45819</v>
      </c>
      <c r="ER41" s="794" t="n">
        <v>45813</v>
      </c>
      <c r="ES41" s="794" t="n">
        <v>45797</v>
      </c>
      <c r="ET41" s="797" t="n">
        <v>45811</v>
      </c>
      <c r="EU41" s="797" t="n">
        <v>45810</v>
      </c>
      <c r="EV41" s="797" t="n">
        <v>45806</v>
      </c>
      <c r="EW41" s="797" t="n">
        <v>45803</v>
      </c>
      <c r="EX41" s="755" t="n">
        <v>45803</v>
      </c>
      <c r="EY41" s="794" t="n">
        <v>45784</v>
      </c>
      <c r="EZ41" s="797" t="n">
        <v>45796</v>
      </c>
      <c r="FA41" s="794" t="n">
        <v>45784</v>
      </c>
      <c r="FB41" s="794" t="n">
        <v>45764</v>
      </c>
      <c r="FC41" s="797" t="n">
        <v>45791</v>
      </c>
      <c r="FD41" s="794" t="n">
        <v>45783</v>
      </c>
      <c r="FE41" s="794" t="n">
        <v>45770</v>
      </c>
      <c r="FF41" s="794" t="n">
        <v>45775</v>
      </c>
      <c r="FG41" s="794" t="n">
        <v>45770</v>
      </c>
      <c r="FH41" s="794" t="n">
        <v>45770</v>
      </c>
      <c r="FI41" s="797" t="n">
        <v>45775</v>
      </c>
      <c r="FJ41" s="797" t="n">
        <v>45770</v>
      </c>
      <c r="FK41" s="794" t="n">
        <v>45756</v>
      </c>
      <c r="FL41" s="794" t="n">
        <v>45735</v>
      </c>
      <c r="FM41" s="797" t="n">
        <v>45751</v>
      </c>
      <c r="FN41" s="794" t="n">
        <v>45743</v>
      </c>
      <c r="FO41" s="746" t="n">
        <v>45729</v>
      </c>
      <c r="FP41" s="794" t="n">
        <v>45722</v>
      </c>
      <c r="FQ41" s="794" t="n">
        <v>45722</v>
      </c>
      <c r="FR41" s="746" t="n">
        <v>45700</v>
      </c>
      <c r="FS41" s="797" t="n">
        <v>45722</v>
      </c>
      <c r="FT41" s="794" t="n">
        <v>45714</v>
      </c>
      <c r="FU41" s="794" t="n">
        <v>45706</v>
      </c>
      <c r="FV41" s="794" t="n">
        <v>45684</v>
      </c>
      <c r="FW41" s="794" t="n">
        <v>45699</v>
      </c>
      <c r="FX41" s="794" t="n">
        <v>45693</v>
      </c>
      <c r="FY41" s="797" t="n">
        <v>45687</v>
      </c>
      <c r="FZ41" s="794" t="n">
        <v>45685</v>
      </c>
      <c r="GA41" s="797" t="n">
        <v>45684</v>
      </c>
      <c r="GB41" s="794" t="n">
        <v>45674</v>
      </c>
      <c r="GC41" s="794" t="n">
        <v>45664</v>
      </c>
      <c r="GD41" s="794" t="n">
        <v>45660</v>
      </c>
      <c r="GE41" s="794" t="n">
        <v>45660</v>
      </c>
      <c r="GF41" s="794" t="n">
        <v>45652</v>
      </c>
      <c r="GG41" s="794" t="n">
        <v>45643</v>
      </c>
      <c r="GI41" s="41" t="n"/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  <c r="GS41" s="41" t="n"/>
      <c r="GT41" s="41" t="n"/>
      <c r="GU41" s="41" t="n"/>
      <c r="GV41" s="41" t="n"/>
      <c r="GW41" s="41" t="n"/>
      <c r="GX41" s="41" t="n"/>
      <c r="GY41" s="41" t="n"/>
    </row>
    <row r="42">
      <c r="A42" s="37" t="inlineStr">
        <is>
          <t>KIT CAIXA P OUI</t>
        </is>
      </c>
      <c r="B42" s="32" t="n">
        <v>100</v>
      </c>
      <c r="C42" s="773" t="n">
        <v>539.7</v>
      </c>
      <c r="D42" s="382" t="n">
        <v>15</v>
      </c>
      <c r="E42" s="573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>
        <v>46</v>
      </c>
      <c r="BU42" s="32" t="n">
        <v>46</v>
      </c>
      <c r="BV42" s="32" t="n">
        <v>46</v>
      </c>
      <c r="BW42" s="32" t="n">
        <v>46</v>
      </c>
      <c r="BX42" s="32" t="n">
        <v>46</v>
      </c>
      <c r="BY42" s="32" t="n">
        <v>46</v>
      </c>
      <c r="BZ42" s="32" t="n">
        <v>46</v>
      </c>
      <c r="CA42" s="32" t="n">
        <v>46</v>
      </c>
      <c r="CB42" s="32" t="n">
        <v>46</v>
      </c>
      <c r="CC42" s="192">
        <f>CA42+IF(NOT(ISBLANK(OFFSET(CC42,0,6))),N(OFFSET(CC42,0,6)),N(OFFSET(CC42,0,7)))-CB42</f>
        <v/>
      </c>
      <c r="CE42" s="38" t="n"/>
      <c r="CF42" s="38" t="n"/>
      <c r="CH42" s="73" t="n"/>
      <c r="CI42" s="830" t="n">
        <v>0</v>
      </c>
      <c r="CJ42" s="40" t="n">
        <v>0</v>
      </c>
      <c r="CK42" s="40" t="n">
        <v>0</v>
      </c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219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40" t="n"/>
      <c r="DQ42" s="40" t="n"/>
      <c r="DR42" s="40" t="n"/>
      <c r="DS42" s="40" t="n"/>
      <c r="DT42" s="23" t="n"/>
      <c r="DU42" s="40" t="n"/>
      <c r="DV42" s="40" t="n"/>
      <c r="DW42" s="40" t="n"/>
      <c r="DX42" s="23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282" t="inlineStr">
        <is>
          <t>49 P/ ERB</t>
        </is>
      </c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/>
      <c r="FE42" s="40" t="n"/>
      <c r="FF42" s="40" t="n"/>
      <c r="FG42" s="40" t="n">
        <v>100</v>
      </c>
      <c r="FH42" s="40" t="n"/>
      <c r="FI42" s="40" t="n"/>
      <c r="FJ42" s="40" t="n"/>
      <c r="FK42" s="40" t="n"/>
      <c r="FL42" s="40" t="n"/>
      <c r="FM42" s="40" t="n"/>
      <c r="FN42" s="40" t="n"/>
      <c r="FO42" s="219" t="n"/>
      <c r="FP42" s="40" t="n"/>
      <c r="FQ42" s="40" t="n"/>
      <c r="FR42" s="219" t="n"/>
      <c r="FS42" s="135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  <c r="GD42" s="40" t="n"/>
      <c r="GE42" s="40" t="n"/>
      <c r="GF42" s="40" t="n"/>
      <c r="GG42" s="40" t="n"/>
    </row>
    <row r="43">
      <c r="A43" s="37" t="inlineStr">
        <is>
          <t>KIT CAIXA M OUI</t>
        </is>
      </c>
      <c r="B43" s="32" t="n">
        <v>100</v>
      </c>
      <c r="C43" s="773" t="n">
        <v>652.05</v>
      </c>
      <c r="D43" s="382" t="n">
        <v>20</v>
      </c>
      <c r="E43" s="573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0+FL43-50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>
        <v>8</v>
      </c>
      <c r="BU43" s="32" t="n">
        <v>8</v>
      </c>
      <c r="BV43" s="32" t="n">
        <v>8</v>
      </c>
      <c r="BW43" s="32" t="n">
        <v>8</v>
      </c>
      <c r="BX43" s="32" t="n">
        <v>8</v>
      </c>
      <c r="BY43" s="32" t="n">
        <v>4</v>
      </c>
      <c r="BZ43" s="32" t="n">
        <v>3</v>
      </c>
      <c r="CA43" s="32" t="n">
        <v>3</v>
      </c>
      <c r="CB43" s="32" t="n">
        <v>3</v>
      </c>
      <c r="CC43" s="192">
        <f>CA43+IF(NOT(ISBLANK(OFFSET(CC43,0,6))),N(OFFSET(CC43,0,6)),N(OFFSET(CC43,0,7)))-CB43</f>
        <v/>
      </c>
      <c r="CE43" s="38" t="inlineStr">
        <is>
          <t>50 DE ERB</t>
        </is>
      </c>
      <c r="CF43" s="38" t="n"/>
      <c r="CH43" s="27" t="n"/>
      <c r="CI43" s="830" t="n">
        <v>0</v>
      </c>
      <c r="CJ43" s="40" t="n">
        <v>0</v>
      </c>
      <c r="CK43" s="40" t="n">
        <v>0</v>
      </c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219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40" t="n"/>
      <c r="DP43" s="40" t="n"/>
      <c r="DQ43" s="40" t="n"/>
      <c r="DR43" s="192" t="inlineStr">
        <is>
          <t>10 P/ ER</t>
        </is>
      </c>
      <c r="DS43" s="40" t="n"/>
      <c r="DT43" s="23" t="n"/>
      <c r="DU43" s="40" t="n"/>
      <c r="DV43" s="40" t="n"/>
      <c r="DW43" s="40" t="n"/>
      <c r="DX43" s="23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282" t="inlineStr">
        <is>
          <t>10 P/ ER</t>
        </is>
      </c>
      <c r="EI43" s="40" t="n"/>
      <c r="EJ43" s="40" t="n"/>
      <c r="EK43" s="40" t="n"/>
      <c r="EL43" s="40" t="n"/>
      <c r="EM43" s="40" t="n">
        <v>100</v>
      </c>
      <c r="EN43" s="282" t="inlineStr">
        <is>
          <t>05 DE ERB</t>
        </is>
      </c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40" t="n"/>
      <c r="FJ43" s="40" t="n"/>
      <c r="FK43" s="40" t="n"/>
      <c r="FL43" s="40" t="n"/>
      <c r="FM43" s="282" t="inlineStr">
        <is>
          <t>50 P/ ER</t>
        </is>
      </c>
      <c r="FN43" s="40" t="n">
        <v>100</v>
      </c>
      <c r="FO43" s="219" t="n"/>
      <c r="FP43" s="40" t="n"/>
      <c r="FQ43" s="40" t="n"/>
      <c r="FR43" s="219" t="n"/>
      <c r="FS43" s="282" t="inlineStr">
        <is>
          <t>10 P/ ER</t>
        </is>
      </c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  <c r="GD43" s="40" t="n"/>
      <c r="GE43" s="40" t="n"/>
      <c r="GF43" s="40" t="n"/>
      <c r="GG43" s="40" t="n"/>
    </row>
    <row r="44">
      <c r="A44" s="37" t="inlineStr">
        <is>
          <t>KIT CAIXA G OUI</t>
        </is>
      </c>
      <c r="B44" s="32" t="n">
        <v>50</v>
      </c>
      <c r="C44" s="773" t="n">
        <v>567.53</v>
      </c>
      <c r="D44" s="382" t="n">
        <v>5</v>
      </c>
      <c r="E44" s="573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>
        <v>44</v>
      </c>
      <c r="BU44" s="32" t="n">
        <v>44</v>
      </c>
      <c r="BV44" s="32" t="n">
        <v>44</v>
      </c>
      <c r="BW44" s="32" t="n">
        <v>44</v>
      </c>
      <c r="BX44" s="32" t="n">
        <v>44</v>
      </c>
      <c r="BY44" s="32" t="n">
        <v>44</v>
      </c>
      <c r="BZ44" s="32" t="n">
        <v>44</v>
      </c>
      <c r="CA44" s="32" t="n">
        <v>44</v>
      </c>
      <c r="CB44" s="32" t="n">
        <v>44</v>
      </c>
      <c r="CC44" s="192">
        <f>CA44+IF(NOT(ISBLANK(OFFSET(CC44,0,6))),N(OFFSET(CC44,0,6)),N(OFFSET(CC44,0,7)))-CB44</f>
        <v/>
      </c>
      <c r="CE44" s="38" t="n"/>
      <c r="CF44" s="38" t="n"/>
      <c r="CH44" s="73" t="n"/>
      <c r="CI44" s="830" t="n">
        <v>0</v>
      </c>
      <c r="CJ44" s="40" t="n">
        <v>0</v>
      </c>
      <c r="CK44" s="40" t="n">
        <v>0</v>
      </c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/>
      <c r="DA44" s="40" t="n"/>
      <c r="DB44" s="40" t="n"/>
      <c r="DC44" s="40" t="n"/>
      <c r="DD44" s="219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40" t="n"/>
      <c r="DQ44" s="40" t="n"/>
      <c r="DR44" s="40" t="n"/>
      <c r="DS44" s="40" t="n"/>
      <c r="DT44" s="23" t="n"/>
      <c r="DU44" s="40" t="n"/>
      <c r="DV44" s="40" t="n"/>
      <c r="DW44" s="40" t="n"/>
      <c r="DX44" s="23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282" t="inlineStr">
        <is>
          <t>30 P/ ERB</t>
        </is>
      </c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>
        <v>50</v>
      </c>
      <c r="FH44" s="40" t="n"/>
      <c r="FI44" s="40" t="n"/>
      <c r="FJ44" s="40" t="n"/>
      <c r="FK44" s="40" t="n"/>
      <c r="FL44" s="40" t="n"/>
      <c r="FM44" s="40" t="n"/>
      <c r="FN44" s="40" t="n"/>
      <c r="FO44" s="219" t="n"/>
      <c r="FP44" s="40" t="n"/>
      <c r="FQ44" s="40" t="n"/>
      <c r="FR44" s="219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  <c r="GD44" s="40" t="n"/>
      <c r="GE44" s="40" t="n"/>
      <c r="GF44" s="40" t="n"/>
      <c r="GG44" s="40" t="n"/>
    </row>
    <row r="45" ht="18.75" customHeight="1">
      <c r="B45" s="573" t="n"/>
      <c r="C45" s="573" t="n"/>
      <c r="D45" s="573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573" t="n"/>
      <c r="BE45" s="573" t="n"/>
      <c r="BF45" s="573" t="n"/>
      <c r="BG45" s="573" t="n"/>
      <c r="BH45" s="573" t="n"/>
      <c r="BI45" s="573" t="n"/>
      <c r="BJ45" s="573" t="n"/>
      <c r="BK45" s="573" t="n"/>
      <c r="BL45" s="573" t="n"/>
      <c r="BM45" s="573" t="n"/>
      <c r="BN45" s="573" t="n"/>
      <c r="BO45" s="573" t="n"/>
      <c r="BP45" s="573" t="n"/>
      <c r="BQ45" s="573" t="n"/>
      <c r="BR45" s="573" t="n"/>
      <c r="BS45" s="573" t="n"/>
      <c r="BT45" s="573" t="n"/>
      <c r="BU45" s="573" t="n"/>
      <c r="BV45" s="573" t="n"/>
      <c r="BW45" s="573" t="n"/>
      <c r="BX45" s="573" t="n"/>
      <c r="BY45" s="573" t="n"/>
      <c r="BZ45" s="573" t="n"/>
      <c r="CA45" s="573" t="n"/>
      <c r="CB45" s="573" t="n"/>
      <c r="CE45" s="5" t="n"/>
      <c r="CF45" s="5" t="n"/>
      <c r="CH45" s="5" t="n"/>
      <c r="CI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5" t="n"/>
      <c r="DA45" s="5" t="n"/>
      <c r="DB45" s="5" t="n"/>
      <c r="DC45" s="5" t="n"/>
      <c r="DD45" s="306" t="n"/>
      <c r="DE45" s="5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5" t="n"/>
      <c r="DQ45" s="5" t="n"/>
      <c r="DR45" s="5" t="n"/>
      <c r="DS45" s="5" t="n"/>
      <c r="DT45" s="47" t="n"/>
      <c r="DU45" s="5" t="n"/>
      <c r="DV45" s="5" t="n"/>
      <c r="DW45" s="5" t="n"/>
      <c r="DX45" s="47" t="n"/>
      <c r="DY45" s="5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5" t="n"/>
      <c r="FL45" s="5" t="n"/>
      <c r="FM45" s="5" t="n"/>
      <c r="FN45" s="5" t="n"/>
      <c r="FO45" s="308" t="n"/>
      <c r="FP45" s="5" t="n"/>
      <c r="FQ45" s="5" t="n"/>
      <c r="FR45" s="308" t="n"/>
      <c r="FT45" s="5" t="n"/>
      <c r="FU45" s="5" t="n"/>
      <c r="FV45" s="5" t="n"/>
      <c r="FW45" s="20" t="n"/>
      <c r="FX45" s="20" t="n"/>
      <c r="FY45" s="20" t="n"/>
      <c r="FZ45" s="20" t="n"/>
      <c r="GA45" s="20" t="n"/>
      <c r="GB45" s="20" t="n"/>
      <c r="GC45" s="20" t="n"/>
      <c r="GD45" s="20" t="n"/>
      <c r="GE45" s="20" t="n"/>
      <c r="GF45" s="20" t="n"/>
      <c r="GG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6" t="n">
        <v>45656</v>
      </c>
      <c r="G46" s="746" t="n">
        <v>45663</v>
      </c>
      <c r="H46" s="746" t="n">
        <v>45670</v>
      </c>
      <c r="I46" s="746" t="n">
        <v>45677</v>
      </c>
      <c r="J46" s="746" t="n">
        <v>45684</v>
      </c>
      <c r="K46" s="746" t="n">
        <v>45691</v>
      </c>
      <c r="L46" s="746" t="n">
        <v>45698</v>
      </c>
      <c r="M46" s="746" t="n">
        <v>45705</v>
      </c>
      <c r="N46" s="746" t="n">
        <v>45712</v>
      </c>
      <c r="O46" s="746" t="n">
        <v>45719</v>
      </c>
      <c r="P46" s="746" t="n">
        <v>45726</v>
      </c>
      <c r="Q46" s="746" t="n">
        <v>45733</v>
      </c>
      <c r="R46" s="746" t="n">
        <v>45740</v>
      </c>
      <c r="S46" s="746" t="n">
        <v>45747</v>
      </c>
      <c r="T46" s="746" t="n">
        <v>45754</v>
      </c>
      <c r="U46" s="746" t="n">
        <v>45761</v>
      </c>
      <c r="V46" s="746" t="n">
        <v>45768</v>
      </c>
      <c r="W46" s="746" t="n">
        <v>45775</v>
      </c>
      <c r="X46" s="746" t="n">
        <v>45782</v>
      </c>
      <c r="Y46" s="746" t="n">
        <v>45789</v>
      </c>
      <c r="Z46" s="746" t="n">
        <v>45796</v>
      </c>
      <c r="AA46" s="746" t="n">
        <v>45803</v>
      </c>
      <c r="AB46" s="746" t="n">
        <v>45810</v>
      </c>
      <c r="AC46" s="746" t="n">
        <v>45817</v>
      </c>
      <c r="AD46" s="746" t="n">
        <v>45824</v>
      </c>
      <c r="AE46" s="746" t="n">
        <v>45831</v>
      </c>
      <c r="AF46" s="746" t="n">
        <v>45838</v>
      </c>
      <c r="AG46" s="746" t="n">
        <v>45845</v>
      </c>
      <c r="AH46" s="746" t="n">
        <v>45852</v>
      </c>
      <c r="AI46" s="746" t="n">
        <v>45859</v>
      </c>
      <c r="AJ46" s="746" t="n">
        <v>45866</v>
      </c>
      <c r="AK46" s="746" t="n">
        <v>45873</v>
      </c>
      <c r="AL46" s="746" t="n">
        <v>45880</v>
      </c>
      <c r="AM46" s="746" t="n">
        <v>45887</v>
      </c>
      <c r="AN46" s="746" t="n">
        <v>45894</v>
      </c>
      <c r="AO46" s="746" t="n">
        <v>45901</v>
      </c>
      <c r="AP46" s="746" t="n">
        <v>45908</v>
      </c>
      <c r="AQ46" s="746" t="n">
        <v>45915</v>
      </c>
      <c r="AR46" s="746" t="n">
        <v>45922</v>
      </c>
      <c r="AS46" s="746" t="n">
        <v>45929</v>
      </c>
      <c r="AT46" s="746" t="n">
        <v>45936</v>
      </c>
      <c r="AU46" s="746" t="n">
        <v>45943</v>
      </c>
      <c r="AV46" s="746" t="n">
        <v>45950</v>
      </c>
      <c r="AW46" s="746" t="n">
        <v>45957</v>
      </c>
      <c r="AX46" s="746" t="n">
        <v>45964</v>
      </c>
      <c r="AY46" s="746" t="n">
        <v>45971</v>
      </c>
      <c r="AZ46" s="746" t="n">
        <v>45978</v>
      </c>
      <c r="BA46" s="746" t="n">
        <v>45985</v>
      </c>
      <c r="BB46" s="746" t="n">
        <v>45992</v>
      </c>
      <c r="BC46" s="746" t="n">
        <v>45999</v>
      </c>
      <c r="BD46" s="746" t="n">
        <v>46006</v>
      </c>
      <c r="BE46" s="746" t="n">
        <v>46013</v>
      </c>
      <c r="BF46" s="746" t="n">
        <v>46020</v>
      </c>
      <c r="BG46" s="746" t="n">
        <v>46027</v>
      </c>
      <c r="BH46" s="746" t="n">
        <v>46034</v>
      </c>
      <c r="BI46" s="746" t="n">
        <v>46041</v>
      </c>
      <c r="BJ46" s="746" t="n">
        <v>46048</v>
      </c>
      <c r="BK46" s="746" t="n">
        <v>46055</v>
      </c>
      <c r="BL46" s="746" t="n">
        <v>46062</v>
      </c>
      <c r="BM46" s="746" t="n">
        <v>46069</v>
      </c>
      <c r="BN46" s="746" t="n">
        <v>46076</v>
      </c>
      <c r="BO46" s="746" t="n">
        <v>46083</v>
      </c>
      <c r="BP46" s="746" t="n">
        <v>46090</v>
      </c>
      <c r="BQ46" s="746" t="n">
        <v>46097</v>
      </c>
      <c r="BR46" s="746" t="n">
        <v>46104</v>
      </c>
      <c r="BS46" s="746" t="n">
        <v>46111</v>
      </c>
      <c r="BT46" s="746" t="n">
        <v>46118</v>
      </c>
      <c r="BU46" s="746" t="n">
        <v>46125</v>
      </c>
      <c r="BV46" s="746" t="n">
        <v>46132</v>
      </c>
      <c r="BW46" s="746" t="n">
        <v>46139</v>
      </c>
      <c r="BX46" s="746" t="n">
        <v>46146</v>
      </c>
      <c r="BY46" s="746" t="n">
        <v>46154</v>
      </c>
      <c r="BZ46" s="746" t="n">
        <v>46160</v>
      </c>
      <c r="CA46" s="747" t="n">
        <v>46161.48024612269</v>
      </c>
      <c r="CB46" s="747" t="n">
        <v>46161.48090400596</v>
      </c>
      <c r="CC46" s="748" t="inlineStr">
        <is>
          <t>USOU</t>
        </is>
      </c>
      <c r="CE46" s="44" t="inlineStr">
        <is>
          <t>Pendências</t>
        </is>
      </c>
      <c r="CF46" s="44" t="inlineStr">
        <is>
          <t>Pendências</t>
        </is>
      </c>
      <c r="CH46" s="12" t="inlineStr">
        <is>
          <t>Novo Pedido</t>
        </is>
      </c>
      <c r="CI46" s="793" t="n">
        <v>46161.48089931533</v>
      </c>
      <c r="CJ46" s="794" t="n">
        <v>46149</v>
      </c>
      <c r="CK46" s="794" t="n">
        <v>46142</v>
      </c>
      <c r="CL46" s="794" t="n">
        <v>46114</v>
      </c>
      <c r="CM46" s="794" t="n">
        <v>46107</v>
      </c>
      <c r="CN46" s="795" t="n">
        <v>46065</v>
      </c>
      <c r="CO46" s="794" t="n">
        <v>46099</v>
      </c>
      <c r="CP46" s="794" t="n">
        <v>46092</v>
      </c>
      <c r="CQ46" s="796" t="n">
        <v>46045</v>
      </c>
      <c r="CR46" s="794" t="n">
        <v>46077</v>
      </c>
      <c r="CS46" s="794" t="n">
        <v>46048</v>
      </c>
      <c r="CT46" s="794" t="n">
        <v>46043</v>
      </c>
      <c r="CU46" s="794" t="n">
        <v>46024</v>
      </c>
      <c r="CV46" s="794" t="n">
        <v>46017</v>
      </c>
      <c r="CW46" s="794" t="n">
        <v>46007</v>
      </c>
      <c r="CX46" s="794" t="n">
        <v>46001</v>
      </c>
      <c r="CY46" s="794" t="n">
        <v>46001</v>
      </c>
      <c r="CZ46" s="794" t="n">
        <v>45994</v>
      </c>
      <c r="DA46" s="794" t="n">
        <v>45986</v>
      </c>
      <c r="DB46" s="794" t="n">
        <v>45980</v>
      </c>
      <c r="DC46" s="794" t="n">
        <v>45980</v>
      </c>
      <c r="DD46" s="797" t="n">
        <v>45982</v>
      </c>
      <c r="DE46" s="794" t="n">
        <v>45973</v>
      </c>
      <c r="DF46" s="794" t="n">
        <v>45965</v>
      </c>
      <c r="DG46" s="794" t="n">
        <v>45960</v>
      </c>
      <c r="DH46" s="794" t="n">
        <v>45951</v>
      </c>
      <c r="DI46" s="737" t="n">
        <v>45903</v>
      </c>
      <c r="DJ46" s="794" t="n">
        <v>45945</v>
      </c>
      <c r="DK46" s="794" t="n">
        <v>45937</v>
      </c>
      <c r="DL46" s="794" t="n">
        <v>45931</v>
      </c>
      <c r="DM46" s="794" t="n">
        <v>45931</v>
      </c>
      <c r="DN46" s="794" t="n">
        <v>45915</v>
      </c>
      <c r="DO46" s="794" t="n">
        <v>45923</v>
      </c>
      <c r="DP46" s="794" t="n">
        <v>45903</v>
      </c>
      <c r="DQ46" s="794" t="n">
        <v>45915</v>
      </c>
      <c r="DR46" s="797" t="n">
        <v>45918</v>
      </c>
      <c r="DS46" s="794" t="n">
        <v>45909</v>
      </c>
      <c r="DT46" s="738" t="n">
        <v>45903</v>
      </c>
      <c r="DU46" s="794" t="n">
        <v>45895</v>
      </c>
      <c r="DV46" s="797" t="n">
        <v>45896</v>
      </c>
      <c r="DW46" s="794" t="n">
        <v>45881</v>
      </c>
      <c r="DX46" s="738" t="n">
        <v>45839</v>
      </c>
      <c r="DY46" s="794" t="n">
        <v>45888</v>
      </c>
      <c r="DZ46" s="794" t="n">
        <v>45881</v>
      </c>
      <c r="EA46" s="797" t="n">
        <v>45881</v>
      </c>
      <c r="EB46" s="794" t="n">
        <v>45874</v>
      </c>
      <c r="EC46" s="797" t="n">
        <v>45876</v>
      </c>
      <c r="ED46" s="794" t="n">
        <v>45867</v>
      </c>
      <c r="EE46" s="794" t="n">
        <v>45867</v>
      </c>
      <c r="EF46" s="794" t="n">
        <v>45860</v>
      </c>
      <c r="EG46" s="797" t="n">
        <v>45861</v>
      </c>
      <c r="EH46" s="797" t="n">
        <v>45860</v>
      </c>
      <c r="EI46" s="794" t="n">
        <v>45853</v>
      </c>
      <c r="EJ46" s="739" t="n">
        <v>45855</v>
      </c>
      <c r="EK46" s="794" t="n">
        <v>45848</v>
      </c>
      <c r="EL46" s="794" t="n">
        <v>45839</v>
      </c>
      <c r="EM46" s="794" t="n">
        <v>45839</v>
      </c>
      <c r="EN46" s="797" t="n">
        <v>45835</v>
      </c>
      <c r="EO46" s="794" t="n">
        <v>45790</v>
      </c>
      <c r="EP46" s="794" t="n">
        <v>45825</v>
      </c>
      <c r="EQ46" s="794" t="n">
        <v>45819</v>
      </c>
      <c r="ER46" s="794" t="n">
        <v>45813</v>
      </c>
      <c r="ES46" s="794" t="n">
        <v>45797</v>
      </c>
      <c r="ET46" s="797" t="n">
        <v>45811</v>
      </c>
      <c r="EU46" s="797" t="n">
        <v>45810</v>
      </c>
      <c r="EV46" s="797" t="n">
        <v>45806</v>
      </c>
      <c r="EW46" s="797" t="n">
        <v>45803</v>
      </c>
      <c r="EX46" s="755" t="n">
        <v>45803</v>
      </c>
      <c r="EY46" s="794" t="n">
        <v>45784</v>
      </c>
      <c r="EZ46" s="797" t="n">
        <v>45796</v>
      </c>
      <c r="FA46" s="794" t="n">
        <v>45784</v>
      </c>
      <c r="FB46" s="794" t="n">
        <v>45764</v>
      </c>
      <c r="FC46" s="797" t="n">
        <v>45791</v>
      </c>
      <c r="FD46" s="794" t="n">
        <v>45783</v>
      </c>
      <c r="FE46" s="794" t="n">
        <v>45770</v>
      </c>
      <c r="FF46" s="794" t="n">
        <v>45775</v>
      </c>
      <c r="FG46" s="794" t="n">
        <v>45770</v>
      </c>
      <c r="FH46" s="794" t="n">
        <v>45770</v>
      </c>
      <c r="FI46" s="797" t="n">
        <v>45775</v>
      </c>
      <c r="FJ46" s="797" t="n">
        <v>45770</v>
      </c>
      <c r="FK46" s="794" t="n">
        <v>45756</v>
      </c>
      <c r="FL46" s="794" t="n">
        <v>45735</v>
      </c>
      <c r="FM46" s="797" t="n">
        <v>45751</v>
      </c>
      <c r="FN46" s="794" t="n">
        <v>45743</v>
      </c>
      <c r="FO46" s="746" t="n">
        <v>45729</v>
      </c>
      <c r="FP46" s="794" t="n">
        <v>45722</v>
      </c>
      <c r="FQ46" s="794" t="n">
        <v>45722</v>
      </c>
      <c r="FR46" s="746" t="n">
        <v>45700</v>
      </c>
      <c r="FS46" s="797" t="n">
        <v>45722</v>
      </c>
      <c r="FT46" s="794" t="n">
        <v>45714</v>
      </c>
      <c r="FU46" s="794" t="n">
        <v>45706</v>
      </c>
      <c r="FV46" s="794" t="n">
        <v>45684</v>
      </c>
      <c r="FW46" s="794" t="n">
        <v>45699</v>
      </c>
      <c r="FX46" s="794" t="n">
        <v>45693</v>
      </c>
      <c r="FY46" s="797" t="n">
        <v>45687</v>
      </c>
      <c r="FZ46" s="794" t="n">
        <v>45685</v>
      </c>
      <c r="GA46" s="797" t="n">
        <v>45684</v>
      </c>
      <c r="GB46" s="794" t="n">
        <v>45674</v>
      </c>
      <c r="GC46" s="794" t="n">
        <v>45664</v>
      </c>
      <c r="GD46" s="794" t="n">
        <v>45660</v>
      </c>
      <c r="GE46" s="794" t="n">
        <v>45660</v>
      </c>
      <c r="GF46" s="794" t="n">
        <v>45652</v>
      </c>
      <c r="GG46" s="794" t="n">
        <v>45643</v>
      </c>
    </row>
    <row r="47">
      <c r="A47" s="37" t="inlineStr">
        <is>
          <t>SACOLA P - QDB</t>
        </is>
      </c>
      <c r="B47" s="699" t="n">
        <v>300</v>
      </c>
      <c r="C47" s="762" t="n">
        <v>169.8</v>
      </c>
      <c r="D47" s="382" t="n">
        <v>0</v>
      </c>
      <c r="F47" s="153">
        <f>300+GD47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53" t="n">
        <v>0</v>
      </c>
      <c r="BZ47" s="153" t="n"/>
      <c r="CA47" s="153" t="n"/>
      <c r="CB47" s="153" t="n"/>
      <c r="CC47" s="198">
        <f>CA47+IF(NOT(ISBLANK(OFFSET(CC47,0,6))),N(OFFSET(CC47,0,6)),N(OFFSET(CC47,0,7)))-CB47</f>
        <v/>
      </c>
      <c r="CE47" s="161" t="n"/>
      <c r="CF47" s="161" t="n"/>
      <c r="CH47" s="27" t="n"/>
      <c r="CI47" s="831" t="n">
        <v>0</v>
      </c>
      <c r="CJ47" s="135" t="n">
        <v>0</v>
      </c>
      <c r="CK47" s="135" t="n">
        <v>0</v>
      </c>
      <c r="CL47" s="135" t="n"/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135" t="n"/>
      <c r="DA47" s="135" t="n"/>
      <c r="DB47" s="135" t="n"/>
      <c r="DC47" s="135" t="n"/>
      <c r="DD47" s="374" t="n"/>
      <c r="DE47" s="135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135" t="n"/>
      <c r="DQ47" s="135" t="n"/>
      <c r="DR47" s="135" t="n"/>
      <c r="DS47" s="135" t="n"/>
      <c r="DT47" s="23" t="n"/>
      <c r="DU47" s="135" t="n"/>
      <c r="DV47" s="135" t="n"/>
      <c r="DW47" s="135" t="n"/>
      <c r="DX47" s="23" t="n"/>
      <c r="DY47" s="135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135" t="n"/>
      <c r="FL47" s="135" t="n"/>
      <c r="FM47" s="135" t="n"/>
      <c r="FN47" s="135" t="n"/>
      <c r="FO47" s="219" t="n"/>
      <c r="FP47" s="135" t="n"/>
      <c r="FQ47" s="135" t="n"/>
      <c r="FR47" s="219" t="n"/>
      <c r="FS47" s="135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/>
      <c r="GC47" s="135" t="n"/>
      <c r="GD47" s="135" t="n"/>
      <c r="GE47" s="135" t="n"/>
      <c r="GF47" s="135" t="n">
        <v>600</v>
      </c>
      <c r="GG47" s="135" t="n"/>
    </row>
    <row r="48">
      <c r="A48" s="37" t="inlineStr">
        <is>
          <t>SACOLA M - QDB</t>
        </is>
      </c>
      <c r="B48" s="699" t="n">
        <v>200</v>
      </c>
      <c r="C48" s="762" t="n">
        <v>175.22</v>
      </c>
      <c r="D48" s="382" t="n">
        <v>0</v>
      </c>
      <c r="F48" s="153">
        <f>0+GD48</f>
        <v/>
      </c>
      <c r="G48" s="153" t="n">
        <v>200</v>
      </c>
      <c r="H48" s="153" t="n">
        <v>600</v>
      </c>
      <c r="I48" s="153">
        <f>600+FZ48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53" t="n">
        <v>0</v>
      </c>
      <c r="BZ48" s="153" t="n"/>
      <c r="CA48" s="153" t="n"/>
      <c r="CB48" s="153" t="n"/>
      <c r="CC48" s="198">
        <f>CA48+IF(NOT(ISBLANK(OFFSET(CC48,0,6))),N(OFFSET(CC48,0,6)),N(OFFSET(CC48,0,7)))-CB48</f>
        <v/>
      </c>
      <c r="CE48" s="161" t="n"/>
      <c r="CF48" s="161" t="n"/>
      <c r="CH48" s="27" t="n"/>
      <c r="CI48" s="831" t="n">
        <v>0</v>
      </c>
      <c r="CJ48" s="135" t="n">
        <v>0</v>
      </c>
      <c r="CK48" s="135" t="n">
        <v>0</v>
      </c>
      <c r="CL48" s="135" t="n"/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135" t="n"/>
      <c r="DA48" s="135" t="n"/>
      <c r="DB48" s="135" t="n"/>
      <c r="DC48" s="135" t="n"/>
      <c r="DD48" s="374" t="n"/>
      <c r="DE48" s="135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135" t="n"/>
      <c r="DQ48" s="135" t="n"/>
      <c r="DR48" s="135" t="n"/>
      <c r="DS48" s="135" t="n"/>
      <c r="DT48" s="23" t="n"/>
      <c r="DU48" s="135" t="n"/>
      <c r="DV48" s="135" t="n"/>
      <c r="DW48" s="135" t="n"/>
      <c r="DX48" s="23" t="n"/>
      <c r="DY48" s="135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135" t="n"/>
      <c r="FL48" s="135" t="n"/>
      <c r="FM48" s="135" t="n"/>
      <c r="FN48" s="135" t="n"/>
      <c r="FO48" s="219" t="n"/>
      <c r="FP48" s="135" t="n"/>
      <c r="FQ48" s="135" t="n"/>
      <c r="FR48" s="219" t="n"/>
      <c r="FS48" s="135" t="n"/>
      <c r="FT48" s="135" t="n"/>
      <c r="FU48" s="135" t="n"/>
      <c r="FV48" s="135" t="n"/>
      <c r="FW48" s="135" t="n"/>
      <c r="FX48" s="135" t="n"/>
      <c r="FY48" s="135" t="n"/>
      <c r="FZ48" s="135" t="n"/>
      <c r="GA48" s="135" t="n"/>
      <c r="GB48" s="135" t="n">
        <v>400</v>
      </c>
      <c r="GC48" s="135" t="n"/>
      <c r="GD48" s="135" t="n">
        <v>600</v>
      </c>
      <c r="GE48" s="135" t="n"/>
      <c r="GF48" s="135" t="n">
        <v>200</v>
      </c>
      <c r="GG48" s="135" t="n">
        <v>400</v>
      </c>
    </row>
    <row r="49">
      <c r="A49" s="37" t="inlineStr">
        <is>
          <t>SACOLA G - QDB</t>
        </is>
      </c>
      <c r="B49" s="699" t="n">
        <v>200</v>
      </c>
      <c r="C49" s="762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53" t="n">
        <v>0</v>
      </c>
      <c r="BZ49" s="153" t="n"/>
      <c r="CA49" s="153" t="n"/>
      <c r="CB49" s="153" t="n"/>
      <c r="CC49" s="198">
        <f>CA49+IF(NOT(ISBLANK(OFFSET(CC49,0,6))),N(OFFSET(CC49,0,6)),N(OFFSET(CC49,0,7)))-CB49</f>
        <v/>
      </c>
      <c r="CE49" s="161" t="n"/>
      <c r="CF49" s="161" t="n"/>
      <c r="CH49" s="27" t="n"/>
      <c r="CI49" s="831" t="n">
        <v>0</v>
      </c>
      <c r="CJ49" s="135" t="n">
        <v>0</v>
      </c>
      <c r="CK49" s="135" t="n">
        <v>0</v>
      </c>
      <c r="CL49" s="135" t="n"/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135" t="n"/>
      <c r="DA49" s="135" t="n"/>
      <c r="DB49" s="135" t="n"/>
      <c r="DC49" s="135" t="n"/>
      <c r="DD49" s="374" t="n"/>
      <c r="DE49" s="135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135" t="n"/>
      <c r="DQ49" s="135" t="n"/>
      <c r="DR49" s="135" t="n"/>
      <c r="DS49" s="135" t="n"/>
      <c r="DT49" s="23" t="n"/>
      <c r="DU49" s="135" t="n"/>
      <c r="DV49" s="135" t="n"/>
      <c r="DW49" s="135" t="n"/>
      <c r="DX49" s="23" t="n"/>
      <c r="DY49" s="135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135" t="n"/>
      <c r="FL49" s="135" t="n"/>
      <c r="FM49" s="135" t="n"/>
      <c r="FN49" s="135" t="n"/>
      <c r="FO49" s="219" t="n"/>
      <c r="FP49" s="135" t="n"/>
      <c r="FQ49" s="135" t="n"/>
      <c r="FR49" s="219" t="n"/>
      <c r="FS49" s="135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  <c r="GD49" s="135" t="n"/>
      <c r="GE49" s="135" t="n"/>
      <c r="GF49" s="135" t="n"/>
      <c r="GG49" s="135" t="n"/>
    </row>
    <row r="50">
      <c r="A50" s="37" t="inlineStr">
        <is>
          <t>CAIXA P QDB</t>
        </is>
      </c>
      <c r="B50" s="699" t="n">
        <v>150</v>
      </c>
      <c r="C50" s="762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>
        <v>102</v>
      </c>
      <c r="BU50" s="153" t="n">
        <v>102</v>
      </c>
      <c r="BV50" s="153" t="n">
        <v>102</v>
      </c>
      <c r="BW50" s="153" t="n">
        <v>102</v>
      </c>
      <c r="BX50" s="153" t="n">
        <v>102</v>
      </c>
      <c r="BY50" s="153" t="n">
        <v>102</v>
      </c>
      <c r="BZ50" s="153" t="n">
        <v>102</v>
      </c>
      <c r="CA50" s="153" t="n">
        <v>102</v>
      </c>
      <c r="CB50" s="153" t="n">
        <v>102</v>
      </c>
      <c r="CC50" s="198">
        <f>CA50+IF(NOT(ISBLANK(OFFSET(CC50,0,6))),N(OFFSET(CC50,0,6)),N(OFFSET(CC50,0,7)))-CB50</f>
        <v/>
      </c>
      <c r="CE50" s="38" t="n"/>
      <c r="CF50" s="38" t="n"/>
      <c r="CH50" s="27" t="n"/>
      <c r="CI50" s="831" t="n">
        <v>0</v>
      </c>
      <c r="CJ50" s="135" t="n">
        <v>0</v>
      </c>
      <c r="CK50" s="135" t="n">
        <v>0</v>
      </c>
      <c r="CL50" s="135" t="n"/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135" t="n"/>
      <c r="DA50" s="135" t="n"/>
      <c r="DB50" s="135" t="n"/>
      <c r="DC50" s="135" t="n"/>
      <c r="DD50" s="374" t="n"/>
      <c r="DE50" s="135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135" t="n"/>
      <c r="DQ50" s="135" t="n"/>
      <c r="DR50" s="135" t="n"/>
      <c r="DS50" s="135" t="n"/>
      <c r="DT50" s="290" t="n"/>
      <c r="DU50" s="135" t="n"/>
      <c r="DV50" s="135" t="n"/>
      <c r="DW50" s="135" t="n"/>
      <c r="DX50" s="290" t="n"/>
      <c r="DY50" s="135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135" t="n"/>
      <c r="EK50" s="135" t="n"/>
      <c r="EL50" s="135" t="n"/>
      <c r="EM50" s="135" t="n"/>
      <c r="EN50" s="406" t="inlineStr">
        <is>
          <t>57 P/ ERB</t>
        </is>
      </c>
      <c r="EO50" s="135" t="n"/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135" t="n"/>
      <c r="FL50" s="135" t="n"/>
      <c r="FM50" s="135" t="n"/>
      <c r="FN50" s="135" t="n"/>
      <c r="FO50" s="290" t="n"/>
      <c r="FP50" s="135" t="n"/>
      <c r="FQ50" s="135" t="n"/>
      <c r="FR50" s="290" t="n"/>
      <c r="FS50" s="135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/>
      <c r="GC50" s="135" t="n"/>
      <c r="GD50" s="135" t="n"/>
      <c r="GE50" s="135" t="n"/>
      <c r="GF50" s="135" t="n">
        <v>150</v>
      </c>
      <c r="GG50" s="135" t="n"/>
    </row>
    <row r="51">
      <c r="A51" s="37" t="inlineStr">
        <is>
          <t>CAIXA M QDB</t>
        </is>
      </c>
      <c r="B51" s="699" t="n">
        <v>100</v>
      </c>
      <c r="C51" s="762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>
        <v>40</v>
      </c>
      <c r="BU51" s="32" t="n">
        <v>40</v>
      </c>
      <c r="BV51" s="32" t="n">
        <v>40</v>
      </c>
      <c r="BW51" s="32" t="n">
        <v>40</v>
      </c>
      <c r="BX51" s="32" t="n">
        <v>40</v>
      </c>
      <c r="BY51" s="32" t="n">
        <v>40</v>
      </c>
      <c r="BZ51" s="32" t="n">
        <v>40</v>
      </c>
      <c r="CA51" s="32" t="n">
        <v>40</v>
      </c>
      <c r="CB51" s="32" t="n">
        <v>40</v>
      </c>
      <c r="CC51" s="198">
        <f>CA51+IF(NOT(ISBLANK(OFFSET(CC51,0,6))),N(OFFSET(CC51,0,6)),N(OFFSET(CC51,0,7)))-CB51</f>
        <v/>
      </c>
      <c r="CE51" s="38" t="n"/>
      <c r="CF51" s="38" t="n"/>
      <c r="CH51" s="27" t="n"/>
      <c r="CI51" s="831" t="n">
        <v>0</v>
      </c>
      <c r="CJ51" s="135" t="n">
        <v>0</v>
      </c>
      <c r="CK51" s="135" t="n">
        <v>0</v>
      </c>
      <c r="CL51" s="135" t="n"/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135" t="n"/>
      <c r="DA51" s="135" t="n"/>
      <c r="DB51" s="135" t="n"/>
      <c r="DC51" s="135" t="n"/>
      <c r="DD51" s="374" t="n"/>
      <c r="DE51" s="135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135" t="n"/>
      <c r="DQ51" s="135" t="n"/>
      <c r="DR51" s="135" t="n"/>
      <c r="DS51" s="135" t="n"/>
      <c r="DT51" s="290" t="n"/>
      <c r="DU51" s="135" t="n"/>
      <c r="DV51" s="135" t="n"/>
      <c r="DW51" s="135" t="n"/>
      <c r="DX51" s="290" t="n"/>
      <c r="DY51" s="135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135" t="n"/>
      <c r="FL51" s="135" t="n"/>
      <c r="FM51" s="135" t="n"/>
      <c r="FN51" s="135" t="n"/>
      <c r="FO51" s="290" t="n"/>
      <c r="FP51" s="135" t="n"/>
      <c r="FQ51" s="135" t="n"/>
      <c r="FR51" s="290" t="n"/>
      <c r="FS51" s="135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  <c r="GD51" s="135" t="n"/>
      <c r="GE51" s="135" t="n"/>
      <c r="GF51" s="135" t="n"/>
      <c r="GG51" s="135" t="n"/>
    </row>
    <row r="52">
      <c r="A52" s="37" t="inlineStr">
        <is>
          <t>CAIXA G QDB</t>
        </is>
      </c>
      <c r="B52" s="699" t="n">
        <v>100</v>
      </c>
      <c r="C52" s="762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>
        <v>94</v>
      </c>
      <c r="BU52" s="32" t="n">
        <v>94</v>
      </c>
      <c r="BV52" s="32" t="n">
        <v>94</v>
      </c>
      <c r="BW52" s="32" t="n">
        <v>94</v>
      </c>
      <c r="BX52" s="32" t="n">
        <v>94</v>
      </c>
      <c r="BY52" s="32" t="n">
        <v>94</v>
      </c>
      <c r="BZ52" s="32" t="n">
        <v>94</v>
      </c>
      <c r="CA52" s="32" t="n">
        <v>94</v>
      </c>
      <c r="CB52" s="32" t="n">
        <v>94</v>
      </c>
      <c r="CC52" s="198">
        <f>CA52+IF(NOT(ISBLANK(OFFSET(CC52,0,6))),N(OFFSET(CC52,0,6)),N(OFFSET(CC52,0,7)))-CB52</f>
        <v/>
      </c>
      <c r="CE52" s="38" t="n"/>
      <c r="CF52" s="38" t="n"/>
      <c r="CH52" s="27" t="n"/>
      <c r="CI52" s="831" t="n">
        <v>0</v>
      </c>
      <c r="CJ52" s="135" t="n">
        <v>0</v>
      </c>
      <c r="CK52" s="135" t="n">
        <v>0</v>
      </c>
      <c r="CL52" s="135" t="n"/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135" t="n"/>
      <c r="DA52" s="135" t="n"/>
      <c r="DB52" s="135" t="n"/>
      <c r="DC52" s="135" t="n"/>
      <c r="DD52" s="374" t="n"/>
      <c r="DE52" s="135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135" t="n"/>
      <c r="DQ52" s="135" t="n"/>
      <c r="DR52" s="135" t="n"/>
      <c r="DS52" s="135" t="n"/>
      <c r="DT52" s="290" t="n"/>
      <c r="DU52" s="135" t="n"/>
      <c r="DV52" s="135" t="n"/>
      <c r="DW52" s="135" t="n"/>
      <c r="DX52" s="290" t="n"/>
      <c r="DY52" s="135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135" t="n"/>
      <c r="FL52" s="135" t="n"/>
      <c r="FM52" s="135" t="n"/>
      <c r="FN52" s="135" t="n"/>
      <c r="FO52" s="290" t="n"/>
      <c r="FP52" s="135" t="n"/>
      <c r="FQ52" s="135" t="n"/>
      <c r="FR52" s="290" t="n"/>
      <c r="FS52" s="135" t="n"/>
      <c r="FT52" s="135" t="n"/>
      <c r="FU52" s="135" t="n"/>
      <c r="FV52" s="135" t="n"/>
      <c r="FW52" s="135" t="n"/>
      <c r="FX52" s="135" t="n"/>
      <c r="FY52" s="135" t="n"/>
      <c r="FZ52" s="135" t="n"/>
      <c r="GA52" s="135" t="n"/>
      <c r="GB52" s="135" t="n"/>
      <c r="GC52" s="135" t="n"/>
      <c r="GD52" s="135" t="n">
        <v>100</v>
      </c>
      <c r="GE52" s="135" t="n"/>
      <c r="GF52" s="135" t="n"/>
      <c r="GG52" s="135" t="n"/>
    </row>
    <row r="53">
      <c r="A53" s="35" t="n"/>
      <c r="B53" s="2" t="n"/>
      <c r="C53" s="759" t="n"/>
      <c r="D53" s="759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E53" s="340" t="n"/>
      <c r="CF53" s="340" t="n"/>
      <c r="CH53" s="18" t="n"/>
      <c r="CI53" s="833" t="n"/>
      <c r="CJ53" s="341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341" t="n"/>
      <c r="DA53" s="341" t="n"/>
      <c r="DB53" s="341" t="n"/>
      <c r="DC53" s="341" t="n"/>
      <c r="DD53" s="453" t="n"/>
      <c r="DE53" s="341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341" t="n"/>
      <c r="DQ53" s="341" t="n"/>
      <c r="DR53" s="341" t="n"/>
      <c r="DS53" s="341" t="n"/>
      <c r="DT53" s="19" t="n"/>
      <c r="DU53" s="341" t="n"/>
      <c r="DV53" s="341" t="n"/>
      <c r="DW53" s="341" t="n"/>
      <c r="DX53" s="19" t="n"/>
      <c r="DY53" s="341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341" t="n"/>
      <c r="FL53" s="341" t="n"/>
      <c r="FM53" s="341" t="n"/>
      <c r="FN53" s="341" t="n"/>
      <c r="FO53" s="19" t="n"/>
      <c r="FP53" s="341" t="n"/>
      <c r="FQ53" s="341" t="n"/>
      <c r="FR53" s="19" t="n"/>
      <c r="FS53" s="341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  <c r="GD53" s="341" t="n"/>
      <c r="GE53" s="341" t="n"/>
      <c r="GF53" s="341" t="n"/>
      <c r="GG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45908</v>
      </c>
      <c r="AQ54" s="746" t="n">
        <v>45915</v>
      </c>
      <c r="AR54" s="746" t="n">
        <v>45922</v>
      </c>
      <c r="AS54" s="746" t="n">
        <v>45929</v>
      </c>
      <c r="AT54" s="746" t="n">
        <v>45936</v>
      </c>
      <c r="AU54" s="746" t="n">
        <v>45943</v>
      </c>
      <c r="AV54" s="746" t="n">
        <v>45950</v>
      </c>
      <c r="AW54" s="746" t="n">
        <v>45957</v>
      </c>
      <c r="AX54" s="746" t="n">
        <v>45964</v>
      </c>
      <c r="AY54" s="746" t="n">
        <v>45971</v>
      </c>
      <c r="AZ54" s="746" t="n">
        <v>45978</v>
      </c>
      <c r="BA54" s="746" t="n">
        <v>45985</v>
      </c>
      <c r="BB54" s="746" t="n">
        <v>45992</v>
      </c>
      <c r="BC54" s="746" t="n">
        <v>45999</v>
      </c>
      <c r="BD54" s="746" t="n">
        <v>46006</v>
      </c>
      <c r="BE54" s="746" t="n">
        <v>46013</v>
      </c>
      <c r="BF54" s="746" t="n">
        <v>46020</v>
      </c>
      <c r="BG54" s="746" t="n">
        <v>46027</v>
      </c>
      <c r="BH54" s="746" t="n">
        <v>46034</v>
      </c>
      <c r="BI54" s="746" t="n">
        <v>46041</v>
      </c>
      <c r="BJ54" s="746" t="n">
        <v>46048</v>
      </c>
      <c r="BK54" s="746" t="n">
        <v>46055</v>
      </c>
      <c r="BL54" s="746" t="n">
        <v>46062</v>
      </c>
      <c r="BM54" s="746" t="n">
        <v>46069</v>
      </c>
      <c r="BN54" s="746" t="n">
        <v>46076</v>
      </c>
      <c r="BO54" s="746" t="n">
        <v>46083</v>
      </c>
      <c r="BP54" s="746" t="n">
        <v>46090</v>
      </c>
      <c r="BQ54" s="746" t="n">
        <v>46097</v>
      </c>
      <c r="BR54" s="746" t="n">
        <v>46104</v>
      </c>
      <c r="BS54" s="746" t="n">
        <v>46111</v>
      </c>
      <c r="BT54" s="746" t="n">
        <v>46118</v>
      </c>
      <c r="BU54" s="746" t="n">
        <v>46125</v>
      </c>
      <c r="BV54" s="746" t="n">
        <v>46132</v>
      </c>
      <c r="BW54" s="746" t="n">
        <v>46139</v>
      </c>
      <c r="BX54" s="746" t="n">
        <v>46146</v>
      </c>
      <c r="BY54" s="746" t="n">
        <v>46154</v>
      </c>
      <c r="BZ54" s="746" t="n">
        <v>46160</v>
      </c>
      <c r="CA54" s="747" t="n">
        <v>46161.48024612269</v>
      </c>
      <c r="CB54" s="747" t="n">
        <v>46161.48090400612</v>
      </c>
      <c r="CC54" s="758" t="inlineStr">
        <is>
          <t>USOU</t>
        </is>
      </c>
      <c r="CE54" s="44" t="inlineStr">
        <is>
          <t>Pendências</t>
        </is>
      </c>
      <c r="CF54" s="44" t="inlineStr">
        <is>
          <t>Pendências</t>
        </is>
      </c>
      <c r="CH54" s="12" t="inlineStr">
        <is>
          <t>Novo Pedido</t>
        </is>
      </c>
      <c r="CI54" s="793" t="n">
        <v>46161.4808993156</v>
      </c>
      <c r="CJ54" s="794" t="n">
        <v>46149</v>
      </c>
      <c r="CK54" s="794" t="n">
        <v>46142</v>
      </c>
      <c r="CL54" s="794" t="n">
        <v>46114</v>
      </c>
      <c r="CM54" s="794" t="n">
        <v>46107</v>
      </c>
      <c r="CN54" s="795" t="n">
        <v>46065</v>
      </c>
      <c r="CO54" s="794" t="n">
        <v>46099</v>
      </c>
      <c r="CP54" s="794" t="n">
        <v>46092</v>
      </c>
      <c r="CQ54" s="796" t="n">
        <v>46045</v>
      </c>
      <c r="CR54" s="794" t="n">
        <v>46077</v>
      </c>
      <c r="CS54" s="794" t="n">
        <v>46048</v>
      </c>
      <c r="CT54" s="794" t="n">
        <v>46043</v>
      </c>
      <c r="CU54" s="794" t="n">
        <v>46024</v>
      </c>
      <c r="CV54" s="794" t="n">
        <v>46017</v>
      </c>
      <c r="CW54" s="794" t="n">
        <v>46007</v>
      </c>
      <c r="CX54" s="794" t="n">
        <v>46001</v>
      </c>
      <c r="CY54" s="794" t="n">
        <v>46001</v>
      </c>
      <c r="CZ54" s="794" t="n">
        <v>45994</v>
      </c>
      <c r="DA54" s="794" t="n">
        <v>45986</v>
      </c>
      <c r="DB54" s="794" t="n">
        <v>45980</v>
      </c>
      <c r="DC54" s="794" t="n">
        <v>45980</v>
      </c>
      <c r="DD54" s="797" t="n">
        <v>45982</v>
      </c>
      <c r="DE54" s="794" t="n">
        <v>45973</v>
      </c>
      <c r="DF54" s="794" t="n">
        <v>45965</v>
      </c>
      <c r="DG54" s="794" t="n">
        <v>45960</v>
      </c>
      <c r="DH54" s="794" t="n">
        <v>45951</v>
      </c>
      <c r="DI54" s="737" t="n">
        <v>45903</v>
      </c>
      <c r="DJ54" s="794" t="n">
        <v>45945</v>
      </c>
      <c r="DK54" s="794" t="n">
        <v>45937</v>
      </c>
      <c r="DL54" s="794" t="n">
        <v>45931</v>
      </c>
      <c r="DM54" s="794" t="n">
        <v>45931</v>
      </c>
      <c r="DN54" s="794" t="n">
        <v>45915</v>
      </c>
      <c r="DO54" s="794" t="n">
        <v>45923</v>
      </c>
      <c r="DP54" s="794" t="n">
        <v>45903</v>
      </c>
      <c r="DQ54" s="794" t="n">
        <v>45915</v>
      </c>
      <c r="DR54" s="797" t="n">
        <v>45918</v>
      </c>
      <c r="DS54" s="794" t="n">
        <v>45909</v>
      </c>
      <c r="DT54" s="738" t="n">
        <v>45903</v>
      </c>
      <c r="DU54" s="794" t="n">
        <v>45895</v>
      </c>
      <c r="DV54" s="797" t="n">
        <v>45896</v>
      </c>
      <c r="DW54" s="794" t="n">
        <v>45881</v>
      </c>
      <c r="DX54" s="738" t="n">
        <v>45839</v>
      </c>
      <c r="DY54" s="794" t="n">
        <v>45888</v>
      </c>
      <c r="DZ54" s="794" t="n">
        <v>45881</v>
      </c>
      <c r="EA54" s="797" t="n">
        <v>45881</v>
      </c>
      <c r="EB54" s="794" t="n">
        <v>45874</v>
      </c>
      <c r="EC54" s="797" t="n">
        <v>45876</v>
      </c>
      <c r="ED54" s="794" t="n">
        <v>45867</v>
      </c>
      <c r="EE54" s="794" t="n">
        <v>45867</v>
      </c>
      <c r="EF54" s="794" t="n">
        <v>45860</v>
      </c>
      <c r="EG54" s="797" t="n">
        <v>45861</v>
      </c>
      <c r="EH54" s="797" t="n">
        <v>45860</v>
      </c>
      <c r="EI54" s="794" t="n">
        <v>45853</v>
      </c>
      <c r="EJ54" s="739" t="n">
        <v>45855</v>
      </c>
      <c r="EK54" s="794" t="n">
        <v>45848</v>
      </c>
      <c r="EL54" s="794" t="n">
        <v>45839</v>
      </c>
      <c r="EM54" s="794" t="n">
        <v>45839</v>
      </c>
      <c r="EN54" s="797" t="n">
        <v>45835</v>
      </c>
      <c r="EO54" s="794" t="n">
        <v>45790</v>
      </c>
      <c r="EP54" s="794" t="n">
        <v>45825</v>
      </c>
      <c r="EQ54" s="794" t="n">
        <v>45819</v>
      </c>
      <c r="ER54" s="794" t="n">
        <v>45813</v>
      </c>
      <c r="ES54" s="794" t="n">
        <v>45797</v>
      </c>
      <c r="ET54" s="797" t="n">
        <v>45811</v>
      </c>
      <c r="EU54" s="797" t="n">
        <v>45810</v>
      </c>
      <c r="EV54" s="797" t="n">
        <v>45806</v>
      </c>
      <c r="EW54" s="797" t="n">
        <v>45803</v>
      </c>
      <c r="EX54" s="755" t="n">
        <v>45803</v>
      </c>
      <c r="EY54" s="794" t="n">
        <v>45784</v>
      </c>
      <c r="EZ54" s="797" t="n">
        <v>45796</v>
      </c>
      <c r="FA54" s="794" t="n">
        <v>45784</v>
      </c>
      <c r="FB54" s="794" t="n">
        <v>45764</v>
      </c>
      <c r="FC54" s="797" t="n">
        <v>45791</v>
      </c>
      <c r="FD54" s="794" t="n">
        <v>45783</v>
      </c>
      <c r="FE54" s="794" t="n">
        <v>45770</v>
      </c>
      <c r="FF54" s="794" t="n">
        <v>45775</v>
      </c>
      <c r="FG54" s="794" t="n">
        <v>45770</v>
      </c>
      <c r="FH54" s="794" t="n">
        <v>45770</v>
      </c>
      <c r="FI54" s="797" t="n">
        <v>45775</v>
      </c>
      <c r="FJ54" s="797" t="n">
        <v>45770</v>
      </c>
      <c r="FK54" s="794" t="n">
        <v>45756</v>
      </c>
      <c r="FL54" s="794" t="n">
        <v>45735</v>
      </c>
      <c r="FM54" s="797" t="n">
        <v>45751</v>
      </c>
      <c r="FN54" s="794" t="n">
        <v>45743</v>
      </c>
      <c r="FO54" s="746" t="n">
        <v>45729</v>
      </c>
      <c r="FP54" s="794" t="n">
        <v>45722</v>
      </c>
      <c r="FQ54" s="794" t="n">
        <v>45722</v>
      </c>
      <c r="FR54" s="746" t="n">
        <v>45700</v>
      </c>
      <c r="FS54" s="797" t="n">
        <v>45722</v>
      </c>
      <c r="FT54" s="794" t="n">
        <v>45714</v>
      </c>
      <c r="FU54" s="794" t="n">
        <v>45706</v>
      </c>
      <c r="FV54" s="794" t="n">
        <v>45684</v>
      </c>
      <c r="FW54" s="794" t="n">
        <v>45699</v>
      </c>
      <c r="FX54" s="794" t="n">
        <v>45693</v>
      </c>
      <c r="FY54" s="797" t="n">
        <v>45687</v>
      </c>
      <c r="FZ54" s="794" t="n">
        <v>45685</v>
      </c>
      <c r="GA54" s="797" t="n">
        <v>45684</v>
      </c>
      <c r="GB54" s="794" t="n">
        <v>45674</v>
      </c>
      <c r="GC54" s="794" t="n">
        <v>45664</v>
      </c>
      <c r="GD54" s="794" t="n">
        <v>45660</v>
      </c>
      <c r="GE54" s="794" t="n">
        <v>45660</v>
      </c>
      <c r="GF54" s="794" t="n">
        <v>45652</v>
      </c>
      <c r="GG54" s="794" t="n">
        <v>45643</v>
      </c>
    </row>
    <row r="55">
      <c r="A55" s="37" t="inlineStr">
        <is>
          <t>SACOLA P EUDORA</t>
        </is>
      </c>
      <c r="B55" s="699" t="n">
        <v>200</v>
      </c>
      <c r="C55" s="762" t="n">
        <v>174.51</v>
      </c>
      <c r="D55" s="382" t="inlineStr">
        <is>
          <t>?</t>
        </is>
      </c>
      <c r="F55" s="697" t="n"/>
      <c r="G55" s="697" t="n"/>
      <c r="H55" s="697" t="n"/>
      <c r="I55" s="697" t="n"/>
      <c r="J55" s="697" t="n"/>
      <c r="K55" s="697" t="n"/>
      <c r="L55" s="697" t="n"/>
      <c r="M55" s="697" t="n"/>
      <c r="N55" s="697" t="n"/>
      <c r="O55" s="697" t="n"/>
      <c r="P55" s="697" t="n"/>
      <c r="Q55" s="697" t="n"/>
      <c r="R55" s="697" t="n"/>
      <c r="S55" s="697" t="n"/>
      <c r="T55" s="697" t="n"/>
      <c r="U55" s="697" t="n"/>
      <c r="V55" s="697" t="n"/>
      <c r="W55" s="697" t="n"/>
      <c r="X55" s="697" t="n">
        <v>0</v>
      </c>
      <c r="Y55" s="697" t="n">
        <v>0</v>
      </c>
      <c r="Z55" s="697" t="n">
        <v>800</v>
      </c>
      <c r="AA55" s="697" t="n">
        <v>800</v>
      </c>
      <c r="AB55" s="697" t="n">
        <v>800</v>
      </c>
      <c r="AC55" s="697" t="n">
        <v>0</v>
      </c>
      <c r="AD55" s="697" t="n">
        <v>1000</v>
      </c>
      <c r="AE55" s="237">
        <f>800+EM55</f>
        <v/>
      </c>
      <c r="AF55" s="237" t="n">
        <v>0</v>
      </c>
      <c r="AG55" s="237">
        <f>0+EK55</f>
        <v/>
      </c>
      <c r="AH55" s="237" t="n">
        <v>800</v>
      </c>
      <c r="AI55" s="237">
        <f>200+EG55</f>
        <v/>
      </c>
      <c r="AJ55" s="237" t="n">
        <v>800</v>
      </c>
      <c r="AK55" s="237" t="n">
        <v>200</v>
      </c>
      <c r="AL55" s="237">
        <f>600+DZ55</f>
        <v/>
      </c>
      <c r="AM55" s="237" t="n">
        <v>600</v>
      </c>
      <c r="AN55" s="237">
        <f>600+DW55</f>
        <v/>
      </c>
      <c r="AO55" s="237">
        <f>1600+DN55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800+DK55</f>
        <v/>
      </c>
      <c r="AU55" s="237" t="n">
        <v>1200</v>
      </c>
      <c r="AV55" s="237">
        <f>1200+DH55</f>
        <v/>
      </c>
      <c r="AW55" s="237" t="n">
        <v>2200</v>
      </c>
      <c r="AX55" s="237" t="n">
        <v>1200</v>
      </c>
      <c r="AY55" s="237" t="n">
        <v>1800</v>
      </c>
      <c r="AZ55" s="237">
        <f>900+DC55</f>
        <v/>
      </c>
      <c r="BA55" s="237" t="n">
        <v>0</v>
      </c>
      <c r="BB55" s="237">
        <f>0+CZ55+CY55</f>
        <v/>
      </c>
      <c r="BC55" s="237" t="n">
        <v>3800</v>
      </c>
      <c r="BD55" s="237" t="n">
        <v>3600</v>
      </c>
      <c r="BE55" s="237">
        <f>3600+CV55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237" t="n">
        <v>400</v>
      </c>
      <c r="BZ55" s="237" t="n"/>
      <c r="CA55" s="154" t="n"/>
      <c r="CB55" s="154" t="n"/>
      <c r="CC55" s="198">
        <f>CA55+IF(NOT(ISBLANK(OFFSET(CC55,0,6))),N(OFFSET(CC55,0,6)),N(OFFSET(CC55,0,7)))-CB55</f>
        <v/>
      </c>
      <c r="CE55" s="161" t="n"/>
      <c r="CF55" s="161" t="n"/>
      <c r="CH55" s="27" t="n">
        <v>800</v>
      </c>
      <c r="CI55" s="831" t="n">
        <v>0</v>
      </c>
      <c r="CJ55" s="135" t="n">
        <v>0</v>
      </c>
      <c r="CK55" s="135" t="n">
        <v>0</v>
      </c>
      <c r="CL55" s="135" t="n">
        <v>1000</v>
      </c>
      <c r="CM55" s="135" t="n"/>
      <c r="CN55" s="135" t="n"/>
      <c r="CO55" s="135" t="n"/>
      <c r="CP55" s="135" t="n"/>
      <c r="CQ55" s="135" t="n"/>
      <c r="CR55" s="135" t="n">
        <v>2000</v>
      </c>
      <c r="CS55" s="135" t="n"/>
      <c r="CT55" s="135" t="n"/>
      <c r="CU55" s="135" t="n"/>
      <c r="CV55" s="135" t="n"/>
      <c r="CW55" s="135" t="n"/>
      <c r="CX55" s="135" t="n">
        <v>800</v>
      </c>
      <c r="CY55" s="135" t="n"/>
      <c r="CZ55" s="135" t="n"/>
      <c r="DA55" s="135" t="n">
        <v>2000</v>
      </c>
      <c r="DB55" s="135" t="n">
        <v>1000</v>
      </c>
      <c r="DC55" s="135" t="n"/>
      <c r="DD55" s="374" t="n"/>
      <c r="DE55" s="135" t="n">
        <v>1000</v>
      </c>
      <c r="DF55" s="135" t="n">
        <v>1400</v>
      </c>
      <c r="DG55" s="135" t="n"/>
      <c r="DH55" s="135" t="n"/>
      <c r="DI55" s="135" t="n"/>
      <c r="DJ55" s="135" t="n">
        <v>2000</v>
      </c>
      <c r="DK55" s="135" t="n"/>
      <c r="DL55" s="135" t="n"/>
      <c r="DM55" s="135" t="n">
        <v>1600</v>
      </c>
      <c r="DN55" s="135" t="n"/>
      <c r="DO55" s="135" t="n"/>
      <c r="DP55" s="135" t="n">
        <v>2000</v>
      </c>
      <c r="DQ55" s="135" t="n"/>
      <c r="DR55" s="135" t="n"/>
      <c r="DS55" s="135" t="n"/>
      <c r="DT55" s="23" t="n"/>
      <c r="DU55" s="135" t="n"/>
      <c r="DV55" s="135" t="n"/>
      <c r="DW55" s="135" t="n">
        <v>400</v>
      </c>
      <c r="DX55" s="23" t="n"/>
      <c r="DY55" s="135" t="n">
        <v>1000</v>
      </c>
      <c r="DZ55" s="135" t="n"/>
      <c r="EA55" s="135" t="n"/>
      <c r="EB55" s="135" t="n">
        <v>600</v>
      </c>
      <c r="EC55" s="135" t="n"/>
      <c r="ED55" s="135" t="n">
        <v>800</v>
      </c>
      <c r="EE55" s="135" t="n"/>
      <c r="EF55" s="135" t="n">
        <v>800</v>
      </c>
      <c r="EG55" s="135" t="n"/>
      <c r="EH55" s="135" t="n"/>
      <c r="EI55" s="135" t="n">
        <v>600</v>
      </c>
      <c r="EJ55" s="135" t="n"/>
      <c r="EK55" s="135" t="n"/>
      <c r="EL55" s="135" t="n"/>
      <c r="EM55" s="135" t="n">
        <v>1400</v>
      </c>
      <c r="EN55" s="135" t="n"/>
      <c r="EO55" s="135" t="n">
        <v>200</v>
      </c>
      <c r="EP55" s="135" t="n"/>
      <c r="EQ55" s="135" t="n">
        <v>1000</v>
      </c>
      <c r="ER55" s="135" t="n"/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>
        <v>800</v>
      </c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135" t="n"/>
      <c r="FL55" s="135" t="n"/>
      <c r="FM55" s="135" t="n"/>
      <c r="FN55" s="135" t="n"/>
      <c r="FO55" s="219" t="n"/>
      <c r="FP55" s="135" t="n"/>
      <c r="FQ55" s="135" t="n"/>
      <c r="FR55" s="219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  <c r="GD55" s="135" t="n"/>
      <c r="GE55" s="135" t="n"/>
      <c r="GF55" s="135" t="n"/>
      <c r="GG55" s="135" t="n"/>
    </row>
    <row r="56" ht="18" customHeight="1">
      <c r="A56" s="37" t="inlineStr">
        <is>
          <t>SACOLA M EUDORA</t>
        </is>
      </c>
      <c r="B56" s="699" t="n">
        <v>200</v>
      </c>
      <c r="C56" s="762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697" t="n"/>
      <c r="N56" s="697" t="n"/>
      <c r="O56" s="697" t="n"/>
      <c r="P56" s="697" t="n"/>
      <c r="Q56" s="697" t="n"/>
      <c r="R56" s="697" t="n"/>
      <c r="S56" s="697" t="n"/>
      <c r="T56" s="697" t="n"/>
      <c r="U56" s="697" t="n"/>
      <c r="V56" s="697" t="n"/>
      <c r="W56" s="697" t="n"/>
      <c r="X56" s="697" t="n">
        <v>0</v>
      </c>
      <c r="Y56" s="697" t="n">
        <v>0</v>
      </c>
      <c r="Z56" s="697" t="n">
        <v>600</v>
      </c>
      <c r="AA56" s="697" t="n">
        <v>600</v>
      </c>
      <c r="AB56" s="697" t="n">
        <v>600</v>
      </c>
      <c r="AC56" s="697" t="n">
        <v>0</v>
      </c>
      <c r="AD56" s="697" t="n">
        <v>600</v>
      </c>
      <c r="AE56" s="697" t="n">
        <v>400</v>
      </c>
      <c r="AF56" s="697" t="n">
        <v>0</v>
      </c>
      <c r="AG56" s="237">
        <f>0+EK56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200+DH56</f>
        <v/>
      </c>
      <c r="AW56" s="237" t="n">
        <v>600</v>
      </c>
      <c r="AX56" s="237" t="n">
        <v>200</v>
      </c>
      <c r="AY56" s="237">
        <f>600+DD56</f>
        <v/>
      </c>
      <c r="AZ56" s="237">
        <f>1000+DC56</f>
        <v/>
      </c>
      <c r="BA56" s="237" t="n">
        <v>0</v>
      </c>
      <c r="BB56" s="237">
        <f>600+CY56</f>
        <v/>
      </c>
      <c r="BC56" s="237" t="n">
        <v>2000</v>
      </c>
      <c r="BD56" s="237" t="n">
        <v>1800</v>
      </c>
      <c r="BE56" s="237">
        <f>1800+CV56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2200+CM56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237" t="n">
        <v>5000</v>
      </c>
      <c r="BZ56" s="237" t="n"/>
      <c r="CA56" s="154" t="n"/>
      <c r="CB56" s="154" t="n"/>
      <c r="CC56" s="198">
        <f>CA56+IF(NOT(ISBLANK(OFFSET(CC56,0,6))),N(OFFSET(CC56,0,6)),N(OFFSET(CC56,0,7)))-CB56</f>
        <v/>
      </c>
      <c r="CE56" s="161" t="n"/>
      <c r="CF56" s="469" t="inlineStr">
        <is>
          <t>1000 P/ ERB</t>
        </is>
      </c>
      <c r="CH56" s="27" t="n"/>
      <c r="CI56" s="831" t="n">
        <v>0</v>
      </c>
      <c r="CJ56" s="135" t="n">
        <v>0</v>
      </c>
      <c r="CK56" s="135" t="n">
        <v>0</v>
      </c>
      <c r="CL56" s="135" t="n"/>
      <c r="CM56" s="135" t="n"/>
      <c r="CN56" s="135" t="n"/>
      <c r="CO56" s="135" t="n">
        <v>2000</v>
      </c>
      <c r="CP56" s="135" t="n"/>
      <c r="CQ56" s="135" t="n"/>
      <c r="CR56" s="135" t="n"/>
      <c r="CS56" s="135" t="n"/>
      <c r="CT56" s="135" t="n"/>
      <c r="CU56" s="135" t="n"/>
      <c r="CV56" s="135" t="n"/>
      <c r="CW56" s="135" t="n"/>
      <c r="CX56" s="135" t="n">
        <v>1600</v>
      </c>
      <c r="CY56" s="135" t="n"/>
      <c r="CZ56" s="135" t="n"/>
      <c r="DA56" s="135" t="n">
        <v>1600</v>
      </c>
      <c r="DB56" s="135" t="n"/>
      <c r="DC56" s="135" t="n"/>
      <c r="DD56" s="374" t="n"/>
      <c r="DE56" s="135" t="n">
        <v>400</v>
      </c>
      <c r="DF56" s="135" t="n">
        <v>400</v>
      </c>
      <c r="DG56" s="135" t="n"/>
      <c r="DH56" s="135" t="n"/>
      <c r="DI56" s="135" t="n"/>
      <c r="DJ56" s="135" t="n">
        <v>400</v>
      </c>
      <c r="DK56" s="135" t="n"/>
      <c r="DL56" s="135" t="n"/>
      <c r="DM56" s="135" t="n"/>
      <c r="DN56" s="135" t="n"/>
      <c r="DO56" s="135" t="n"/>
      <c r="DP56" s="135" t="n"/>
      <c r="DQ56" s="135" t="n"/>
      <c r="DR56" s="135" t="n"/>
      <c r="DS56" s="135" t="n"/>
      <c r="DT56" s="23" t="n"/>
      <c r="DU56" s="135" t="n"/>
      <c r="DV56" s="135" t="n"/>
      <c r="DW56" s="135" t="n"/>
      <c r="DX56" s="23" t="n"/>
      <c r="DY56" s="135" t="n">
        <v>800</v>
      </c>
      <c r="DZ56" s="135" t="n">
        <v>600</v>
      </c>
      <c r="EA56" s="135" t="n"/>
      <c r="EB56" s="135" t="n"/>
      <c r="EC56" s="135" t="n"/>
      <c r="ED56" s="135" t="n">
        <v>200</v>
      </c>
      <c r="EE56" s="135" t="n"/>
      <c r="EF56" s="135" t="n">
        <v>200</v>
      </c>
      <c r="EG56" s="135" t="n"/>
      <c r="EH56" s="135" t="n"/>
      <c r="EI56" s="135" t="n"/>
      <c r="EJ56" s="135" t="n"/>
      <c r="EK56" s="135" t="n"/>
      <c r="EL56" s="135" t="n"/>
      <c r="EM56" s="135" t="n">
        <v>600</v>
      </c>
      <c r="EN56" s="135" t="n"/>
      <c r="EO56" s="135" t="n"/>
      <c r="EP56" s="135" t="n"/>
      <c r="EQ56" s="135" t="n">
        <v>600</v>
      </c>
      <c r="ER56" s="135" t="n"/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>
        <v>600</v>
      </c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135" t="n"/>
      <c r="FL56" s="135" t="n"/>
      <c r="FM56" s="135" t="n"/>
      <c r="FN56" s="135" t="n"/>
      <c r="FO56" s="219" t="n"/>
      <c r="FP56" s="135" t="n"/>
      <c r="FQ56" s="135" t="n"/>
      <c r="FR56" s="219" t="n"/>
      <c r="FS56" s="135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  <c r="GD56" s="135" t="n"/>
      <c r="GE56" s="135" t="n"/>
      <c r="GF56" s="135" t="n"/>
      <c r="GG56" s="135" t="n"/>
    </row>
    <row r="57">
      <c r="A57" s="37" t="inlineStr">
        <is>
          <t>SACOLA G EUDORA</t>
        </is>
      </c>
      <c r="B57" s="699" t="n">
        <v>100</v>
      </c>
      <c r="C57" s="762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697" t="n"/>
      <c r="N57" s="697" t="n"/>
      <c r="O57" s="697" t="n"/>
      <c r="P57" s="697" t="n"/>
      <c r="Q57" s="697" t="n"/>
      <c r="R57" s="697" t="n"/>
      <c r="S57" s="697" t="n"/>
      <c r="T57" s="697" t="n"/>
      <c r="U57" s="697" t="n"/>
      <c r="V57" s="697" t="n"/>
      <c r="W57" s="697" t="n"/>
      <c r="X57" s="697" t="n">
        <v>0</v>
      </c>
      <c r="Y57" s="697" t="n">
        <v>0</v>
      </c>
      <c r="Z57" s="697" t="n">
        <v>100</v>
      </c>
      <c r="AA57" s="697" t="n">
        <v>100</v>
      </c>
      <c r="AB57" s="697" t="n">
        <v>100</v>
      </c>
      <c r="AC57" s="697" t="n">
        <v>0</v>
      </c>
      <c r="AD57" s="697" t="n">
        <v>100</v>
      </c>
      <c r="AE57" s="697" t="n">
        <v>100</v>
      </c>
      <c r="AF57" s="697" t="n">
        <v>0</v>
      </c>
      <c r="AG57" s="237">
        <f>0+EK57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100+DK57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0+DA57</f>
        <v/>
      </c>
      <c r="BB57" s="237">
        <f>1600+CY57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237" t="n">
        <v>2900</v>
      </c>
      <c r="BZ57" s="237" t="n"/>
      <c r="CA57" s="154" t="n"/>
      <c r="CB57" s="154" t="n"/>
      <c r="CC57" s="198">
        <f>CA57+IF(NOT(ISBLANK(OFFSET(CC57,0,6))),N(OFFSET(CC57,0,6)),N(OFFSET(CC57,0,7)))-CB57</f>
        <v/>
      </c>
      <c r="CE57" s="161" t="n"/>
      <c r="CF57" s="161" t="n"/>
      <c r="CH57" s="27" t="n"/>
      <c r="CI57" s="831" t="n">
        <v>0</v>
      </c>
      <c r="CJ57" s="135" t="n">
        <v>0</v>
      </c>
      <c r="CK57" s="135" t="n">
        <v>0</v>
      </c>
      <c r="CL57" s="135" t="n"/>
      <c r="CM57" s="135" t="n"/>
      <c r="CN57" s="135" t="n"/>
      <c r="CO57" s="135" t="n"/>
      <c r="CP57" s="135" t="n"/>
      <c r="CQ57" s="135" t="n"/>
      <c r="CR57" s="135" t="n">
        <v>800</v>
      </c>
      <c r="CS57" s="135" t="n"/>
      <c r="CT57" s="135" t="n"/>
      <c r="CU57" s="135" t="n"/>
      <c r="CV57" s="135" t="n"/>
      <c r="CW57" s="135" t="n"/>
      <c r="CX57" s="135" t="n"/>
      <c r="CY57" s="135" t="n"/>
      <c r="CZ57" s="135" t="n"/>
      <c r="DA57" s="135" t="n">
        <v>600</v>
      </c>
      <c r="DB57" s="135" t="n"/>
      <c r="DC57" s="135" t="n">
        <v>600</v>
      </c>
      <c r="DD57" s="374" t="n"/>
      <c r="DE57" s="135" t="n"/>
      <c r="DF57" s="135" t="n">
        <v>100</v>
      </c>
      <c r="DG57" s="135" t="n"/>
      <c r="DH57" s="135" t="n"/>
      <c r="DI57" s="135" t="n"/>
      <c r="DJ57" s="135" t="n"/>
      <c r="DK57" s="135" t="n"/>
      <c r="DL57" s="135" t="n"/>
      <c r="DM57" s="135" t="n">
        <v>500</v>
      </c>
      <c r="DN57" s="135" t="n"/>
      <c r="DO57" s="135" t="n"/>
      <c r="DP57" s="135" t="n"/>
      <c r="DQ57" s="135" t="n">
        <v>200</v>
      </c>
      <c r="DR57" s="135" t="n"/>
      <c r="DS57" s="135" t="n"/>
      <c r="DT57" s="23" t="n"/>
      <c r="DU57" s="135" t="n"/>
      <c r="DV57" s="135" t="n"/>
      <c r="DW57" s="135" t="n"/>
      <c r="DX57" s="23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>
        <v>200</v>
      </c>
      <c r="EN57" s="135" t="n"/>
      <c r="EO57" s="135" t="n"/>
      <c r="EP57" s="135" t="n"/>
      <c r="EQ57" s="135" t="n">
        <v>100</v>
      </c>
      <c r="ER57" s="135" t="n"/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>
        <v>100</v>
      </c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135" t="n"/>
      <c r="FL57" s="135" t="n"/>
      <c r="FM57" s="135" t="n"/>
      <c r="FN57" s="135" t="n"/>
      <c r="FO57" s="219" t="n"/>
      <c r="FP57" s="135" t="n"/>
      <c r="FQ57" s="135" t="n"/>
      <c r="FR57" s="219" t="n"/>
      <c r="FS57" s="135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  <c r="GD57" s="135" t="n"/>
      <c r="GE57" s="135" t="n"/>
      <c r="GF57" s="135" t="n"/>
      <c r="GG57" s="135" t="n"/>
    </row>
    <row r="58">
      <c r="A58" s="626" t="inlineStr">
        <is>
          <t>KIT SACOLA P EUDORA (C/ 10)</t>
        </is>
      </c>
      <c r="B58" s="345" t="n">
        <v>200</v>
      </c>
      <c r="C58" s="834" t="n">
        <v>175.36</v>
      </c>
      <c r="D58" s="382" t="n">
        <v>15</v>
      </c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697" t="n"/>
      <c r="S58" s="697" t="n"/>
      <c r="T58" s="697" t="n"/>
      <c r="U58" s="697" t="n"/>
      <c r="V58" s="697" t="n"/>
      <c r="W58" s="697" t="n"/>
      <c r="X58" s="697" t="n">
        <v>0</v>
      </c>
      <c r="Y58" s="697" t="n">
        <v>0</v>
      </c>
      <c r="Z58" s="697" t="n">
        <v>40</v>
      </c>
      <c r="AA58" s="697" t="n">
        <v>40</v>
      </c>
      <c r="AB58" s="697" t="n">
        <v>40</v>
      </c>
      <c r="AC58" s="697" t="n">
        <v>37</v>
      </c>
      <c r="AD58" s="697" t="n">
        <v>37</v>
      </c>
      <c r="AE58" s="697">
        <f>31-9</f>
        <v/>
      </c>
      <c r="AF58" s="697" t="n">
        <v>21</v>
      </c>
      <c r="AG58" s="697" t="n">
        <v>17</v>
      </c>
      <c r="AH58" s="697" t="n">
        <v>15</v>
      </c>
      <c r="AI58" s="697" t="n">
        <v>6</v>
      </c>
      <c r="AJ58" s="697" t="n">
        <v>3</v>
      </c>
      <c r="AK58" s="697" t="n">
        <v>3</v>
      </c>
      <c r="AL58" s="697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7+CY58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>
        <v>20</v>
      </c>
      <c r="BU58" s="237" t="n">
        <v>20</v>
      </c>
      <c r="BV58" s="237" t="n">
        <v>20</v>
      </c>
      <c r="BW58" s="237" t="n">
        <v>20</v>
      </c>
      <c r="BX58" s="237" t="n">
        <v>20</v>
      </c>
      <c r="BY58" s="237" t="n">
        <v>19</v>
      </c>
      <c r="BZ58" s="237" t="n">
        <v>19</v>
      </c>
      <c r="CA58" s="154" t="n">
        <v>19</v>
      </c>
      <c r="CB58" s="154" t="n">
        <v>19</v>
      </c>
      <c r="CC58" s="198">
        <f>CA58+IF(NOT(ISBLANK(OFFSET(CC58,0,6))),N(OFFSET(CC58,0,6)),N(OFFSET(CC58,0,7)))-CB58</f>
        <v/>
      </c>
      <c r="CE58" s="38" t="n"/>
      <c r="CF58" s="38" t="n"/>
      <c r="CH58" s="27" t="n"/>
      <c r="CI58" s="831" t="n">
        <v>0</v>
      </c>
      <c r="CJ58" s="135" t="n">
        <v>0</v>
      </c>
      <c r="CK58" s="135" t="n">
        <v>0</v>
      </c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>
        <v>40</v>
      </c>
      <c r="DB58" s="135" t="n"/>
      <c r="DC58" s="135" t="n"/>
      <c r="DD58" s="374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135" t="n"/>
      <c r="DQ58" s="135" t="n"/>
      <c r="DR58" s="135" t="n"/>
      <c r="DS58" s="135" t="n"/>
      <c r="DT58" s="23" t="n"/>
      <c r="DU58" s="135" t="n"/>
      <c r="DV58" s="135" t="n"/>
      <c r="DW58" s="135" t="n"/>
      <c r="DX58" s="23" t="n"/>
      <c r="DY58" s="135" t="n"/>
      <c r="DZ58" s="135" t="n">
        <v>20</v>
      </c>
      <c r="EA58" s="135" t="n"/>
      <c r="EB58" s="135" t="n"/>
      <c r="EC58" s="135" t="n"/>
      <c r="ED58" s="135" t="n">
        <v>20</v>
      </c>
      <c r="EE58" s="135" t="n"/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406" t="inlineStr">
        <is>
          <t>09 P/ ERB</t>
        </is>
      </c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>
        <v>40</v>
      </c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135" t="n"/>
      <c r="FL58" s="135" t="n"/>
      <c r="FM58" s="135" t="n"/>
      <c r="FN58" s="135" t="n"/>
      <c r="FO58" s="290" t="n"/>
      <c r="FP58" s="135" t="n"/>
      <c r="FQ58" s="135" t="n"/>
      <c r="FR58" s="290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  <c r="GD58" s="135" t="n"/>
      <c r="GE58" s="135" t="n"/>
      <c r="GF58" s="135" t="n"/>
      <c r="GG58" s="135" t="n"/>
    </row>
    <row r="59">
      <c r="A59" s="626" t="inlineStr">
        <is>
          <t>KIT SACOLA M EUDORA (C/ 10)</t>
        </is>
      </c>
      <c r="B59" s="345" t="n">
        <v>150</v>
      </c>
      <c r="C59" s="834" t="n">
        <v>172.76</v>
      </c>
      <c r="D59" s="382" t="n">
        <v>15</v>
      </c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697" t="n"/>
      <c r="S59" s="697" t="n"/>
      <c r="T59" s="697" t="n"/>
      <c r="U59" s="697" t="n"/>
      <c r="V59" s="697" t="n"/>
      <c r="W59" s="697" t="n"/>
      <c r="X59" s="697" t="n">
        <v>0</v>
      </c>
      <c r="Y59" s="697" t="n">
        <v>0</v>
      </c>
      <c r="Z59" s="697" t="n">
        <v>15</v>
      </c>
      <c r="AA59" s="697" t="n">
        <v>15</v>
      </c>
      <c r="AB59" s="697" t="n">
        <v>15</v>
      </c>
      <c r="AC59" s="697" t="n">
        <v>11</v>
      </c>
      <c r="AD59" s="697" t="n">
        <v>1</v>
      </c>
      <c r="AE59" s="237">
        <f>1+EM59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0+DZ59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>
        <v>3</v>
      </c>
      <c r="BU59" s="237" t="n">
        <v>3</v>
      </c>
      <c r="BV59" s="237" t="n">
        <v>3</v>
      </c>
      <c r="BW59" s="237" t="n">
        <v>3</v>
      </c>
      <c r="BX59" s="237" t="n">
        <v>3</v>
      </c>
      <c r="BY59" s="237" t="n">
        <v>0</v>
      </c>
      <c r="BZ59" s="237" t="n">
        <v>0</v>
      </c>
      <c r="CA59" s="154" t="n">
        <v>0</v>
      </c>
      <c r="CB59" s="154" t="n">
        <v>0</v>
      </c>
      <c r="CC59" s="198">
        <f>CA59+IF(NOT(ISBLANK(OFFSET(CC59,0,6))),N(OFFSET(CC59,0,6)),N(OFFSET(CC59,0,7)))-CB59</f>
        <v/>
      </c>
      <c r="CE59" s="38" t="n"/>
      <c r="CF59" s="38" t="n"/>
      <c r="CH59" s="27" t="n"/>
      <c r="CI59" s="831" t="n">
        <v>0</v>
      </c>
      <c r="CJ59" s="135" t="n">
        <v>0</v>
      </c>
      <c r="CK59" s="135" t="n">
        <v>0</v>
      </c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98" t="inlineStr">
        <is>
          <t>10 DE ERB</t>
        </is>
      </c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135" t="n"/>
      <c r="DQ59" s="135" t="n"/>
      <c r="DR59" s="135" t="n"/>
      <c r="DS59" s="135" t="n"/>
      <c r="DT59" s="23" t="n"/>
      <c r="DU59" s="135" t="n"/>
      <c r="DV59" s="135" t="n"/>
      <c r="DW59" s="135" t="n"/>
      <c r="DX59" s="23" t="n"/>
      <c r="DY59" s="135" t="n"/>
      <c r="DZ59" s="135" t="n"/>
      <c r="EA59" s="135" t="n"/>
      <c r="EB59" s="135" t="n">
        <v>15</v>
      </c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374" t="n"/>
      <c r="EO59" s="135" t="n">
        <v>15</v>
      </c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>
        <v>15</v>
      </c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135" t="n"/>
      <c r="FL59" s="135" t="n"/>
      <c r="FM59" s="135" t="n"/>
      <c r="FN59" s="135" t="n"/>
      <c r="FO59" s="290" t="n"/>
      <c r="FP59" s="135" t="n"/>
      <c r="FQ59" s="135" t="n"/>
      <c r="FR59" s="290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  <c r="GD59" s="135" t="n"/>
      <c r="GE59" s="135" t="n"/>
      <c r="GF59" s="135" t="n"/>
      <c r="GG59" s="135" t="n"/>
    </row>
    <row r="60">
      <c r="A60" s="626" t="inlineStr">
        <is>
          <t>KIT SACOLA G EUDORA (C/ 10)</t>
        </is>
      </c>
      <c r="B60" s="345" t="inlineStr">
        <is>
          <t>-</t>
        </is>
      </c>
      <c r="C60" s="834" t="inlineStr">
        <is>
          <t>-</t>
        </is>
      </c>
      <c r="D60" s="382" t="n">
        <v>10</v>
      </c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697" t="n"/>
      <c r="S60" s="697" t="n"/>
      <c r="T60" s="697" t="n"/>
      <c r="U60" s="697" t="n"/>
      <c r="V60" s="697" t="n"/>
      <c r="W60" s="697" t="n"/>
      <c r="X60" s="697" t="n">
        <v>0</v>
      </c>
      <c r="Y60" s="697" t="n">
        <v>0</v>
      </c>
      <c r="Z60" s="697" t="n">
        <v>0</v>
      </c>
      <c r="AA60" s="697" t="n">
        <v>0</v>
      </c>
      <c r="AB60" s="697" t="n">
        <v>0</v>
      </c>
      <c r="AC60" s="697" t="n">
        <v>0</v>
      </c>
      <c r="AD60" s="697" t="n">
        <v>0</v>
      </c>
      <c r="AE60" s="697" t="n">
        <v>0</v>
      </c>
      <c r="AF60" s="697" t="n">
        <v>0</v>
      </c>
      <c r="AG60" s="697" t="n">
        <v>0</v>
      </c>
      <c r="AH60" s="697" t="n">
        <v>0</v>
      </c>
      <c r="AI60" s="697" t="n">
        <v>0</v>
      </c>
      <c r="AJ60" s="697" t="n">
        <v>0</v>
      </c>
      <c r="AK60" s="697" t="n">
        <v>0</v>
      </c>
      <c r="AL60" s="697" t="n">
        <v>0</v>
      </c>
      <c r="AM60" s="697" t="n">
        <v>0</v>
      </c>
      <c r="AN60" s="697" t="n">
        <v>0</v>
      </c>
      <c r="AO60" s="697" t="n">
        <v>0</v>
      </c>
      <c r="AP60" s="697" t="n">
        <v>0</v>
      </c>
      <c r="AQ60" s="697" t="n">
        <v>0</v>
      </c>
      <c r="AR60" s="697" t="n">
        <v>0</v>
      </c>
      <c r="AS60" s="697" t="n">
        <v>0</v>
      </c>
      <c r="AT60" s="697" t="n">
        <v>0</v>
      </c>
      <c r="AU60" s="697" t="n">
        <v>0</v>
      </c>
      <c r="AV60" s="697" t="n">
        <v>0</v>
      </c>
      <c r="AW60" s="697" t="n">
        <v>0</v>
      </c>
      <c r="AX60" s="697" t="n">
        <v>0</v>
      </c>
      <c r="AY60" s="697" t="n">
        <v>0</v>
      </c>
      <c r="AZ60" s="697" t="n">
        <v>0</v>
      </c>
      <c r="BA60" s="697" t="n">
        <v>0</v>
      </c>
      <c r="BB60" s="697" t="n">
        <v>0</v>
      </c>
      <c r="BC60" s="697" t="n">
        <v>0</v>
      </c>
      <c r="BD60" s="697" t="n">
        <v>0</v>
      </c>
      <c r="BE60" s="697" t="n">
        <v>0</v>
      </c>
      <c r="BF60" s="697" t="n">
        <v>0</v>
      </c>
      <c r="BG60" s="697" t="n">
        <v>0</v>
      </c>
      <c r="BH60" s="697" t="n">
        <v>0</v>
      </c>
      <c r="BI60" s="697" t="n">
        <v>0</v>
      </c>
      <c r="BJ60" s="697" t="n">
        <v>0</v>
      </c>
      <c r="BK60" s="697" t="n">
        <v>0</v>
      </c>
      <c r="BL60" s="697" t="n">
        <v>0</v>
      </c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0</v>
      </c>
      <c r="BS60" s="697" t="n">
        <v>0</v>
      </c>
      <c r="BT60" s="697" t="n">
        <v>0</v>
      </c>
      <c r="BU60" s="697" t="n">
        <v>0</v>
      </c>
      <c r="BV60" s="697" t="n">
        <v>0</v>
      </c>
      <c r="BW60" s="697" t="n">
        <v>0</v>
      </c>
      <c r="BX60" s="697" t="n">
        <v>0</v>
      </c>
      <c r="BY60" s="697" t="n">
        <v>0</v>
      </c>
      <c r="BZ60" s="697" t="n">
        <v>0</v>
      </c>
      <c r="CA60" s="699" t="n">
        <v>0</v>
      </c>
      <c r="CB60" s="699" t="n">
        <v>0</v>
      </c>
      <c r="CC60" s="198">
        <f>CA60+IF(NOT(ISBLANK(OFFSET(CC60,0,6))),N(OFFSET(CC60,0,6)),N(OFFSET(CC60,0,7)))-CB60</f>
        <v/>
      </c>
      <c r="CE60" s="38" t="n"/>
      <c r="CF60" s="38" t="n"/>
      <c r="CH60" s="27" t="n"/>
      <c r="CI60" s="831" t="n">
        <v>0</v>
      </c>
      <c r="CJ60" s="135" t="n">
        <v>0</v>
      </c>
      <c r="CK60" s="135" t="n">
        <v>0</v>
      </c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374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135" t="n"/>
      <c r="DQ60" s="135" t="n"/>
      <c r="DR60" s="135" t="n"/>
      <c r="DS60" s="135" t="n"/>
      <c r="DT60" s="290" t="n"/>
      <c r="DU60" s="135" t="n"/>
      <c r="DV60" s="135" t="n"/>
      <c r="DW60" s="135" t="n"/>
      <c r="DX60" s="290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374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135" t="n"/>
      <c r="FM60" s="135" t="n"/>
      <c r="FN60" s="135" t="n"/>
      <c r="FO60" s="290" t="n"/>
      <c r="FP60" s="135" t="n"/>
      <c r="FQ60" s="135" t="n"/>
      <c r="FR60" s="290" t="n"/>
      <c r="FS60" s="135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  <c r="GD60" s="135" t="n"/>
      <c r="GE60" s="135" t="n"/>
      <c r="GF60" s="135" t="n"/>
      <c r="GG60" s="135" t="n"/>
    </row>
    <row r="61">
      <c r="A61" s="626" t="inlineStr">
        <is>
          <t>CAIXA P EUDORA</t>
        </is>
      </c>
      <c r="B61" s="345" t="n">
        <v>150</v>
      </c>
      <c r="C61" s="834" t="n">
        <v>400.5</v>
      </c>
      <c r="D61" s="382" t="n">
        <v>15</v>
      </c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697" t="n"/>
      <c r="S61" s="697" t="n"/>
      <c r="T61" s="697" t="n"/>
      <c r="U61" s="697" t="n"/>
      <c r="V61" s="697" t="n"/>
      <c r="W61" s="697" t="n"/>
      <c r="X61" s="697" t="n">
        <v>0</v>
      </c>
      <c r="Y61" s="697" t="n">
        <v>0</v>
      </c>
      <c r="Z61" s="697">
        <f>150-75</f>
        <v/>
      </c>
      <c r="AA61" s="697" t="n">
        <v>75</v>
      </c>
      <c r="AB61" s="697" t="n">
        <v>75</v>
      </c>
      <c r="AC61" s="697" t="n">
        <v>75</v>
      </c>
      <c r="AD61" s="697" t="n">
        <v>75</v>
      </c>
      <c r="AE61" s="697" t="n">
        <v>75</v>
      </c>
      <c r="AF61" s="697" t="n">
        <v>74</v>
      </c>
      <c r="AG61" s="697" t="n">
        <v>74</v>
      </c>
      <c r="AH61" s="697" t="n">
        <v>71</v>
      </c>
      <c r="AI61" s="697" t="n">
        <v>71</v>
      </c>
      <c r="AJ61" s="697" t="n">
        <v>71</v>
      </c>
      <c r="AK61" s="697" t="n">
        <v>71</v>
      </c>
      <c r="AL61" s="697" t="n">
        <v>69</v>
      </c>
      <c r="AM61" s="697" t="n">
        <v>0</v>
      </c>
      <c r="AN61" s="697">
        <f>150-75</f>
        <v/>
      </c>
      <c r="AO61" s="697" t="n">
        <v>0</v>
      </c>
      <c r="AP61" s="697" t="n">
        <v>0</v>
      </c>
      <c r="AQ61" s="697" t="n">
        <v>0</v>
      </c>
      <c r="AR61" s="697" t="n">
        <v>0</v>
      </c>
      <c r="AS61" s="237">
        <f>0+DL61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>
        <v>78</v>
      </c>
      <c r="BU61" s="237" t="n">
        <v>78</v>
      </c>
      <c r="BV61" s="237" t="n">
        <v>78</v>
      </c>
      <c r="BW61" s="237" t="n">
        <v>78</v>
      </c>
      <c r="BX61" s="237" t="n">
        <v>78</v>
      </c>
      <c r="BY61" s="237" t="n">
        <v>77</v>
      </c>
      <c r="BZ61" s="237" t="n">
        <v>77</v>
      </c>
      <c r="CA61" s="154" t="n">
        <v>77</v>
      </c>
      <c r="CB61" s="154" t="n">
        <v>77</v>
      </c>
      <c r="CC61" s="198">
        <f>CA61+IF(NOT(ISBLANK(OFFSET(CC61,0,6))),N(OFFSET(CC61,0,6)),N(OFFSET(CC61,0,7)))-CB61</f>
        <v/>
      </c>
      <c r="CE61" s="38" t="n"/>
      <c r="CF61" s="38" t="n"/>
      <c r="CH61" s="27" t="n"/>
      <c r="CI61" s="831" t="n">
        <v>0</v>
      </c>
      <c r="CJ61" s="135" t="n">
        <v>0</v>
      </c>
      <c r="CK61" s="135" t="n">
        <v>0</v>
      </c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>
        <v>150</v>
      </c>
      <c r="CY61" s="135" t="n"/>
      <c r="CZ61" s="135" t="n"/>
      <c r="DA61" s="135" t="n"/>
      <c r="DB61" s="135" t="n"/>
      <c r="DC61" s="135" t="n"/>
      <c r="DD61" s="374" t="n"/>
      <c r="DE61" s="135" t="n"/>
      <c r="DF61" s="135" t="n"/>
      <c r="DG61" s="135" t="n"/>
      <c r="DH61" s="135" t="n"/>
      <c r="DI61" s="135" t="n"/>
      <c r="DJ61" s="135" t="n"/>
      <c r="DK61" s="135" t="n"/>
      <c r="DL61" s="135" t="n"/>
      <c r="DM61" s="135" t="n"/>
      <c r="DN61" s="135" t="n">
        <v>150</v>
      </c>
      <c r="DO61" s="135" t="n"/>
      <c r="DP61" s="135" t="n"/>
      <c r="DQ61" s="135" t="n"/>
      <c r="DR61" s="135" t="n"/>
      <c r="DS61" s="135" t="n"/>
      <c r="DT61" s="290" t="n"/>
      <c r="DU61" s="135" t="n"/>
      <c r="DV61" s="192" t="inlineStr">
        <is>
          <t>75 P/ ER</t>
        </is>
      </c>
      <c r="DW61" s="135" t="n"/>
      <c r="DX61" s="290" t="n"/>
      <c r="DY61" s="135" t="n">
        <v>150</v>
      </c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374" t="n"/>
      <c r="EO61" s="135" t="n"/>
      <c r="EP61" s="135" t="n"/>
      <c r="EQ61" s="135" t="n"/>
      <c r="ER61" s="135" t="n"/>
      <c r="ES61" s="135" t="n"/>
      <c r="ET61" s="219" t="n"/>
      <c r="EU61" s="219" t="n"/>
      <c r="EV61" s="219" t="n"/>
      <c r="EW61" s="282" t="inlineStr">
        <is>
          <t>75 P/ ERB</t>
        </is>
      </c>
      <c r="EX61" s="135" t="n"/>
      <c r="EY61" s="135" t="n"/>
      <c r="EZ61" s="135" t="n"/>
      <c r="FA61" s="135" t="n">
        <v>150</v>
      </c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135" t="n"/>
      <c r="FL61" s="135" t="n"/>
      <c r="FM61" s="135" t="n"/>
      <c r="FN61" s="135" t="n"/>
      <c r="FO61" s="290" t="n"/>
      <c r="FP61" s="135" t="n"/>
      <c r="FQ61" s="135" t="n"/>
      <c r="FR61" s="290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  <c r="GD61" s="135" t="n"/>
      <c r="GE61" s="135" t="n"/>
      <c r="GF61" s="135" t="n"/>
      <c r="GG61" s="135" t="n"/>
    </row>
    <row r="62">
      <c r="A62" s="626" t="inlineStr">
        <is>
          <t>CAIXA M EUDORA</t>
        </is>
      </c>
      <c r="B62" s="345" t="n">
        <v>100</v>
      </c>
      <c r="C62" s="834" t="n">
        <v>365</v>
      </c>
      <c r="D62" s="382" t="n">
        <v>15</v>
      </c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697" t="n"/>
      <c r="S62" s="697" t="n"/>
      <c r="T62" s="697" t="n"/>
      <c r="U62" s="697" t="n"/>
      <c r="V62" s="697" t="n"/>
      <c r="W62" s="697" t="n"/>
      <c r="X62" s="697" t="n">
        <v>0</v>
      </c>
      <c r="Y62" s="697" t="n">
        <v>0</v>
      </c>
      <c r="Z62" s="237">
        <f>0+EW62-50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>
        <v>29</v>
      </c>
      <c r="BU62" s="237" t="n">
        <v>29</v>
      </c>
      <c r="BV62" s="237" t="n">
        <v>29</v>
      </c>
      <c r="BW62" s="237" t="n">
        <v>29</v>
      </c>
      <c r="BX62" s="237" t="n">
        <v>29</v>
      </c>
      <c r="BY62" s="237" t="n">
        <v>27</v>
      </c>
      <c r="BZ62" s="237" t="n">
        <v>27</v>
      </c>
      <c r="CA62" s="154" t="n">
        <v>27</v>
      </c>
      <c r="CB62" s="154" t="n">
        <v>27</v>
      </c>
      <c r="CC62" s="198">
        <f>CA62+IF(NOT(ISBLANK(OFFSET(CC62,0,6))),N(OFFSET(CC62,0,6)),N(OFFSET(CC62,0,7)))-CB62</f>
        <v/>
      </c>
      <c r="CE62" s="38" t="n"/>
      <c r="CF62" s="38" t="n"/>
      <c r="CH62" s="27" t="n"/>
      <c r="CI62" s="831" t="n">
        <v>0</v>
      </c>
      <c r="CJ62" s="135" t="n">
        <v>0</v>
      </c>
      <c r="CK62" s="135" t="n">
        <v>0</v>
      </c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374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135" t="n"/>
      <c r="DQ62" s="135" t="n"/>
      <c r="DR62" s="135" t="n"/>
      <c r="DS62" s="135" t="n"/>
      <c r="DT62" s="23" t="n"/>
      <c r="DU62" s="135" t="n"/>
      <c r="DV62" s="135" t="n"/>
      <c r="DW62" s="135" t="n"/>
      <c r="DX62" s="23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374" t="n"/>
      <c r="EO62" s="135" t="n"/>
      <c r="EP62" s="135" t="n"/>
      <c r="EQ62" s="135" t="n"/>
      <c r="ER62" s="135" t="n"/>
      <c r="ES62" s="135" t="n"/>
      <c r="ET62" s="219" t="n"/>
      <c r="EU62" s="219" t="n"/>
      <c r="EV62" s="219" t="n"/>
      <c r="EW62" s="282" t="inlineStr">
        <is>
          <t>50 P/ ERB</t>
        </is>
      </c>
      <c r="EX62" s="135" t="n"/>
      <c r="EY62" s="135" t="n">
        <v>100</v>
      </c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135" t="n"/>
      <c r="FM62" s="135" t="n"/>
      <c r="FN62" s="135" t="n"/>
      <c r="FO62" s="290" t="n"/>
      <c r="FP62" s="135" t="n"/>
      <c r="FQ62" s="135" t="n"/>
      <c r="FR62" s="290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  <c r="GD62" s="135" t="n"/>
      <c r="GE62" s="135" t="n"/>
      <c r="GF62" s="135" t="n"/>
      <c r="GG62" s="135" t="n"/>
    </row>
    <row r="63">
      <c r="A63" s="626" t="inlineStr">
        <is>
          <t>CAIXA G EUDORA</t>
        </is>
      </c>
      <c r="B63" s="345" t="n">
        <v>75</v>
      </c>
      <c r="C63" s="834" t="n">
        <v>438.75</v>
      </c>
      <c r="D63" s="382" t="n">
        <v>10</v>
      </c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>
        <v>0</v>
      </c>
      <c r="Y63" s="697" t="n">
        <v>0</v>
      </c>
      <c r="Z63" s="697">
        <f>75-25</f>
        <v/>
      </c>
      <c r="AA63" s="697" t="n">
        <v>50</v>
      </c>
      <c r="AB63" s="697" t="n">
        <v>50</v>
      </c>
      <c r="AC63" s="697" t="n">
        <v>50</v>
      </c>
      <c r="AD63" s="697" t="n">
        <v>50</v>
      </c>
      <c r="AE63" s="697">
        <f>50-15</f>
        <v/>
      </c>
      <c r="AF63" s="697" t="n">
        <v>35</v>
      </c>
      <c r="AG63" s="697" t="n">
        <v>35</v>
      </c>
      <c r="AH63" s="697" t="n">
        <v>35</v>
      </c>
      <c r="AI63" s="697" t="n">
        <v>35</v>
      </c>
      <c r="AJ63" s="697" t="n">
        <v>35</v>
      </c>
      <c r="AK63" s="697" t="n">
        <v>35</v>
      </c>
      <c r="AL63" s="697" t="n">
        <v>32</v>
      </c>
      <c r="AM63" s="697" t="n">
        <v>32</v>
      </c>
      <c r="AN63" s="697" t="n">
        <v>32</v>
      </c>
      <c r="AO63" s="697" t="n">
        <v>32</v>
      </c>
      <c r="AP63" s="697" t="n">
        <v>31</v>
      </c>
      <c r="AQ63" s="697" t="n">
        <v>31</v>
      </c>
      <c r="AR63" s="697" t="n">
        <v>30</v>
      </c>
      <c r="AS63" s="697" t="n">
        <v>30</v>
      </c>
      <c r="AT63" s="697" t="n">
        <v>30</v>
      </c>
      <c r="AU63" s="697" t="n">
        <v>30</v>
      </c>
      <c r="AV63" s="697" t="n">
        <v>30</v>
      </c>
      <c r="AW63" s="697" t="n">
        <v>30</v>
      </c>
      <c r="AX63" s="697" t="n">
        <v>30</v>
      </c>
      <c r="AY63" s="697" t="n">
        <v>30</v>
      </c>
      <c r="AZ63" s="697" t="n">
        <v>30</v>
      </c>
      <c r="BA63" s="697" t="n">
        <v>30</v>
      </c>
      <c r="BB63" s="697" t="n">
        <v>30</v>
      </c>
      <c r="BC63" s="697" t="n">
        <v>29</v>
      </c>
      <c r="BD63" s="697" t="n">
        <v>29</v>
      </c>
      <c r="BE63" s="697" t="n">
        <v>29</v>
      </c>
      <c r="BF63" s="697" t="n">
        <v>29</v>
      </c>
      <c r="BG63" s="697" t="n">
        <v>29</v>
      </c>
      <c r="BH63" s="697" t="n">
        <v>29</v>
      </c>
      <c r="BI63" s="697" t="n">
        <v>29</v>
      </c>
      <c r="BJ63" s="697" t="n">
        <v>29</v>
      </c>
      <c r="BK63" s="697" t="n">
        <v>29</v>
      </c>
      <c r="BL63" s="697" t="n">
        <v>29</v>
      </c>
      <c r="BM63" s="697" t="n">
        <v>29</v>
      </c>
      <c r="BN63" s="697" t="n">
        <v>29</v>
      </c>
      <c r="BO63" s="697" t="n">
        <v>29</v>
      </c>
      <c r="BP63" s="697" t="n">
        <v>29</v>
      </c>
      <c r="BQ63" s="697" t="n">
        <v>29</v>
      </c>
      <c r="BR63" s="697" t="n">
        <v>29</v>
      </c>
      <c r="BS63" s="697" t="n">
        <v>29</v>
      </c>
      <c r="BT63" s="697" t="n">
        <v>29</v>
      </c>
      <c r="BU63" s="697" t="n">
        <v>29</v>
      </c>
      <c r="BV63" s="697" t="n">
        <v>29</v>
      </c>
      <c r="BW63" s="697" t="n">
        <v>29</v>
      </c>
      <c r="BX63" s="697" t="n">
        <v>29</v>
      </c>
      <c r="BY63" s="697" t="n">
        <v>28</v>
      </c>
      <c r="BZ63" s="697" t="n">
        <v>28</v>
      </c>
      <c r="CA63" s="699" t="n">
        <v>28</v>
      </c>
      <c r="CB63" s="699" t="n">
        <v>28</v>
      </c>
      <c r="CC63" s="198">
        <f>CA63+IF(NOT(ISBLANK(OFFSET(CC63,0,6))),N(OFFSET(CC63,0,6)),N(OFFSET(CC63,0,7)))-CB63</f>
        <v/>
      </c>
      <c r="CE63" s="38" t="n"/>
      <c r="CF63" s="38" t="n"/>
      <c r="CH63" s="27" t="n"/>
      <c r="CI63" s="831" t="n">
        <v>0</v>
      </c>
      <c r="CJ63" s="135" t="n">
        <v>0</v>
      </c>
      <c r="CK63" s="135" t="n">
        <v>0</v>
      </c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374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135" t="n"/>
      <c r="DQ63" s="135" t="n"/>
      <c r="DR63" s="135" t="n"/>
      <c r="DS63" s="135" t="n"/>
      <c r="DT63" s="290" t="n"/>
      <c r="DU63" s="135" t="n"/>
      <c r="DV63" s="135" t="n"/>
      <c r="DW63" s="135" t="n"/>
      <c r="DX63" s="290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406" t="inlineStr">
        <is>
          <t>15 P/ ERB</t>
        </is>
      </c>
      <c r="EO63" s="135" t="n"/>
      <c r="EP63" s="135" t="n"/>
      <c r="EQ63" s="135" t="n"/>
      <c r="ER63" s="135" t="n"/>
      <c r="ES63" s="135" t="n"/>
      <c r="ET63" s="219" t="n"/>
      <c r="EU63" s="219" t="n"/>
      <c r="EV63" s="219" t="n"/>
      <c r="EW63" s="282" t="inlineStr">
        <is>
          <t>25 P/ ERB</t>
        </is>
      </c>
      <c r="EX63" s="135" t="n"/>
      <c r="EY63" s="135" t="n"/>
      <c r="EZ63" s="135" t="n"/>
      <c r="FA63" s="135" t="n">
        <v>75</v>
      </c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135" t="n"/>
      <c r="FL63" s="135" t="n"/>
      <c r="FM63" s="135" t="n"/>
      <c r="FN63" s="135" t="n"/>
      <c r="FO63" s="290" t="n"/>
      <c r="FP63" s="135" t="n"/>
      <c r="FQ63" s="135" t="n"/>
      <c r="FR63" s="290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  <c r="GD63" s="135" t="n"/>
      <c r="GE63" s="135" t="n"/>
      <c r="GF63" s="135" t="n"/>
      <c r="GG63" s="135" t="n"/>
    </row>
    <row r="64">
      <c r="DT64" s="47" t="n"/>
      <c r="DX64" s="47" t="n"/>
      <c r="FO64" s="308" t="n"/>
      <c r="FR64" s="308" t="n"/>
    </row>
    <row r="65">
      <c r="A65" s="295" t="inlineStr">
        <is>
          <t>CAIXAS KRAFTS</t>
        </is>
      </c>
      <c r="B65" s="835" t="inlineStr">
        <is>
          <t>LUAPACK</t>
        </is>
      </c>
      <c r="C65" s="775" t="n"/>
      <c r="D65" s="295" t="n"/>
      <c r="E65" s="2" t="n"/>
      <c r="F65" s="746" t="n">
        <v>45656</v>
      </c>
      <c r="G65" s="746" t="n">
        <v>45663</v>
      </c>
      <c r="H65" s="746" t="n">
        <v>45670</v>
      </c>
      <c r="I65" s="746" t="n">
        <v>45677</v>
      </c>
      <c r="J65" s="746" t="n">
        <v>45684</v>
      </c>
      <c r="K65" s="746" t="n">
        <v>45691</v>
      </c>
      <c r="L65" s="746" t="n">
        <v>45698</v>
      </c>
      <c r="M65" s="746" t="n">
        <v>45705</v>
      </c>
      <c r="N65" s="746" t="n">
        <v>45712</v>
      </c>
      <c r="O65" s="746" t="n">
        <v>45719</v>
      </c>
      <c r="P65" s="746" t="n">
        <v>45726</v>
      </c>
      <c r="Q65" s="746" t="n">
        <v>45733</v>
      </c>
      <c r="R65" s="746" t="n">
        <v>45740</v>
      </c>
      <c r="S65" s="746" t="n">
        <v>45747</v>
      </c>
      <c r="T65" s="746" t="n">
        <v>45754</v>
      </c>
      <c r="U65" s="746" t="n">
        <v>45761</v>
      </c>
      <c r="V65" s="746" t="n">
        <v>45768</v>
      </c>
      <c r="W65" s="746" t="n">
        <v>45775</v>
      </c>
      <c r="X65" s="746" t="n">
        <v>45782</v>
      </c>
      <c r="Y65" s="746" t="n">
        <v>45789</v>
      </c>
      <c r="Z65" s="746" t="n">
        <v>45796</v>
      </c>
      <c r="AA65" s="746" t="n">
        <v>45803</v>
      </c>
      <c r="AB65" s="746" t="n">
        <v>45810</v>
      </c>
      <c r="AC65" s="746" t="n">
        <v>45817</v>
      </c>
      <c r="AD65" s="746" t="n">
        <v>45824</v>
      </c>
      <c r="AE65" s="746" t="n">
        <v>45831</v>
      </c>
      <c r="AF65" s="746" t="n">
        <v>45838</v>
      </c>
      <c r="AG65" s="746" t="n">
        <v>45845</v>
      </c>
      <c r="AH65" s="746" t="n">
        <v>45852</v>
      </c>
      <c r="AI65" s="746" t="n">
        <v>45859</v>
      </c>
      <c r="AJ65" s="746" t="n">
        <v>45866</v>
      </c>
      <c r="AK65" s="746" t="n">
        <v>45873</v>
      </c>
      <c r="AL65" s="746" t="n">
        <v>45880</v>
      </c>
      <c r="AM65" s="746" t="n">
        <v>45887</v>
      </c>
      <c r="AN65" s="746" t="n">
        <v>45894</v>
      </c>
      <c r="AO65" s="746" t="n">
        <v>45901</v>
      </c>
      <c r="AP65" s="746" t="n">
        <v>45908</v>
      </c>
      <c r="AQ65" s="746" t="n">
        <v>45915</v>
      </c>
      <c r="AR65" s="746" t="n">
        <v>45922</v>
      </c>
      <c r="AS65" s="746" t="n">
        <v>45929</v>
      </c>
      <c r="AT65" s="746" t="n">
        <v>45936</v>
      </c>
      <c r="AU65" s="746" t="n">
        <v>45943</v>
      </c>
      <c r="AV65" s="746" t="n">
        <v>45950</v>
      </c>
      <c r="AW65" s="746" t="n">
        <v>45957</v>
      </c>
      <c r="AX65" s="746" t="n">
        <v>45964</v>
      </c>
      <c r="AY65" s="746" t="n">
        <v>45971</v>
      </c>
      <c r="AZ65" s="746" t="n">
        <v>45978</v>
      </c>
      <c r="BA65" s="746" t="n">
        <v>45985</v>
      </c>
      <c r="BB65" s="746" t="n">
        <v>45992</v>
      </c>
      <c r="BC65" s="746" t="n">
        <v>45999</v>
      </c>
      <c r="BD65" s="746" t="n">
        <v>46006</v>
      </c>
      <c r="BE65" s="746" t="n">
        <v>46013</v>
      </c>
      <c r="BF65" s="746" t="n">
        <v>46020</v>
      </c>
      <c r="BG65" s="746" t="n">
        <v>46027</v>
      </c>
      <c r="BH65" s="746" t="n">
        <v>46034</v>
      </c>
      <c r="BI65" s="746" t="n">
        <v>46041</v>
      </c>
      <c r="BJ65" s="746" t="n">
        <v>46048</v>
      </c>
      <c r="BK65" s="746" t="n">
        <v>46055</v>
      </c>
      <c r="BL65" s="746" t="n">
        <v>46062</v>
      </c>
      <c r="BM65" s="746" t="n">
        <v>46069</v>
      </c>
      <c r="BN65" s="746" t="n">
        <v>46076</v>
      </c>
      <c r="BO65" s="746" t="n">
        <v>46083</v>
      </c>
      <c r="BP65" s="746" t="n">
        <v>46090</v>
      </c>
      <c r="BQ65" s="746" t="n">
        <v>46097</v>
      </c>
      <c r="BR65" s="746" t="n">
        <v>46104</v>
      </c>
      <c r="BS65" s="746" t="n">
        <v>46111</v>
      </c>
      <c r="BT65" s="746" t="n">
        <v>46118</v>
      </c>
      <c r="BU65" s="746" t="n">
        <v>46125</v>
      </c>
      <c r="BV65" s="746" t="n">
        <v>46132</v>
      </c>
      <c r="BW65" s="746" t="n">
        <v>46139</v>
      </c>
      <c r="BX65" s="746" t="n">
        <v>46146</v>
      </c>
      <c r="BY65" s="746" t="n">
        <v>46154</v>
      </c>
      <c r="BZ65" s="746" t="n">
        <v>46160</v>
      </c>
      <c r="CA65" s="747" t="n">
        <v>46161.48024612269</v>
      </c>
      <c r="CB65" s="747" t="n">
        <v>46161.48090400633</v>
      </c>
      <c r="CC65" s="748" t="inlineStr">
        <is>
          <t>USOU</t>
        </is>
      </c>
      <c r="CE65" s="44" t="inlineStr">
        <is>
          <t>Pendências</t>
        </is>
      </c>
      <c r="CF65" s="44" t="inlineStr">
        <is>
          <t>Pendências</t>
        </is>
      </c>
      <c r="CH65" s="12" t="inlineStr">
        <is>
          <t>Novo Pedido</t>
        </is>
      </c>
      <c r="CI65" s="793" t="n">
        <v>46161.480899316</v>
      </c>
      <c r="CJ65" s="794" t="n">
        <v>46149</v>
      </c>
      <c r="CK65" s="794" t="n">
        <v>46142</v>
      </c>
      <c r="CL65" s="794" t="n">
        <v>46114</v>
      </c>
      <c r="CM65" s="794" t="n">
        <v>46107</v>
      </c>
      <c r="CN65" s="795" t="n">
        <v>46065</v>
      </c>
      <c r="CO65" s="794" t="n">
        <v>46099</v>
      </c>
      <c r="CP65" s="794" t="n">
        <v>46092</v>
      </c>
      <c r="CQ65" s="796" t="n">
        <v>46045</v>
      </c>
      <c r="CR65" s="794" t="n">
        <v>46077</v>
      </c>
      <c r="CS65" s="794" t="n">
        <v>46048</v>
      </c>
      <c r="CT65" s="794" t="n">
        <v>46043</v>
      </c>
      <c r="CU65" s="794" t="n">
        <v>46024</v>
      </c>
      <c r="CV65" s="794" t="n">
        <v>46017</v>
      </c>
      <c r="CW65" s="794" t="n">
        <v>46007</v>
      </c>
      <c r="CX65" s="794" t="n">
        <v>46001</v>
      </c>
      <c r="CY65" s="794" t="n">
        <v>46001</v>
      </c>
      <c r="CZ65" s="794" t="n">
        <v>45994</v>
      </c>
      <c r="DA65" s="794" t="n">
        <v>45986</v>
      </c>
      <c r="DB65" s="794" t="n">
        <v>45980</v>
      </c>
      <c r="DC65" s="794" t="n">
        <v>45980</v>
      </c>
      <c r="DD65" s="797" t="n">
        <v>45982</v>
      </c>
      <c r="DE65" s="794" t="n">
        <v>45973</v>
      </c>
      <c r="DF65" s="794" t="n">
        <v>45965</v>
      </c>
      <c r="DG65" s="794" t="n">
        <v>45960</v>
      </c>
      <c r="DH65" s="794" t="n">
        <v>45951</v>
      </c>
      <c r="DI65" s="737" t="n">
        <v>45903</v>
      </c>
      <c r="DJ65" s="794" t="n">
        <v>45945</v>
      </c>
      <c r="DK65" s="794" t="n">
        <v>45937</v>
      </c>
      <c r="DL65" s="794" t="n">
        <v>45931</v>
      </c>
      <c r="DM65" s="794" t="n">
        <v>45931</v>
      </c>
      <c r="DN65" s="794" t="n">
        <v>45915</v>
      </c>
      <c r="DO65" s="794" t="n">
        <v>45923</v>
      </c>
      <c r="DP65" s="794" t="n">
        <v>45903</v>
      </c>
      <c r="DQ65" s="794" t="n">
        <v>45915</v>
      </c>
      <c r="DR65" s="797" t="n">
        <v>45918</v>
      </c>
      <c r="DS65" s="794" t="n">
        <v>45909</v>
      </c>
      <c r="DT65" s="738" t="n">
        <v>45903</v>
      </c>
      <c r="DU65" s="794" t="n">
        <v>45895</v>
      </c>
      <c r="DV65" s="797" t="n">
        <v>45896</v>
      </c>
      <c r="DW65" s="794" t="n">
        <v>45881</v>
      </c>
      <c r="DX65" s="738" t="n">
        <v>45839</v>
      </c>
      <c r="DY65" s="794" t="n">
        <v>45888</v>
      </c>
      <c r="DZ65" s="794" t="n">
        <v>45881</v>
      </c>
      <c r="EA65" s="797" t="n">
        <v>45881</v>
      </c>
      <c r="EB65" s="794" t="n">
        <v>45874</v>
      </c>
      <c r="EC65" s="797" t="n">
        <v>45876</v>
      </c>
      <c r="ED65" s="794" t="n">
        <v>45867</v>
      </c>
      <c r="EE65" s="794" t="n">
        <v>45867</v>
      </c>
      <c r="EF65" s="794" t="n">
        <v>45860</v>
      </c>
      <c r="EG65" s="797" t="n">
        <v>45861</v>
      </c>
      <c r="EH65" s="797" t="n">
        <v>45860</v>
      </c>
      <c r="EI65" s="794" t="n">
        <v>45853</v>
      </c>
      <c r="EJ65" s="739" t="n">
        <v>45855</v>
      </c>
      <c r="EK65" s="794" t="n">
        <v>45848</v>
      </c>
      <c r="EL65" s="794" t="n">
        <v>45839</v>
      </c>
      <c r="EM65" s="794" t="n">
        <v>45839</v>
      </c>
      <c r="EN65" s="797" t="n">
        <v>45835</v>
      </c>
      <c r="EO65" s="794" t="n">
        <v>45790</v>
      </c>
      <c r="EP65" s="794" t="n">
        <v>45825</v>
      </c>
      <c r="EQ65" s="794" t="n">
        <v>45819</v>
      </c>
      <c r="ER65" s="794" t="n">
        <v>45813</v>
      </c>
      <c r="ES65" s="794" t="n">
        <v>45797</v>
      </c>
      <c r="ET65" s="797" t="n">
        <v>45811</v>
      </c>
      <c r="EU65" s="797" t="n">
        <v>45810</v>
      </c>
      <c r="EV65" s="797" t="n">
        <v>45806</v>
      </c>
      <c r="EW65" s="797" t="n">
        <v>45803</v>
      </c>
      <c r="EX65" s="755" t="n">
        <v>45803</v>
      </c>
      <c r="EY65" s="794" t="n">
        <v>45784</v>
      </c>
      <c r="EZ65" s="797" t="n">
        <v>45796</v>
      </c>
      <c r="FA65" s="794" t="n">
        <v>45784</v>
      </c>
      <c r="FB65" s="794" t="n">
        <v>45764</v>
      </c>
      <c r="FC65" s="797" t="n">
        <v>45791</v>
      </c>
      <c r="FD65" s="794" t="n">
        <v>45783</v>
      </c>
      <c r="FE65" s="794" t="n">
        <v>45770</v>
      </c>
      <c r="FF65" s="794" t="n">
        <v>45775</v>
      </c>
      <c r="FG65" s="794" t="n">
        <v>45770</v>
      </c>
      <c r="FH65" s="794" t="n">
        <v>45770</v>
      </c>
      <c r="FI65" s="797" t="n">
        <v>45775</v>
      </c>
      <c r="FJ65" s="797" t="n">
        <v>45770</v>
      </c>
      <c r="FK65" s="794" t="n">
        <v>45756</v>
      </c>
      <c r="FL65" s="794" t="n">
        <v>45735</v>
      </c>
      <c r="FM65" s="797" t="n">
        <v>45751</v>
      </c>
      <c r="FN65" s="794" t="n">
        <v>45743</v>
      </c>
      <c r="FO65" s="746" t="n">
        <v>45729</v>
      </c>
      <c r="FP65" s="794" t="n">
        <v>45722</v>
      </c>
      <c r="FQ65" s="794" t="n">
        <v>45722</v>
      </c>
      <c r="FR65" s="746" t="n">
        <v>45700</v>
      </c>
      <c r="FS65" s="797" t="n">
        <v>45722</v>
      </c>
      <c r="FT65" s="794" t="n">
        <v>45714</v>
      </c>
      <c r="FU65" s="794" t="n">
        <v>45706</v>
      </c>
      <c r="FV65" s="794" t="n">
        <v>45684</v>
      </c>
      <c r="FW65" s="794" t="n">
        <v>45699</v>
      </c>
      <c r="FX65" s="794" t="n">
        <v>45693</v>
      </c>
      <c r="FY65" s="797" t="n">
        <v>45687</v>
      </c>
      <c r="FZ65" s="794" t="n">
        <v>45685</v>
      </c>
      <c r="GA65" s="797" t="n">
        <v>45684</v>
      </c>
      <c r="GB65" s="794" t="n">
        <v>45674</v>
      </c>
      <c r="GC65" s="794" t="n">
        <v>45664</v>
      </c>
      <c r="GD65" s="794" t="n">
        <v>45660</v>
      </c>
      <c r="GE65" s="794" t="n">
        <v>45660</v>
      </c>
      <c r="GF65" s="794" t="n">
        <v>45652</v>
      </c>
      <c r="GG65" s="794" t="n">
        <v>45643</v>
      </c>
    </row>
    <row r="66">
      <c r="A66" s="37" t="inlineStr">
        <is>
          <t>CAIXA P</t>
        </is>
      </c>
      <c r="B66" s="32" t="n">
        <v>25</v>
      </c>
      <c r="C66" s="773" t="n">
        <v>0.99</v>
      </c>
      <c r="D66" s="217" t="n"/>
      <c r="E66" s="573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325+FV66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0+EQ66</f>
        <v/>
      </c>
      <c r="AD66" s="153" t="n">
        <v>25</v>
      </c>
      <c r="AE66" s="153">
        <f>0+EM66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500+CU66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53" t="n">
        <v>0</v>
      </c>
      <c r="BZ66" s="153" t="n"/>
      <c r="CA66" s="153" t="n"/>
      <c r="CB66" s="153" t="n"/>
      <c r="CC66" s="198">
        <f>CA66+IF(NOT(ISBLANK(OFFSET(CC66,0,6))),N(OFFSET(CC66,0,6)),N(OFFSET(CC66,0,7)))-CB66</f>
        <v/>
      </c>
      <c r="CE66" s="38" t="n"/>
      <c r="CF66" s="38" t="n"/>
      <c r="CH66" s="27" t="n"/>
      <c r="CI66" s="831" t="n">
        <v>0</v>
      </c>
      <c r="CJ66" s="135" t="n">
        <v>0</v>
      </c>
      <c r="CK66" s="135" t="n">
        <v>100</v>
      </c>
      <c r="CL66" s="135" t="n">
        <v>1000</v>
      </c>
      <c r="CM66" s="135" t="n"/>
      <c r="CN66" s="135" t="n"/>
      <c r="CO66" s="135" t="n"/>
      <c r="CP66" s="135" t="n"/>
      <c r="CQ66" s="135" t="n"/>
      <c r="CR66" s="135" t="n">
        <v>1000</v>
      </c>
      <c r="CS66" s="135" t="n">
        <v>1000</v>
      </c>
      <c r="CT66" s="135" t="n"/>
      <c r="CU66" s="135" t="n"/>
      <c r="CV66" s="135" t="n"/>
      <c r="CW66" s="135" t="n">
        <v>1500</v>
      </c>
      <c r="CX66" s="135" t="n"/>
      <c r="CY66" s="135" t="n"/>
      <c r="CZ66" s="135" t="n">
        <v>1000</v>
      </c>
      <c r="DA66" s="135" t="n"/>
      <c r="DB66" s="135" t="n">
        <v>1000</v>
      </c>
      <c r="DC66" s="135" t="n"/>
      <c r="DD66" s="374" t="n"/>
      <c r="DE66" s="135" t="n"/>
      <c r="DF66" s="135" t="n">
        <v>1000</v>
      </c>
      <c r="DG66" s="135" t="n"/>
      <c r="DH66" s="135" t="n">
        <v>500</v>
      </c>
      <c r="DI66" s="135" t="n"/>
      <c r="DJ66" s="135" t="n"/>
      <c r="DK66" s="135" t="n">
        <v>500</v>
      </c>
      <c r="DL66" s="135" t="n"/>
      <c r="DM66" s="135" t="n"/>
      <c r="DN66" s="135" t="n"/>
      <c r="DO66" s="135" t="n">
        <v>500</v>
      </c>
      <c r="DP66" s="135" t="n"/>
      <c r="DQ66" s="135" t="n"/>
      <c r="DR66" s="135" t="n"/>
      <c r="DS66" s="135" t="n">
        <v>1000</v>
      </c>
      <c r="DT66" s="433" t="n"/>
      <c r="DU66" s="135" t="n">
        <v>500</v>
      </c>
      <c r="DV66" s="135" t="n"/>
      <c r="DW66" s="135" t="n"/>
      <c r="DX66" s="433" t="n"/>
      <c r="DY66" s="135" t="n"/>
      <c r="DZ66" s="135" t="n">
        <v>500</v>
      </c>
      <c r="EA66" s="135" t="n"/>
      <c r="EB66" s="135" t="n"/>
      <c r="EC66" s="135" t="n"/>
      <c r="ED66" s="135" t="n"/>
      <c r="EE66" s="135" t="n">
        <v>500</v>
      </c>
      <c r="EF66" s="135" t="n">
        <v>418</v>
      </c>
      <c r="EG66" s="135" t="n"/>
      <c r="EH66" s="135" t="n"/>
      <c r="EI66" s="135" t="n"/>
      <c r="EJ66" s="135" t="n"/>
      <c r="EK66" s="135" t="n"/>
      <c r="EL66" s="135" t="n"/>
      <c r="EM66" s="135" t="n">
        <v>500</v>
      </c>
      <c r="EN66" s="135" t="n"/>
      <c r="EO66" s="135" t="n">
        <v>1000</v>
      </c>
      <c r="EP66" s="135" t="n"/>
      <c r="EQ66" s="135" t="n"/>
      <c r="ER66" s="135" t="n"/>
      <c r="ES66" s="135" t="n">
        <v>500</v>
      </c>
      <c r="ET66" s="135" t="n"/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135" t="n"/>
      <c r="FL66" s="135" t="n"/>
      <c r="FM66" s="135" t="n"/>
      <c r="FN66" s="135" t="n"/>
      <c r="FO66" s="310" t="n"/>
      <c r="FP66" s="135" t="n"/>
      <c r="FQ66" s="135" t="n"/>
      <c r="FR66" s="310" t="n"/>
      <c r="FS66" s="135" t="n"/>
      <c r="FT66" s="135" t="n"/>
      <c r="FU66" s="135" t="n"/>
      <c r="FV66" s="135" t="n">
        <v>2161</v>
      </c>
      <c r="FW66" s="135" t="n"/>
      <c r="FX66" s="135" t="n">
        <v>500</v>
      </c>
      <c r="FY66" s="135" t="n"/>
      <c r="FZ66" s="135" t="n">
        <v>500</v>
      </c>
      <c r="GA66" s="135" t="n"/>
      <c r="GB66" s="135" t="n"/>
      <c r="GC66" s="135" t="n"/>
      <c r="GD66" s="135" t="n"/>
      <c r="GE66" s="135" t="n"/>
      <c r="GF66" s="135" t="n"/>
      <c r="GG66" s="135" t="n"/>
    </row>
    <row r="67">
      <c r="A67" s="37" t="inlineStr">
        <is>
          <t>CAIXA M</t>
        </is>
      </c>
      <c r="B67" s="32" t="n">
        <v>25</v>
      </c>
      <c r="C67" s="773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0+EM67</f>
        <v/>
      </c>
      <c r="AF67" s="153" t="n">
        <v>125</v>
      </c>
      <c r="AG67" s="153" t="n">
        <v>25</v>
      </c>
      <c r="AH67" s="153">
        <f>0+EJ67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75+DC67</f>
        <v/>
      </c>
      <c r="BA67" s="153" t="n">
        <v>400</v>
      </c>
      <c r="BB67" s="153" t="n">
        <v>500</v>
      </c>
      <c r="BC67" s="153" t="n">
        <v>575</v>
      </c>
      <c r="BD67" s="153">
        <f>525+CW67</f>
        <v/>
      </c>
      <c r="BE67" s="153">
        <f>1250+CU67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53" t="n">
        <v>300</v>
      </c>
      <c r="BZ67" s="153" t="n"/>
      <c r="CA67" s="153" t="n"/>
      <c r="CB67" s="153" t="n"/>
      <c r="CC67" s="198">
        <f>CA67+IF(NOT(ISBLANK(OFFSET(CC67,0,6))),N(OFFSET(CC67,0,6)),N(OFFSET(CC67,0,7)))-CB67</f>
        <v/>
      </c>
      <c r="CE67" s="22" t="n"/>
      <c r="CF67" s="38" t="n"/>
      <c r="CH67" s="27" t="n">
        <v>500</v>
      </c>
      <c r="CI67" s="831" t="n">
        <v>0</v>
      </c>
      <c r="CJ67" s="135" t="n">
        <v>0</v>
      </c>
      <c r="CK67" s="135" t="n">
        <v>516</v>
      </c>
      <c r="CL67" s="135" t="n">
        <v>1000</v>
      </c>
      <c r="CM67" s="135" t="n"/>
      <c r="CN67" s="135" t="n"/>
      <c r="CO67" s="135" t="n"/>
      <c r="CP67" s="135" t="n"/>
      <c r="CQ67" s="135" t="n"/>
      <c r="CR67" s="135" t="n"/>
      <c r="CS67" s="135" t="n"/>
      <c r="CT67" s="135" t="n"/>
      <c r="CU67" s="135" t="n"/>
      <c r="CV67" s="135" t="n"/>
      <c r="CW67" s="135" t="n">
        <v>1500</v>
      </c>
      <c r="CX67" s="135" t="n"/>
      <c r="CY67" s="135" t="n">
        <v>1000</v>
      </c>
      <c r="CZ67" s="135" t="n">
        <v>500</v>
      </c>
      <c r="DA67" s="135" t="n"/>
      <c r="DB67" s="135" t="n">
        <v>500</v>
      </c>
      <c r="DC67" s="135" t="n"/>
      <c r="DD67" s="374" t="n"/>
      <c r="DE67" s="135" t="n">
        <v>500</v>
      </c>
      <c r="DF67" s="135" t="n">
        <v>450</v>
      </c>
      <c r="DG67" s="135" t="n"/>
      <c r="DH67" s="135" t="n">
        <v>500</v>
      </c>
      <c r="DI67" s="135" t="n"/>
      <c r="DJ67" s="135" t="n"/>
      <c r="DK67" s="135" t="n">
        <v>500</v>
      </c>
      <c r="DL67" s="135" t="n"/>
      <c r="DM67" s="135" t="n"/>
      <c r="DN67" s="135" t="n"/>
      <c r="DO67" s="135" t="n"/>
      <c r="DP67" s="135" t="n"/>
      <c r="DQ67" s="135" t="n"/>
      <c r="DR67" s="135" t="n"/>
      <c r="DS67" s="135" t="n">
        <v>1000</v>
      </c>
      <c r="DT67" s="433" t="n"/>
      <c r="DU67" s="135" t="n">
        <v>500</v>
      </c>
      <c r="DV67" s="135" t="n"/>
      <c r="DW67" s="135" t="n"/>
      <c r="DX67" s="433" t="n"/>
      <c r="DY67" s="135" t="n"/>
      <c r="DZ67" s="135" t="n">
        <v>500</v>
      </c>
      <c r="EA67" s="135" t="n"/>
      <c r="EB67" s="135" t="n"/>
      <c r="EC67" s="135" t="n"/>
      <c r="ED67" s="135" t="n"/>
      <c r="EE67" s="135" t="n"/>
      <c r="EF67" s="135" t="n">
        <v>500</v>
      </c>
      <c r="EG67" s="135" t="n"/>
      <c r="EH67" s="135" t="n"/>
      <c r="EI67" s="135" t="n"/>
      <c r="EJ67" s="135" t="n"/>
      <c r="EK67" s="135" t="n"/>
      <c r="EL67" s="135" t="n">
        <v>1000</v>
      </c>
      <c r="EM67" s="135" t="n"/>
      <c r="EN67" s="135" t="n"/>
      <c r="EO67" s="135" t="n">
        <v>542</v>
      </c>
      <c r="EP67" s="135" t="n"/>
      <c r="EQ67" s="135" t="n"/>
      <c r="ER67" s="135" t="n"/>
      <c r="ES67" s="135" t="n"/>
      <c r="ET67" s="135" t="n"/>
      <c r="EU67" s="135" t="n"/>
      <c r="EV67" s="135" t="n"/>
      <c r="EW67" s="135" t="n"/>
      <c r="EX67" s="135" t="n"/>
      <c r="EY67" s="135" t="n"/>
      <c r="EZ67" s="135" t="n"/>
      <c r="FA67" s="135" t="n"/>
      <c r="FB67" s="135" t="n">
        <v>1375</v>
      </c>
      <c r="FC67" s="135" t="n"/>
      <c r="FD67" s="135" t="n"/>
      <c r="FE67" s="135" t="n"/>
      <c r="FF67" s="135" t="n"/>
      <c r="FG67" s="135" t="n"/>
      <c r="FH67" s="135" t="n"/>
      <c r="FI67" s="135" t="n"/>
      <c r="FJ67" s="135" t="n"/>
      <c r="FK67" s="135" t="n"/>
      <c r="FL67" s="135" t="n"/>
      <c r="FM67" s="135" t="n"/>
      <c r="FN67" s="135" t="n"/>
      <c r="FO67" s="310" t="n"/>
      <c r="FP67" s="135" t="n"/>
      <c r="FQ67" s="135" t="n"/>
      <c r="FR67" s="310" t="n"/>
      <c r="FS67" s="135" t="n"/>
      <c r="FT67" s="135" t="n"/>
      <c r="FU67" s="135" t="n"/>
      <c r="FV67" s="135" t="n">
        <v>1516</v>
      </c>
      <c r="FW67" s="135" t="n"/>
      <c r="FX67" s="135" t="n"/>
      <c r="FY67" s="330" t="n"/>
      <c r="FZ67" s="330" t="n"/>
      <c r="GA67" s="330" t="n"/>
      <c r="GB67" s="330" t="n"/>
      <c r="GC67" s="330" t="n"/>
      <c r="GD67" s="330" t="n"/>
      <c r="GE67" s="330" t="n"/>
      <c r="GF67" s="330" t="n"/>
      <c r="GG67" s="330" t="n"/>
    </row>
    <row r="68">
      <c r="A68" s="37" t="inlineStr">
        <is>
          <t>CAIXA G</t>
        </is>
      </c>
      <c r="B68" s="32" t="n">
        <v>25</v>
      </c>
      <c r="C68" s="773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175+FJ68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400+DC68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250+CU68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53" t="n">
        <v>475</v>
      </c>
      <c r="BZ68" s="153" t="n"/>
      <c r="CA68" s="153" t="n"/>
      <c r="CB68" s="153" t="n"/>
      <c r="CC68" s="198">
        <f>CA68+IF(NOT(ISBLANK(OFFSET(CC68,0,6))),N(OFFSET(CC68,0,6)),N(OFFSET(CC68,0,7)))-CB68</f>
        <v/>
      </c>
      <c r="CE68" s="38" t="n"/>
      <c r="CF68" s="38" t="n"/>
      <c r="CH68" s="27" t="n"/>
      <c r="CI68" s="135" t="n">
        <v>0</v>
      </c>
      <c r="CJ68" s="135" t="n">
        <v>0</v>
      </c>
      <c r="CK68" s="135" t="n">
        <v>0</v>
      </c>
      <c r="CL68" s="135" t="n">
        <v>600</v>
      </c>
      <c r="CM68" s="135" t="n"/>
      <c r="CN68" s="135" t="n"/>
      <c r="CO68" s="135" t="n"/>
      <c r="CP68" s="135" t="n"/>
      <c r="CQ68" s="135" t="n"/>
      <c r="CR68" s="135" t="n"/>
      <c r="CS68" s="135" t="n"/>
      <c r="CT68" s="135" t="n"/>
      <c r="CU68" s="135" t="n"/>
      <c r="CV68" s="135" t="n"/>
      <c r="CW68" s="135" t="n">
        <v>500</v>
      </c>
      <c r="CX68" s="135" t="n"/>
      <c r="CY68" s="135" t="n"/>
      <c r="CZ68" s="135" t="n"/>
      <c r="DA68" s="135" t="n"/>
      <c r="DB68" s="135" t="n"/>
      <c r="DC68" s="135" t="n"/>
      <c r="DD68" s="374" t="n"/>
      <c r="DE68" s="135" t="n">
        <v>300</v>
      </c>
      <c r="DF68" s="135" t="n">
        <v>300</v>
      </c>
      <c r="DG68" s="135" t="n"/>
      <c r="DH68" s="135" t="n"/>
      <c r="DI68" s="135" t="n"/>
      <c r="DJ68" s="135" t="n"/>
      <c r="DK68" s="135" t="n"/>
      <c r="DL68" s="135" t="n"/>
      <c r="DM68" s="135" t="n"/>
      <c r="DN68" s="135" t="n"/>
      <c r="DO68" s="135" t="n">
        <v>300</v>
      </c>
      <c r="DP68" s="135" t="n"/>
      <c r="DQ68" s="135" t="n"/>
      <c r="DR68" s="135" t="n"/>
      <c r="DS68" s="135" t="n"/>
      <c r="DT68" s="433" t="n"/>
      <c r="DU68" s="135" t="n"/>
      <c r="DV68" s="135" t="n"/>
      <c r="DW68" s="135" t="n"/>
      <c r="DX68" s="433" t="n"/>
      <c r="DY68" s="135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/>
      <c r="EJ68" s="135" t="n"/>
      <c r="EK68" s="135" t="n"/>
      <c r="EL68" s="135" t="n"/>
      <c r="EM68" s="135" t="n">
        <v>500</v>
      </c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/>
      <c r="EY68" s="135" t="n"/>
      <c r="EZ68" s="135" t="n"/>
      <c r="FA68" s="135" t="n"/>
      <c r="FB68" s="135" t="n">
        <v>1638</v>
      </c>
      <c r="FC68" s="135" t="n"/>
      <c r="FD68" s="135" t="n"/>
      <c r="FE68" s="135" t="n"/>
      <c r="FF68" s="135" t="n"/>
      <c r="FG68" s="135" t="n"/>
      <c r="FH68" s="135" t="n"/>
      <c r="FI68" s="135" t="n"/>
      <c r="FJ68" s="135" t="n"/>
      <c r="FK68" s="135" t="n"/>
      <c r="FL68" s="135" t="n">
        <v>500</v>
      </c>
      <c r="FM68" s="135" t="n"/>
      <c r="FN68" s="135" t="n"/>
      <c r="FO68" s="310" t="n"/>
      <c r="FP68" s="135" t="n"/>
      <c r="FQ68" s="135" t="n"/>
      <c r="FR68" s="310" t="n"/>
      <c r="FS68" s="135" t="n"/>
      <c r="FT68" s="135" t="n"/>
      <c r="FU68" s="135" t="n"/>
      <c r="FV68" s="135" t="n">
        <v>550</v>
      </c>
      <c r="FW68" s="135" t="n"/>
      <c r="FX68" s="135" t="n"/>
      <c r="FY68" s="331" t="n"/>
      <c r="FZ68" s="331" t="n"/>
      <c r="GA68" s="331" t="n"/>
      <c r="GB68" s="331" t="n"/>
      <c r="GC68" s="331" t="n"/>
      <c r="GD68" s="331" t="n"/>
      <c r="GE68" s="331" t="n"/>
      <c r="GF68" s="331" t="n"/>
      <c r="GG68" s="331" t="n"/>
    </row>
    <row r="69">
      <c r="FO69" s="309" t="n"/>
      <c r="FR69" s="309" t="n"/>
      <c r="FS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6" t="n">
        <v>45873</v>
      </c>
      <c r="AL70" s="746" t="n">
        <v>45880</v>
      </c>
      <c r="AM70" s="746" t="n">
        <v>45887</v>
      </c>
      <c r="AN70" s="746" t="n">
        <v>45894</v>
      </c>
      <c r="AO70" s="746" t="n">
        <v>45901</v>
      </c>
      <c r="AP70" s="746" t="n">
        <v>45908</v>
      </c>
      <c r="AQ70" s="746" t="n">
        <v>45915</v>
      </c>
      <c r="AR70" s="746" t="n">
        <v>45922</v>
      </c>
      <c r="AS70" s="746" t="n">
        <v>45929</v>
      </c>
      <c r="AT70" s="746" t="n">
        <v>45936</v>
      </c>
      <c r="AU70" s="746" t="n">
        <v>45943</v>
      </c>
      <c r="AV70" s="746" t="n">
        <v>45950</v>
      </c>
      <c r="AW70" s="746" t="n">
        <v>45957</v>
      </c>
      <c r="AX70" s="746" t="n">
        <v>45964</v>
      </c>
      <c r="AY70" s="746" t="n">
        <v>45971</v>
      </c>
      <c r="AZ70" s="746" t="n">
        <v>45978</v>
      </c>
      <c r="BA70" s="746" t="n">
        <v>45985</v>
      </c>
      <c r="BB70" s="746" t="n">
        <v>45992</v>
      </c>
      <c r="BC70" s="746" t="n">
        <v>45999</v>
      </c>
      <c r="BD70" s="746" t="n">
        <v>46006</v>
      </c>
      <c r="BE70" s="746" t="n">
        <v>46013</v>
      </c>
      <c r="BF70" s="746" t="n">
        <v>46020</v>
      </c>
      <c r="BG70" s="746" t="n">
        <v>46027</v>
      </c>
      <c r="BH70" s="746" t="n">
        <v>46034</v>
      </c>
      <c r="BI70" s="746" t="n">
        <v>46041</v>
      </c>
      <c r="BJ70" s="746" t="n">
        <v>46048</v>
      </c>
      <c r="BK70" s="746" t="n">
        <v>46055</v>
      </c>
      <c r="BL70" s="746" t="n">
        <v>46062</v>
      </c>
      <c r="BM70" s="746" t="n">
        <v>46069</v>
      </c>
      <c r="BN70" s="746" t="n">
        <v>46076</v>
      </c>
      <c r="BO70" s="746" t="n">
        <v>46083</v>
      </c>
      <c r="BP70" s="746" t="n">
        <v>46090</v>
      </c>
      <c r="BQ70" s="746" t="n">
        <v>46097</v>
      </c>
      <c r="BR70" s="746" t="n">
        <v>46104</v>
      </c>
      <c r="BS70" s="746" t="n">
        <v>46111</v>
      </c>
      <c r="BT70" s="746" t="n">
        <v>46118</v>
      </c>
      <c r="BU70" s="746" t="n">
        <v>46125</v>
      </c>
      <c r="BV70" s="746" t="n">
        <v>46132</v>
      </c>
      <c r="BW70" s="746" t="n">
        <v>46139</v>
      </c>
      <c r="BX70" s="746" t="n">
        <v>46146</v>
      </c>
      <c r="BY70" s="746" t="n">
        <v>46154</v>
      </c>
      <c r="BZ70" s="746" t="n">
        <v>46160</v>
      </c>
      <c r="CA70" s="747" t="n">
        <v>46161.48024612269</v>
      </c>
      <c r="CB70" s="747" t="n">
        <v>46161.48090400642</v>
      </c>
      <c r="CC70" s="758" t="inlineStr">
        <is>
          <t>USOU</t>
        </is>
      </c>
      <c r="DD70" s="309" t="n"/>
      <c r="FO70" s="309" t="n"/>
      <c r="FP70" s="309" t="n"/>
      <c r="FS70" s="309" t="n"/>
      <c r="GF70" s="309" t="n"/>
      <c r="GG70" s="309" t="n"/>
      <c r="HN70" s="5" t="n"/>
      <c r="IC70" s="5" t="n"/>
      <c r="IM70" s="5" t="n"/>
      <c r="IN70" s="5" t="n"/>
      <c r="IO70" s="5" t="n"/>
      <c r="IP70" s="5" t="n"/>
      <c r="IQ70" s="5" t="n"/>
      <c r="IR70" s="5" t="n"/>
      <c r="IS70" s="5" t="n"/>
    </row>
    <row r="71" hidden="1">
      <c r="A71" s="37" t="inlineStr">
        <is>
          <t>SACOLA G HP/25</t>
        </is>
      </c>
      <c r="B71" s="699" t="n">
        <v>100</v>
      </c>
      <c r="C71" s="762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697" t="n">
        <v>0</v>
      </c>
      <c r="AL71" s="697" t="n">
        <v>0</v>
      </c>
      <c r="AM71" s="697" t="n">
        <v>0</v>
      </c>
      <c r="AN71" s="697">
        <f>0+DV9</f>
        <v/>
      </c>
      <c r="AO71" s="697">
        <f>100-60</f>
        <v/>
      </c>
      <c r="AP71" s="697" t="n">
        <v>31</v>
      </c>
      <c r="AQ71" s="697" t="n">
        <v>24</v>
      </c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>
        <v>2</v>
      </c>
      <c r="BB71" s="697" t="n">
        <v>2</v>
      </c>
      <c r="BC71" s="697" t="n">
        <v>1</v>
      </c>
      <c r="BD71" s="697" t="n">
        <v>0</v>
      </c>
      <c r="BE71" s="697" t="n">
        <v>0</v>
      </c>
      <c r="BF71" s="697" t="n">
        <v>0</v>
      </c>
      <c r="BG71" s="697" t="n">
        <v>0</v>
      </c>
      <c r="BH71" s="697" t="n">
        <v>0</v>
      </c>
      <c r="BI71" s="697" t="n">
        <v>0</v>
      </c>
      <c r="BJ71" s="697" t="n">
        <v>0</v>
      </c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431">
        <f>CA71+IF(NOT(ISBLANK(OFFSET(CC71,0,6))),N(OFFSET(CC71,0,6)),N(OFFSET(CC71,0,7)))-CB71</f>
        <v/>
      </c>
      <c r="DD71" s="309" t="n"/>
      <c r="FO71" s="309" t="n"/>
      <c r="FP71" s="309" t="n"/>
      <c r="FS71" s="309" t="n"/>
      <c r="GF71" s="309" t="n"/>
      <c r="GG71" s="309" t="n"/>
      <c r="HN71" s="5" t="n"/>
      <c r="IC71" s="5" t="n"/>
      <c r="IM71" s="5" t="n"/>
      <c r="IN71" s="5" t="n"/>
      <c r="IO71" s="5" t="n"/>
      <c r="IP71" s="5" t="n"/>
      <c r="IQ71" s="5" t="n"/>
      <c r="IR71" s="5" t="n"/>
      <c r="IS71" s="5" t="n"/>
    </row>
    <row r="72" hidden="1">
      <c r="A72" s="37" t="inlineStr">
        <is>
          <t>TAG HP/25</t>
        </is>
      </c>
      <c r="B72" s="699" t="n">
        <v>100</v>
      </c>
      <c r="C72" s="762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697" t="n">
        <v>0</v>
      </c>
      <c r="AL72" s="697" t="n">
        <v>0</v>
      </c>
      <c r="AM72" s="697" t="n">
        <v>0</v>
      </c>
      <c r="AN72" s="697">
        <f>0+DV10</f>
        <v/>
      </c>
      <c r="AO72" s="697">
        <f>100-60</f>
        <v/>
      </c>
      <c r="AP72" s="697" t="n">
        <v>31</v>
      </c>
      <c r="AQ72" s="314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431">
        <f>CA72+IF(NOT(ISBLANK(OFFSET(CC72,0,6))),N(OFFSET(CC72,0,6)),N(OFFSET(CC72,0,7)))-CB72</f>
        <v/>
      </c>
      <c r="DD72" s="309" t="n"/>
      <c r="FO72" s="309" t="n"/>
      <c r="FP72" s="309" t="n"/>
      <c r="FS72" s="309" t="n"/>
      <c r="GF72" s="309" t="n"/>
      <c r="GG72" s="309" t="n"/>
      <c r="HN72" s="5" t="n"/>
      <c r="IC72" s="5" t="n"/>
      <c r="IM72" s="5" t="n"/>
      <c r="IN72" s="5" t="n"/>
      <c r="IO72" s="5" t="n"/>
      <c r="IP72" s="5" t="n"/>
      <c r="IQ72" s="5" t="n"/>
      <c r="IR72" s="5" t="n"/>
      <c r="IS72" s="5" t="n"/>
    </row>
    <row r="73">
      <c r="A73" s="37" t="inlineStr">
        <is>
          <t>CARTUCHO P HP/25</t>
        </is>
      </c>
      <c r="B73" s="699" t="n">
        <v>150</v>
      </c>
      <c r="C73" s="762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697" t="n">
        <v>0</v>
      </c>
      <c r="AL73" s="697" t="n">
        <v>0</v>
      </c>
      <c r="AM73" s="697" t="n">
        <v>0</v>
      </c>
      <c r="AN73" s="697">
        <f>0+DV11</f>
        <v/>
      </c>
      <c r="AO73" s="697">
        <f>150-75</f>
        <v/>
      </c>
      <c r="AP73" s="697" t="n">
        <v>72</v>
      </c>
      <c r="AQ73" s="697" t="n">
        <v>72</v>
      </c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>
        <v>66</v>
      </c>
      <c r="BB73" s="697" t="n">
        <v>66</v>
      </c>
      <c r="BC73" s="697" t="n">
        <v>66</v>
      </c>
      <c r="BD73" s="697" t="n">
        <v>65</v>
      </c>
      <c r="BE73" s="697" t="n">
        <v>65</v>
      </c>
      <c r="BF73" s="697" t="n">
        <v>65</v>
      </c>
      <c r="BG73" s="697" t="n">
        <v>65</v>
      </c>
      <c r="BH73" s="697" t="n">
        <v>65</v>
      </c>
      <c r="BI73" s="697" t="n">
        <v>65</v>
      </c>
      <c r="BJ73" s="697" t="n">
        <v>65</v>
      </c>
      <c r="BK73" s="697" t="n">
        <v>65</v>
      </c>
      <c r="BL73" s="697" t="n">
        <v>65</v>
      </c>
      <c r="BM73" s="697" t="n">
        <v>65</v>
      </c>
      <c r="BN73" s="697" t="n">
        <v>65</v>
      </c>
      <c r="BO73" s="697" t="n">
        <v>65</v>
      </c>
      <c r="BP73" s="697" t="n">
        <v>65</v>
      </c>
      <c r="BQ73" s="697" t="n">
        <v>65</v>
      </c>
      <c r="BR73" s="697" t="n">
        <v>65</v>
      </c>
      <c r="BS73" s="697" t="n">
        <v>65</v>
      </c>
      <c r="BT73" s="697" t="n">
        <v>65</v>
      </c>
      <c r="BU73" s="697" t="n">
        <v>65</v>
      </c>
      <c r="BV73" s="697" t="n">
        <v>65</v>
      </c>
      <c r="BW73" s="697" t="n">
        <v>65</v>
      </c>
      <c r="BX73" s="697" t="n">
        <v>65</v>
      </c>
      <c r="BY73" s="697" t="n">
        <v>65</v>
      </c>
      <c r="BZ73" s="697" t="n">
        <v>65</v>
      </c>
      <c r="CA73" s="699" t="n">
        <v>0</v>
      </c>
      <c r="CB73" s="699" t="n">
        <v>0</v>
      </c>
      <c r="CC73" s="431">
        <f>CA73+IF(NOT(ISBLANK(OFFSET(CC73,0,6))),N(OFFSET(CC73,0,6)),N(OFFSET(CC73,0,7)))-CB73</f>
        <v/>
      </c>
      <c r="DD73" s="309" t="n"/>
      <c r="FO73" s="309" t="n"/>
      <c r="FP73" s="309" t="n"/>
      <c r="FS73" s="309" t="n"/>
      <c r="GF73" s="309" t="n"/>
      <c r="GG73" s="309" t="n"/>
      <c r="HN73" s="5" t="n"/>
      <c r="IC73" s="5" t="n"/>
      <c r="IM73" s="5" t="n"/>
      <c r="IN73" s="5" t="n"/>
      <c r="IO73" s="5" t="n"/>
      <c r="IP73" s="5" t="n"/>
      <c r="IQ73" s="5" t="n"/>
      <c r="IR73" s="5" t="n"/>
      <c r="IS73" s="5" t="n"/>
    </row>
    <row r="74">
      <c r="FO74" s="309" t="n"/>
      <c r="FR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6" t="n">
        <v>45985</v>
      </c>
      <c r="BB75" s="746" t="n">
        <v>45992</v>
      </c>
      <c r="BC75" s="746" t="n">
        <v>45999</v>
      </c>
      <c r="BD75" s="746" t="n">
        <v>46006</v>
      </c>
      <c r="BE75" s="746" t="n">
        <v>46013</v>
      </c>
      <c r="BF75" s="746" t="n">
        <v>46020</v>
      </c>
      <c r="BG75" s="746" t="n">
        <v>46027</v>
      </c>
      <c r="BH75" s="746" t="n">
        <v>46034</v>
      </c>
      <c r="BI75" s="746" t="n">
        <v>46041</v>
      </c>
      <c r="BJ75" s="746" t="n">
        <v>46048</v>
      </c>
      <c r="BK75" s="746" t="n">
        <v>46055</v>
      </c>
      <c r="BL75" s="746" t="n">
        <v>46062</v>
      </c>
      <c r="BM75" s="746" t="n">
        <v>46069</v>
      </c>
      <c r="BN75" s="746" t="n">
        <v>46076</v>
      </c>
      <c r="BO75" s="746" t="n">
        <v>46083</v>
      </c>
      <c r="BP75" s="746" t="n">
        <v>46090</v>
      </c>
      <c r="BQ75" s="746" t="n">
        <v>46097</v>
      </c>
      <c r="BR75" s="746" t="n">
        <v>46104</v>
      </c>
      <c r="BS75" s="746" t="n">
        <v>46111</v>
      </c>
      <c r="BT75" s="746" t="n">
        <v>46118</v>
      </c>
      <c r="BU75" s="746" t="n">
        <v>46125</v>
      </c>
      <c r="BV75" s="746" t="n">
        <v>46132</v>
      </c>
      <c r="BW75" s="746" t="n">
        <v>46139</v>
      </c>
      <c r="BX75" s="746" t="n">
        <v>46146</v>
      </c>
      <c r="BY75" s="746" t="n">
        <v>46154</v>
      </c>
      <c r="BZ75" s="746" t="n">
        <v>46160</v>
      </c>
      <c r="CA75" s="747" t="n">
        <v>46161.48024612269</v>
      </c>
      <c r="CB75" s="747" t="n">
        <v>46161.48090400653</v>
      </c>
      <c r="CC75" s="758" t="inlineStr">
        <is>
          <t>USOU</t>
        </is>
      </c>
      <c r="FO75" s="309" t="n"/>
      <c r="FR75" s="309" t="n"/>
    </row>
    <row r="76">
      <c r="A76" s="37" t="inlineStr">
        <is>
          <t>SACOLA M</t>
        </is>
      </c>
      <c r="B76" s="699" t="n">
        <v>200</v>
      </c>
      <c r="C76" s="762" t="n">
        <v>479.2</v>
      </c>
      <c r="D76" s="382" t="n"/>
      <c r="BA76" s="697" t="n">
        <v>77</v>
      </c>
      <c r="BB76" s="697" t="n">
        <v>0</v>
      </c>
      <c r="BC76" s="697" t="n">
        <v>0</v>
      </c>
      <c r="BD76" s="314" t="n">
        <v>75</v>
      </c>
      <c r="BE76" s="697" t="n">
        <v>75</v>
      </c>
      <c r="BF76" s="697" t="n">
        <v>74</v>
      </c>
      <c r="BG76" s="697" t="n">
        <v>74</v>
      </c>
      <c r="BH76" s="697" t="n">
        <v>74</v>
      </c>
      <c r="BI76" s="697" t="n">
        <v>74</v>
      </c>
      <c r="BJ76" s="697" t="n">
        <v>73</v>
      </c>
      <c r="BK76" s="697" t="n">
        <v>73</v>
      </c>
      <c r="BL76" s="697" t="n">
        <v>73</v>
      </c>
      <c r="BM76" s="697" t="n">
        <v>73</v>
      </c>
      <c r="BN76" s="697" t="n">
        <v>73</v>
      </c>
      <c r="BO76" s="697" t="n">
        <v>73</v>
      </c>
      <c r="BP76" s="697" t="n">
        <v>73</v>
      </c>
      <c r="BQ76" s="697" t="n">
        <v>73</v>
      </c>
      <c r="BR76" s="697" t="n">
        <v>73</v>
      </c>
      <c r="BS76" s="697" t="n">
        <v>71</v>
      </c>
      <c r="BT76" s="697" t="n">
        <v>71</v>
      </c>
      <c r="BU76" s="697" t="n">
        <v>71</v>
      </c>
      <c r="BV76" s="697" t="n">
        <v>71</v>
      </c>
      <c r="BW76" s="697" t="n">
        <v>71</v>
      </c>
      <c r="BX76" s="697" t="n">
        <v>71</v>
      </c>
      <c r="BY76" s="697" t="n">
        <v>70</v>
      </c>
      <c r="BZ76" s="697" t="n">
        <v>69</v>
      </c>
      <c r="CA76" s="699" t="n">
        <v>0</v>
      </c>
      <c r="CB76" s="699" t="n">
        <v>0</v>
      </c>
      <c r="CC76" s="431">
        <f>CA76+IF(NOT(ISBLANK(OFFSET(CC76,0,6))),N(OFFSET(CC76,0,6)),N(OFFSET(CC76,0,7)))-CB76</f>
        <v/>
      </c>
      <c r="FO76" s="309" t="n"/>
      <c r="FR76" s="309" t="n"/>
    </row>
    <row r="77" hidden="1">
      <c r="A77" s="37" t="inlineStr">
        <is>
          <t>PAPEL DE SEDA</t>
        </is>
      </c>
      <c r="B77" s="699" t="n">
        <v>200</v>
      </c>
      <c r="C77" s="762" t="n">
        <v>45.47</v>
      </c>
      <c r="D77" s="382" t="n"/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431">
        <f>CA77+IF(NOT(ISBLANK(OFFSET(CC77,0,6))),N(OFFSET(CC77,0,6)),N(OFFSET(CC77,0,7)))-CB77</f>
        <v/>
      </c>
      <c r="FO77" s="309" t="n"/>
      <c r="FR77" s="309" t="n"/>
    </row>
    <row r="78">
      <c r="A78" s="37" t="inlineStr">
        <is>
          <t>CAIXA M</t>
        </is>
      </c>
      <c r="B78" s="699" t="n">
        <v>100</v>
      </c>
      <c r="C78" s="762" t="n">
        <v>1490</v>
      </c>
      <c r="D78" s="382" t="n"/>
      <c r="BA78" s="697" t="n">
        <v>50</v>
      </c>
      <c r="BB78" s="697" t="n">
        <v>50</v>
      </c>
      <c r="BC78" s="697" t="n">
        <v>50</v>
      </c>
      <c r="BD78" s="697" t="n">
        <v>50</v>
      </c>
      <c r="BE78" s="697" t="n">
        <v>50</v>
      </c>
      <c r="BF78" s="697" t="n">
        <v>50</v>
      </c>
      <c r="BG78" s="697" t="n">
        <v>50</v>
      </c>
      <c r="BH78" s="697" t="n">
        <v>50</v>
      </c>
      <c r="BI78" s="697" t="n">
        <v>50</v>
      </c>
      <c r="BJ78" s="697" t="n">
        <v>50</v>
      </c>
      <c r="BK78" s="697" t="n">
        <v>50</v>
      </c>
      <c r="BL78" s="697" t="n">
        <v>50</v>
      </c>
      <c r="BM78" s="697" t="n">
        <v>50</v>
      </c>
      <c r="BN78" s="697" t="n">
        <v>50</v>
      </c>
      <c r="BO78" s="697" t="n">
        <v>50</v>
      </c>
      <c r="BP78" s="697" t="n">
        <v>50</v>
      </c>
      <c r="BQ78" s="697" t="n">
        <v>50</v>
      </c>
      <c r="BR78" s="697" t="n">
        <v>50</v>
      </c>
      <c r="BS78" s="697" t="n">
        <v>50</v>
      </c>
      <c r="BT78" s="697" t="n">
        <v>50</v>
      </c>
      <c r="BU78" s="697" t="n">
        <v>50</v>
      </c>
      <c r="BV78" s="697" t="n">
        <v>50</v>
      </c>
      <c r="BW78" s="697" t="n">
        <v>50</v>
      </c>
      <c r="BX78" s="697" t="n">
        <v>50</v>
      </c>
      <c r="BY78" s="697" t="n">
        <v>50</v>
      </c>
      <c r="BZ78" s="697" t="n">
        <v>50</v>
      </c>
      <c r="CA78" s="699" t="n">
        <v>0</v>
      </c>
      <c r="CB78" s="699" t="n">
        <v>0</v>
      </c>
      <c r="CC78" s="431">
        <f>CA78+IF(NOT(ISBLANK(OFFSET(CC78,0,6))),N(OFFSET(CC78,0,6)),N(OFFSET(CC78,0,7)))-CB78</f>
        <v/>
      </c>
      <c r="FO78" s="309" t="n"/>
      <c r="FR78" s="309" t="n"/>
    </row>
    <row r="79">
      <c r="FO79" s="309" t="n"/>
      <c r="FR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6" t="n">
        <v>45985</v>
      </c>
      <c r="BB80" s="746" t="n">
        <v>45992</v>
      </c>
      <c r="BC80" s="746" t="n">
        <v>45999</v>
      </c>
      <c r="BD80" s="746" t="n">
        <v>46006</v>
      </c>
      <c r="BE80" s="746" t="n">
        <v>46013</v>
      </c>
      <c r="BF80" s="746" t="n">
        <v>46020</v>
      </c>
      <c r="BG80" s="746" t="n">
        <v>46027</v>
      </c>
      <c r="BH80" s="746" t="n">
        <v>46034</v>
      </c>
      <c r="BI80" s="746" t="n">
        <v>46041</v>
      </c>
      <c r="BJ80" s="746" t="n">
        <v>46048</v>
      </c>
      <c r="BK80" s="746" t="n">
        <v>46055</v>
      </c>
      <c r="BL80" s="746" t="n">
        <v>46062</v>
      </c>
      <c r="BM80" s="746" t="n">
        <v>46069</v>
      </c>
      <c r="BN80" s="746" t="n">
        <v>46076</v>
      </c>
      <c r="BO80" s="746" t="n">
        <v>46083</v>
      </c>
      <c r="BP80" s="746" t="n">
        <v>46090</v>
      </c>
      <c r="BQ80" s="746" t="n">
        <v>46097</v>
      </c>
      <c r="BR80" s="746" t="n">
        <v>46104</v>
      </c>
      <c r="BS80" s="746" t="n">
        <v>46111</v>
      </c>
      <c r="BT80" s="746" t="n">
        <v>46118</v>
      </c>
      <c r="BU80" s="746" t="n">
        <v>46125</v>
      </c>
      <c r="BV80" s="746" t="n">
        <v>46132</v>
      </c>
      <c r="BW80" s="746" t="n">
        <v>46139</v>
      </c>
      <c r="BX80" s="746" t="n">
        <v>46146</v>
      </c>
      <c r="BY80" s="746" t="n">
        <v>46154</v>
      </c>
      <c r="BZ80" s="746" t="n">
        <v>46160</v>
      </c>
      <c r="CA80" s="747" t="n">
        <v>46161.48024612269</v>
      </c>
      <c r="CB80" s="747" t="n">
        <v>46161.48090400662</v>
      </c>
      <c r="CC80" s="758" t="inlineStr">
        <is>
          <t>USOU</t>
        </is>
      </c>
      <c r="FO80" s="309" t="n"/>
      <c r="FR80" s="309" t="n"/>
    </row>
    <row r="81">
      <c r="A81" s="37" t="inlineStr">
        <is>
          <t xml:space="preserve">SACOLA M </t>
        </is>
      </c>
      <c r="B81" s="699" t="n">
        <v>200</v>
      </c>
      <c r="C81" s="762" t="n">
        <v>336</v>
      </c>
      <c r="D81" s="382" t="n"/>
      <c r="BA81" s="697" t="n">
        <v>337</v>
      </c>
      <c r="BB81" s="697" t="n">
        <v>256</v>
      </c>
      <c r="BC81" s="697" t="n">
        <v>187</v>
      </c>
      <c r="BD81" s="697" t="n">
        <v>50</v>
      </c>
      <c r="BE81" s="697" t="n">
        <v>6</v>
      </c>
      <c r="BF81" s="697" t="n">
        <v>6</v>
      </c>
      <c r="BG81" s="697" t="n">
        <v>6</v>
      </c>
      <c r="BH81" s="697" t="n">
        <v>6</v>
      </c>
      <c r="BI81" s="697" t="n">
        <v>5</v>
      </c>
      <c r="BJ81" s="697" t="n">
        <v>5</v>
      </c>
      <c r="BK81" s="697" t="n">
        <v>5</v>
      </c>
      <c r="BL81" s="697" t="n">
        <v>5</v>
      </c>
      <c r="BM81" s="697" t="n">
        <v>5</v>
      </c>
      <c r="BN81" s="697" t="n">
        <v>5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697" t="n">
        <v>0</v>
      </c>
      <c r="CA81" s="699" t="n">
        <v>0</v>
      </c>
      <c r="CB81" s="699" t="n">
        <v>0</v>
      </c>
      <c r="CC81" s="431">
        <f>CA81+IF(NOT(ISBLANK(OFFSET(CC81,0,6))),N(OFFSET(CC81,0,6)),N(OFFSET(CC81,0,7)))-CB81</f>
        <v/>
      </c>
      <c r="FO81" s="309" t="n"/>
      <c r="FR81" s="309" t="n"/>
    </row>
    <row r="82">
      <c r="A82" s="37" t="inlineStr">
        <is>
          <t>PAPEL DE SEDA</t>
        </is>
      </c>
      <c r="B82" s="699" t="n">
        <v>200</v>
      </c>
      <c r="C82" s="762" t="n">
        <v>54</v>
      </c>
      <c r="D82" s="382" t="n"/>
      <c r="BA82" s="697" t="n">
        <v>347</v>
      </c>
      <c r="BB82" s="697" t="n">
        <v>347</v>
      </c>
      <c r="BC82" s="697" t="n">
        <v>287</v>
      </c>
      <c r="BD82" s="697" t="n">
        <v>267</v>
      </c>
      <c r="BE82" s="697" t="n">
        <v>247</v>
      </c>
      <c r="BF82" s="697" t="n">
        <v>247</v>
      </c>
      <c r="BG82" s="697" t="n">
        <v>247</v>
      </c>
      <c r="BH82" s="697" t="n">
        <v>247</v>
      </c>
      <c r="BI82" s="697" t="n">
        <v>247</v>
      </c>
      <c r="BJ82" s="697" t="n">
        <v>199</v>
      </c>
      <c r="BK82" s="697" t="n">
        <v>199</v>
      </c>
      <c r="BL82" s="697" t="n">
        <v>199</v>
      </c>
      <c r="BM82" s="697" t="n">
        <v>199</v>
      </c>
      <c r="BN82" s="697" t="n">
        <v>199</v>
      </c>
      <c r="BO82" s="697" t="n">
        <v>199</v>
      </c>
      <c r="BP82" s="697" t="n">
        <v>140</v>
      </c>
      <c r="BQ82" s="697" t="n">
        <v>140</v>
      </c>
      <c r="BR82" s="697" t="n">
        <v>125</v>
      </c>
      <c r="BS82" s="697" t="n">
        <v>125</v>
      </c>
      <c r="BT82" s="697" t="n">
        <v>125</v>
      </c>
      <c r="BU82" s="697" t="n">
        <v>125</v>
      </c>
      <c r="BV82" s="697" t="n">
        <v>125</v>
      </c>
      <c r="BW82" s="697" t="n">
        <v>125</v>
      </c>
      <c r="BX82" s="697" t="n">
        <v>125</v>
      </c>
      <c r="BY82" s="697" t="n">
        <v>111</v>
      </c>
      <c r="BZ82" s="697" t="n">
        <v>99</v>
      </c>
      <c r="CA82" s="699" t="n">
        <v>99</v>
      </c>
      <c r="CB82" s="699" t="n">
        <v>99</v>
      </c>
      <c r="CC82" s="431">
        <f>CA82+IF(NOT(ISBLANK(OFFSET(CC82,0,6))),N(OFFSET(CC82,0,6)),N(OFFSET(CC82,0,7)))-CB82</f>
        <v/>
      </c>
      <c r="FO82" s="309" t="n"/>
      <c r="FR82" s="309" t="n"/>
    </row>
    <row r="83">
      <c r="A83" s="37" t="inlineStr">
        <is>
          <t>KIT TAG 10 C/ 20</t>
        </is>
      </c>
      <c r="B83" s="699" t="n">
        <v>200</v>
      </c>
      <c r="C83" s="762" t="n">
        <v>40</v>
      </c>
      <c r="D83" s="382" t="n"/>
      <c r="BA83" s="697" t="n">
        <v>5</v>
      </c>
      <c r="BB83" s="697" t="n">
        <v>4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10</v>
      </c>
      <c r="BQ83" s="697" t="n">
        <v>10</v>
      </c>
      <c r="BR83" s="697" t="n">
        <v>10</v>
      </c>
      <c r="BS83" s="697" t="n">
        <v>5</v>
      </c>
      <c r="BT83" s="697" t="n">
        <v>5</v>
      </c>
      <c r="BU83" s="697" t="n">
        <v>5</v>
      </c>
      <c r="BV83" s="697" t="n">
        <v>5</v>
      </c>
      <c r="BW83" s="697" t="n">
        <v>5</v>
      </c>
      <c r="BX83" s="697" t="n">
        <v>5</v>
      </c>
      <c r="BY83" s="697" t="n">
        <v>5</v>
      </c>
      <c r="BZ83" s="697" t="n">
        <v>5</v>
      </c>
      <c r="CA83" s="699" t="n">
        <v>5</v>
      </c>
      <c r="CB83" s="699" t="n">
        <v>5</v>
      </c>
      <c r="CC83" s="431">
        <f>CA83+IF(NOT(ISBLANK(OFFSET(CC83,0,6))),N(OFFSET(CC83,0,6)),N(OFFSET(CC83,0,7)))-CB83</f>
        <v/>
      </c>
      <c r="FO83" s="309" t="n"/>
      <c r="FR83" s="309" t="n"/>
    </row>
    <row r="84">
      <c r="A84" s="347" t="inlineStr">
        <is>
          <t>CAIXA M</t>
        </is>
      </c>
      <c r="B84" s="32" t="n">
        <v>100</v>
      </c>
      <c r="C84" s="773" t="n">
        <v>904</v>
      </c>
      <c r="D84" s="32" t="n"/>
      <c r="BA84" s="697" t="n">
        <v>46</v>
      </c>
      <c r="BB84" s="697" t="n">
        <v>46</v>
      </c>
      <c r="BC84" s="697" t="n">
        <v>45</v>
      </c>
      <c r="BD84" s="697" t="n">
        <v>45</v>
      </c>
      <c r="BE84" s="697" t="n">
        <v>45</v>
      </c>
      <c r="BF84" s="697" t="n">
        <v>45</v>
      </c>
      <c r="BG84" s="697" t="n">
        <v>45</v>
      </c>
      <c r="BH84" s="697" t="n">
        <v>44</v>
      </c>
      <c r="BI84" s="697" t="n">
        <v>44</v>
      </c>
      <c r="BJ84" s="697" t="n">
        <v>44</v>
      </c>
      <c r="BK84" s="697" t="n">
        <v>44</v>
      </c>
      <c r="BL84" s="697" t="n">
        <v>44</v>
      </c>
      <c r="BM84" s="697" t="n">
        <v>44</v>
      </c>
      <c r="BN84" s="697" t="n">
        <v>44</v>
      </c>
      <c r="BO84" s="697" t="n">
        <v>44</v>
      </c>
      <c r="BP84" s="697" t="n">
        <v>44</v>
      </c>
      <c r="BQ84" s="697" t="n">
        <v>44</v>
      </c>
      <c r="BR84" s="697" t="n">
        <v>43</v>
      </c>
      <c r="BS84" s="697" t="n">
        <v>43</v>
      </c>
      <c r="BT84" s="697" t="n">
        <v>43</v>
      </c>
      <c r="BU84" s="697" t="n">
        <v>43</v>
      </c>
      <c r="BV84" s="697" t="n">
        <v>43</v>
      </c>
      <c r="BW84" s="697" t="n">
        <v>43</v>
      </c>
      <c r="BX84" s="697" t="n">
        <v>43</v>
      </c>
      <c r="BY84" s="697" t="n">
        <v>43</v>
      </c>
      <c r="BZ84" s="697" t="n">
        <v>43</v>
      </c>
      <c r="CA84" s="699" t="n">
        <v>43</v>
      </c>
      <c r="CB84" s="699" t="n">
        <v>43</v>
      </c>
      <c r="CC84" s="431">
        <f>CA84+IF(NOT(ISBLANK(OFFSET(CC84,0,6))),N(OFFSET(CC84,0,6)),N(OFFSET(CC84,0,7)))-CB84</f>
        <v/>
      </c>
      <c r="FO84" s="309" t="n"/>
      <c r="FR84" s="309" t="n"/>
    </row>
    <row r="85">
      <c r="A85" s="347" t="inlineStr">
        <is>
          <t>CARTUCHO P</t>
        </is>
      </c>
      <c r="B85" s="32" t="n">
        <v>200</v>
      </c>
      <c r="C85" s="773" t="n">
        <v>464</v>
      </c>
      <c r="D85" s="32" t="n"/>
      <c r="BA85" s="697" t="n">
        <v>187</v>
      </c>
      <c r="BB85" s="697" t="n">
        <v>182</v>
      </c>
      <c r="BC85" s="697" t="n">
        <v>171</v>
      </c>
      <c r="BD85" s="697" t="n">
        <v>171</v>
      </c>
      <c r="BE85" s="697" t="n">
        <v>167</v>
      </c>
      <c r="BF85" s="697" t="n">
        <v>167</v>
      </c>
      <c r="BG85" s="697" t="n">
        <v>167</v>
      </c>
      <c r="BH85" s="697" t="n">
        <v>167</v>
      </c>
      <c r="BI85" s="697" t="n">
        <v>167</v>
      </c>
      <c r="BJ85" s="697" t="n">
        <v>167</v>
      </c>
      <c r="BK85" s="697" t="n">
        <v>167</v>
      </c>
      <c r="BL85" s="697" t="n">
        <v>167</v>
      </c>
      <c r="BM85" s="697" t="n">
        <v>167</v>
      </c>
      <c r="BN85" s="697" t="n">
        <v>167</v>
      </c>
      <c r="BO85" s="697" t="n">
        <v>167</v>
      </c>
      <c r="BP85" s="697" t="n">
        <v>167</v>
      </c>
      <c r="BQ85" s="697" t="n">
        <v>167</v>
      </c>
      <c r="BR85" s="697" t="n">
        <v>165</v>
      </c>
      <c r="BS85" s="697" t="n">
        <v>165</v>
      </c>
      <c r="BT85" s="697" t="n">
        <v>165</v>
      </c>
      <c r="BU85" s="697" t="n">
        <v>165</v>
      </c>
      <c r="BV85" s="697" t="n">
        <v>165</v>
      </c>
      <c r="BW85" s="697" t="n">
        <v>165</v>
      </c>
      <c r="BX85" s="697" t="n">
        <v>165</v>
      </c>
      <c r="BY85" s="697" t="n">
        <v>163</v>
      </c>
      <c r="BZ85" s="697" t="n">
        <v>163</v>
      </c>
      <c r="CA85" s="699" t="n">
        <v>163</v>
      </c>
      <c r="CB85" s="699" t="n">
        <v>163</v>
      </c>
      <c r="CC85" s="431">
        <f>CA85+IF(NOT(ISBLANK(OFFSET(CC85,0,6))),N(OFFSET(CC85,0,6)),N(OFFSET(CC85,0,7)))-CB85</f>
        <v/>
      </c>
      <c r="FO85" s="309" t="n"/>
      <c r="FR85" s="309" t="n"/>
    </row>
    <row r="86">
      <c r="FO86" s="309" t="n"/>
      <c r="FR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6" t="n">
        <v>45985</v>
      </c>
      <c r="BB87" s="746" t="n">
        <v>45992</v>
      </c>
      <c r="BC87" s="746" t="n">
        <v>45999</v>
      </c>
      <c r="BD87" s="746" t="n">
        <v>46006</v>
      </c>
      <c r="BE87" s="746" t="n">
        <v>46013</v>
      </c>
      <c r="BF87" s="746" t="n">
        <v>46020</v>
      </c>
      <c r="BG87" s="746" t="n">
        <v>46027</v>
      </c>
      <c r="BH87" s="746" t="n">
        <v>46034</v>
      </c>
      <c r="BI87" s="746" t="n">
        <v>46041</v>
      </c>
      <c r="BJ87" s="746" t="n">
        <v>46048</v>
      </c>
      <c r="BK87" s="746" t="n">
        <v>46055</v>
      </c>
      <c r="BL87" s="746" t="n">
        <v>46062</v>
      </c>
      <c r="BM87" s="746" t="n">
        <v>46069</v>
      </c>
      <c r="BN87" s="746" t="n">
        <v>46076</v>
      </c>
      <c r="BO87" s="746" t="n">
        <v>46083</v>
      </c>
      <c r="BP87" s="746" t="n">
        <v>46090</v>
      </c>
      <c r="BQ87" s="746" t="n">
        <v>46097</v>
      </c>
      <c r="BR87" s="746" t="n">
        <v>46104</v>
      </c>
      <c r="BS87" s="746" t="n">
        <v>46111</v>
      </c>
      <c r="BT87" s="746" t="n">
        <v>46118</v>
      </c>
      <c r="BU87" s="746" t="n">
        <v>46125</v>
      </c>
      <c r="BV87" s="746" t="n">
        <v>46132</v>
      </c>
      <c r="BW87" s="746" t="n">
        <v>46139</v>
      </c>
      <c r="BX87" s="746" t="n">
        <v>46146</v>
      </c>
      <c r="BY87" s="746" t="n">
        <v>46154</v>
      </c>
      <c r="BZ87" s="746" t="n">
        <v>46160</v>
      </c>
      <c r="CA87" s="747" t="n">
        <v>46161.48024612269</v>
      </c>
      <c r="CB87" s="747" t="n">
        <v>46161.48090400681</v>
      </c>
      <c r="CC87" s="758" t="inlineStr">
        <is>
          <t>USOU</t>
        </is>
      </c>
      <c r="FO87" s="309" t="n"/>
      <c r="FR87" s="309" t="n"/>
    </row>
    <row r="88">
      <c r="A88" s="37" t="inlineStr">
        <is>
          <t>SACOLA P</t>
        </is>
      </c>
      <c r="B88" s="699" t="n">
        <v>200</v>
      </c>
      <c r="C88" s="762" t="n">
        <v>274.2</v>
      </c>
      <c r="D88" s="382" t="n"/>
      <c r="BA88" s="697" t="n">
        <v>104</v>
      </c>
      <c r="BB88" s="697" t="n">
        <v>78</v>
      </c>
      <c r="BC88" s="697" t="n">
        <v>41</v>
      </c>
      <c r="BD88" s="697" t="n">
        <v>33</v>
      </c>
      <c r="BE88" s="697" t="n">
        <v>3</v>
      </c>
      <c r="BF88" s="697" t="n">
        <v>2</v>
      </c>
      <c r="BG88" s="697" t="n">
        <v>2</v>
      </c>
      <c r="BH88" s="697" t="n">
        <v>2</v>
      </c>
      <c r="BI88" s="697" t="n">
        <v>2</v>
      </c>
      <c r="BJ88" s="697" t="n">
        <v>2</v>
      </c>
      <c r="BK88" s="697" t="n">
        <v>2</v>
      </c>
      <c r="BL88" s="697" t="n">
        <v>2</v>
      </c>
      <c r="BM88" s="697" t="n">
        <v>2</v>
      </c>
      <c r="BN88" s="697" t="n">
        <v>2</v>
      </c>
      <c r="BO88" s="697" t="n">
        <v>2</v>
      </c>
      <c r="BP88" s="697" t="n">
        <v>2</v>
      </c>
      <c r="BQ88" s="697" t="n">
        <v>2</v>
      </c>
      <c r="BR88" s="697" t="n">
        <v>2</v>
      </c>
      <c r="BS88" s="697" t="n">
        <v>2</v>
      </c>
      <c r="BT88" s="697" t="n">
        <v>2</v>
      </c>
      <c r="BU88" s="697" t="n">
        <v>2</v>
      </c>
      <c r="BV88" s="697" t="n">
        <v>2</v>
      </c>
      <c r="BW88" s="697" t="n">
        <v>2</v>
      </c>
      <c r="BX88" s="697" t="n">
        <v>2</v>
      </c>
      <c r="BY88" s="697" t="n">
        <v>2</v>
      </c>
      <c r="BZ88" s="697" t="n">
        <v>2</v>
      </c>
      <c r="CA88" s="699" t="n">
        <v>2</v>
      </c>
      <c r="CB88" s="699" t="n">
        <v>2</v>
      </c>
      <c r="CC88" s="431">
        <f>CA88+IF(NOT(ISBLANK(OFFSET(CC88,0,6))),N(OFFSET(CC88,0,6)),N(OFFSET(CC88,0,7)))-CB88</f>
        <v/>
      </c>
      <c r="FO88" s="309" t="n"/>
      <c r="FR88" s="309" t="n"/>
    </row>
    <row r="89">
      <c r="A89" s="37" t="inlineStr">
        <is>
          <t>SACOLA M</t>
        </is>
      </c>
      <c r="B89" s="699" t="n">
        <v>200</v>
      </c>
      <c r="C89" s="762" t="n">
        <v>347.8</v>
      </c>
      <c r="D89" s="382" t="n"/>
      <c r="BA89" s="697" t="n">
        <v>138</v>
      </c>
      <c r="BB89" s="697" t="n">
        <v>126</v>
      </c>
      <c r="BC89" s="697" t="n">
        <v>104</v>
      </c>
      <c r="BD89" s="697" t="n">
        <v>94</v>
      </c>
      <c r="BE89" s="697" t="n">
        <v>82</v>
      </c>
      <c r="BF89" s="697" t="n">
        <v>79</v>
      </c>
      <c r="BG89" s="697" t="n">
        <v>79</v>
      </c>
      <c r="BH89" s="697" t="n">
        <v>79</v>
      </c>
      <c r="BI89" s="697" t="n">
        <v>79</v>
      </c>
      <c r="BJ89" s="697" t="n">
        <v>78</v>
      </c>
      <c r="BK89" s="697" t="n">
        <v>78</v>
      </c>
      <c r="BL89" s="697" t="n">
        <v>70</v>
      </c>
      <c r="BM89" s="697" t="n">
        <v>70</v>
      </c>
      <c r="BN89" s="697" t="n">
        <v>65</v>
      </c>
      <c r="BO89" s="697" t="n">
        <v>56</v>
      </c>
      <c r="BP89" s="697" t="n">
        <v>54</v>
      </c>
      <c r="BQ89" s="697" t="n">
        <v>54</v>
      </c>
      <c r="BR89" s="697" t="n">
        <v>52</v>
      </c>
      <c r="BS89" s="697" t="n">
        <v>51</v>
      </c>
      <c r="BT89" s="697" t="n">
        <v>51</v>
      </c>
      <c r="BU89" s="697" t="n">
        <v>51</v>
      </c>
      <c r="BV89" s="697" t="n">
        <v>51</v>
      </c>
      <c r="BW89" s="697" t="n">
        <v>51</v>
      </c>
      <c r="BX89" s="697" t="n">
        <v>51</v>
      </c>
      <c r="BY89" s="697" t="n">
        <v>33</v>
      </c>
      <c r="BZ89" s="697" t="n">
        <v>33</v>
      </c>
      <c r="CA89" s="699" t="n">
        <v>33</v>
      </c>
      <c r="CB89" s="699" t="n">
        <v>33</v>
      </c>
      <c r="CC89" s="431">
        <f>CA89+IF(NOT(ISBLANK(OFFSET(CC89,0,6))),N(OFFSET(CC89,0,6)),N(OFFSET(CC89,0,7)))-CB89</f>
        <v/>
      </c>
      <c r="FO89" s="309" t="n"/>
      <c r="FR89" s="309" t="n"/>
    </row>
    <row r="90">
      <c r="A90" s="37" t="inlineStr">
        <is>
          <t>SACOLA G</t>
        </is>
      </c>
      <c r="B90" s="699" t="n">
        <v>100</v>
      </c>
      <c r="C90" s="762" t="n">
        <v>267</v>
      </c>
      <c r="D90" s="382" t="n"/>
      <c r="BA90" s="697" t="n">
        <v>46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-4</v>
      </c>
      <c r="BG90" s="697" t="n">
        <v>-4</v>
      </c>
      <c r="BH90" s="697" t="n">
        <v>-4</v>
      </c>
      <c r="BI90" s="697" t="n">
        <v>0</v>
      </c>
      <c r="BJ90" s="697" t="n">
        <v>-4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697" t="n">
        <v>0</v>
      </c>
      <c r="CA90" s="699" t="n"/>
      <c r="CB90" s="699" t="n"/>
      <c r="CC90" s="431">
        <f>CA90+IF(NOT(ISBLANK(OFFSET(CC90,0,6))),N(OFFSET(CC90,0,6)),N(OFFSET(CC90,0,7)))-CB90</f>
        <v/>
      </c>
      <c r="FO90" s="309" t="n"/>
      <c r="FR90" s="309" t="n"/>
    </row>
    <row r="91">
      <c r="A91" s="347" t="inlineStr">
        <is>
          <t xml:space="preserve">PAPEL DE SEDA </t>
        </is>
      </c>
      <c r="B91" s="32" t="n">
        <v>200</v>
      </c>
      <c r="C91" s="773" t="n">
        <v>44.4</v>
      </c>
      <c r="D91" s="32" t="n"/>
      <c r="BA91" s="697" t="n">
        <v>368</v>
      </c>
      <c r="BB91" s="697" t="n">
        <v>324</v>
      </c>
      <c r="BC91" s="697" t="n">
        <v>169</v>
      </c>
      <c r="BD91" s="697" t="n">
        <v>150</v>
      </c>
      <c r="BE91" s="697" t="n">
        <v>83</v>
      </c>
      <c r="BF91" s="697" t="n">
        <v>83</v>
      </c>
      <c r="BG91" s="697" t="n">
        <v>-83</v>
      </c>
      <c r="BH91" s="697" t="n">
        <v>-83</v>
      </c>
      <c r="BI91" s="697" t="n">
        <v>0</v>
      </c>
      <c r="BJ91" s="697" t="n">
        <v>-83</v>
      </c>
      <c r="BK91" s="697" t="n">
        <v>83</v>
      </c>
      <c r="BL91" s="697" t="n">
        <v>83</v>
      </c>
      <c r="BM91" s="697" t="n">
        <v>83</v>
      </c>
      <c r="BN91" s="697" t="n">
        <v>83</v>
      </c>
      <c r="BO91" s="697" t="n">
        <v>83</v>
      </c>
      <c r="BP91" s="697" t="n">
        <v>83</v>
      </c>
      <c r="BQ91" s="697" t="n">
        <v>83</v>
      </c>
      <c r="BR91" s="697" t="n">
        <v>63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  <c r="BZ91" s="697" t="n">
        <v>0</v>
      </c>
      <c r="CA91" s="699" t="n"/>
      <c r="CB91" s="699" t="n"/>
      <c r="CC91" s="431">
        <f>CA91+IF(NOT(ISBLANK(OFFSET(CC91,0,6))),N(OFFSET(CC91,0,6)),N(OFFSET(CC91,0,7)))-CB91</f>
        <v/>
      </c>
      <c r="FO91" s="309" t="n"/>
      <c r="FR91" s="309" t="n"/>
    </row>
    <row r="92">
      <c r="A92" s="347" t="inlineStr">
        <is>
          <t>CAIXA P</t>
        </is>
      </c>
      <c r="B92" s="32" t="n">
        <v>150</v>
      </c>
      <c r="C92" s="773" t="n">
        <v>805.35</v>
      </c>
      <c r="D92" s="32" t="n"/>
      <c r="BA92" s="697" t="n">
        <v>29</v>
      </c>
      <c r="BB92" s="697" t="n">
        <v>29</v>
      </c>
      <c r="BC92" s="697" t="n">
        <v>24</v>
      </c>
      <c r="BD92" s="697" t="n">
        <v>18</v>
      </c>
      <c r="BE92" s="697" t="n">
        <v>11</v>
      </c>
      <c r="BF92" s="697" t="n">
        <v>11</v>
      </c>
      <c r="BG92" s="697" t="n">
        <v>11</v>
      </c>
      <c r="BH92" s="697" t="n">
        <v>11</v>
      </c>
      <c r="BI92" s="697" t="n">
        <v>11</v>
      </c>
      <c r="BJ92" s="697" t="n">
        <v>11</v>
      </c>
      <c r="BK92" s="697" t="n">
        <v>10</v>
      </c>
      <c r="BL92" s="697" t="n">
        <v>10</v>
      </c>
      <c r="BM92" s="697" t="n">
        <v>10</v>
      </c>
      <c r="BN92" s="697" t="n">
        <v>10</v>
      </c>
      <c r="BO92" s="697" t="n">
        <v>10</v>
      </c>
      <c r="BP92" s="697" t="n">
        <v>9</v>
      </c>
      <c r="BQ92" s="697" t="n">
        <v>9</v>
      </c>
      <c r="BR92" s="697" t="n">
        <v>8</v>
      </c>
      <c r="BS92" s="697" t="n">
        <v>7</v>
      </c>
      <c r="BT92" s="697" t="n">
        <v>7</v>
      </c>
      <c r="BU92" s="697" t="n">
        <v>7</v>
      </c>
      <c r="BV92" s="697" t="n">
        <v>7</v>
      </c>
      <c r="BW92" s="697" t="n">
        <v>7</v>
      </c>
      <c r="BX92" s="697" t="n">
        <v>7</v>
      </c>
      <c r="BY92" s="697" t="n">
        <v>6</v>
      </c>
      <c r="BZ92" s="697" t="n">
        <v>5</v>
      </c>
      <c r="CA92" s="699" t="n">
        <v>5</v>
      </c>
      <c r="CB92" s="699" t="n">
        <v>5</v>
      </c>
      <c r="CC92" s="431">
        <f>CA92+IF(NOT(ISBLANK(OFFSET(CC92,0,6))),N(OFFSET(CC92,0,6)),N(OFFSET(CC92,0,7)))-CB92</f>
        <v/>
      </c>
      <c r="FO92" s="309" t="n"/>
      <c r="FR92" s="309" t="n"/>
    </row>
    <row r="93">
      <c r="A93" s="347" t="inlineStr">
        <is>
          <t>CAIXA M</t>
        </is>
      </c>
      <c r="B93" s="32" t="n">
        <v>100</v>
      </c>
      <c r="C93" s="773" t="n">
        <v>792.2</v>
      </c>
      <c r="D93" s="32" t="n"/>
      <c r="BA93" s="697" t="n">
        <v>48</v>
      </c>
      <c r="BB93" s="697" t="n">
        <v>43</v>
      </c>
      <c r="BC93" s="697" t="n">
        <v>35</v>
      </c>
      <c r="BD93" s="697" t="n">
        <v>23</v>
      </c>
      <c r="BE93" s="697" t="n">
        <v>2</v>
      </c>
      <c r="BF93" s="697" t="n">
        <v>2</v>
      </c>
      <c r="BG93" s="697" t="n">
        <v>2</v>
      </c>
      <c r="BH93" s="697" t="n">
        <v>2</v>
      </c>
      <c r="BI93" s="697" t="n">
        <v>2</v>
      </c>
      <c r="BJ93" s="697" t="n">
        <v>2</v>
      </c>
      <c r="BK93" s="697" t="n">
        <v>2</v>
      </c>
      <c r="BL93" s="697" t="n">
        <v>0</v>
      </c>
      <c r="BM93" s="697" t="n">
        <v>0</v>
      </c>
      <c r="BN93" s="697" t="n">
        <v>0</v>
      </c>
      <c r="BO93" s="697" t="n">
        <v>0</v>
      </c>
      <c r="BP93" s="697" t="n">
        <v>0</v>
      </c>
      <c r="BQ93" s="697" t="n">
        <v>0</v>
      </c>
      <c r="BR93" s="697" t="n">
        <v>0</v>
      </c>
      <c r="BS93" s="697" t="n">
        <v>0</v>
      </c>
      <c r="BT93" s="697" t="n">
        <v>0</v>
      </c>
      <c r="BU93" s="697" t="n">
        <v>0</v>
      </c>
      <c r="BV93" s="697" t="n">
        <v>0</v>
      </c>
      <c r="BW93" s="697" t="n">
        <v>0</v>
      </c>
      <c r="BX93" s="697" t="n">
        <v>0</v>
      </c>
      <c r="BY93" s="697" t="n">
        <v>0</v>
      </c>
      <c r="BZ93" s="697" t="n">
        <v>0</v>
      </c>
      <c r="CA93" s="699" t="n">
        <v>0</v>
      </c>
      <c r="CB93" s="699" t="n">
        <v>0</v>
      </c>
      <c r="CC93" s="431">
        <f>CA93+IF(NOT(ISBLANK(OFFSET(CC93,0,6))),N(OFFSET(CC93,0,6)),N(OFFSET(CC93,0,7)))-CB93</f>
        <v/>
      </c>
      <c r="FO93" s="309" t="n"/>
      <c r="FR93" s="309" t="n"/>
    </row>
    <row r="94">
      <c r="A94" s="347" t="inlineStr">
        <is>
          <t>CARTUCHO P</t>
        </is>
      </c>
      <c r="B94" s="32" t="n">
        <v>200</v>
      </c>
      <c r="C94" s="773" t="n">
        <v>487.2</v>
      </c>
      <c r="D94" s="32" t="n"/>
      <c r="BA94" s="697" t="n">
        <v>0</v>
      </c>
      <c r="BB94" s="697" t="n">
        <v>0</v>
      </c>
      <c r="BC94" s="697" t="n">
        <v>0</v>
      </c>
      <c r="BD94" s="697" t="n">
        <v>0</v>
      </c>
      <c r="BE94" s="697" t="n">
        <v>0</v>
      </c>
      <c r="BF94" s="697" t="n">
        <v>0</v>
      </c>
      <c r="BG94" s="697" t="n">
        <v>0</v>
      </c>
      <c r="BH94" s="697" t="n">
        <v>0</v>
      </c>
      <c r="BI94" s="697" t="n">
        <v>0</v>
      </c>
      <c r="BJ94" s="697" t="n">
        <v>0</v>
      </c>
      <c r="BK94" s="697" t="n">
        <v>0</v>
      </c>
      <c r="BL94" s="697" t="n">
        <v>0</v>
      </c>
      <c r="BM94" s="697" t="n">
        <v>0</v>
      </c>
      <c r="BN94" s="697" t="n">
        <v>0</v>
      </c>
      <c r="BO94" s="697" t="n">
        <v>0</v>
      </c>
      <c r="BP94" s="697" t="n">
        <v>0</v>
      </c>
      <c r="BQ94" s="697" t="n">
        <v>0</v>
      </c>
      <c r="BR94" s="697" t="n">
        <v>0</v>
      </c>
      <c r="BS94" s="697" t="n">
        <v>0</v>
      </c>
      <c r="BT94" s="697" t="n">
        <v>0</v>
      </c>
      <c r="BU94" s="697" t="n">
        <v>0</v>
      </c>
      <c r="BV94" s="697" t="n">
        <v>0</v>
      </c>
      <c r="BW94" s="697" t="n">
        <v>0</v>
      </c>
      <c r="BX94" s="697" t="n">
        <v>0</v>
      </c>
      <c r="BY94" s="697" t="n">
        <v>0</v>
      </c>
      <c r="BZ94" s="697" t="n">
        <v>0</v>
      </c>
      <c r="CA94" s="699" t="n">
        <v>0</v>
      </c>
      <c r="CB94" s="699" t="n">
        <v>0</v>
      </c>
      <c r="CC94" s="431">
        <f>CA94+IF(NOT(ISBLANK(OFFSET(CC94,0,6))),N(OFFSET(CC94,0,6)),N(OFFSET(CC94,0,7)))-CB94</f>
        <v/>
      </c>
      <c r="FO94" s="309" t="n"/>
      <c r="FR94" s="309" t="n"/>
    </row>
    <row r="95">
      <c r="A95" s="347" t="inlineStr">
        <is>
          <t>CARTUCHO M</t>
        </is>
      </c>
      <c r="B95" s="32" t="n">
        <v>150</v>
      </c>
      <c r="C95" s="773" t="n">
        <v>460.35</v>
      </c>
      <c r="D95" s="32" t="n"/>
      <c r="BA95" s="697" t="n">
        <v>0</v>
      </c>
      <c r="BB95" s="697" t="n">
        <v>0</v>
      </c>
      <c r="BC95" s="697" t="n">
        <v>0</v>
      </c>
      <c r="BD95" s="697" t="n">
        <v>0</v>
      </c>
      <c r="BE95" s="697" t="n">
        <v>0</v>
      </c>
      <c r="BF95" s="697" t="n">
        <v>0</v>
      </c>
      <c r="BG95" s="697" t="n">
        <v>0</v>
      </c>
      <c r="BH95" s="697" t="n">
        <v>0</v>
      </c>
      <c r="BI95" s="697" t="n">
        <v>0</v>
      </c>
      <c r="BJ95" s="697" t="n">
        <v>0</v>
      </c>
      <c r="BK95" s="697" t="n">
        <v>0</v>
      </c>
      <c r="BL95" s="697" t="n">
        <v>0</v>
      </c>
      <c r="BM95" s="697" t="n">
        <v>0</v>
      </c>
      <c r="BN95" s="697" t="n">
        <v>0</v>
      </c>
      <c r="BO95" s="697" t="n">
        <v>0</v>
      </c>
      <c r="BP95" s="697" t="n">
        <v>0</v>
      </c>
      <c r="BQ95" s="697" t="n">
        <v>0</v>
      </c>
      <c r="BR95" s="697" t="n">
        <v>0</v>
      </c>
      <c r="BS95" s="697" t="n">
        <v>0</v>
      </c>
      <c r="BT95" s="697" t="n">
        <v>0</v>
      </c>
      <c r="BU95" s="697" t="n">
        <v>0</v>
      </c>
      <c r="BV95" s="697" t="n">
        <v>0</v>
      </c>
      <c r="BW95" s="697" t="n">
        <v>0</v>
      </c>
      <c r="BX95" s="697" t="n">
        <v>0</v>
      </c>
      <c r="BY95" s="697" t="n">
        <v>0</v>
      </c>
      <c r="BZ95" s="697" t="n">
        <v>0</v>
      </c>
      <c r="CA95" s="699" t="n">
        <v>0</v>
      </c>
      <c r="CB95" s="699" t="n">
        <v>0</v>
      </c>
      <c r="CC95" s="431">
        <f>CA95+IF(NOT(ISBLANK(OFFSET(CC95,0,6))),N(OFFSET(CC95,0,6)),N(OFFSET(CC95,0,7)))-CB95</f>
        <v/>
      </c>
      <c r="FO95" s="309" t="n"/>
      <c r="FR95" s="309" t="n"/>
    </row>
    <row r="96">
      <c r="FO96" s="309" t="n"/>
      <c r="FR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6" t="n"/>
      <c r="BB97" s="746" t="n"/>
      <c r="BC97" s="746" t="n"/>
      <c r="BD97" s="746" t="n"/>
      <c r="BE97" s="746" t="n"/>
      <c r="BF97" s="746" t="n"/>
      <c r="BG97" s="746" t="n"/>
      <c r="BH97" s="746" t="n">
        <v>46034</v>
      </c>
      <c r="BI97" s="746" t="n">
        <v>46041</v>
      </c>
      <c r="BJ97" s="746" t="n">
        <v>46048</v>
      </c>
      <c r="BK97" s="746" t="n">
        <v>46055</v>
      </c>
      <c r="BL97" s="746" t="n">
        <v>46062</v>
      </c>
      <c r="BM97" s="746" t="n">
        <v>46069</v>
      </c>
      <c r="BN97" s="746" t="n">
        <v>46076</v>
      </c>
      <c r="BO97" s="746" t="n">
        <v>46083</v>
      </c>
      <c r="BP97" s="746" t="n">
        <v>46090</v>
      </c>
      <c r="BQ97" s="746" t="n">
        <v>46097</v>
      </c>
      <c r="BR97" s="746" t="n">
        <v>46104</v>
      </c>
      <c r="BS97" s="746" t="n">
        <v>46111</v>
      </c>
      <c r="BT97" s="746" t="n">
        <v>46118</v>
      </c>
      <c r="BU97" s="746" t="n">
        <v>46125</v>
      </c>
      <c r="BV97" s="746" t="n">
        <v>46132</v>
      </c>
      <c r="BW97" s="746" t="n">
        <v>46139</v>
      </c>
      <c r="BX97" s="746" t="n">
        <v>46146</v>
      </c>
      <c r="BY97" s="746" t="n">
        <v>46154</v>
      </c>
      <c r="BZ97" s="746" t="n">
        <v>46160</v>
      </c>
      <c r="CA97" s="747" t="n">
        <v>46161.48024612269</v>
      </c>
      <c r="CB97" s="747" t="n">
        <v>46161.48090400698</v>
      </c>
      <c r="CC97" s="758" t="inlineStr">
        <is>
          <t>USOU</t>
        </is>
      </c>
      <c r="FO97" s="309" t="n"/>
      <c r="FR97" s="309" t="n"/>
    </row>
    <row r="98">
      <c r="A98" s="37" t="inlineStr">
        <is>
          <t>ETIQUETA BRANCA 100X80</t>
        </is>
      </c>
      <c r="B98" s="699" t="n">
        <v>1</v>
      </c>
      <c r="C98" s="762" t="n">
        <v>25.9</v>
      </c>
      <c r="D98" s="382" t="n"/>
      <c r="BA98" s="697" t="n"/>
      <c r="BB98" s="697" t="n"/>
      <c r="BC98" s="697" t="n"/>
      <c r="BD98" s="697" t="n"/>
      <c r="BE98" s="697" t="n"/>
      <c r="BF98" s="697" t="n"/>
      <c r="BG98" s="697" t="n"/>
      <c r="BH98" s="697">
        <f>2+30</f>
        <v/>
      </c>
      <c r="BI98" s="697" t="n">
        <v>30</v>
      </c>
      <c r="BJ98" s="697" t="n">
        <v>30</v>
      </c>
      <c r="BK98" s="697" t="n">
        <v>29</v>
      </c>
      <c r="BL98" s="697" t="n">
        <v>27</v>
      </c>
      <c r="BM98" s="697" t="n"/>
      <c r="BN98" s="697" t="n"/>
      <c r="BO98" s="697" t="n">
        <v>27</v>
      </c>
      <c r="BP98" s="697" t="n">
        <v>22</v>
      </c>
      <c r="BQ98" s="697" t="n">
        <v>27</v>
      </c>
      <c r="BR98" s="697" t="n">
        <v>22</v>
      </c>
      <c r="BS98" s="697" t="n">
        <v>21</v>
      </c>
      <c r="BT98" s="697" t="n">
        <v>7</v>
      </c>
      <c r="BU98" s="697" t="n">
        <v>5</v>
      </c>
      <c r="BV98" s="697" t="n">
        <v>3</v>
      </c>
      <c r="BW98" s="697" t="n">
        <v>1</v>
      </c>
      <c r="BX98" s="314" t="n">
        <v>10</v>
      </c>
      <c r="BY98" s="697" t="n">
        <v>5</v>
      </c>
      <c r="BZ98" s="697" t="n"/>
      <c r="CA98" s="699" t="n"/>
      <c r="CB98" s="699" t="n"/>
      <c r="CC98" s="431">
        <f>CA98+IF(NOT(ISBLANK(OFFSET(CC98,0,6))),N(OFFSET(CC98,0,6)),N(OFFSET(CC98,0,7)))-CB98</f>
        <v/>
      </c>
      <c r="FO98" s="309" t="n"/>
      <c r="FR98" s="309" t="n"/>
    </row>
    <row r="99">
      <c r="A99" s="37" t="inlineStr">
        <is>
          <t>RIBBON DE CERA 110X74</t>
        </is>
      </c>
      <c r="B99" s="699" t="n">
        <v>1</v>
      </c>
      <c r="C99" s="762" t="n">
        <v>7.9</v>
      </c>
      <c r="D99" s="382" t="n"/>
      <c r="BA99" s="697" t="n"/>
      <c r="BB99" s="697" t="n"/>
      <c r="BC99" s="697" t="n"/>
      <c r="BD99" s="697" t="n"/>
      <c r="BE99" s="697" t="n"/>
      <c r="BF99" s="697" t="n"/>
      <c r="BG99" s="697" t="n"/>
      <c r="BH99" s="697">
        <f>3+30</f>
        <v/>
      </c>
      <c r="BI99" s="697" t="n">
        <v>30</v>
      </c>
      <c r="BJ99" s="697" t="n">
        <v>30</v>
      </c>
      <c r="BK99" s="697" t="n">
        <v>29</v>
      </c>
      <c r="BL99" s="697" t="n">
        <v>27</v>
      </c>
      <c r="BM99" s="697" t="n"/>
      <c r="BN99" s="697" t="n"/>
      <c r="BO99" s="697" t="n">
        <v>27</v>
      </c>
      <c r="BP99" s="697" t="n">
        <v>23</v>
      </c>
      <c r="BQ99" s="697" t="n">
        <v>27</v>
      </c>
      <c r="BR99" s="697" t="n">
        <v>9</v>
      </c>
      <c r="BS99" s="697" t="n">
        <v>8</v>
      </c>
      <c r="BT99" s="697" t="n">
        <v>21</v>
      </c>
      <c r="BU99" s="697" t="n">
        <v>20</v>
      </c>
      <c r="BV99" s="697" t="n">
        <v>18</v>
      </c>
      <c r="BW99" s="697" t="n">
        <v>17</v>
      </c>
      <c r="BX99" s="697" t="n">
        <v>16</v>
      </c>
      <c r="BY99" s="697" t="n">
        <v>15</v>
      </c>
      <c r="BZ99" s="697" t="n"/>
      <c r="CA99" s="699" t="n"/>
      <c r="CB99" s="699" t="n"/>
      <c r="CC99" s="431">
        <f>CA99+IF(NOT(ISBLANK(OFFSET(CC99,0,6))),N(OFFSET(CC99,0,6)),N(OFFSET(CC99,0,7)))-CB99</f>
        <v/>
      </c>
      <c r="FO99" s="309" t="n"/>
      <c r="FR99" s="309" t="n"/>
    </row>
    <row r="100" ht="19.5" customHeight="1" thickBot="1">
      <c r="FO100" s="309" t="n"/>
      <c r="FR100" s="309" t="n"/>
    </row>
    <row r="101" ht="24" customHeight="1" thickBot="1">
      <c r="A101" s="528" t="n">
        <v>2026</v>
      </c>
      <c r="B101" s="836" t="n"/>
      <c r="C101" s="836" t="n"/>
      <c r="D101" s="836" t="n"/>
      <c r="E101" s="836" t="n"/>
      <c r="F101" s="836" t="n"/>
      <c r="G101" s="836" t="n"/>
      <c r="H101" s="836" t="n"/>
      <c r="I101" s="836" t="n"/>
      <c r="J101" s="836" t="n"/>
      <c r="K101" s="836" t="n"/>
      <c r="L101" s="836" t="n"/>
      <c r="M101" s="836" t="n"/>
      <c r="N101" s="836" t="n"/>
      <c r="O101" s="836" t="n"/>
      <c r="P101" s="836" t="n"/>
      <c r="Q101" s="836" t="n"/>
      <c r="R101" s="836" t="n"/>
      <c r="S101" s="836" t="n"/>
      <c r="T101" s="836" t="n"/>
      <c r="U101" s="836" t="n"/>
      <c r="V101" s="836" t="n"/>
      <c r="W101" s="836" t="n"/>
      <c r="X101" s="836" t="n"/>
      <c r="Y101" s="836" t="n"/>
      <c r="Z101" s="836" t="n"/>
      <c r="AA101" s="836" t="n"/>
      <c r="AB101" s="836" t="n"/>
      <c r="AC101" s="836" t="n"/>
      <c r="AD101" s="836" t="n"/>
      <c r="AE101" s="836" t="n"/>
      <c r="AF101" s="836" t="n"/>
      <c r="AG101" s="836" t="n"/>
      <c r="AH101" s="836" t="n"/>
      <c r="AI101" s="836" t="n"/>
      <c r="AJ101" s="836" t="n"/>
      <c r="AK101" s="836" t="n"/>
      <c r="AL101" s="836" t="n"/>
      <c r="AM101" s="836" t="n"/>
      <c r="AN101" s="836" t="n"/>
      <c r="AO101" s="836" t="n"/>
      <c r="AP101" s="836" t="n"/>
      <c r="AQ101" s="836" t="n"/>
      <c r="AR101" s="836" t="n"/>
      <c r="AS101" s="836" t="n"/>
      <c r="AT101" s="836" t="n"/>
      <c r="AU101" s="836" t="n"/>
      <c r="AV101" s="836" t="n"/>
      <c r="AW101" s="836" t="n"/>
      <c r="AX101" s="836" t="n"/>
      <c r="AY101" s="836" t="n"/>
      <c r="AZ101" s="836" t="n"/>
      <c r="BA101" s="836" t="n"/>
      <c r="BB101" s="836" t="n"/>
      <c r="BC101" s="836" t="n"/>
      <c r="BD101" s="836" t="n"/>
      <c r="BE101" s="836" t="n"/>
      <c r="BF101" s="836" t="n"/>
      <c r="BG101" s="836" t="n"/>
      <c r="BH101" s="836" t="n"/>
      <c r="BI101" s="836" t="n"/>
      <c r="BJ101" s="836" t="n"/>
      <c r="BK101" s="836" t="n"/>
      <c r="BL101" s="836" t="n"/>
      <c r="BM101" s="836" t="n"/>
      <c r="BN101" s="836" t="n"/>
      <c r="BO101" s="836" t="n"/>
      <c r="BP101" s="836" t="n"/>
      <c r="BQ101" s="836" t="n"/>
      <c r="BR101" s="836" t="n"/>
      <c r="BS101" s="836" t="n"/>
      <c r="BT101" s="836" t="n"/>
      <c r="BU101" s="836" t="n"/>
      <c r="BV101" s="836" t="n"/>
      <c r="BW101" s="836" t="n"/>
      <c r="BX101" s="836" t="n"/>
      <c r="BY101" s="836" t="n"/>
      <c r="BZ101" s="836" t="n"/>
      <c r="CA101" s="837" t="n"/>
      <c r="CB101" s="837" t="n"/>
      <c r="CC101" s="530" t="n"/>
      <c r="FO101" s="309" t="n"/>
      <c r="FR101" s="309" t="n"/>
    </row>
    <row r="102">
      <c r="FO102" s="309" t="n"/>
      <c r="FR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6" t="n">
        <v>46069</v>
      </c>
      <c r="BN103" s="746" t="n">
        <v>46076</v>
      </c>
      <c r="BO103" s="746" t="n">
        <v>46083</v>
      </c>
      <c r="BP103" s="746" t="n">
        <v>46090</v>
      </c>
      <c r="BQ103" s="746" t="n">
        <v>46097</v>
      </c>
      <c r="BR103" s="746" t="n">
        <v>46104</v>
      </c>
      <c r="BS103" s="746" t="n">
        <v>46111</v>
      </c>
      <c r="BT103" s="746" t="n">
        <v>46118</v>
      </c>
      <c r="BU103" s="746" t="n">
        <v>46125</v>
      </c>
      <c r="BV103" s="746" t="n">
        <v>46132</v>
      </c>
      <c r="BW103" s="746" t="n">
        <v>46139</v>
      </c>
      <c r="BX103" s="746" t="n">
        <v>46146</v>
      </c>
      <c r="BY103" s="746" t="n">
        <v>46154</v>
      </c>
      <c r="BZ103" s="746" t="n">
        <v>46160</v>
      </c>
      <c r="CA103" s="747" t="n">
        <v>46161.48024612269</v>
      </c>
      <c r="CB103" s="747" t="n">
        <v>46161.48090400708</v>
      </c>
      <c r="CC103" s="758" t="inlineStr">
        <is>
          <t>USOU</t>
        </is>
      </c>
      <c r="FO103" s="309" t="n"/>
      <c r="FR103" s="309" t="n"/>
    </row>
    <row r="104">
      <c r="A104" s="37" t="inlineStr">
        <is>
          <t xml:space="preserve">SACOLA M </t>
        </is>
      </c>
      <c r="B104" s="699" t="n">
        <v>150</v>
      </c>
      <c r="C104" s="762" t="n"/>
      <c r="D104" s="382" t="n"/>
      <c r="BM104" s="697" t="n">
        <v>0</v>
      </c>
      <c r="BN104" s="697" t="n">
        <v>0</v>
      </c>
      <c r="BO104" s="697" t="n">
        <v>0</v>
      </c>
      <c r="BP104" s="697">
        <f>CO10</f>
        <v/>
      </c>
      <c r="BQ104" s="697" t="n"/>
      <c r="BR104" s="697" t="n"/>
      <c r="BS104" s="697" t="n"/>
      <c r="BT104" s="697" t="n">
        <v>450</v>
      </c>
      <c r="BU104" s="697" t="n">
        <v>600</v>
      </c>
      <c r="BV104" s="697" t="n">
        <v>300</v>
      </c>
      <c r="BW104" s="697" t="n">
        <v>150</v>
      </c>
      <c r="BX104" s="697" t="n">
        <v>150</v>
      </c>
      <c r="BY104" s="697" t="n">
        <v>0</v>
      </c>
      <c r="BZ104" s="697" t="n"/>
      <c r="CA104" s="699" t="n"/>
      <c r="CB104" s="699" t="n"/>
      <c r="CC104" s="431">
        <f>CA104+IF(NOT(ISBLANK(OFFSET(CC104,0,6))),N(OFFSET(CC104,0,6)),N(OFFSET(CC104,0,7)))-CB104</f>
        <v/>
      </c>
      <c r="FO104" s="309" t="n"/>
      <c r="FR104" s="309" t="n"/>
    </row>
    <row r="105">
      <c r="A105" s="37" t="inlineStr">
        <is>
          <t>ADESIVO</t>
        </is>
      </c>
      <c r="B105" s="699" t="n">
        <v>1000</v>
      </c>
      <c r="C105" s="762" t="n"/>
      <c r="D105" s="382" t="n"/>
      <c r="BM105" s="697" t="n">
        <v>0</v>
      </c>
      <c r="BN105" s="697" t="n">
        <v>0</v>
      </c>
      <c r="BO105" s="697" t="n">
        <v>0</v>
      </c>
      <c r="BP105" s="697">
        <f>CO22</f>
        <v/>
      </c>
      <c r="BQ105" s="697" t="n"/>
      <c r="BR105" s="697" t="n"/>
      <c r="BS105" s="697" t="n"/>
      <c r="BT105" s="697" t="n">
        <v>0</v>
      </c>
      <c r="BU105" s="697" t="n">
        <v>0</v>
      </c>
      <c r="BV105" s="697" t="n">
        <v>0</v>
      </c>
      <c r="BW105" s="697" t="n">
        <v>0</v>
      </c>
      <c r="BX105" s="697" t="n">
        <v>0</v>
      </c>
      <c r="BY105" s="697" t="n">
        <v>0</v>
      </c>
      <c r="BZ105" s="697" t="n"/>
      <c r="CA105" s="699" t="n"/>
      <c r="CB105" s="699" t="n"/>
      <c r="CC105" s="431">
        <f>CA105+IF(NOT(ISBLANK(OFFSET(CC105,0,6))),N(OFFSET(CC105,0,6)),N(OFFSET(CC105,0,7)))-CB105</f>
        <v/>
      </c>
      <c r="FO105" s="309" t="n"/>
      <c r="FR105" s="309" t="n"/>
    </row>
    <row r="106">
      <c r="A106" s="37" t="inlineStr">
        <is>
          <t>PAPEL DE SEDA</t>
        </is>
      </c>
      <c r="B106" s="699" t="n">
        <v>200</v>
      </c>
      <c r="C106" s="762" t="n"/>
      <c r="D106" s="382" t="n"/>
      <c r="BM106" s="697" t="n">
        <v>0</v>
      </c>
      <c r="BN106" s="697" t="n">
        <v>0</v>
      </c>
      <c r="BO106" s="697" t="n">
        <v>0</v>
      </c>
      <c r="BP106" s="697">
        <f>CO21</f>
        <v/>
      </c>
      <c r="BQ106" s="697" t="n"/>
      <c r="BR106" s="697" t="n"/>
      <c r="BS106" s="697" t="n"/>
      <c r="BT106" s="697" t="n">
        <v>0</v>
      </c>
      <c r="BU106" s="697" t="n">
        <v>0</v>
      </c>
      <c r="BV106" s="697" t="n">
        <v>0</v>
      </c>
      <c r="BW106" s="697" t="n">
        <v>0</v>
      </c>
      <c r="BX106" s="697" t="n">
        <v>0</v>
      </c>
      <c r="BY106" s="697" t="n">
        <v>0</v>
      </c>
      <c r="BZ106" s="697" t="n"/>
      <c r="CA106" s="699" t="n"/>
      <c r="CB106" s="699" t="n"/>
      <c r="CC106" s="431">
        <f>CA106+IF(NOT(ISBLANK(OFFSET(CC106,0,6))),N(OFFSET(CC106,0,6)),N(OFFSET(CC106,0,7)))-CB106</f>
        <v/>
      </c>
      <c r="FO106" s="309" t="n"/>
      <c r="FR106" s="309" t="n"/>
    </row>
    <row r="107">
      <c r="A107" s="37" t="inlineStr">
        <is>
          <t>SACOLA M VENDA</t>
        </is>
      </c>
      <c r="B107" s="699" t="n">
        <v>150</v>
      </c>
      <c r="C107" s="762" t="n"/>
      <c r="D107" s="382" t="n"/>
      <c r="BM107" s="697" t="n">
        <v>0</v>
      </c>
      <c r="BN107" s="697" t="n">
        <v>0</v>
      </c>
      <c r="BO107" s="697" t="n">
        <v>0</v>
      </c>
      <c r="BP107" s="697">
        <f>CO18</f>
        <v/>
      </c>
      <c r="BQ107" s="697" t="n">
        <v>138</v>
      </c>
      <c r="BR107" s="697" t="n">
        <v>0</v>
      </c>
      <c r="BS107" s="697" t="n">
        <v>0</v>
      </c>
      <c r="BT107" s="697" t="n">
        <v>0</v>
      </c>
      <c r="BU107" s="697" t="n">
        <v>0</v>
      </c>
      <c r="BV107" s="697" t="n">
        <v>0</v>
      </c>
      <c r="BW107" s="697" t="n">
        <v>0</v>
      </c>
      <c r="BX107" s="697" t="n">
        <v>0</v>
      </c>
      <c r="BY107" s="697" t="n">
        <v>0</v>
      </c>
      <c r="BZ107" s="697" t="n">
        <v>0</v>
      </c>
      <c r="CA107" s="699" t="n">
        <v>0</v>
      </c>
      <c r="CB107" s="699" t="n">
        <v>0</v>
      </c>
      <c r="CC107" s="431">
        <f>CA107+IF(NOT(ISBLANK(OFFSET(CC107,0,6))),N(OFFSET(CC107,0,6)),N(OFFSET(CC107,0,7)))-CB107</f>
        <v/>
      </c>
      <c r="FO107" s="309" t="n"/>
      <c r="FR107" s="309" t="n"/>
    </row>
    <row r="108">
      <c r="A108" s="37" t="inlineStr">
        <is>
          <t>KIT TAG 10 C/ 20</t>
        </is>
      </c>
      <c r="B108" s="699" t="n">
        <v>200</v>
      </c>
      <c r="C108" s="762" t="n"/>
      <c r="D108" s="382" t="n"/>
      <c r="BM108" s="697" t="n">
        <v>0</v>
      </c>
      <c r="BN108" s="697" t="n">
        <v>0</v>
      </c>
      <c r="BO108" s="697" t="n">
        <v>0</v>
      </c>
      <c r="BP108" s="697">
        <f>CO23</f>
        <v/>
      </c>
      <c r="BQ108" s="697" t="n">
        <v>10</v>
      </c>
      <c r="BR108" s="697" t="n">
        <v>10</v>
      </c>
      <c r="BS108" s="697" t="n">
        <v>5</v>
      </c>
      <c r="BT108" s="697" t="n">
        <v>5</v>
      </c>
      <c r="BU108" s="697" t="n">
        <v>5</v>
      </c>
      <c r="BV108" s="697" t="n">
        <v>5</v>
      </c>
      <c r="BW108" s="697" t="n">
        <v>5</v>
      </c>
      <c r="BX108" s="697" t="n">
        <v>5</v>
      </c>
      <c r="BY108" s="697" t="n">
        <v>0</v>
      </c>
      <c r="BZ108" s="697" t="n">
        <v>0</v>
      </c>
      <c r="CA108" s="699" t="n">
        <v>0</v>
      </c>
      <c r="CB108" s="699" t="n">
        <v>0</v>
      </c>
      <c r="CC108" s="431">
        <f>CA108+IF(NOT(ISBLANK(OFFSET(CC108,0,6))),N(OFFSET(CC108,0,6)),N(OFFSET(CC108,0,7)))-CB108</f>
        <v/>
      </c>
      <c r="FO108" s="309" t="n"/>
      <c r="FR108" s="309" t="n"/>
    </row>
    <row r="109">
      <c r="A109" s="347" t="inlineStr">
        <is>
          <t>CAIXA M</t>
        </is>
      </c>
      <c r="B109" s="32" t="n">
        <v>100</v>
      </c>
      <c r="C109" s="773" t="n"/>
      <c r="D109" s="32" t="n"/>
      <c r="BM109" s="697" t="n">
        <v>0</v>
      </c>
      <c r="BN109" s="697" t="n">
        <v>0</v>
      </c>
      <c r="BO109" s="697" t="n">
        <v>0</v>
      </c>
      <c r="BP109" s="697">
        <f>CO27</f>
        <v/>
      </c>
      <c r="BQ109" s="697" t="n">
        <v>100</v>
      </c>
      <c r="BR109" s="697" t="n">
        <v>100</v>
      </c>
      <c r="BS109" s="697" t="n">
        <v>49</v>
      </c>
      <c r="BT109" s="697" t="n">
        <v>49</v>
      </c>
      <c r="BU109" s="697" t="n">
        <v>49</v>
      </c>
      <c r="BV109" s="697" t="n">
        <v>49</v>
      </c>
      <c r="BW109" s="697" t="n">
        <v>49</v>
      </c>
      <c r="BX109" s="697" t="n">
        <v>49</v>
      </c>
      <c r="BY109" s="697" t="n">
        <v>49</v>
      </c>
      <c r="BZ109" s="697" t="n">
        <v>49</v>
      </c>
      <c r="CA109" s="699" t="n">
        <v>49</v>
      </c>
      <c r="CB109" s="699" t="n">
        <v>49</v>
      </c>
      <c r="CC109" s="431">
        <f>CA109+IF(NOT(ISBLANK(OFFSET(CC109,0,6))),N(OFFSET(CC109,0,6)),N(OFFSET(CC109,0,7)))-CB109</f>
        <v/>
      </c>
      <c r="FO109" s="309" t="n"/>
      <c r="FR109" s="309" t="n"/>
    </row>
    <row r="110">
      <c r="A110" s="347" t="inlineStr">
        <is>
          <t>CARTUCHO P</t>
        </is>
      </c>
      <c r="B110" s="32" t="n">
        <v>200</v>
      </c>
      <c r="C110" s="773" t="n"/>
      <c r="D110" s="32" t="n"/>
      <c r="BM110" s="697" t="n">
        <v>0</v>
      </c>
      <c r="BN110" s="697" t="n">
        <v>0</v>
      </c>
      <c r="BO110" s="697" t="n">
        <v>0</v>
      </c>
      <c r="BP110" s="697">
        <f>CO26</f>
        <v/>
      </c>
      <c r="BQ110" s="697" t="n">
        <v>200</v>
      </c>
      <c r="BR110" s="697" t="n">
        <v>194</v>
      </c>
      <c r="BS110" s="697" t="n">
        <v>144</v>
      </c>
      <c r="BT110" s="697" t="n">
        <v>144</v>
      </c>
      <c r="BU110" s="697" t="n">
        <v>144</v>
      </c>
      <c r="BV110" s="697" t="n">
        <v>144</v>
      </c>
      <c r="BW110" s="697" t="n">
        <v>144</v>
      </c>
      <c r="BX110" s="697" t="n">
        <v>144</v>
      </c>
      <c r="BY110" s="697" t="n">
        <v>142</v>
      </c>
      <c r="BZ110" s="697" t="n">
        <v>142</v>
      </c>
      <c r="CA110" s="699" t="n">
        <v>142</v>
      </c>
      <c r="CB110" s="699" t="n">
        <v>142</v>
      </c>
      <c r="CC110" s="431">
        <f>CA110+IF(NOT(ISBLANK(OFFSET(CC110,0,6))),N(OFFSET(CC110,0,6)),N(OFFSET(CC110,0,7)))-CB110</f>
        <v/>
      </c>
      <c r="FO110" s="309" t="n"/>
      <c r="FR110" s="309" t="n"/>
    </row>
    <row r="111">
      <c r="FO111" s="309" t="n"/>
      <c r="FR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6" t="n">
        <v>46069</v>
      </c>
      <c r="BN112" s="746" t="n">
        <v>46076</v>
      </c>
      <c r="BO112" s="746" t="n">
        <v>46083</v>
      </c>
      <c r="BP112" s="746" t="n">
        <v>46090</v>
      </c>
      <c r="BQ112" s="746" t="n">
        <v>46097</v>
      </c>
      <c r="BR112" s="746" t="n">
        <v>46104</v>
      </c>
      <c r="BS112" s="746" t="n">
        <v>46111</v>
      </c>
      <c r="BT112" s="746" t="n">
        <v>46118</v>
      </c>
      <c r="BU112" s="746" t="n">
        <v>46125</v>
      </c>
      <c r="BV112" s="746" t="n">
        <v>46132</v>
      </c>
      <c r="BW112" s="746" t="n">
        <v>46139</v>
      </c>
      <c r="BX112" s="746" t="n">
        <v>46146</v>
      </c>
      <c r="BY112" s="746" t="n">
        <v>46154</v>
      </c>
      <c r="BZ112" s="746" t="n">
        <v>46160</v>
      </c>
      <c r="CA112" s="747" t="n">
        <v>46161.48024612269</v>
      </c>
      <c r="CB112" s="747" t="n">
        <v>46161.48090400724</v>
      </c>
      <c r="CC112" s="758" t="inlineStr">
        <is>
          <t>USOU</t>
        </is>
      </c>
      <c r="FO112" s="309" t="n"/>
      <c r="FR112" s="309" t="n"/>
    </row>
    <row r="113">
      <c r="A113" s="37" t="inlineStr">
        <is>
          <t>SACOLA P</t>
        </is>
      </c>
      <c r="B113" s="699" t="n">
        <v>200</v>
      </c>
      <c r="C113" s="762" t="n"/>
      <c r="D113" s="382" t="n"/>
      <c r="BM113" s="697" t="n">
        <v>0</v>
      </c>
      <c r="BN113" s="697" t="n">
        <v>0</v>
      </c>
      <c r="BO113" s="697" t="n">
        <v>0</v>
      </c>
      <c r="BP113" s="697" t="n">
        <v>0</v>
      </c>
      <c r="BQ113" s="697" t="n">
        <v>0</v>
      </c>
      <c r="BR113" s="697" t="n">
        <v>0</v>
      </c>
      <c r="BS113" s="697">
        <f>CL9</f>
        <v/>
      </c>
      <c r="BT113" s="697" t="n">
        <v>2600</v>
      </c>
      <c r="BU113" s="697" t="n">
        <v>1800</v>
      </c>
      <c r="BV113" s="697" t="n">
        <v>1400</v>
      </c>
      <c r="BW113" s="697" t="n">
        <v>800</v>
      </c>
      <c r="BX113" s="697" t="n">
        <v>0</v>
      </c>
      <c r="BY113" s="697" t="n">
        <v>0</v>
      </c>
      <c r="BZ113" s="697" t="n"/>
      <c r="CA113" s="699" t="n"/>
      <c r="CB113" s="699" t="n"/>
      <c r="CC113" s="431">
        <f>CA113+IF(NOT(ISBLANK(OFFSET(CC113,0,6))),N(OFFSET(CC113,0,6)),N(OFFSET(CC113,0,7)))-CB113</f>
        <v/>
      </c>
      <c r="FO113" s="309" t="n"/>
      <c r="FR113" s="309" t="n"/>
    </row>
    <row r="114">
      <c r="A114" s="37" t="inlineStr">
        <is>
          <t>SACOLA M</t>
        </is>
      </c>
      <c r="B114" s="699" t="n">
        <v>200</v>
      </c>
      <c r="C114" s="762" t="n"/>
      <c r="D114" s="382" t="n"/>
      <c r="BM114" s="697" t="n">
        <v>0</v>
      </c>
      <c r="BN114" s="697" t="n">
        <v>0</v>
      </c>
      <c r="BO114" s="697" t="n">
        <v>0</v>
      </c>
      <c r="BP114" s="697" t="n">
        <v>0</v>
      </c>
      <c r="BQ114" s="697" t="n">
        <v>0</v>
      </c>
      <c r="BR114" s="697" t="n">
        <v>0</v>
      </c>
      <c r="BS114" s="697">
        <f>CL10</f>
        <v/>
      </c>
      <c r="BT114" s="697" t="n">
        <v>2400</v>
      </c>
      <c r="BU114" s="697" t="n">
        <v>2200</v>
      </c>
      <c r="BV114" s="697" t="n">
        <v>2000</v>
      </c>
      <c r="BW114" s="697" t="n">
        <v>2000</v>
      </c>
      <c r="BX114" s="697" t="n">
        <v>1600</v>
      </c>
      <c r="BY114" s="697" t="n">
        <v>0</v>
      </c>
      <c r="BZ114" s="697" t="n"/>
      <c r="CA114" s="699" t="n"/>
      <c r="CB114" s="699" t="n"/>
      <c r="CC114" s="431">
        <f>CA114+IF(NOT(ISBLANK(OFFSET(CC114,0,6))),N(OFFSET(CC114,0,6)),N(OFFSET(CC114,0,7)))-CB114</f>
        <v/>
      </c>
      <c r="FO114" s="309" t="n"/>
      <c r="FR114" s="309" t="n"/>
    </row>
    <row r="115">
      <c r="A115" s="37" t="inlineStr">
        <is>
          <t>SACOLA G</t>
        </is>
      </c>
      <c r="B115" s="699" t="n">
        <v>100</v>
      </c>
      <c r="C115" s="762" t="n"/>
      <c r="D115" s="382" t="n"/>
      <c r="BM115" s="697" t="n">
        <v>0</v>
      </c>
      <c r="BN115" s="697" t="n">
        <v>0</v>
      </c>
      <c r="BO115" s="697" t="n">
        <v>0</v>
      </c>
      <c r="BP115" s="697" t="n">
        <v>0</v>
      </c>
      <c r="BQ115" s="697" t="n">
        <v>0</v>
      </c>
      <c r="BR115" s="697" t="n">
        <v>0</v>
      </c>
      <c r="BS115" s="697">
        <f>CL11</f>
        <v/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697" t="n">
        <v>0</v>
      </c>
      <c r="BZ115" s="697" t="n"/>
      <c r="CA115" s="699" t="n"/>
      <c r="CB115" s="699" t="n"/>
      <c r="CC115" s="431">
        <f>CA115+IF(NOT(ISBLANK(OFFSET(CC115,0,6))),N(OFFSET(CC115,0,6)),N(OFFSET(CC115,0,7)))-CB115</f>
        <v/>
      </c>
      <c r="FO115" s="309" t="n"/>
      <c r="FR115" s="309" t="n"/>
    </row>
    <row r="116">
      <c r="A116" s="37" t="inlineStr">
        <is>
          <t>SACOLA P VENDA</t>
        </is>
      </c>
      <c r="B116" s="699" t="n">
        <v>200</v>
      </c>
      <c r="C116" s="762" t="n"/>
      <c r="D116" s="382" t="n"/>
      <c r="BM116" s="697" t="n">
        <v>0</v>
      </c>
      <c r="BN116" s="697" t="n">
        <v>0</v>
      </c>
      <c r="BO116" s="697" t="n">
        <v>0</v>
      </c>
      <c r="BP116" s="697" t="n">
        <v>0</v>
      </c>
      <c r="BQ116" s="697" t="n">
        <v>0</v>
      </c>
      <c r="BR116" s="697" t="n">
        <v>0</v>
      </c>
      <c r="BS116" s="697">
        <f>CL17</f>
        <v/>
      </c>
      <c r="BT116" s="697" t="n"/>
      <c r="BU116" s="697" t="n"/>
      <c r="BV116" s="697" t="n"/>
      <c r="BW116" s="697" t="n"/>
      <c r="BX116" s="697" t="n"/>
      <c r="BY116" s="697" t="n">
        <v>83</v>
      </c>
      <c r="BZ116" s="697" t="n">
        <v>82</v>
      </c>
      <c r="CA116" s="699" t="n">
        <v>82</v>
      </c>
      <c r="CB116" s="699" t="n">
        <v>82</v>
      </c>
      <c r="CC116" s="431">
        <f>CA116+IF(NOT(ISBLANK(OFFSET(CC116,0,6))),N(OFFSET(CC116,0,6)),N(OFFSET(CC116,0,7)))-CB116</f>
        <v/>
      </c>
      <c r="FO116" s="309" t="n"/>
      <c r="FR116" s="309" t="n"/>
    </row>
    <row r="117">
      <c r="A117" s="37" t="inlineStr">
        <is>
          <t>SACOLA M VENDA</t>
        </is>
      </c>
      <c r="B117" s="699" t="n">
        <v>200</v>
      </c>
      <c r="C117" s="762" t="n"/>
      <c r="D117" s="382" t="n"/>
      <c r="BM117" s="697" t="n">
        <v>0</v>
      </c>
      <c r="BN117" s="697" t="n">
        <v>0</v>
      </c>
      <c r="BO117" s="697" t="n">
        <v>0</v>
      </c>
      <c r="BP117" s="697" t="n">
        <v>0</v>
      </c>
      <c r="BQ117" s="697" t="n">
        <v>0</v>
      </c>
      <c r="BR117" s="697" t="n">
        <v>0</v>
      </c>
      <c r="BS117" s="697">
        <f>CL18</f>
        <v/>
      </c>
      <c r="BT117" s="697" t="n"/>
      <c r="BU117" s="697" t="n"/>
      <c r="BV117" s="697" t="n"/>
      <c r="BW117" s="697" t="n"/>
      <c r="BX117" s="697" t="n"/>
      <c r="BY117" s="697" t="n">
        <v>12</v>
      </c>
      <c r="BZ117" s="697" t="n">
        <v>10</v>
      </c>
      <c r="CA117" s="699" t="n">
        <v>10</v>
      </c>
      <c r="CB117" s="699" t="n">
        <v>10</v>
      </c>
      <c r="CC117" s="431">
        <f>CA117+IF(NOT(ISBLANK(OFFSET(CC117,0,6))),N(OFFSET(CC117,0,6)),N(OFFSET(CC117,0,7)))-CB117</f>
        <v/>
      </c>
      <c r="FO117" s="309" t="n"/>
      <c r="FR117" s="309" t="n"/>
    </row>
    <row r="118">
      <c r="A118" s="347" t="inlineStr">
        <is>
          <t>KIT PAPEL DE SEDA 10 C/ 20</t>
        </is>
      </c>
      <c r="B118" s="32" t="n">
        <v>200</v>
      </c>
      <c r="C118" s="773" t="n"/>
      <c r="D118" s="32" t="n"/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0</v>
      </c>
      <c r="BS118" s="697">
        <f>CL21</f>
        <v/>
      </c>
      <c r="BT118" s="697" t="n"/>
      <c r="BU118" s="697" t="n"/>
      <c r="BV118" s="697" t="n"/>
      <c r="BW118" s="697" t="n"/>
      <c r="BX118" s="697" t="n"/>
      <c r="BY118" s="697" t="n">
        <v>0</v>
      </c>
      <c r="BZ118" s="697" t="n">
        <v>0</v>
      </c>
      <c r="CA118" s="699" t="n">
        <v>0</v>
      </c>
      <c r="CB118" s="699" t="n">
        <v>0</v>
      </c>
      <c r="CC118" s="431">
        <f>CA118+IF(NOT(ISBLANK(OFFSET(CC118,0,6))),N(OFFSET(CC118,0,6)),N(OFFSET(CC118,0,7)))-CB118</f>
        <v/>
      </c>
      <c r="FO118" s="309" t="n"/>
      <c r="FR118" s="309" t="n"/>
    </row>
    <row r="119">
      <c r="A119" s="347" t="inlineStr">
        <is>
          <t>CAIXA P</t>
        </is>
      </c>
      <c r="B119" s="32" t="n">
        <v>150</v>
      </c>
      <c r="C119" s="773" t="n"/>
      <c r="D119" s="32" t="n"/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0</v>
      </c>
      <c r="BS119" s="697">
        <f>CL26</f>
        <v/>
      </c>
      <c r="BT119" s="697" t="n"/>
      <c r="BU119" s="697" t="n"/>
      <c r="BV119" s="697" t="n"/>
      <c r="BW119" s="697" t="n"/>
      <c r="BX119" s="697" t="n"/>
      <c r="BY119" s="697" t="n">
        <v>31</v>
      </c>
      <c r="BZ119" s="697" t="n">
        <v>31</v>
      </c>
      <c r="CA119" s="699" t="n">
        <v>31</v>
      </c>
      <c r="CB119" s="699" t="n">
        <v>31</v>
      </c>
      <c r="CC119" s="431">
        <f>CA119+IF(NOT(ISBLANK(OFFSET(CC119,0,6))),N(OFFSET(CC119,0,6)),N(OFFSET(CC119,0,7)))-CB119</f>
        <v/>
      </c>
      <c r="FO119" s="309" t="n"/>
      <c r="FR119" s="309" t="n"/>
    </row>
    <row r="120">
      <c r="A120" s="347" t="inlineStr">
        <is>
          <t>CAIXA M</t>
        </is>
      </c>
      <c r="B120" s="32" t="n">
        <v>100</v>
      </c>
      <c r="C120" s="773" t="n"/>
      <c r="D120" s="32" t="n"/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0</v>
      </c>
      <c r="BS120" s="697">
        <f>CL27</f>
        <v/>
      </c>
      <c r="BT120" s="697" t="n"/>
      <c r="BU120" s="697" t="n"/>
      <c r="BV120" s="697" t="n"/>
      <c r="BW120" s="697" t="n"/>
      <c r="BX120" s="697" t="n"/>
      <c r="BY120" s="697" t="n">
        <v>0</v>
      </c>
      <c r="BZ120" s="697" t="n">
        <v>0</v>
      </c>
      <c r="CA120" s="699" t="n">
        <v>0</v>
      </c>
      <c r="CB120" s="699" t="n">
        <v>0</v>
      </c>
      <c r="CC120" s="431">
        <f>CA120+IF(NOT(ISBLANK(OFFSET(CC120,0,6))),N(OFFSET(CC120,0,6)),N(OFFSET(CC120,0,7)))-CB120</f>
        <v/>
      </c>
      <c r="FO120" s="309" t="n"/>
      <c r="FR120" s="309" t="n"/>
    </row>
    <row r="121">
      <c r="A121" s="347" t="inlineStr">
        <is>
          <t>CARTUCHO M</t>
        </is>
      </c>
      <c r="B121" s="32" t="n">
        <v>150</v>
      </c>
      <c r="C121" s="773" t="n"/>
      <c r="D121" s="32" t="n"/>
      <c r="BM121" s="697" t="n">
        <v>0</v>
      </c>
      <c r="BN121" s="697" t="n">
        <v>0</v>
      </c>
      <c r="BO121" s="697" t="n">
        <v>0</v>
      </c>
      <c r="BP121" s="697" t="n">
        <v>0</v>
      </c>
      <c r="BQ121" s="697" t="n">
        <v>0</v>
      </c>
      <c r="BR121" s="697" t="n">
        <v>0</v>
      </c>
      <c r="BS121" s="697" t="n">
        <v>0</v>
      </c>
      <c r="BT121" s="697" t="n"/>
      <c r="BU121" s="697" t="n"/>
      <c r="BV121" s="697" t="n"/>
      <c r="BW121" s="697" t="n"/>
      <c r="BX121" s="697" t="n"/>
      <c r="BY121" s="697" t="n">
        <v>0</v>
      </c>
      <c r="BZ121" s="697" t="n">
        <v>0</v>
      </c>
      <c r="CA121" s="699" t="n">
        <v>0</v>
      </c>
      <c r="CB121" s="699" t="n">
        <v>0</v>
      </c>
      <c r="CC121" s="431">
        <f>CA121+IF(NOT(ISBLANK(OFFSET(CC121,0,6))),N(OFFSET(CC121,0,6)),N(OFFSET(CC121,0,7)))-CB121</f>
        <v/>
      </c>
      <c r="FO121" s="309" t="n"/>
      <c r="FR121" s="309" t="n"/>
    </row>
    <row r="122">
      <c r="FO122" s="309" t="n"/>
      <c r="FR122" s="309" t="n"/>
    </row>
    <row r="123" ht="21" customHeight="1">
      <c r="A123" s="838" t="inlineStr">
        <is>
          <t>SOBRAS DATAS COMEMORATIVAS</t>
        </is>
      </c>
      <c r="B123" s="731" t="n"/>
      <c r="C123" s="775" t="n"/>
      <c r="FO123" s="308" t="n"/>
      <c r="FR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T124" s="47" t="n"/>
      <c r="DX124" s="47" t="n"/>
      <c r="FO124" s="308" t="n"/>
      <c r="FR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E125" s="5" t="n"/>
      <c r="CF125" s="5" t="n"/>
      <c r="CH125" s="5" t="n"/>
      <c r="CI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5" t="n"/>
      <c r="DA125" s="5" t="n"/>
      <c r="DB125" s="5" t="n"/>
      <c r="DC125" s="5" t="n"/>
      <c r="DD125" s="306" t="n"/>
      <c r="DE125" s="5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5" t="n"/>
      <c r="DQ125" s="5" t="n"/>
      <c r="DR125" s="5" t="n"/>
      <c r="DS125" s="5" t="n"/>
      <c r="DT125" s="47" t="n"/>
      <c r="DU125" s="5" t="n"/>
      <c r="DV125" s="5" t="n"/>
      <c r="DW125" s="5" t="n"/>
      <c r="DX125" s="47" t="n"/>
      <c r="DY125" s="5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K125" s="5" t="n"/>
      <c r="FL125" s="5" t="n"/>
      <c r="FM125" s="5" t="n"/>
      <c r="FN125" s="5" t="n"/>
      <c r="FP125" s="5" t="n"/>
      <c r="FQ125" s="5" t="n"/>
      <c r="FT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GD125" s="5" t="n"/>
      <c r="GE125" s="5" t="n"/>
      <c r="GF125" s="5" t="n"/>
      <c r="GG125" s="5" t="n"/>
      <c r="JT125" s="59" t="n"/>
      <c r="JU125" s="59" t="n"/>
      <c r="JV125" s="59" t="n"/>
      <c r="JW125" s="59" t="n"/>
      <c r="JX125" s="59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9" t="n"/>
      <c r="KL125" s="59" t="n"/>
      <c r="KM125" s="59" t="n"/>
      <c r="KN125" s="59" t="n"/>
      <c r="KO125" s="59" t="n"/>
      <c r="KP125" s="59" t="n"/>
      <c r="KQ125" s="59" t="n"/>
      <c r="KR125" s="59" t="n"/>
      <c r="KS125" s="59" t="n"/>
      <c r="KT125" s="59" t="n"/>
      <c r="KU125" s="59" t="n"/>
      <c r="KV125" s="59" t="n"/>
      <c r="KW125" s="59" t="n"/>
      <c r="KX125" s="59" t="n"/>
      <c r="KY125" s="59" t="n"/>
      <c r="KZ125" s="59" t="n"/>
      <c r="LA125" s="573" t="n"/>
      <c r="LB125" s="29" t="n"/>
      <c r="LC125" s="29" t="n"/>
      <c r="LD125" s="29" t="n"/>
      <c r="LE125" s="29" t="n"/>
      <c r="LF125" s="29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K125" s="29" t="n"/>
      <c r="NL125" s="29" t="n"/>
      <c r="NM125" s="29" t="n"/>
      <c r="NN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B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  <c r="RV125" s="29" t="n"/>
      <c r="RW125" s="29" t="n"/>
      <c r="RX125" s="29" t="n"/>
      <c r="RY125" s="29" t="n"/>
      <c r="RZ125" s="29" t="n"/>
      <c r="SA125" s="29" t="n"/>
      <c r="SB125" s="29" t="n"/>
      <c r="SC125" s="29" t="n"/>
      <c r="SD125" s="29" t="n"/>
      <c r="SE125" s="29" t="n"/>
      <c r="SF125" s="29" t="n"/>
      <c r="SG125" s="29" t="n"/>
      <c r="SH125" s="29" t="n"/>
      <c r="SI125" s="29" t="n"/>
      <c r="SJ125" s="29" t="n"/>
      <c r="SK125" s="29" t="n"/>
    </row>
    <row r="126">
      <c r="A126" s="392" t="n"/>
      <c r="B126" s="393" t="n"/>
      <c r="C126" s="393" t="n"/>
      <c r="FS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HM25:HM26"/>
    <mergeCell ref="GX7:GX9"/>
    <mergeCell ref="HT15:HT16"/>
    <mergeCell ref="GQ5:GQ6"/>
    <mergeCell ref="A1:E1"/>
    <mergeCell ref="GS5:GS6"/>
    <mergeCell ref="HX7:HX8"/>
    <mergeCell ref="GW5:GX6"/>
    <mergeCell ref="HZ7:HZ8"/>
    <mergeCell ref="HI5:HJ6"/>
    <mergeCell ref="GZ7:GZ9"/>
    <mergeCell ref="GK5:GK6"/>
    <mergeCell ref="GW31:HF31"/>
    <mergeCell ref="HV5:IA6"/>
    <mergeCell ref="GX25:GX26"/>
    <mergeCell ref="HE15:HE16"/>
    <mergeCell ref="GZ25:GZ26"/>
    <mergeCell ref="HG15:HG16"/>
    <mergeCell ref="HI15:HI16"/>
    <mergeCell ref="HJ25:HJ26"/>
    <mergeCell ref="HL25:HL26"/>
    <mergeCell ref="HP7:HP9"/>
    <mergeCell ref="HI7:HI9"/>
    <mergeCell ref="GY7:GY9"/>
    <mergeCell ref="HP25:HP26"/>
    <mergeCell ref="HA7:HA9"/>
    <mergeCell ref="HO15:HO16"/>
    <mergeCell ref="HW7:HW8"/>
    <mergeCell ref="HQ15:HQ16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GU5:GU6"/>
    <mergeCell ref="HL7:HL9"/>
    <mergeCell ref="GM5:GM6"/>
    <mergeCell ref="HN7:HN9"/>
    <mergeCell ref="HD7:HD9"/>
    <mergeCell ref="GO5:GO6"/>
    <mergeCell ref="HV7:HV8"/>
    <mergeCell ref="A123:C123"/>
    <mergeCell ref="HR15:HR16"/>
    <mergeCell ref="GW15:GW16"/>
    <mergeCell ref="C5:C6"/>
    <mergeCell ref="HI25:HI26"/>
    <mergeCell ref="HA15:HA16"/>
    <mergeCell ref="HC15:HC16"/>
    <mergeCell ref="HT7:HT9"/>
    <mergeCell ref="GW7:GW9"/>
    <mergeCell ref="HQ7:HQ9"/>
    <mergeCell ref="GR5:GR6"/>
    <mergeCell ref="HK7:HK9"/>
    <mergeCell ref="HY7:HY8"/>
    <mergeCell ref="HQ25:HQ26"/>
    <mergeCell ref="HB7:HB9"/>
    <mergeCell ref="HB15:HB16"/>
    <mergeCell ref="IB7:IB8"/>
    <mergeCell ref="GW25:GW26"/>
    <mergeCell ref="HN15:HN16"/>
    <mergeCell ref="GY25:GY26"/>
    <mergeCell ref="HR7:HR9"/>
    <mergeCell ref="HP15:HP16"/>
    <mergeCell ref="GG5:GG6"/>
    <mergeCell ref="HJ7:HJ9"/>
    <mergeCell ref="HN25:HN26"/>
    <mergeCell ref="HR25:HR26"/>
    <mergeCell ref="HC7:HC9"/>
    <mergeCell ref="HT25:HT26"/>
    <mergeCell ref="HE7:HE9"/>
    <mergeCell ref="HG7:HG9"/>
    <mergeCell ref="A5:A6"/>
    <mergeCell ref="GY15:GY16"/>
    <mergeCell ref="A101:BZ101"/>
    <mergeCell ref="HB25:HB26"/>
    <mergeCell ref="HD25:HD26"/>
    <mergeCell ref="HK15:HK16"/>
    <mergeCell ref="HM15:HM16"/>
    <mergeCell ref="GH5:GH6"/>
    <mergeCell ref="GJ5:GJ6"/>
    <mergeCell ref="B5:B6"/>
    <mergeCell ref="B65:C65"/>
    <mergeCell ref="D5:D6"/>
    <mergeCell ref="B3:D3"/>
    <mergeCell ref="HD15:HD16"/>
    <mergeCell ref="HE25:HE26"/>
    <mergeCell ref="HM7:HM9"/>
    <mergeCell ref="HG25:HG26"/>
    <mergeCell ref="HO7:HO9"/>
    <mergeCell ref="B2:D2"/>
  </mergeCells>
  <conditionalFormatting sqref="CC8:CC11 CC16:CC19 CC21:CC24 CC26:CC28 CC32:CC33 CC47:CC49 CC55:CC57 CC67">
    <cfRule type="cellIs" priority="8" operator="lessThan" dxfId="48">
      <formula>0</formula>
    </cfRule>
  </conditionalFormatting>
  <conditionalFormatting sqref="CD8:CD10 CD16:CD19 CD21:CD24 CD26:CD28 CD32:CD33 CD43 CD47:CD49 CD55 CD57">
    <cfRule type="cellIs" priority="7" operator="lessThan" dxfId="48">
      <formula>0</formula>
    </cfRule>
  </conditionalFormatting>
  <conditionalFormatting sqref="CF8:CF14 CF16:CF28 CF31:CF33">
    <cfRule type="cellIs" priority="4" operator="lessThan" dxfId="48">
      <formula>0</formula>
    </cfRule>
  </conditionalFormatting>
  <conditionalFormatting sqref="CF36:CF39 CF47:CF53 CF55:CF63">
    <cfRule type="cellIs" priority="3" operator="lessThan" dxfId="48">
      <formula>0</formula>
    </cfRule>
  </conditionalFormatting>
  <conditionalFormatting sqref="CF43">
    <cfRule type="cellIs" priority="5" operator="lessThan" dxfId="48">
      <formula>0</formula>
    </cfRule>
  </conditionalFormatting>
  <conditionalFormatting sqref="CF66:CF68">
    <cfRule type="cellIs" priority="6" operator="lessThan" dxfId="48">
      <formula>0</formula>
    </cfRule>
  </conditionalFormatting>
  <conditionalFormatting sqref="CD11">
    <cfRule type="cellIs" priority="2" operator="lessThan" dxfId="48">
      <formula>0</formula>
    </cfRule>
  </conditionalFormatting>
  <conditionalFormatting sqref="CD56">
    <cfRule type="cellIs" priority="1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Planilha20">
    <tabColor theme="8"/>
    <outlinePr summaryBelow="1" summaryRight="1"/>
    <pageSetUpPr fitToPage="1"/>
  </sheetPr>
  <dimension ref="A1:RU127"/>
  <sheetViews>
    <sheetView showGridLines="0" zoomScale="80" zoomScaleNormal="80" zoomScaleSheetLayoutView="50" workbookViewId="0">
      <selection activeCell="BY1" sqref="BY1:BY1048576"/>
    </sheetView>
  </sheetViews>
  <sheetFormatPr baseColWidth="8" defaultColWidth="9.140625" defaultRowHeight="18.75"/>
  <cols>
    <col width="36.5703125" customWidth="1" style="42" min="1" max="1"/>
    <col width="10.28515625" customWidth="1" style="5" min="2" max="2"/>
    <col width="15.85546875" customWidth="1" style="5" min="3" max="3"/>
    <col width="17.5703125" customWidth="1" style="5" min="4" max="4"/>
    <col width="1.140625" customWidth="1" style="5" min="5" max="5"/>
    <col hidden="1" width="9.5703125" customWidth="1" style="5" min="6" max="67"/>
    <col width="9.5703125" customWidth="1" style="5" min="68" max="76"/>
    <col width="10.5703125" customWidth="1" style="5" min="77" max="77"/>
    <col width="1.5703125" customWidth="1" style="5" min="78" max="78"/>
    <col width="17.28515625" customWidth="1" style="29" min="79" max="79"/>
    <col width="14.28515625" bestFit="1" customWidth="1" style="29" min="80" max="80"/>
    <col width="1.42578125" customWidth="1" style="5" min="81" max="81"/>
    <col width="15.7109375" customWidth="1" style="29" min="82" max="82"/>
    <col width="1.42578125" customWidth="1" style="5" min="83" max="83"/>
    <col width="9.28515625" customWidth="1" style="29" min="84" max="93"/>
    <col hidden="1" width="9.28515625" customWidth="1" style="29" min="94" max="103"/>
    <col hidden="1" width="13.85546875" customWidth="1" style="305" min="104" max="104"/>
    <col hidden="1" width="9.28515625" customWidth="1" style="29" min="105" max="117"/>
    <col hidden="1" width="11.85546875" customWidth="1" style="29" min="118" max="118"/>
    <col hidden="1" width="9.28515625" customWidth="1" style="29" min="119" max="119"/>
    <col hidden="1" width="11" customWidth="1" style="29" min="120" max="120"/>
    <col hidden="1" width="9.28515625" customWidth="1" style="29" min="121" max="121"/>
    <col hidden="1" width="11" customWidth="1" style="29" min="122" max="122"/>
    <col hidden="1" width="9.28515625" customWidth="1" style="29" min="123" max="123"/>
    <col hidden="1" width="9.140625" customWidth="1" style="29" min="124" max="124"/>
    <col hidden="1" width="9.28515625" customWidth="1" style="29" min="125" max="126"/>
    <col hidden="1" width="13.7109375" customWidth="1" style="29" min="127" max="127"/>
    <col hidden="1" width="9.28515625" customWidth="1" style="29" min="128" max="128"/>
    <col hidden="1" width="11" customWidth="1" style="29" min="129" max="129"/>
    <col hidden="1" width="9.28515625" customWidth="1" style="29" min="130" max="132"/>
    <col hidden="1" width="11" customWidth="1" style="29" min="133" max="134"/>
    <col hidden="1" width="9.28515625" customWidth="1" style="29" min="135" max="135"/>
    <col hidden="1" width="14" customWidth="1" style="29" min="136" max="136"/>
    <col hidden="1" width="9.28515625" customWidth="1" style="29" min="137" max="139"/>
    <col hidden="1" width="12.7109375" customWidth="1" style="29" min="140" max="140"/>
    <col hidden="1" width="9.28515625" customWidth="1" style="29" min="141" max="145"/>
    <col hidden="1" width="15.28515625" customWidth="1" style="29" min="146" max="147"/>
    <col hidden="1" width="73.85546875" customWidth="1" style="29" min="148" max="148"/>
    <col hidden="1" width="15.28515625" customWidth="1" style="29" min="149" max="149"/>
    <col hidden="1" width="13.140625" customWidth="1" style="29" min="150" max="150"/>
    <col hidden="1" width="9.28515625" customWidth="1" style="29" min="151" max="151"/>
    <col hidden="1" width="13.140625" customWidth="1" style="29" min="152" max="152"/>
    <col hidden="1" width="9.28515625" customWidth="1" style="29" min="153" max="154"/>
    <col hidden="1" width="12.5703125" customWidth="1" style="29" min="155" max="155"/>
    <col hidden="1" width="9.28515625" customWidth="1" style="29" min="156" max="160"/>
    <col hidden="1" width="12.5703125" customWidth="1" style="29" min="161" max="161"/>
    <col hidden="1" width="28.42578125" customWidth="1" style="29" min="162" max="162"/>
    <col hidden="1" width="9.28515625" customWidth="1" style="29" min="163" max="164"/>
    <col hidden="1" width="12.140625" customWidth="1" style="29" min="165" max="165"/>
    <col hidden="1" width="9.28515625" customWidth="1" style="29" min="166" max="166"/>
    <col hidden="1" width="12" customWidth="1" style="305" min="167" max="167"/>
    <col hidden="1" width="9.28515625" customWidth="1" style="29" min="168" max="169"/>
    <col hidden="1" width="12" customWidth="1" style="305" min="170" max="170"/>
    <col hidden="1" width="12.42578125" customWidth="1" style="29" min="171" max="171"/>
    <col hidden="1" width="9.28515625" customWidth="1" style="29" min="172" max="173"/>
    <col hidden="1" width="11.85546875" customWidth="1" style="29" min="174" max="174"/>
    <col hidden="1" width="9.28515625" customWidth="1" style="29" min="175" max="176"/>
    <col hidden="1" width="12.42578125" customWidth="1" style="29" min="177" max="177"/>
    <col hidden="1" width="9.28515625" customWidth="1" style="29" min="178" max="178"/>
    <col hidden="1" width="11" customWidth="1" style="29" min="179" max="179"/>
    <col hidden="1" width="9.28515625" customWidth="1" style="29" min="180" max="185"/>
    <col width="4" customWidth="1" min="186" max="186"/>
    <col hidden="1" width="32.85546875" customWidth="1" style="5" min="187" max="187"/>
    <col hidden="1" width="9.140625" customWidth="1" style="5" min="188" max="188"/>
    <col hidden="1" width="8.7109375" customWidth="1" style="5" min="189" max="199"/>
    <col hidden="1" width="10.5703125" customWidth="1" style="5" min="200" max="200"/>
    <col width="4.42578125" customWidth="1" style="5" min="201" max="201"/>
    <col hidden="1" width="32.85546875" customWidth="1" style="5" min="202" max="202"/>
    <col hidden="1" width="13" customWidth="1" style="5" min="203" max="203"/>
    <col hidden="1" width="8.7109375" customWidth="1" style="5" min="204" max="210"/>
    <col hidden="1" width="10.5703125" customWidth="1" style="5" min="211" max="211"/>
    <col hidden="1" width="32.85546875" customWidth="1" style="5" min="213" max="213"/>
    <col hidden="1" width="9.140625" customWidth="1" style="5" min="214" max="214"/>
    <col hidden="1" width="8.7109375" customWidth="1" style="5" min="215" max="222"/>
    <col hidden="1" width="10.5703125" customWidth="1" style="5" min="223" max="223"/>
    <col width="4.42578125" customWidth="1" min="224" max="224"/>
    <col hidden="1" width="32.85546875" customWidth="1" style="5" min="225" max="225"/>
    <col hidden="1" width="9.140625" customWidth="1" style="5" min="226" max="226"/>
    <col hidden="1" width="8.7109375" customWidth="1" style="5" min="227" max="229"/>
    <col hidden="1" width="10.5703125" customWidth="1" style="5" min="230" max="230"/>
    <col hidden="1" width="13" customWidth="1" min="232" max="232"/>
    <col width="9.140625" customWidth="1" style="5" min="238" max="1638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5" t="n"/>
      <c r="CB1" s="5" t="n"/>
      <c r="CD1" s="5" t="n"/>
      <c r="CF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306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Q1" s="5" t="n"/>
      <c r="DR1" s="5" t="n"/>
      <c r="DS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L1" s="5" t="n"/>
      <c r="FM1" s="5" t="n"/>
      <c r="FO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</row>
    <row r="2">
      <c r="A2" s="43" t="inlineStr">
        <is>
          <t>LOJA:</t>
        </is>
      </c>
      <c r="B2" s="722" t="inlineStr">
        <is>
          <t>CD BAURU</t>
        </is>
      </c>
      <c r="C2" s="723" t="n"/>
      <c r="D2" s="724" t="n"/>
      <c r="CA2" s="5" t="n"/>
      <c r="CB2" s="5" t="n"/>
      <c r="CD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306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Q2" s="5" t="n"/>
      <c r="DR2" s="5" t="n"/>
      <c r="DS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L2" s="5" t="n"/>
      <c r="FM2" s="5" t="n"/>
      <c r="FO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</row>
    <row r="3">
      <c r="A3" s="43" t="inlineStr">
        <is>
          <t>Responsável:</t>
        </is>
      </c>
      <c r="B3" s="725" t="inlineStr">
        <is>
          <t>DENNER / GEOVANA</t>
        </is>
      </c>
      <c r="C3" s="723" t="n"/>
      <c r="D3" s="724" t="n"/>
      <c r="E3" s="726" t="n"/>
      <c r="BY3" s="726" t="n"/>
      <c r="CA3" s="5" t="n"/>
      <c r="CB3" s="5" t="n"/>
      <c r="CC3" s="726" t="n"/>
      <c r="CF3" s="5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306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Q3" s="5" t="n"/>
      <c r="DR3" s="5" t="n"/>
      <c r="DS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L3" s="5" t="n"/>
      <c r="FM3" s="5" t="n"/>
      <c r="FO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</row>
    <row r="4" ht="8.25" customHeight="1">
      <c r="CA4" s="5" t="n"/>
      <c r="CB4" s="5" t="n"/>
      <c r="CD4" s="5" t="n"/>
      <c r="CF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306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306" t="n"/>
      <c r="FL4" s="5" t="n"/>
      <c r="FM4" s="5" t="n"/>
      <c r="FN4" s="306" t="n"/>
      <c r="FO4" s="5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CA5" s="44" t="inlineStr">
        <is>
          <t>Pendências</t>
        </is>
      </c>
      <c r="CB5" s="44" t="inlineStr">
        <is>
          <t>Pendências</t>
        </is>
      </c>
      <c r="CD5" s="12" t="inlineStr">
        <is>
          <t>Novo Pedido</t>
        </is>
      </c>
      <c r="CF5" s="794" t="n">
        <v>46149</v>
      </c>
      <c r="CG5" s="794" t="n">
        <v>46142</v>
      </c>
      <c r="CH5" s="794" t="n">
        <v>46114</v>
      </c>
      <c r="CI5" s="794" t="n">
        <v>46107</v>
      </c>
      <c r="CJ5" s="795" t="n">
        <v>46065</v>
      </c>
      <c r="CK5" s="794" t="n">
        <v>46099</v>
      </c>
      <c r="CL5" s="794" t="n">
        <v>46092</v>
      </c>
      <c r="CM5" s="796" t="n">
        <v>46045</v>
      </c>
      <c r="CN5" s="794" t="n">
        <v>46077</v>
      </c>
      <c r="CO5" s="794" t="n">
        <v>46048</v>
      </c>
      <c r="CP5" s="794" t="n">
        <v>46043</v>
      </c>
      <c r="CQ5" s="794" t="n">
        <v>46024</v>
      </c>
      <c r="CR5" s="794" t="n">
        <v>46017</v>
      </c>
      <c r="CS5" s="794" t="n">
        <v>46007</v>
      </c>
      <c r="CT5" s="794" t="n">
        <v>46001</v>
      </c>
      <c r="CU5" s="794" t="n">
        <v>46001</v>
      </c>
      <c r="CV5" s="794" t="n">
        <v>45994</v>
      </c>
      <c r="CW5" s="794" t="n">
        <v>45986</v>
      </c>
      <c r="CX5" s="794" t="n">
        <v>45980</v>
      </c>
      <c r="CY5" s="794" t="n">
        <v>45980</v>
      </c>
      <c r="CZ5" s="797" t="inlineStr">
        <is>
          <t>TRANSF.</t>
        </is>
      </c>
      <c r="DA5" s="794" t="n">
        <v>45973</v>
      </c>
      <c r="DB5" s="794" t="n">
        <v>45965</v>
      </c>
      <c r="DC5" s="794" t="n">
        <v>45960</v>
      </c>
      <c r="DD5" s="794" t="n">
        <v>45951</v>
      </c>
      <c r="DE5" s="737" t="n">
        <v>45903</v>
      </c>
      <c r="DF5" s="794" t="n">
        <v>45945</v>
      </c>
      <c r="DG5" s="794" t="n">
        <v>45937</v>
      </c>
      <c r="DH5" s="794" t="n">
        <v>45931</v>
      </c>
      <c r="DI5" s="794" t="n">
        <v>45931</v>
      </c>
      <c r="DJ5" s="794" t="n">
        <v>45915</v>
      </c>
      <c r="DK5" s="794" t="n">
        <v>45923</v>
      </c>
      <c r="DL5" s="794" t="n">
        <v>45903</v>
      </c>
      <c r="DM5" s="794" t="n">
        <v>45915</v>
      </c>
      <c r="DN5" s="797" t="inlineStr">
        <is>
          <t>TRANSF.</t>
        </is>
      </c>
      <c r="DO5" s="794" t="n">
        <v>45909</v>
      </c>
      <c r="DP5" s="738" t="inlineStr">
        <is>
          <t>TRANSF.</t>
        </is>
      </c>
      <c r="DQ5" s="794" t="n">
        <v>45895</v>
      </c>
      <c r="DR5" s="797" t="inlineStr">
        <is>
          <t>TRANSF.</t>
        </is>
      </c>
      <c r="DS5" s="794" t="n">
        <v>45881</v>
      </c>
      <c r="DT5" s="738" t="n">
        <v>45839</v>
      </c>
      <c r="DU5" s="794" t="n">
        <v>45888</v>
      </c>
      <c r="DV5" s="794" t="n">
        <v>45881</v>
      </c>
      <c r="DW5" s="797" t="inlineStr">
        <is>
          <t>TRANSF.</t>
        </is>
      </c>
      <c r="DX5" s="794" t="n">
        <v>45874</v>
      </c>
      <c r="DY5" s="797" t="inlineStr">
        <is>
          <t>TRANSF.</t>
        </is>
      </c>
      <c r="DZ5" s="794" t="n">
        <v>45867</v>
      </c>
      <c r="EA5" s="794" t="n">
        <v>45867</v>
      </c>
      <c r="EB5" s="794" t="n">
        <v>45860</v>
      </c>
      <c r="EC5" s="797" t="inlineStr">
        <is>
          <t>TRANSF.</t>
        </is>
      </c>
      <c r="ED5" s="797" t="inlineStr">
        <is>
          <t>TRANSF.</t>
        </is>
      </c>
      <c r="EE5" s="794" t="n">
        <v>45853</v>
      </c>
      <c r="EF5" s="739" t="inlineStr">
        <is>
          <t xml:space="preserve">TRANSF. </t>
        </is>
      </c>
      <c r="EG5" s="794" t="n">
        <v>45848</v>
      </c>
      <c r="EH5" s="794" t="n">
        <v>45839</v>
      </c>
      <c r="EI5" s="794" t="n">
        <v>45839</v>
      </c>
      <c r="EJ5" s="797" t="inlineStr">
        <is>
          <t>TRANSF.</t>
        </is>
      </c>
      <c r="EK5" s="794" t="n">
        <v>45790</v>
      </c>
      <c r="EL5" s="794" t="n">
        <v>45825</v>
      </c>
      <c r="EM5" s="794" t="n">
        <v>45819</v>
      </c>
      <c r="EN5" s="794" t="n">
        <v>45813</v>
      </c>
      <c r="EO5" s="794" t="n">
        <v>45798</v>
      </c>
      <c r="EP5" s="797" t="inlineStr">
        <is>
          <t>TRANSF.</t>
        </is>
      </c>
      <c r="EQ5" s="797" t="inlineStr">
        <is>
          <t>TRANSF.</t>
        </is>
      </c>
      <c r="ER5" s="797" t="inlineStr">
        <is>
          <t>TRANSF.</t>
        </is>
      </c>
      <c r="ES5" s="797" t="inlineStr">
        <is>
          <t>TRANSF.</t>
        </is>
      </c>
      <c r="ET5" s="742" t="inlineStr">
        <is>
          <t>TRANSF.</t>
        </is>
      </c>
      <c r="EU5" s="794" t="n">
        <v>45784</v>
      </c>
      <c r="EV5" s="797" t="inlineStr">
        <is>
          <t>TRANSF.</t>
        </is>
      </c>
      <c r="EW5" s="794" t="n">
        <v>45784</v>
      </c>
      <c r="EX5" s="794" t="n">
        <v>45764</v>
      </c>
      <c r="EY5" s="797" t="inlineStr">
        <is>
          <t>TRANSF.</t>
        </is>
      </c>
      <c r="EZ5" s="794" t="n">
        <v>45783</v>
      </c>
      <c r="FA5" s="794" t="n">
        <v>45770</v>
      </c>
      <c r="FB5" s="794" t="n">
        <v>45775</v>
      </c>
      <c r="FC5" s="794" t="n">
        <v>45770</v>
      </c>
      <c r="FD5" s="794" t="n">
        <v>45770</v>
      </c>
      <c r="FE5" s="797" t="inlineStr">
        <is>
          <t>TRANSF.</t>
        </is>
      </c>
      <c r="FF5" s="797" t="inlineStr">
        <is>
          <t>TRANSF.</t>
        </is>
      </c>
      <c r="FG5" s="794" t="n">
        <v>45756</v>
      </c>
      <c r="FH5" s="794" t="n">
        <v>45735</v>
      </c>
      <c r="FI5" s="797" t="inlineStr">
        <is>
          <t>TRANSF.</t>
        </is>
      </c>
      <c r="FJ5" s="794" t="n">
        <v>45743</v>
      </c>
      <c r="FK5" s="746" t="inlineStr">
        <is>
          <t>TRANSF.</t>
        </is>
      </c>
      <c r="FL5" s="794" t="n">
        <v>45722</v>
      </c>
      <c r="FM5" s="794" t="n">
        <v>45722</v>
      </c>
      <c r="FN5" s="746" t="n">
        <v>45700</v>
      </c>
      <c r="FO5" s="797" t="inlineStr">
        <is>
          <t>TRANSF.</t>
        </is>
      </c>
      <c r="FP5" s="794" t="n">
        <v>45714</v>
      </c>
      <c r="FQ5" s="794" t="n">
        <v>45706</v>
      </c>
      <c r="FR5" s="794" t="n">
        <v>45684</v>
      </c>
      <c r="FS5" s="794" t="n">
        <v>45699</v>
      </c>
      <c r="FT5" s="794" t="n">
        <v>45693</v>
      </c>
      <c r="FU5" s="797" t="inlineStr">
        <is>
          <t>TRANSF.</t>
        </is>
      </c>
      <c r="FV5" s="794" t="n">
        <v>45685</v>
      </c>
      <c r="FW5" s="797" t="inlineStr">
        <is>
          <t>TRANSF.</t>
        </is>
      </c>
      <c r="FX5" s="794" t="n">
        <v>45674</v>
      </c>
      <c r="FY5" s="794" t="n">
        <v>45664</v>
      </c>
      <c r="FZ5" s="794" t="n">
        <v>45660</v>
      </c>
      <c r="GA5" s="794" t="n">
        <v>45660</v>
      </c>
      <c r="GB5" s="794" t="n">
        <v>45652</v>
      </c>
      <c r="GC5" s="794" t="n">
        <v>45643</v>
      </c>
      <c r="GE5" s="235" t="inlineStr">
        <is>
          <t>MÃES/2025</t>
        </is>
      </c>
      <c r="GF5" s="798" t="inlineStr">
        <is>
          <t>PCT</t>
        </is>
      </c>
      <c r="GG5" s="322" t="n">
        <v>45726</v>
      </c>
      <c r="GH5" s="322" t="n">
        <v>45733</v>
      </c>
      <c r="GI5" s="322" t="n">
        <v>45740</v>
      </c>
      <c r="GJ5" s="322" t="n">
        <v>45747</v>
      </c>
      <c r="GK5" s="322" t="n">
        <v>45754</v>
      </c>
      <c r="GL5" s="322" t="n">
        <v>45761</v>
      </c>
      <c r="GM5" s="322" t="n">
        <v>45768</v>
      </c>
      <c r="GN5" s="322" t="n">
        <v>45775</v>
      </c>
      <c r="GO5" s="322" t="n">
        <v>45782</v>
      </c>
      <c r="GP5" s="322" t="n">
        <v>45789</v>
      </c>
      <c r="GQ5" s="322" t="n">
        <v>45796</v>
      </c>
      <c r="GR5" s="801" t="inlineStr">
        <is>
          <t>USOU</t>
        </is>
      </c>
      <c r="GT5" s="542" t="inlineStr">
        <is>
          <t>NAMORADOS/2025</t>
        </is>
      </c>
      <c r="GV5" s="363" t="n"/>
      <c r="GW5" s="363" t="n"/>
      <c r="GX5" s="363" t="n"/>
      <c r="GY5" s="363" t="n"/>
      <c r="GZ5" s="363" t="n"/>
      <c r="HA5" s="363" t="n"/>
      <c r="HB5" s="363" t="n"/>
      <c r="HC5" s="363" t="n"/>
      <c r="HE5" s="550" t="inlineStr">
        <is>
          <t>PAIS/2025</t>
        </is>
      </c>
      <c r="HG5" s="407" t="n"/>
      <c r="HH5" s="407" t="n"/>
      <c r="HI5" s="407" t="n"/>
      <c r="HJ5" s="407" t="n"/>
      <c r="HK5" s="407" t="n"/>
      <c r="HL5" s="407" t="n"/>
      <c r="HM5" s="407" t="n"/>
      <c r="HN5" s="407" t="n"/>
      <c r="HO5" s="407" t="n"/>
      <c r="HQ5" s="554" t="inlineStr">
        <is>
          <t>NATAL 2025</t>
        </is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8" t="inlineStr">
        <is>
          <t>USOU</t>
        </is>
      </c>
      <c r="BZ6" s="5" t="n"/>
      <c r="CA6" s="415" t="inlineStr">
        <is>
          <t>TRANSF.</t>
        </is>
      </c>
      <c r="CB6" s="294" t="n">
        <v>46149</v>
      </c>
      <c r="CC6" s="5" t="n"/>
      <c r="CD6" s="752" t="n"/>
      <c r="CE6" s="751" t="n"/>
      <c r="CF6" s="794" t="n"/>
      <c r="CG6" s="794" t="n">
        <v>46142</v>
      </c>
      <c r="CH6" s="794" t="n">
        <v>46121</v>
      </c>
      <c r="CI6" s="794" t="n">
        <v>46113</v>
      </c>
      <c r="CJ6" s="795" t="n">
        <v>46112</v>
      </c>
      <c r="CK6" s="794" t="n">
        <v>46105</v>
      </c>
      <c r="CL6" s="794" t="n">
        <v>46100</v>
      </c>
      <c r="CM6" s="796" t="n">
        <v>46090</v>
      </c>
      <c r="CN6" s="794" t="n">
        <v>46084</v>
      </c>
      <c r="CO6" s="794" t="n">
        <v>46073</v>
      </c>
      <c r="CP6" s="794" t="n">
        <v>46050</v>
      </c>
      <c r="CQ6" s="794" t="n">
        <v>46035</v>
      </c>
      <c r="CR6" s="794" t="n">
        <v>46029</v>
      </c>
      <c r="CS6" s="794" t="n">
        <v>46010</v>
      </c>
      <c r="CT6" s="794" t="n">
        <v>46008</v>
      </c>
      <c r="CU6" s="794" t="n">
        <v>46009</v>
      </c>
      <c r="CV6" s="794" t="n">
        <v>46001</v>
      </c>
      <c r="CW6" s="794" t="n">
        <v>45992</v>
      </c>
      <c r="CX6" s="794" t="n">
        <v>45992</v>
      </c>
      <c r="CY6" s="794" t="n">
        <v>45988</v>
      </c>
      <c r="CZ6" s="797" t="n">
        <v>45982</v>
      </c>
      <c r="DA6" s="794" t="n">
        <v>45980</v>
      </c>
      <c r="DB6" s="794" t="n">
        <v>45971</v>
      </c>
      <c r="DC6" s="794" t="n">
        <v>45967</v>
      </c>
      <c r="DD6" s="794" t="n">
        <v>45958</v>
      </c>
      <c r="DE6" s="753" t="n">
        <v>45958</v>
      </c>
      <c r="DF6" s="794" t="n">
        <v>45952</v>
      </c>
      <c r="DG6" s="794" t="n">
        <v>45938</v>
      </c>
      <c r="DH6" s="794" t="n">
        <v>45936</v>
      </c>
      <c r="DI6" s="794" t="n">
        <v>45938</v>
      </c>
      <c r="DJ6" s="794" t="n">
        <v>45929</v>
      </c>
      <c r="DK6" s="794" t="n">
        <v>45926</v>
      </c>
      <c r="DL6" s="794" t="n">
        <v>45905</v>
      </c>
      <c r="DM6" s="794" t="n">
        <v>45919</v>
      </c>
      <c r="DN6" s="797" t="n">
        <v>45918</v>
      </c>
      <c r="DO6" s="794" t="n">
        <v>45917</v>
      </c>
      <c r="DP6" s="738" t="n">
        <v>45903</v>
      </c>
      <c r="DQ6" s="794" t="n">
        <v>45898</v>
      </c>
      <c r="DR6" s="797" t="n">
        <v>45896</v>
      </c>
      <c r="DS6" s="794" t="n">
        <v>45896</v>
      </c>
      <c r="DT6" s="738" t="n">
        <v>45894</v>
      </c>
      <c r="DU6" s="794" t="n">
        <v>45890</v>
      </c>
      <c r="DV6" s="794" t="n">
        <v>45884</v>
      </c>
      <c r="DW6" s="797" t="n">
        <v>45881</v>
      </c>
      <c r="DX6" s="794" t="n">
        <v>45881</v>
      </c>
      <c r="DY6" s="797" t="n">
        <v>45876</v>
      </c>
      <c r="DZ6" s="794" t="n">
        <v>45875</v>
      </c>
      <c r="EA6" s="794" t="n">
        <v>45868</v>
      </c>
      <c r="EB6" s="794" t="n">
        <v>45862</v>
      </c>
      <c r="EC6" s="797" t="n">
        <v>45861</v>
      </c>
      <c r="ED6" s="797" t="n">
        <v>45860</v>
      </c>
      <c r="EE6" s="794" t="n">
        <v>45859</v>
      </c>
      <c r="EF6" s="739" t="n">
        <v>45855</v>
      </c>
      <c r="EG6" s="794" t="n">
        <v>45853</v>
      </c>
      <c r="EH6" s="794" t="n">
        <v>45852</v>
      </c>
      <c r="EI6" s="794" t="n">
        <v>45841</v>
      </c>
      <c r="EJ6" s="797" t="n">
        <v>45835</v>
      </c>
      <c r="EK6" s="794" t="n">
        <v>45832</v>
      </c>
      <c r="EL6" s="794" t="n">
        <v>45828</v>
      </c>
      <c r="EM6" s="794" t="n">
        <v>45821</v>
      </c>
      <c r="EN6" s="794" t="n">
        <v>45819</v>
      </c>
      <c r="EO6" s="794" t="n">
        <v>45817</v>
      </c>
      <c r="EP6" s="797" t="n">
        <v>45811</v>
      </c>
      <c r="EQ6" s="797" t="n">
        <v>45810</v>
      </c>
      <c r="ER6" s="797" t="n">
        <v>45806</v>
      </c>
      <c r="ES6" s="797" t="n">
        <v>45803</v>
      </c>
      <c r="ET6" s="755" t="n">
        <v>45803</v>
      </c>
      <c r="EU6" s="794" t="n">
        <v>45798</v>
      </c>
      <c r="EV6" s="797" t="n">
        <v>45796</v>
      </c>
      <c r="EW6" s="794" t="n">
        <v>45793</v>
      </c>
      <c r="EX6" s="794" t="n">
        <v>45793</v>
      </c>
      <c r="EY6" s="797" t="n">
        <v>45791</v>
      </c>
      <c r="EZ6" s="794" t="n">
        <v>45786</v>
      </c>
      <c r="FA6" s="794" t="n">
        <v>45786</v>
      </c>
      <c r="FB6" s="794" t="n">
        <v>45779</v>
      </c>
      <c r="FC6" s="794" t="n">
        <v>45777</v>
      </c>
      <c r="FD6" s="794" t="n">
        <v>45775</v>
      </c>
      <c r="FE6" s="797" t="n">
        <v>45775</v>
      </c>
      <c r="FF6" s="797" t="n">
        <v>45770</v>
      </c>
      <c r="FG6" s="794" t="n">
        <v>45762</v>
      </c>
      <c r="FH6" s="794" t="n">
        <v>45757</v>
      </c>
      <c r="FI6" s="797" t="n">
        <v>45751</v>
      </c>
      <c r="FJ6" s="794" t="n">
        <v>45748</v>
      </c>
      <c r="FK6" s="746" t="n">
        <v>45729</v>
      </c>
      <c r="FL6" s="794" t="n">
        <v>45727</v>
      </c>
      <c r="FM6" s="794" t="n">
        <v>45727</v>
      </c>
      <c r="FN6" s="746" t="n">
        <v>45722</v>
      </c>
      <c r="FO6" s="797" t="n">
        <v>45722</v>
      </c>
      <c r="FP6" s="794" t="n">
        <v>45721</v>
      </c>
      <c r="FQ6" s="794" t="n">
        <v>45713</v>
      </c>
      <c r="FR6" s="794" t="n">
        <v>45712</v>
      </c>
      <c r="FS6" s="794" t="n">
        <v>45706</v>
      </c>
      <c r="FT6" s="794" t="n">
        <v>45699</v>
      </c>
      <c r="FU6" s="797" t="n">
        <v>45687</v>
      </c>
      <c r="FV6" s="794" t="n">
        <v>45686</v>
      </c>
      <c r="FW6" s="797" t="n">
        <v>45684</v>
      </c>
      <c r="FX6" s="794" t="n">
        <v>45678</v>
      </c>
      <c r="FY6" s="794" t="n">
        <v>45670</v>
      </c>
      <c r="FZ6" s="794" t="n">
        <v>45667</v>
      </c>
      <c r="GA6" s="794" t="n">
        <v>45665</v>
      </c>
      <c r="GB6" s="794" t="n">
        <v>45659</v>
      </c>
      <c r="GC6" s="794" t="n">
        <v>45652</v>
      </c>
      <c r="GE6" s="745" t="n"/>
      <c r="GF6" s="745" t="n"/>
      <c r="GG6" s="745" t="n"/>
      <c r="GH6" s="745" t="n"/>
      <c r="GI6" s="745" t="n"/>
      <c r="GJ6" s="745" t="n"/>
      <c r="GK6" s="745" t="n"/>
      <c r="GL6" s="745" t="n"/>
      <c r="GM6" s="745" t="n"/>
      <c r="GN6" s="745" t="n"/>
      <c r="GO6" s="745" t="n"/>
      <c r="GP6" s="745" t="n"/>
      <c r="GQ6" s="745" t="n"/>
      <c r="GR6" s="745" t="n"/>
      <c r="GT6" s="803" t="n"/>
      <c r="GU6" s="782" t="n"/>
      <c r="GV6" s="363" t="n"/>
      <c r="GW6" s="363" t="n"/>
      <c r="GX6" s="363" t="n"/>
      <c r="GY6" s="363" t="n"/>
      <c r="GZ6" s="363" t="n"/>
      <c r="HA6" s="363" t="n"/>
      <c r="HB6" s="363" t="n"/>
      <c r="HC6" s="363" t="n"/>
      <c r="HE6" s="803" t="n"/>
      <c r="HF6" s="782" t="n"/>
      <c r="HG6" s="407" t="n"/>
      <c r="HH6" s="407" t="n"/>
      <c r="HI6" s="407" t="n"/>
      <c r="HJ6" s="407" t="n"/>
      <c r="HK6" s="407" t="n"/>
      <c r="HL6" s="407" t="n"/>
      <c r="HM6" s="407" t="n"/>
      <c r="HN6" s="407" t="n"/>
      <c r="HO6" s="407" t="n"/>
      <c r="HQ6" s="803" t="n"/>
      <c r="HR6" s="782" t="n"/>
      <c r="HS6" s="782" t="n"/>
      <c r="HT6" s="782" t="n"/>
      <c r="HU6" s="782" t="n"/>
      <c r="HV6" s="782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5" t="n"/>
      <c r="CA7" s="13" t="n"/>
      <c r="CB7" s="13" t="n"/>
      <c r="CC7" s="5" t="n"/>
      <c r="CD7" s="13" t="n"/>
      <c r="CE7" s="5" t="n"/>
      <c r="CF7" s="203" t="n"/>
      <c r="CG7" s="203" t="n"/>
      <c r="CH7" s="203" t="n"/>
      <c r="CI7" s="203" t="n"/>
      <c r="CJ7" s="307" t="inlineStr">
        <is>
          <t>MÃES</t>
        </is>
      </c>
      <c r="CK7" s="203" t="n"/>
      <c r="CL7" s="203" t="n"/>
      <c r="CM7" s="307" t="inlineStr">
        <is>
          <t>MÃES</t>
        </is>
      </c>
      <c r="CN7" s="203" t="n"/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3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307" t="inlineStr">
        <is>
          <t>HP</t>
        </is>
      </c>
      <c r="DQ7" s="203" t="n"/>
      <c r="DR7" s="203" t="n"/>
      <c r="DS7" s="203" t="n"/>
      <c r="DT7" s="307" t="inlineStr">
        <is>
          <t>HP</t>
        </is>
      </c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33" t="inlineStr">
        <is>
          <t>PAIS/25</t>
        </is>
      </c>
      <c r="EG7" s="203" t="n"/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13" t="inlineStr">
        <is>
          <t>NAMO/25</t>
        </is>
      </c>
      <c r="EU7" s="379" t="inlineStr">
        <is>
          <t>EUD</t>
        </is>
      </c>
      <c r="EV7" s="203" t="n"/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307" t="inlineStr">
        <is>
          <t>MÃES/25</t>
        </is>
      </c>
      <c r="FL7" s="203" t="n"/>
      <c r="FM7" s="203" t="n"/>
      <c r="FN7" s="307" t="inlineStr">
        <is>
          <t>MÃES/25</t>
        </is>
      </c>
      <c r="FO7" s="203" t="n"/>
      <c r="FP7" s="203" t="n"/>
      <c r="FQ7" s="203" t="n"/>
      <c r="FR7" s="33" t="inlineStr">
        <is>
          <t>LUAPACK</t>
        </is>
      </c>
      <c r="FS7" s="203" t="n"/>
      <c r="FT7" s="203" t="n"/>
      <c r="FU7" s="203" t="n"/>
      <c r="FV7" s="203" t="n"/>
      <c r="FW7" s="203" t="n"/>
      <c r="FX7" s="203" t="n"/>
      <c r="FY7" s="203" t="n"/>
      <c r="FZ7" s="203" t="n"/>
      <c r="GA7" s="203" t="n"/>
      <c r="GB7" s="203" t="n"/>
      <c r="GC7" s="203" t="n"/>
      <c r="GE7" s="298" t="inlineStr">
        <is>
          <t xml:space="preserve">SACOLAS </t>
        </is>
      </c>
      <c r="GF7" s="298" t="n"/>
      <c r="GG7" s="298" t="n"/>
      <c r="GH7" s="298" t="n"/>
      <c r="GI7" s="298" t="n"/>
      <c r="GJ7" s="298" t="n"/>
      <c r="GK7" s="298" t="n"/>
      <c r="GL7" s="298" t="n"/>
      <c r="GM7" s="298" t="n"/>
      <c r="GN7" s="298" t="n"/>
      <c r="GO7" s="298" t="n"/>
      <c r="GP7" s="298" t="n"/>
      <c r="GQ7" s="298" t="n"/>
      <c r="GR7" s="298" t="n"/>
      <c r="GT7" s="804" t="inlineStr">
        <is>
          <t xml:space="preserve">SACOLAS </t>
        </is>
      </c>
      <c r="GU7" s="805" t="inlineStr">
        <is>
          <t>PCT</t>
        </is>
      </c>
      <c r="GV7" s="398" t="n">
        <v>45796</v>
      </c>
      <c r="GW7" s="398" t="n">
        <v>45803</v>
      </c>
      <c r="GX7" s="398" t="n">
        <v>45810</v>
      </c>
      <c r="GY7" s="398" t="n">
        <v>45817</v>
      </c>
      <c r="GZ7" s="398" t="n">
        <v>45824</v>
      </c>
      <c r="HA7" s="398" t="n">
        <v>45831</v>
      </c>
      <c r="HB7" s="398" t="n">
        <v>45838</v>
      </c>
      <c r="HC7" s="808" t="inlineStr">
        <is>
          <t>USOU</t>
        </is>
      </c>
      <c r="HE7" s="809" t="inlineStr">
        <is>
          <t xml:space="preserve">SACOLAS </t>
        </is>
      </c>
      <c r="HF7" s="810" t="inlineStr">
        <is>
          <t>PCT</t>
        </is>
      </c>
      <c r="HG7" s="811" t="n">
        <v>45845</v>
      </c>
      <c r="HH7" s="811" t="n">
        <v>45852</v>
      </c>
      <c r="HI7" s="811" t="n">
        <v>45859</v>
      </c>
      <c r="HJ7" s="811" t="n">
        <v>45866</v>
      </c>
      <c r="HK7" s="811" t="n">
        <v>45873</v>
      </c>
      <c r="HL7" s="811" t="n">
        <v>45880</v>
      </c>
      <c r="HM7" s="811" t="n">
        <v>45887</v>
      </c>
      <c r="HN7" s="811" t="n">
        <v>45894</v>
      </c>
      <c r="HO7" s="813" t="inlineStr">
        <is>
          <t>USOU</t>
        </is>
      </c>
      <c r="HQ7" s="814" t="inlineStr">
        <is>
          <t>SACOLAS VENDA</t>
        </is>
      </c>
      <c r="HR7" s="815" t="inlineStr">
        <is>
          <t>PCT</t>
        </is>
      </c>
      <c r="HS7" s="513" t="n">
        <v>45950</v>
      </c>
      <c r="HT7" s="513" t="n">
        <v>45957</v>
      </c>
      <c r="HU7" s="513" t="n">
        <v>45964</v>
      </c>
      <c r="HV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1000</v>
      </c>
      <c r="E8" s="5" t="n"/>
      <c r="F8" s="237">
        <f>2100+GB8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1500+FM8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600+FD8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600+EA8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0+DJ8</f>
        <v/>
      </c>
      <c r="AT8" s="237" t="n">
        <v>900</v>
      </c>
      <c r="AU8" s="237" t="n">
        <v>300</v>
      </c>
      <c r="AV8" s="237">
        <f>300+DF8</f>
        <v/>
      </c>
      <c r="AW8" s="237" t="n">
        <v>1500</v>
      </c>
      <c r="AX8" s="237" t="n">
        <v>900</v>
      </c>
      <c r="AY8" s="237">
        <f>900+DB8</f>
        <v/>
      </c>
      <c r="AZ8" s="237" t="n">
        <v>1500</v>
      </c>
      <c r="BA8" s="237">
        <f>1500+CY8</f>
        <v/>
      </c>
      <c r="BB8" s="237">
        <f>2400+CW8</f>
        <v/>
      </c>
      <c r="BC8" s="237" t="n">
        <v>2400</v>
      </c>
      <c r="BD8" s="237">
        <f>2400+CU8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900+CN8</f>
        <v/>
      </c>
      <c r="BP8" s="237" t="n">
        <v>900</v>
      </c>
      <c r="BQ8" s="237">
        <f>900+CL8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198">
        <f>BW8+IF(NOT(ISBLANK(OFFSET(BY8,0,6))),N(OFFSET(BY8,0,6)),N(OFFSET(BY8,0,7)))-BX8</f>
        <v/>
      </c>
      <c r="BZ8" s="5" t="n"/>
      <c r="CA8" s="22" t="n"/>
      <c r="CB8" s="22" t="n"/>
      <c r="CC8" s="5" t="n"/>
      <c r="CD8" s="27" t="n"/>
      <c r="CE8" s="1" t="n"/>
      <c r="CF8" s="23" t="n">
        <v>0</v>
      </c>
      <c r="CG8" s="23" t="n">
        <v>0</v>
      </c>
      <c r="CH8" s="23" t="n">
        <v>600</v>
      </c>
      <c r="CI8" s="23" t="n"/>
      <c r="CJ8" s="23" t="n"/>
      <c r="CK8" s="23" t="n"/>
      <c r="CL8" s="23" t="n">
        <v>300</v>
      </c>
      <c r="CM8" s="23" t="n"/>
      <c r="CN8" s="23" t="n">
        <v>300</v>
      </c>
      <c r="CO8" s="23" t="n"/>
      <c r="CP8" s="23" t="n"/>
      <c r="CQ8" s="23" t="n"/>
      <c r="CR8" s="23" t="n"/>
      <c r="CS8" s="23" t="n"/>
      <c r="CT8" s="23" t="n"/>
      <c r="CU8" s="23" t="n">
        <v>600</v>
      </c>
      <c r="CV8" s="23" t="n"/>
      <c r="CW8" s="23" t="n">
        <v>600</v>
      </c>
      <c r="CX8" s="23" t="n"/>
      <c r="CY8" s="23" t="n">
        <v>1200</v>
      </c>
      <c r="CZ8" s="219" t="n"/>
      <c r="DA8" s="23" t="n"/>
      <c r="DB8" s="23" t="n">
        <v>600</v>
      </c>
      <c r="DC8" s="23" t="n"/>
      <c r="DD8" s="23" t="n"/>
      <c r="DE8" s="23" t="n"/>
      <c r="DF8" s="23" t="n">
        <v>1200</v>
      </c>
      <c r="DG8" s="23" t="n"/>
      <c r="DH8" s="23" t="n"/>
      <c r="DI8" s="23" t="n"/>
      <c r="DJ8" s="23" t="n">
        <v>1200</v>
      </c>
      <c r="DK8" s="23" t="n"/>
      <c r="DL8" s="23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>
        <v>1200</v>
      </c>
      <c r="EB8" s="23" t="n"/>
      <c r="EC8" s="23" t="n"/>
      <c r="ED8" s="23" t="n"/>
      <c r="EE8" s="23" t="n"/>
      <c r="EF8" s="23" t="n"/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>
        <v>900</v>
      </c>
      <c r="FA8" s="23" t="n"/>
      <c r="FB8" s="23" t="n">
        <v>600</v>
      </c>
      <c r="FC8" s="23" t="n">
        <v>600</v>
      </c>
      <c r="FD8" s="23" t="n">
        <v>600</v>
      </c>
      <c r="FE8" s="23" t="n"/>
      <c r="FF8" s="282" t="inlineStr">
        <is>
          <t>300 P/ GV + 300 P/ SHN</t>
        </is>
      </c>
      <c r="FG8" s="23" t="n"/>
      <c r="FH8" s="23" t="n"/>
      <c r="FI8" s="23" t="n"/>
      <c r="FJ8" s="23" t="n"/>
      <c r="FK8" s="219" t="n"/>
      <c r="FL8" s="23" t="n">
        <v>600</v>
      </c>
      <c r="FM8" s="23" t="n">
        <v>600</v>
      </c>
      <c r="FN8" s="219" t="n"/>
      <c r="FO8" s="23" t="n"/>
      <c r="FP8" s="23" t="n"/>
      <c r="FQ8" s="23" t="n"/>
      <c r="FR8" s="23" t="n"/>
      <c r="FS8" s="23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>
        <v>600</v>
      </c>
      <c r="GC8" s="23" t="n"/>
      <c r="GE8" s="299" t="n"/>
      <c r="GF8" s="299" t="n"/>
      <c r="GG8" s="299" t="n"/>
      <c r="GH8" s="299" t="n"/>
      <c r="GI8" s="299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T8" s="816" t="n"/>
      <c r="GU8" s="816" t="n"/>
      <c r="GV8" s="816" t="n"/>
      <c r="GW8" s="816" t="n"/>
      <c r="GX8" s="816" t="n"/>
      <c r="GY8" s="816" t="n"/>
      <c r="GZ8" s="816" t="n"/>
      <c r="HA8" s="816" t="n"/>
      <c r="HB8" s="816" t="n"/>
      <c r="HC8" s="816" t="n"/>
      <c r="HE8" s="816" t="n"/>
      <c r="HF8" s="816" t="n"/>
      <c r="HG8" s="816" t="n"/>
      <c r="HH8" s="816" t="n"/>
      <c r="HI8" s="816" t="n"/>
      <c r="HJ8" s="816" t="n"/>
      <c r="HK8" s="816" t="n"/>
      <c r="HL8" s="816" t="n"/>
      <c r="HM8" s="816" t="n"/>
      <c r="HN8" s="816" t="n"/>
      <c r="HO8" s="816" t="n"/>
      <c r="HQ8" s="819" t="n"/>
      <c r="HR8" s="745" t="n"/>
      <c r="HS8" s="816" t="n"/>
      <c r="HT8" s="816" t="n"/>
      <c r="HU8" s="816" t="n"/>
      <c r="HV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2600</v>
      </c>
      <c r="E9" s="5" t="n"/>
      <c r="F9" s="237" t="n">
        <v>7000</v>
      </c>
      <c r="G9" s="237">
        <f>6800+GA9</f>
        <v/>
      </c>
      <c r="H9" s="237" t="n">
        <v>7600</v>
      </c>
      <c r="I9" s="237">
        <f>6800+FX9</f>
        <v/>
      </c>
      <c r="J9" s="237" t="n">
        <v>6200</v>
      </c>
      <c r="K9" s="237" t="n">
        <v>6000</v>
      </c>
      <c r="L9" s="237" t="n">
        <v>4800</v>
      </c>
      <c r="M9" s="237">
        <f>3800+FS9</f>
        <v/>
      </c>
      <c r="N9" s="237">
        <f>4800+FQ9</f>
        <v/>
      </c>
      <c r="O9" s="237">
        <f>4800+FP9</f>
        <v/>
      </c>
      <c r="P9" s="237">
        <f>5600+FM9</f>
        <v/>
      </c>
      <c r="Q9" s="237" t="n">
        <v>6600</v>
      </c>
      <c r="R9" s="237" t="n">
        <v>5800</v>
      </c>
      <c r="S9" s="237">
        <f>4600+FJ9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1400+EN9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1400+EG9</f>
        <v/>
      </c>
      <c r="AI9" s="237" t="n">
        <v>1800</v>
      </c>
      <c r="AJ9" s="237" t="n">
        <v>3000</v>
      </c>
      <c r="AK9" s="237">
        <f>2600+EA9</f>
        <v/>
      </c>
      <c r="AL9" s="237">
        <f>2600-1000</f>
        <v/>
      </c>
      <c r="AM9" s="237" t="n">
        <v>1000</v>
      </c>
      <c r="AN9" s="237" t="n">
        <v>1400</v>
      </c>
      <c r="AO9" s="237">
        <f>800+DQ9</f>
        <v/>
      </c>
      <c r="AP9" s="237" t="n">
        <v>2400</v>
      </c>
      <c r="AQ9" s="237">
        <f>1000+DO9-400</f>
        <v/>
      </c>
      <c r="AR9" s="237">
        <f>0+DM9</f>
        <v/>
      </c>
      <c r="AS9" s="237">
        <f>1400+DJ9</f>
        <v/>
      </c>
      <c r="AT9" s="237" t="n">
        <v>3400</v>
      </c>
      <c r="AU9" s="237" t="n">
        <v>3000</v>
      </c>
      <c r="AV9" s="237" t="n">
        <v>1400</v>
      </c>
      <c r="AW9" s="237">
        <f>800+DD9</f>
        <v/>
      </c>
      <c r="AX9" s="237" t="n">
        <v>2200</v>
      </c>
      <c r="AY9" s="237">
        <f>1200+DB9</f>
        <v/>
      </c>
      <c r="AZ9" s="237">
        <f>400+DA9-400</f>
        <v/>
      </c>
      <c r="BA9" s="237">
        <f>1500+CY9</f>
        <v/>
      </c>
      <c r="BB9" s="237">
        <f>3600+CW9</f>
        <v/>
      </c>
      <c r="BC9" s="237">
        <f>4600+CV9</f>
        <v/>
      </c>
      <c r="BD9" s="237">
        <f>5200+CU9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1400+CN9</f>
        <v/>
      </c>
      <c r="BP9" s="237" t="n">
        <v>2600</v>
      </c>
      <c r="BQ9" s="237">
        <f>1200+CL9</f>
        <v/>
      </c>
      <c r="BR9" s="237">
        <f>2400+CK9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 t="n">
        <v>6400</v>
      </c>
      <c r="BY9" s="198">
        <f>BW9+IF(NOT(ISBLANK(OFFSET(BY9,0,6))),N(OFFSET(BY9,0,6)),N(OFFSET(BY9,0,7)))-BX9</f>
        <v/>
      </c>
      <c r="BZ9" s="5" t="n"/>
      <c r="CA9" s="468" t="inlineStr">
        <is>
          <t>2000 P/ ERB</t>
        </is>
      </c>
      <c r="CB9" s="22" t="n"/>
      <c r="CC9" s="5" t="n"/>
      <c r="CD9" s="27" t="n"/>
      <c r="CE9" s="1" t="n"/>
      <c r="CF9" s="23" t="n">
        <v>0</v>
      </c>
      <c r="CG9" s="23" t="n">
        <v>0</v>
      </c>
      <c r="CH9" s="23" t="n">
        <v>4000</v>
      </c>
      <c r="CI9" s="23" t="n"/>
      <c r="CJ9" s="419" t="n">
        <v>4000</v>
      </c>
      <c r="CK9" s="23" t="n">
        <v>2000</v>
      </c>
      <c r="CL9" s="23" t="n">
        <v>2000</v>
      </c>
      <c r="CM9" s="23" t="n"/>
      <c r="CN9" s="23" t="n">
        <v>2600</v>
      </c>
      <c r="CO9" s="23" t="n">
        <v>3000</v>
      </c>
      <c r="CP9" s="23" t="n"/>
      <c r="CQ9" s="23" t="n"/>
      <c r="CR9" s="23" t="n">
        <v>2000</v>
      </c>
      <c r="CS9" s="23" t="n"/>
      <c r="CT9" s="23" t="n"/>
      <c r="CU9" s="23" t="n">
        <v>1000</v>
      </c>
      <c r="CV9" s="23" t="n">
        <v>1000</v>
      </c>
      <c r="CW9" s="23" t="n">
        <v>2000</v>
      </c>
      <c r="CX9" s="23" t="n"/>
      <c r="CY9" s="23" t="n">
        <v>3000</v>
      </c>
      <c r="CZ9" s="198" t="inlineStr">
        <is>
          <t>400 P/ ERB</t>
        </is>
      </c>
      <c r="DA9" s="23" t="n">
        <v>2600</v>
      </c>
      <c r="DB9" s="23" t="n">
        <v>1000</v>
      </c>
      <c r="DC9" s="23" t="n"/>
      <c r="DD9" s="23" t="n">
        <v>2600</v>
      </c>
      <c r="DE9" s="219" t="n">
        <v>200</v>
      </c>
      <c r="DF9" s="23" t="n"/>
      <c r="DG9" s="23" t="n"/>
      <c r="DH9" s="23" t="n"/>
      <c r="DI9" s="23" t="n"/>
      <c r="DJ9" s="23" t="n">
        <v>2600</v>
      </c>
      <c r="DK9" s="23" t="n"/>
      <c r="DL9" s="23" t="n"/>
      <c r="DM9" s="23" t="n">
        <v>2000</v>
      </c>
      <c r="DN9" s="192" t="inlineStr">
        <is>
          <t>400 P/ ER</t>
        </is>
      </c>
      <c r="DO9" s="23" t="n">
        <v>1600</v>
      </c>
      <c r="DP9" s="434" t="inlineStr">
        <is>
          <t>60 P/ ER</t>
        </is>
      </c>
      <c r="DQ9" s="23" t="n">
        <v>3000</v>
      </c>
      <c r="DR9" s="23" t="n"/>
      <c r="DS9" s="23" t="n"/>
      <c r="DT9" s="219" t="n">
        <v>100</v>
      </c>
      <c r="DU9" s="23" t="n">
        <v>2600</v>
      </c>
      <c r="DV9" s="23" t="n"/>
      <c r="DW9" s="192" t="inlineStr">
        <is>
          <t>1000 P/ ER</t>
        </is>
      </c>
      <c r="DX9" s="23" t="n"/>
      <c r="DY9" s="23" t="n"/>
      <c r="DZ9" s="23" t="n"/>
      <c r="EA9" s="23" t="n">
        <v>1000</v>
      </c>
      <c r="EB9" s="23" t="n">
        <v>2600</v>
      </c>
      <c r="EC9" s="23" t="n"/>
      <c r="ED9" s="23" t="n"/>
      <c r="EE9" s="23" t="n"/>
      <c r="EF9" s="23" t="n"/>
      <c r="EG9" s="23" t="n">
        <v>1600</v>
      </c>
      <c r="EH9" s="23" t="n"/>
      <c r="EI9" s="23" t="n">
        <v>1600</v>
      </c>
      <c r="EJ9" s="23" t="n"/>
      <c r="EK9" s="23" t="n"/>
      <c r="EL9" s="23" t="n">
        <v>1800</v>
      </c>
      <c r="EM9" s="23" t="n"/>
      <c r="EN9" s="23" t="n">
        <v>1800</v>
      </c>
      <c r="EO9" s="23" t="n"/>
      <c r="EP9" s="23" t="n"/>
      <c r="EQ9" s="23" t="n"/>
      <c r="ER9" s="282" t="inlineStr">
        <is>
          <t>800 P/ SHN + 600 P/ TDQ + 200 P/ GV + 800 P/ Q7 + 200 P/ Q2</t>
        </is>
      </c>
      <c r="ES9" s="23" t="n"/>
      <c r="ET9" s="23" t="n"/>
      <c r="EU9" s="23" t="n"/>
      <c r="EV9" s="23" t="n"/>
      <c r="EW9" s="23" t="n"/>
      <c r="EX9" s="23" t="n"/>
      <c r="EY9" s="23" t="n"/>
      <c r="EZ9" s="23" t="n"/>
      <c r="FA9" s="23" t="n"/>
      <c r="FB9" s="23" t="n"/>
      <c r="FC9" s="23" t="n">
        <v>2600</v>
      </c>
      <c r="FD9" s="23" t="n"/>
      <c r="FE9" s="282" t="inlineStr">
        <is>
          <t>400 P/ ER</t>
        </is>
      </c>
      <c r="FF9" s="23" t="n"/>
      <c r="FG9" s="23" t="n"/>
      <c r="FH9" s="23" t="n"/>
      <c r="FI9" s="23" t="n"/>
      <c r="FJ9" s="23" t="n">
        <v>4000</v>
      </c>
      <c r="FK9" s="219" t="n"/>
      <c r="FL9" s="23" t="n">
        <v>1400</v>
      </c>
      <c r="FM9" s="23" t="n">
        <v>1400</v>
      </c>
      <c r="FN9" s="219" t="n">
        <v>3400</v>
      </c>
      <c r="FO9" s="23" t="n"/>
      <c r="FP9" s="23" t="n">
        <v>1200</v>
      </c>
      <c r="FQ9" s="23" t="n">
        <v>1200</v>
      </c>
      <c r="FR9" s="23" t="n"/>
      <c r="FS9" s="23" t="n">
        <v>2000</v>
      </c>
      <c r="FT9" s="23" t="n"/>
      <c r="FU9" s="23" t="n"/>
      <c r="FV9" s="23" t="n"/>
      <c r="FW9" s="23" t="n"/>
      <c r="FX9" s="23" t="n">
        <v>400</v>
      </c>
      <c r="FY9" s="23" t="n">
        <v>400</v>
      </c>
      <c r="FZ9" s="23" t="n"/>
      <c r="GA9" s="23" t="n">
        <v>600</v>
      </c>
      <c r="GB9" s="23" t="n"/>
      <c r="GC9" s="23" t="n"/>
      <c r="GE9" s="300" t="inlineStr">
        <is>
          <t>SACOLA P</t>
        </is>
      </c>
      <c r="GF9" s="301" t="n">
        <v>200</v>
      </c>
      <c r="GG9" s="162">
        <f>FN9</f>
        <v/>
      </c>
      <c r="GH9" s="162" t="n">
        <v>3400</v>
      </c>
      <c r="GI9" s="162" t="n">
        <v>3400</v>
      </c>
      <c r="GJ9" s="162" t="n">
        <v>3400</v>
      </c>
      <c r="GK9" s="162" t="n">
        <v>3200</v>
      </c>
      <c r="GL9" s="162" t="n">
        <v>3200</v>
      </c>
      <c r="GM9" s="162" t="n">
        <v>1600</v>
      </c>
      <c r="GN9" s="162" t="n">
        <v>1400</v>
      </c>
      <c r="GO9" s="162" t="n">
        <v>1200</v>
      </c>
      <c r="GP9" s="162" t="n">
        <v>0</v>
      </c>
      <c r="GQ9" s="162" t="n">
        <v>0</v>
      </c>
      <c r="GR9" s="302" t="n">
        <v>0</v>
      </c>
      <c r="GT9" s="819" t="n"/>
      <c r="GU9" s="745" t="n"/>
      <c r="GV9" s="745" t="n"/>
      <c r="GW9" s="745" t="n"/>
      <c r="GX9" s="745" t="n"/>
      <c r="GY9" s="745" t="n"/>
      <c r="GZ9" s="745" t="n"/>
      <c r="HA9" s="745" t="n"/>
      <c r="HB9" s="745" t="n"/>
      <c r="HC9" s="745" t="n"/>
      <c r="HE9" s="819" t="n"/>
      <c r="HF9" s="745" t="n"/>
      <c r="HG9" s="745" t="n"/>
      <c r="HH9" s="745" t="n"/>
      <c r="HI9" s="745" t="n"/>
      <c r="HJ9" s="745" t="n"/>
      <c r="HK9" s="745" t="n"/>
      <c r="HL9" s="745" t="n"/>
      <c r="HM9" s="745" t="n"/>
      <c r="HN9" s="745" t="n"/>
      <c r="HO9" s="745" t="n"/>
      <c r="HQ9" s="65" t="inlineStr">
        <is>
          <t>SACOLA P</t>
        </is>
      </c>
      <c r="HR9" s="208" t="n">
        <v>200</v>
      </c>
      <c r="HS9" s="162" t="n">
        <v>0</v>
      </c>
      <c r="HT9" s="162">
        <f>DE9</f>
        <v/>
      </c>
      <c r="HU9" s="162" t="n">
        <v>200</v>
      </c>
      <c r="HV9" s="452">
        <f>HT9-HU9</f>
        <v/>
      </c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2200+FX10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2000+FJ10-400</f>
        <v/>
      </c>
      <c r="T10" s="237" t="n">
        <v>4400</v>
      </c>
      <c r="U10" s="237">
        <f>2200+FG10</f>
        <v/>
      </c>
      <c r="V10" s="237" t="n">
        <v>2800</v>
      </c>
      <c r="W10" s="237">
        <f>2800+FD10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1400+EG10</f>
        <v/>
      </c>
      <c r="AI10" s="237" t="n">
        <v>1400</v>
      </c>
      <c r="AJ10" s="237" t="n">
        <v>1000</v>
      </c>
      <c r="AK10" s="237">
        <f>1200+EA10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1200+DF10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1200+CW10</f>
        <v/>
      </c>
      <c r="BC10" s="237">
        <f>2400+CV10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1400+CQ10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 t="n">
        <v>1800</v>
      </c>
      <c r="BY10" s="198">
        <f>BW10+IF(NOT(ISBLANK(OFFSET(BY10,0,6))),N(OFFSET(BY10,0,6)),N(OFFSET(BY10,0,7)))-BX10</f>
        <v/>
      </c>
      <c r="BZ10" s="5" t="n"/>
      <c r="CA10" s="468" t="inlineStr">
        <is>
          <t>400 P/ ERB</t>
        </is>
      </c>
      <c r="CB10" s="22" t="n"/>
      <c r="CC10" s="5" t="n"/>
      <c r="CD10" s="27" t="n"/>
      <c r="CE10" s="1" t="n"/>
      <c r="CF10" s="23" t="n">
        <v>0</v>
      </c>
      <c r="CG10" s="23" t="n">
        <v>0</v>
      </c>
      <c r="CH10" s="23" t="n"/>
      <c r="CI10" s="23" t="n"/>
      <c r="CJ10" s="419" t="n">
        <v>3000</v>
      </c>
      <c r="CK10" s="23" t="n"/>
      <c r="CL10" s="23" t="n"/>
      <c r="CM10" s="467" t="n">
        <v>1500</v>
      </c>
      <c r="CN10" s="23" t="n"/>
      <c r="CO10" s="23" t="n"/>
      <c r="CP10" s="23" t="n"/>
      <c r="CQ10" s="23" t="n">
        <v>1400</v>
      </c>
      <c r="CR10" s="23" t="n">
        <v>800</v>
      </c>
      <c r="CS10" s="23" t="n"/>
      <c r="CT10" s="23" t="n"/>
      <c r="CU10" s="23" t="n"/>
      <c r="CV10" s="23" t="n">
        <v>400</v>
      </c>
      <c r="CW10" s="23" t="n">
        <v>800</v>
      </c>
      <c r="CX10" s="23" t="n"/>
      <c r="CY10" s="23" t="n"/>
      <c r="CZ10" s="198" t="inlineStr">
        <is>
          <t>400 P/ ERB</t>
        </is>
      </c>
      <c r="DA10" s="23" t="n"/>
      <c r="DB10" s="23" t="n"/>
      <c r="DC10" s="23" t="n">
        <v>800</v>
      </c>
      <c r="DD10" s="23" t="n"/>
      <c r="DE10" s="219" t="n">
        <v>200</v>
      </c>
      <c r="DF10" s="23" t="n">
        <v>600</v>
      </c>
      <c r="DG10" s="23" t="n"/>
      <c r="DH10" s="23" t="n">
        <v>1000</v>
      </c>
      <c r="DI10" s="23" t="n"/>
      <c r="DJ10" s="23" t="n"/>
      <c r="DK10" s="23" t="n">
        <v>400</v>
      </c>
      <c r="DL10" s="23" t="n"/>
      <c r="DM10" s="23" t="n"/>
      <c r="DN10" s="192" t="inlineStr">
        <is>
          <t>400 P/ ER</t>
        </is>
      </c>
      <c r="DO10" s="23" t="n"/>
      <c r="DP10" s="434" t="inlineStr">
        <is>
          <t>60 P/ ER</t>
        </is>
      </c>
      <c r="DQ10" s="23" t="n"/>
      <c r="DR10" s="23" t="n"/>
      <c r="DS10" s="23" t="n"/>
      <c r="DT10" s="219" t="n">
        <v>100</v>
      </c>
      <c r="DU10" s="23" t="n">
        <v>1400</v>
      </c>
      <c r="DV10" s="23" t="n"/>
      <c r="DW10" s="192" t="inlineStr">
        <is>
          <t>600 P/ ER</t>
        </is>
      </c>
      <c r="DX10" s="23" t="inlineStr">
        <is>
          <t> </t>
        </is>
      </c>
      <c r="DY10" s="23" t="n"/>
      <c r="DZ10" s="23" t="n"/>
      <c r="EA10" s="23" t="n">
        <v>400</v>
      </c>
      <c r="EB10" s="23" t="n"/>
      <c r="EC10" s="23" t="n"/>
      <c r="ED10" s="23" t="n"/>
      <c r="EE10" s="23" t="n"/>
      <c r="EF10" s="292" t="inlineStr">
        <is>
          <t>1000 DE ER</t>
        </is>
      </c>
      <c r="EG10" s="23" t="n">
        <v>400</v>
      </c>
      <c r="EH10" s="23" t="n"/>
      <c r="EI10" s="23" t="n"/>
      <c r="EJ10" s="23" t="n"/>
      <c r="EK10" s="23" t="n"/>
      <c r="EL10" s="23" t="n"/>
      <c r="EM10" s="23" t="n"/>
      <c r="EN10" s="23" t="n"/>
      <c r="EO10" s="23" t="n"/>
      <c r="EP10" s="23" t="n"/>
      <c r="EQ10" s="23" t="n"/>
      <c r="ER10" s="23" t="n"/>
      <c r="ES10" s="282" t="inlineStr">
        <is>
          <t>2000 P/ ERB</t>
        </is>
      </c>
      <c r="ET10" s="23" t="n"/>
      <c r="EU10" s="23" t="n"/>
      <c r="EV10" s="23" t="n"/>
      <c r="EW10" s="23" t="n"/>
      <c r="EX10" s="23" t="n"/>
      <c r="EY10" s="23" t="n"/>
      <c r="EZ10" s="23" t="n"/>
      <c r="FA10" s="23" t="n"/>
      <c r="FB10" s="23" t="n"/>
      <c r="FC10" s="23" t="n"/>
      <c r="FD10" s="23" t="n">
        <v>2600</v>
      </c>
      <c r="FE10" s="23" t="n"/>
      <c r="FF10" s="23" t="n"/>
      <c r="FG10" s="23" t="n">
        <v>600</v>
      </c>
      <c r="FH10" s="23" t="n"/>
      <c r="FI10" s="282" t="inlineStr">
        <is>
          <t>400 P/ ER</t>
        </is>
      </c>
      <c r="FJ10" s="23" t="n">
        <v>3000</v>
      </c>
      <c r="FK10" s="219" t="n"/>
      <c r="FL10" s="23" t="n"/>
      <c r="FM10" s="23" t="n"/>
      <c r="FN10" s="219" t="n">
        <v>2600</v>
      </c>
      <c r="FO10" s="23" t="n"/>
      <c r="FP10" s="23" t="n"/>
      <c r="FQ10" s="23" t="n"/>
      <c r="FR10" s="23" t="n"/>
      <c r="FS10" s="23" t="n"/>
      <c r="FT10" s="23" t="n"/>
      <c r="FU10" s="23" t="n"/>
      <c r="FV10" s="23" t="n"/>
      <c r="FW10" s="23" t="n"/>
      <c r="FX10" s="23" t="n">
        <v>600</v>
      </c>
      <c r="FY10" s="23" t="n">
        <v>400</v>
      </c>
      <c r="FZ10" s="23" t="n"/>
      <c r="GA10" s="23" t="n"/>
      <c r="GB10" s="23" t="n"/>
      <c r="GC10" s="23" t="n">
        <v>1600</v>
      </c>
      <c r="GE10" s="65" t="inlineStr">
        <is>
          <t>SACOLA M</t>
        </is>
      </c>
      <c r="GF10" s="208" t="n">
        <v>200</v>
      </c>
      <c r="GG10" s="699">
        <f>FN10</f>
        <v/>
      </c>
      <c r="GH10" s="699" t="n">
        <v>1800</v>
      </c>
      <c r="GI10" s="699" t="n">
        <v>1600</v>
      </c>
      <c r="GJ10" s="162" t="n">
        <v>1000</v>
      </c>
      <c r="GK10" s="162" t="n">
        <v>800</v>
      </c>
      <c r="GL10" s="162" t="n">
        <v>800</v>
      </c>
      <c r="GM10" s="162" t="n">
        <v>400</v>
      </c>
      <c r="GN10" s="162" t="n">
        <v>200</v>
      </c>
      <c r="GO10" s="162" t="n">
        <v>200</v>
      </c>
      <c r="GP10" s="162" t="n">
        <v>0</v>
      </c>
      <c r="GQ10" s="162" t="n">
        <v>0</v>
      </c>
      <c r="GR10" s="302" t="n">
        <v>0</v>
      </c>
      <c r="GT10" s="65" t="inlineStr">
        <is>
          <t>SACOLA M</t>
        </is>
      </c>
      <c r="GU10" s="208" t="n">
        <v>200</v>
      </c>
      <c r="GV10" s="162" t="n">
        <v>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525">
        <f>GV10-GW10</f>
        <v/>
      </c>
      <c r="HE10" s="65" t="inlineStr">
        <is>
          <t>SACOLA M</t>
        </is>
      </c>
      <c r="HF10" s="208" t="n">
        <v>200</v>
      </c>
      <c r="HG10" s="162" t="n">
        <v>0</v>
      </c>
      <c r="HH10" s="162">
        <f>0+1000</f>
        <v/>
      </c>
      <c r="HI10" s="162" t="n">
        <v>1000</v>
      </c>
      <c r="HJ10" s="162" t="n">
        <v>200</v>
      </c>
      <c r="HK10" s="162" t="n">
        <v>0</v>
      </c>
      <c r="HL10" s="162" t="n">
        <v>0</v>
      </c>
      <c r="HM10" s="162" t="n">
        <v>0</v>
      </c>
      <c r="HN10" s="162" t="n">
        <v>0</v>
      </c>
      <c r="HO10" s="520" t="n">
        <v>0</v>
      </c>
      <c r="HQ10" s="65" t="inlineStr">
        <is>
          <t>SACOLA M</t>
        </is>
      </c>
      <c r="HR10" s="208" t="n">
        <v>200</v>
      </c>
      <c r="HS10" s="162" t="n">
        <v>0</v>
      </c>
      <c r="HT10" s="162">
        <f>DE10</f>
        <v/>
      </c>
      <c r="HU10" s="162" t="n">
        <v>200</v>
      </c>
      <c r="HV10" s="452">
        <f>HT10-HU10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500+FJ11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200+DF11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800+CW11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198">
        <f>BW11+IF(NOT(ISBLANK(OFFSET(BY11,0,6))),N(OFFSET(BY11,0,6)),N(OFFSET(BY11,0,7)))-BX11</f>
        <v/>
      </c>
      <c r="BZ11" s="5" t="n"/>
      <c r="CA11" s="22" t="n"/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/>
      <c r="CI11" s="23" t="n"/>
      <c r="CJ11" s="419" t="n">
        <v>100</v>
      </c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>
        <v>600</v>
      </c>
      <c r="CX11" s="23" t="n"/>
      <c r="CY11" s="23" t="n"/>
      <c r="CZ11" s="219" t="n"/>
      <c r="DA11" s="23" t="n"/>
      <c r="DB11" s="23" t="n"/>
      <c r="DC11" s="23" t="n">
        <v>600</v>
      </c>
      <c r="DD11" s="23" t="n"/>
      <c r="DE11" s="219" t="n">
        <v>100</v>
      </c>
      <c r="DF11" s="23" t="n">
        <v>500</v>
      </c>
      <c r="DG11" s="23" t="n"/>
      <c r="DH11" s="23" t="n">
        <v>100</v>
      </c>
      <c r="DI11" s="23" t="n"/>
      <c r="DJ11" s="23" t="n"/>
      <c r="DK11" s="23" t="n">
        <v>200</v>
      </c>
      <c r="DL11" s="23" t="n"/>
      <c r="DM11" s="23" t="n"/>
      <c r="DN11" s="23" t="n"/>
      <c r="DO11" s="23" t="n"/>
      <c r="DP11" s="434" t="inlineStr">
        <is>
          <t>75 P/ ER</t>
        </is>
      </c>
      <c r="DQ11" s="23" t="n"/>
      <c r="DR11" s="23" t="n"/>
      <c r="DS11" s="23" t="n"/>
      <c r="DT11" s="219" t="n">
        <v>150</v>
      </c>
      <c r="DU11" s="23" t="n"/>
      <c r="DV11" s="23" t="n"/>
      <c r="DW11" s="23" t="n"/>
      <c r="DX11" s="23" t="n"/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>
        <v>400</v>
      </c>
      <c r="EM11" s="23" t="n"/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>
        <v>300</v>
      </c>
      <c r="FK11" s="219" t="n"/>
      <c r="FL11" s="23" t="n"/>
      <c r="FM11" s="23" t="n"/>
      <c r="FN11" s="219" t="n">
        <v>800</v>
      </c>
      <c r="FO11" s="23" t="n"/>
      <c r="FP11" s="23" t="n"/>
      <c r="FQ11" s="23" t="n"/>
      <c r="FR11" s="23" t="n"/>
      <c r="FS11" s="23" t="n"/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E11" s="66" t="inlineStr">
        <is>
          <t>SACOLA G</t>
        </is>
      </c>
      <c r="GF11" s="208" t="n">
        <v>100</v>
      </c>
      <c r="GG11" s="699">
        <f>FN11</f>
        <v/>
      </c>
      <c r="GH11" s="699" t="n">
        <v>200</v>
      </c>
      <c r="GI11" s="699" t="n">
        <v>200</v>
      </c>
      <c r="GJ11" s="162" t="n">
        <v>100</v>
      </c>
      <c r="GK11" s="162" t="n">
        <v>100</v>
      </c>
      <c r="GL11" s="162" t="n">
        <v>100</v>
      </c>
      <c r="GM11" s="162" t="n">
        <v>100</v>
      </c>
      <c r="GN11" s="162" t="n">
        <v>100</v>
      </c>
      <c r="GO11" s="162" t="n">
        <v>100</v>
      </c>
      <c r="GP11" s="162" t="n">
        <v>0</v>
      </c>
      <c r="GQ11" s="162" t="n">
        <v>0</v>
      </c>
      <c r="GR11" s="302" t="n">
        <v>0</v>
      </c>
      <c r="GT11" s="66" t="inlineStr">
        <is>
          <t>SACOLA G</t>
        </is>
      </c>
      <c r="GU11" s="208" t="n">
        <v>100</v>
      </c>
      <c r="GV11" s="162" t="n">
        <v>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525">
        <f>GV11-GW11</f>
        <v/>
      </c>
      <c r="HE11" s="35" t="n"/>
      <c r="HQ11" s="65" t="inlineStr">
        <is>
          <t>SACOLA G</t>
        </is>
      </c>
      <c r="HR11" s="208" t="n">
        <v>100</v>
      </c>
      <c r="HS11" s="162" t="n">
        <v>0</v>
      </c>
      <c r="HT11" s="162">
        <f>DE11</f>
        <v/>
      </c>
      <c r="HU11" s="162" t="n">
        <v>100</v>
      </c>
      <c r="HV11" s="452">
        <f>HT11-HU11</f>
        <v/>
      </c>
      <c r="HX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822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198">
        <f>BW12+IF(NOT(ISBLANK(OFFSET(BY12,0,6))),N(OFFSET(BY12,0,6)),N(OFFSET(BY12,0,7)))-BX12</f>
        <v/>
      </c>
      <c r="BZ12" s="5" t="n"/>
      <c r="CA12" s="22" t="n"/>
      <c r="CB12" s="22" t="n"/>
      <c r="CC12" s="5" t="n"/>
      <c r="CD12" s="27" t="n"/>
      <c r="CE12" s="5" t="n"/>
      <c r="CF12" s="23" t="n"/>
      <c r="CG12" s="23" t="n"/>
      <c r="CH12" s="23" t="n"/>
      <c r="CI12" s="23" t="n"/>
      <c r="CJ12" s="23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19" t="n"/>
      <c r="DA12" s="23" t="n"/>
      <c r="DB12" s="23" t="n"/>
      <c r="DC12" s="23" t="n"/>
      <c r="DD12" s="23" t="n"/>
      <c r="DE12" s="23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19" t="n"/>
      <c r="DQ12" s="23" t="n"/>
      <c r="DR12" s="23" t="n"/>
      <c r="DS12" s="23" t="n"/>
      <c r="DT12" s="219" t="n"/>
      <c r="DU12" s="23" t="n"/>
      <c r="DV12" s="23" t="n"/>
      <c r="DW12" s="23" t="n"/>
      <c r="DX12" s="23" t="n"/>
      <c r="DY12" s="23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19" t="n"/>
      <c r="FL12" s="23" t="n"/>
      <c r="FM12" s="23" t="n"/>
      <c r="FN12" s="219" t="n"/>
      <c r="FO12" s="282" t="inlineStr">
        <is>
          <t>600 P/ ER</t>
        </is>
      </c>
      <c r="FP12" s="23" t="n"/>
      <c r="FQ12" s="23" t="n"/>
      <c r="FR12" s="23" t="n"/>
      <c r="FS12" s="23" t="n"/>
      <c r="FT12" s="23" t="n"/>
      <c r="FU12" s="282" t="inlineStr">
        <is>
          <t>600 P/ ER</t>
        </is>
      </c>
      <c r="FV12" s="23" t="n"/>
      <c r="FW12" s="23" t="n"/>
      <c r="FX12" s="23" t="n"/>
      <c r="FY12" s="23" t="n"/>
      <c r="FZ12" s="23" t="n"/>
      <c r="GA12" s="23" t="n"/>
      <c r="GB12" s="23" t="n"/>
      <c r="GC12" s="23" t="n"/>
      <c r="GE12" s="35" t="n"/>
      <c r="GT12" s="35" t="n"/>
      <c r="HE12" s="35" t="n"/>
      <c r="HQ12" s="35" t="n"/>
    </row>
    <row r="13" hidden="1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822" t="n"/>
      <c r="E13" s="5" t="n"/>
      <c r="F13" s="697" t="n">
        <v>500</v>
      </c>
      <c r="G13" s="697" t="n">
        <v>400</v>
      </c>
      <c r="H13" s="697" t="n">
        <v>600</v>
      </c>
      <c r="I13" s="697" t="n">
        <v>600</v>
      </c>
      <c r="J13" s="697">
        <f>600-600</f>
        <v/>
      </c>
      <c r="K13" s="697" t="n">
        <v>0</v>
      </c>
      <c r="L13" s="697" t="n">
        <v>0</v>
      </c>
      <c r="M13" s="697" t="n">
        <v>0</v>
      </c>
      <c r="N13" s="697" t="n">
        <v>0</v>
      </c>
      <c r="O13" s="697" t="n">
        <v>0</v>
      </c>
      <c r="P13" s="697" t="n">
        <v>0</v>
      </c>
      <c r="Q13" s="697" t="n">
        <v>0</v>
      </c>
      <c r="R13" s="697" t="n"/>
      <c r="S13" s="697" t="n"/>
      <c r="T13" s="697" t="n"/>
      <c r="U13" s="697" t="n"/>
      <c r="V13" s="697" t="n"/>
      <c r="W13" s="697" t="n"/>
      <c r="X13" s="697" t="n"/>
      <c r="Y13" s="697" t="n"/>
      <c r="Z13" s="697" t="n"/>
      <c r="AA13" s="697" t="n"/>
      <c r="AB13" s="697" t="n"/>
      <c r="AC13" s="697" t="n"/>
      <c r="AD13" s="697" t="n"/>
      <c r="AE13" s="697" t="n"/>
      <c r="AF13" s="697" t="n">
        <v>300</v>
      </c>
      <c r="AG13" s="697" t="n"/>
      <c r="AH13" s="697" t="n"/>
      <c r="AI13" s="697" t="n"/>
      <c r="AJ13" s="697" t="n"/>
      <c r="AK13" s="697" t="n"/>
      <c r="AL13" s="697" t="n"/>
      <c r="AM13" s="697" t="n"/>
      <c r="AN13" s="697" t="n"/>
      <c r="AO13" s="697" t="n"/>
      <c r="AP13" s="697" t="n"/>
      <c r="AQ13" s="697" t="n"/>
      <c r="AR13" s="697" t="n"/>
      <c r="AS13" s="697" t="n"/>
      <c r="AT13" s="697" t="n"/>
      <c r="AU13" s="697" t="n"/>
      <c r="AV13" s="697" t="n"/>
      <c r="AW13" s="697" t="n"/>
      <c r="AX13" s="697" t="n"/>
      <c r="AY13" s="697" t="n"/>
      <c r="AZ13" s="697" t="n"/>
      <c r="BA13" s="697" t="n"/>
      <c r="BB13" s="697" t="n"/>
      <c r="BC13" s="697" t="n"/>
      <c r="BD13" s="697" t="n"/>
      <c r="BE13" s="697" t="n"/>
      <c r="BF13" s="697" t="n"/>
      <c r="BG13" s="697" t="n"/>
      <c r="BH13" s="697" t="n"/>
      <c r="BI13" s="697" t="n"/>
      <c r="BJ13" s="697" t="n"/>
      <c r="BK13" s="697" t="n"/>
      <c r="BL13" s="697" t="n"/>
      <c r="BM13" s="697" t="n"/>
      <c r="BN13" s="697" t="n"/>
      <c r="BO13" s="697" t="n"/>
      <c r="BP13" s="697" t="n"/>
      <c r="BQ13" s="697" t="n"/>
      <c r="BR13" s="697" t="n"/>
      <c r="BS13" s="697" t="n"/>
      <c r="BT13" s="697" t="n"/>
      <c r="BU13" s="697" t="n"/>
      <c r="BV13" s="697" t="n"/>
      <c r="BW13" s="697" t="n"/>
      <c r="BX13" s="697" t="n"/>
      <c r="BY13" s="198">
        <f>BW13+IF(NOT(ISBLANK(OFFSET(BY13,0,6))),N(OFFSET(BY13,0,6)),N(OFFSET(BY13,0,7)))-BX13</f>
        <v/>
      </c>
      <c r="BZ13" s="5" t="n"/>
      <c r="CA13" s="22" t="n"/>
      <c r="CB13" s="22" t="n"/>
      <c r="CC13" s="5" t="n"/>
      <c r="CD13" s="27" t="n"/>
      <c r="CE13" s="5" t="n"/>
      <c r="CF13" s="23" t="n"/>
      <c r="CG13" s="23" t="n"/>
      <c r="CH13" s="23" t="n"/>
      <c r="CI13" s="23" t="n"/>
      <c r="CJ13" s="23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19" t="n"/>
      <c r="DA13" s="23" t="n"/>
      <c r="DB13" s="23" t="n"/>
      <c r="DC13" s="23" t="n"/>
      <c r="DD13" s="23" t="n"/>
      <c r="DE13" s="23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19" t="n"/>
      <c r="DQ13" s="23" t="n"/>
      <c r="DR13" s="23" t="n"/>
      <c r="DS13" s="23" t="n"/>
      <c r="DT13" s="219" t="n"/>
      <c r="DU13" s="23" t="n"/>
      <c r="DV13" s="23" t="n"/>
      <c r="DW13" s="23" t="n"/>
      <c r="DX13" s="23" t="n"/>
      <c r="DY13" s="23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19" t="n"/>
      <c r="FL13" s="23" t="n"/>
      <c r="FM13" s="23" t="n"/>
      <c r="FN13" s="219" t="n"/>
      <c r="FO13" s="282" t="inlineStr">
        <is>
          <t>600 P/ ER</t>
        </is>
      </c>
      <c r="FP13" s="23" t="n"/>
      <c r="FQ13" s="23" t="n"/>
      <c r="FR13" s="23" t="n"/>
      <c r="FS13" s="23" t="n"/>
      <c r="FT13" s="23" t="n"/>
      <c r="FU13" s="282" t="inlineStr">
        <is>
          <t>600 P/ ER</t>
        </is>
      </c>
      <c r="FV13" s="23" t="n"/>
      <c r="FW13" s="23" t="n"/>
      <c r="FX13" s="23" t="n"/>
      <c r="FY13" s="23" t="n">
        <v>200</v>
      </c>
      <c r="FZ13" s="23" t="n"/>
      <c r="GA13" s="23" t="n"/>
      <c r="GB13" s="23" t="n"/>
      <c r="GC13" s="23" t="n"/>
      <c r="GE13" s="35" t="n"/>
      <c r="GT13" s="35" t="n"/>
      <c r="HE13" s="35" t="n"/>
      <c r="HQ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150" t="n"/>
      <c r="CB14" s="150" t="n"/>
      <c r="CC14" s="5" t="n"/>
      <c r="CD14" s="18" t="n"/>
      <c r="CE14" s="726" t="n"/>
      <c r="CF14" s="20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308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47" t="n"/>
      <c r="DQ14" s="20" t="n"/>
      <c r="DR14" s="20" t="n"/>
      <c r="DS14" s="20" t="n"/>
      <c r="DT14" s="47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308" t="n"/>
      <c r="FL14" s="20" t="n"/>
      <c r="FM14" s="20" t="n"/>
      <c r="FN14" s="308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E14" s="35" t="n"/>
      <c r="GT14" s="35" t="n"/>
      <c r="HE14" s="35" t="n"/>
      <c r="HQ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6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45908</v>
      </c>
      <c r="AQ15" s="746" t="n">
        <v>45915</v>
      </c>
      <c r="AR15" s="746" t="n">
        <v>45922</v>
      </c>
      <c r="AS15" s="746" t="n">
        <v>45929</v>
      </c>
      <c r="AT15" s="746" t="n">
        <v>45936</v>
      </c>
      <c r="AU15" s="746" t="n">
        <v>45943</v>
      </c>
      <c r="AV15" s="746" t="n">
        <v>45950</v>
      </c>
      <c r="AW15" s="746" t="n">
        <v>45957</v>
      </c>
      <c r="AX15" s="746" t="n">
        <v>45964</v>
      </c>
      <c r="AY15" s="746" t="n">
        <v>45971</v>
      </c>
      <c r="AZ15" s="746" t="n">
        <v>45978</v>
      </c>
      <c r="BA15" s="746" t="n">
        <v>45985</v>
      </c>
      <c r="BB15" s="746" t="n">
        <v>45992</v>
      </c>
      <c r="BC15" s="746" t="n">
        <v>45999</v>
      </c>
      <c r="BD15" s="746" t="n">
        <v>46006</v>
      </c>
      <c r="BE15" s="746" t="n">
        <v>46013</v>
      </c>
      <c r="BF15" s="746" t="n">
        <v>46020</v>
      </c>
      <c r="BG15" s="746" t="n">
        <v>46027</v>
      </c>
      <c r="BH15" s="746" t="n">
        <v>46034</v>
      </c>
      <c r="BI15" s="746" t="n">
        <v>46041</v>
      </c>
      <c r="BJ15" s="746" t="n">
        <v>46048</v>
      </c>
      <c r="BK15" s="746" t="n">
        <v>46055</v>
      </c>
      <c r="BL15" s="746" t="n">
        <v>46062</v>
      </c>
      <c r="BM15" s="746" t="n">
        <v>46069</v>
      </c>
      <c r="BN15" s="746" t="n">
        <v>46076</v>
      </c>
      <c r="BO15" s="746" t="n">
        <v>46083</v>
      </c>
      <c r="BP15" s="746" t="n">
        <v>46090</v>
      </c>
      <c r="BQ15" s="746" t="n">
        <v>46097</v>
      </c>
      <c r="BR15" s="746" t="n">
        <v>46104</v>
      </c>
      <c r="BS15" s="746" t="n">
        <v>46111</v>
      </c>
      <c r="BT15" s="746" t="n">
        <v>46118</v>
      </c>
      <c r="BU15" s="746" t="n">
        <v>46125</v>
      </c>
      <c r="BV15" s="746" t="n">
        <v>46132</v>
      </c>
      <c r="BW15" s="746" t="n">
        <v>46139</v>
      </c>
      <c r="BX15" s="746" t="n">
        <v>46146</v>
      </c>
      <c r="BY15" s="748" t="inlineStr">
        <is>
          <t>USOU</t>
        </is>
      </c>
      <c r="BZ15" s="5" t="n"/>
      <c r="CA15" s="44" t="inlineStr">
        <is>
          <t>Pendências</t>
        </is>
      </c>
      <c r="CB15" s="44" t="inlineStr">
        <is>
          <t>Pendências</t>
        </is>
      </c>
      <c r="CC15" s="5" t="n"/>
      <c r="CD15" s="12" t="inlineStr">
        <is>
          <t>Novo Pedido</t>
        </is>
      </c>
      <c r="CE15" s="726" t="n"/>
      <c r="CF15" s="794" t="n">
        <v>46149</v>
      </c>
      <c r="CG15" s="794" t="n">
        <v>46142</v>
      </c>
      <c r="CH15" s="794" t="n">
        <v>46114</v>
      </c>
      <c r="CI15" s="794" t="n">
        <v>46107</v>
      </c>
      <c r="CJ15" s="795" t="n">
        <v>46065</v>
      </c>
      <c r="CK15" s="794" t="n">
        <v>46099</v>
      </c>
      <c r="CL15" s="794" t="n">
        <v>46092</v>
      </c>
      <c r="CM15" s="796" t="n">
        <v>46045</v>
      </c>
      <c r="CN15" s="794" t="n">
        <v>46077</v>
      </c>
      <c r="CO15" s="794" t="n">
        <v>46048</v>
      </c>
      <c r="CP15" s="794" t="n">
        <v>46043</v>
      </c>
      <c r="CQ15" s="794" t="n">
        <v>46024</v>
      </c>
      <c r="CR15" s="794" t="n">
        <v>46017</v>
      </c>
      <c r="CS15" s="794" t="n">
        <v>46007</v>
      </c>
      <c r="CT15" s="794" t="n">
        <v>46001</v>
      </c>
      <c r="CU15" s="794" t="n">
        <v>46001</v>
      </c>
      <c r="CV15" s="794" t="n">
        <v>45994</v>
      </c>
      <c r="CW15" s="794" t="n">
        <v>45986</v>
      </c>
      <c r="CX15" s="794" t="n">
        <v>45980</v>
      </c>
      <c r="CY15" s="794" t="n">
        <v>45980</v>
      </c>
      <c r="CZ15" s="797" t="n">
        <v>45982</v>
      </c>
      <c r="DA15" s="794" t="n">
        <v>45973</v>
      </c>
      <c r="DB15" s="794" t="n">
        <v>45965</v>
      </c>
      <c r="DC15" s="794" t="n">
        <v>45960</v>
      </c>
      <c r="DD15" s="794" t="n">
        <v>45951</v>
      </c>
      <c r="DE15" s="737" t="n">
        <v>45903</v>
      </c>
      <c r="DF15" s="794" t="n">
        <v>45945</v>
      </c>
      <c r="DG15" s="794" t="n">
        <v>45937</v>
      </c>
      <c r="DH15" s="794" t="n">
        <v>45931</v>
      </c>
      <c r="DI15" s="794" t="n">
        <v>45931</v>
      </c>
      <c r="DJ15" s="794" t="n">
        <v>45915</v>
      </c>
      <c r="DK15" s="794" t="n">
        <v>45923</v>
      </c>
      <c r="DL15" s="794" t="n">
        <v>45903</v>
      </c>
      <c r="DM15" s="794" t="n">
        <v>45915</v>
      </c>
      <c r="DN15" s="797" t="n">
        <v>45918</v>
      </c>
      <c r="DO15" s="794" t="n">
        <v>45909</v>
      </c>
      <c r="DP15" s="738" t="n">
        <v>45903</v>
      </c>
      <c r="DQ15" s="794" t="n">
        <v>45895</v>
      </c>
      <c r="DR15" s="797" t="n">
        <v>45896</v>
      </c>
      <c r="DS15" s="794" t="n">
        <v>45881</v>
      </c>
      <c r="DT15" s="738" t="n">
        <v>45839</v>
      </c>
      <c r="DU15" s="794" t="n">
        <v>45888</v>
      </c>
      <c r="DV15" s="794" t="n">
        <v>45881</v>
      </c>
      <c r="DW15" s="797" t="n">
        <v>45881</v>
      </c>
      <c r="DX15" s="794" t="n">
        <v>45874</v>
      </c>
      <c r="DY15" s="797" t="n">
        <v>45876</v>
      </c>
      <c r="DZ15" s="794" t="n">
        <v>45867</v>
      </c>
      <c r="EA15" s="794" t="n">
        <v>45867</v>
      </c>
      <c r="EB15" s="794" t="n">
        <v>45860</v>
      </c>
      <c r="EC15" s="797" t="n">
        <v>45861</v>
      </c>
      <c r="ED15" s="797" t="n">
        <v>45860</v>
      </c>
      <c r="EE15" s="794" t="n">
        <v>45853</v>
      </c>
      <c r="EF15" s="739" t="n">
        <v>45855</v>
      </c>
      <c r="EG15" s="794" t="n">
        <v>45848</v>
      </c>
      <c r="EH15" s="794" t="n">
        <v>45839</v>
      </c>
      <c r="EI15" s="794" t="n">
        <v>45839</v>
      </c>
      <c r="EJ15" s="797" t="n">
        <v>45835</v>
      </c>
      <c r="EK15" s="794" t="n">
        <v>45790</v>
      </c>
      <c r="EL15" s="794" t="n">
        <v>45825</v>
      </c>
      <c r="EM15" s="794" t="n">
        <v>45819</v>
      </c>
      <c r="EN15" s="794" t="n">
        <v>45813</v>
      </c>
      <c r="EO15" s="794" t="n">
        <v>45797</v>
      </c>
      <c r="EP15" s="797" t="n">
        <v>45811</v>
      </c>
      <c r="EQ15" s="797" t="n">
        <v>45810</v>
      </c>
      <c r="ER15" s="797" t="n">
        <v>45806</v>
      </c>
      <c r="ES15" s="797" t="n">
        <v>45803</v>
      </c>
      <c r="ET15" s="755" t="n">
        <v>45803</v>
      </c>
      <c r="EU15" s="794" t="n">
        <v>45784</v>
      </c>
      <c r="EV15" s="797" t="n">
        <v>45796</v>
      </c>
      <c r="EW15" s="794" t="n">
        <v>45784</v>
      </c>
      <c r="EX15" s="794" t="n">
        <v>45764</v>
      </c>
      <c r="EY15" s="797" t="n">
        <v>45791</v>
      </c>
      <c r="EZ15" s="794" t="n">
        <v>45783</v>
      </c>
      <c r="FA15" s="794" t="n">
        <v>45770</v>
      </c>
      <c r="FB15" s="794" t="n">
        <v>45775</v>
      </c>
      <c r="FC15" s="794" t="n">
        <v>45770</v>
      </c>
      <c r="FD15" s="794" t="n">
        <v>45770</v>
      </c>
      <c r="FE15" s="797" t="n">
        <v>45775</v>
      </c>
      <c r="FF15" s="797" t="n">
        <v>45770</v>
      </c>
      <c r="FG15" s="794" t="n">
        <v>45756</v>
      </c>
      <c r="FH15" s="794" t="n">
        <v>45735</v>
      </c>
      <c r="FI15" s="797" t="n">
        <v>45751</v>
      </c>
      <c r="FJ15" s="794" t="n">
        <v>45743</v>
      </c>
      <c r="FK15" s="746" t="n">
        <v>45729</v>
      </c>
      <c r="FL15" s="794" t="n">
        <v>45722</v>
      </c>
      <c r="FM15" s="794" t="n">
        <v>45722</v>
      </c>
      <c r="FN15" s="746" t="n">
        <v>45700</v>
      </c>
      <c r="FO15" s="797" t="n">
        <v>45722</v>
      </c>
      <c r="FP15" s="794" t="n">
        <v>45714</v>
      </c>
      <c r="FQ15" s="794" t="n">
        <v>45706</v>
      </c>
      <c r="FR15" s="794" t="n">
        <v>45684</v>
      </c>
      <c r="FS15" s="794" t="n">
        <v>45699</v>
      </c>
      <c r="FT15" s="794" t="n">
        <v>45693</v>
      </c>
      <c r="FU15" s="797" t="n">
        <v>45687</v>
      </c>
      <c r="FV15" s="794" t="n">
        <v>45685</v>
      </c>
      <c r="FW15" s="797" t="n">
        <v>45684</v>
      </c>
      <c r="FX15" s="794" t="n">
        <v>45674</v>
      </c>
      <c r="FY15" s="794" t="n">
        <v>45664</v>
      </c>
      <c r="FZ15" s="794" t="n">
        <v>45660</v>
      </c>
      <c r="GA15" s="794" t="n">
        <v>45660</v>
      </c>
      <c r="GB15" s="794" t="n">
        <v>45652</v>
      </c>
      <c r="GC15" s="794" t="n">
        <v>45643</v>
      </c>
      <c r="GE15" s="298" t="inlineStr">
        <is>
          <t>SACOLAS VENDA</t>
        </is>
      </c>
      <c r="GF15" s="544" t="inlineStr">
        <is>
          <t>PCT</t>
        </is>
      </c>
      <c r="GG15" s="536" t="n">
        <v>45726</v>
      </c>
      <c r="GH15" s="536" t="n">
        <v>45733</v>
      </c>
      <c r="GI15" s="536" t="n">
        <v>45740</v>
      </c>
      <c r="GJ15" s="322" t="n">
        <v>45747</v>
      </c>
      <c r="GK15" s="536" t="n">
        <v>45754</v>
      </c>
      <c r="GL15" s="536" t="n">
        <v>45761</v>
      </c>
      <c r="GM15" s="536" t="n">
        <v>45768</v>
      </c>
      <c r="GN15" s="536" t="n">
        <v>45775</v>
      </c>
      <c r="GO15" s="536" t="n">
        <v>45782</v>
      </c>
      <c r="GP15" s="536" t="n">
        <v>45789</v>
      </c>
      <c r="GQ15" s="536" t="n">
        <v>45796</v>
      </c>
      <c r="GR15" s="235" t="inlineStr">
        <is>
          <t>USOU</t>
        </is>
      </c>
      <c r="GT15" s="804" t="inlineStr">
        <is>
          <t>SACOLAS VENDA</t>
        </is>
      </c>
      <c r="GU15" s="805" t="inlineStr">
        <is>
          <t>PCT</t>
        </is>
      </c>
      <c r="GV15" s="398" t="n">
        <v>45796</v>
      </c>
      <c r="GW15" s="398" t="n">
        <v>45803</v>
      </c>
      <c r="GX15" s="398" t="n">
        <v>45810</v>
      </c>
      <c r="GY15" s="398" t="n">
        <v>45817</v>
      </c>
      <c r="GZ15" s="398" t="n">
        <v>45824</v>
      </c>
      <c r="HA15" s="398" t="n">
        <v>45831</v>
      </c>
      <c r="HB15" s="398" t="n">
        <v>45838</v>
      </c>
      <c r="HC15" s="368" t="inlineStr">
        <is>
          <t>USOU</t>
        </is>
      </c>
      <c r="HE15" s="809" t="inlineStr">
        <is>
          <t>SACOLAS VENDA</t>
        </is>
      </c>
      <c r="HF15" s="810" t="inlineStr">
        <is>
          <t>PCT</t>
        </is>
      </c>
      <c r="HG15" s="811" t="n">
        <v>45845</v>
      </c>
      <c r="HH15" s="811" t="n">
        <v>45852</v>
      </c>
      <c r="HI15" s="811" t="n">
        <v>45859</v>
      </c>
      <c r="HJ15" s="811" t="n">
        <v>45866</v>
      </c>
      <c r="HK15" s="811" t="n">
        <v>45873</v>
      </c>
      <c r="HL15" s="811" t="n">
        <v>45880</v>
      </c>
      <c r="HM15" s="811" t="n">
        <v>45887</v>
      </c>
      <c r="HN15" s="811" t="n">
        <v>45894</v>
      </c>
      <c r="HO15" s="813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699" t="n">
        <v>280</v>
      </c>
      <c r="C16" s="762" t="n">
        <v>166.44</v>
      </c>
      <c r="D16" s="382" t="n">
        <v>20</v>
      </c>
      <c r="E16" s="826" t="n"/>
      <c r="F16" s="31">
        <f>41+GB16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63+FM16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0+DA16</f>
        <v/>
      </c>
      <c r="BA16" s="31" t="n">
        <v>300</v>
      </c>
      <c r="BB16" s="31" t="n">
        <v>260</v>
      </c>
      <c r="BC16" s="31" t="n">
        <v>159</v>
      </c>
      <c r="BD16" s="31">
        <f>141+CU16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192">
        <f>BW16+IF(NOT(ISBLANK(OFFSET(BY16,0,6))),N(OFFSET(BY16,0,6)),N(OFFSET(BY16,0,7)))-BX16</f>
        <v/>
      </c>
      <c r="BZ16" s="72" t="n"/>
      <c r="CA16" s="22" t="n"/>
      <c r="CB16" s="22" t="n"/>
      <c r="CC16" s="5" t="n"/>
      <c r="CD16" s="27" t="n"/>
      <c r="CE16" s="826" t="n"/>
      <c r="CF16" s="23" t="n">
        <v>0</v>
      </c>
      <c r="CG16" s="23" t="n">
        <v>0</v>
      </c>
      <c r="CH16" s="23" t="n"/>
      <c r="CI16" s="23" t="n"/>
      <c r="CJ16" s="23" t="n"/>
      <c r="CK16" s="23" t="n"/>
      <c r="CL16" s="23" t="n"/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>
        <v>300</v>
      </c>
      <c r="CV16" s="23" t="n"/>
      <c r="CW16" s="23" t="n"/>
      <c r="CX16" s="23" t="n"/>
      <c r="CY16" s="23" t="n"/>
      <c r="CZ16" s="219" t="n"/>
      <c r="DA16" s="23" t="n">
        <v>300</v>
      </c>
      <c r="DB16" s="23" t="n"/>
      <c r="DC16" s="23" t="n"/>
      <c r="DD16" s="23" t="n"/>
      <c r="DE16" s="23" t="n"/>
      <c r="DF16" s="23" t="n"/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>
        <v>28</v>
      </c>
      <c r="EC16" s="23" t="n"/>
      <c r="ED16" s="23" t="n"/>
      <c r="EE16" s="23" t="n"/>
      <c r="EF16" s="23" t="n"/>
      <c r="EG16" s="23" t="n"/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19" t="n"/>
      <c r="FL16" s="23" t="n">
        <v>28</v>
      </c>
      <c r="FM16" s="23" t="n">
        <v>28</v>
      </c>
      <c r="FN16" s="219" t="n">
        <v>800</v>
      </c>
      <c r="FO16" s="23" t="n"/>
      <c r="FP16" s="23" t="n"/>
      <c r="FQ16" s="23" t="n"/>
      <c r="FR16" s="23" t="n"/>
      <c r="FS16" s="23" t="n"/>
      <c r="FT16" s="23" t="n"/>
      <c r="FU16" s="23" t="n"/>
      <c r="FV16" s="23" t="n"/>
      <c r="FW16" s="23" t="n"/>
      <c r="FX16" s="23" t="n"/>
      <c r="FY16" s="23" t="n">
        <v>56</v>
      </c>
      <c r="FZ16" s="23" t="n"/>
      <c r="GA16" s="23" t="n"/>
      <c r="GB16" s="23" t="n">
        <v>28</v>
      </c>
      <c r="GC16" s="23" t="n">
        <v>28</v>
      </c>
      <c r="GE16" s="65" t="inlineStr">
        <is>
          <t>SACOLA P</t>
        </is>
      </c>
      <c r="GF16" s="208" t="n">
        <v>200</v>
      </c>
      <c r="GG16" s="699">
        <f>FN16</f>
        <v/>
      </c>
      <c r="GH16" s="699" t="n">
        <v>800</v>
      </c>
      <c r="GI16" s="699" t="n">
        <v>789</v>
      </c>
      <c r="GJ16" s="699" t="n">
        <v>757</v>
      </c>
      <c r="GK16" s="699" t="n">
        <v>704</v>
      </c>
      <c r="GL16" s="699" t="n">
        <v>683</v>
      </c>
      <c r="GM16" s="699" t="n">
        <v>381</v>
      </c>
      <c r="GN16" s="699" t="n">
        <v>380</v>
      </c>
      <c r="GO16" s="699" t="n">
        <v>375</v>
      </c>
      <c r="GP16" s="699" t="n">
        <v>0</v>
      </c>
      <c r="GQ16" s="699" t="n">
        <v>0</v>
      </c>
      <c r="GR16" s="303" t="n">
        <v>0</v>
      </c>
      <c r="GT16" s="819" t="n"/>
      <c r="GU16" s="745" t="n"/>
      <c r="GV16" s="745" t="n"/>
      <c r="GW16" s="745" t="n"/>
      <c r="GX16" s="745" t="n"/>
      <c r="GY16" s="745" t="n"/>
      <c r="GZ16" s="745" t="n"/>
      <c r="HA16" s="745" t="n"/>
      <c r="HB16" s="745" t="n"/>
      <c r="HC16" s="745" t="n"/>
      <c r="HE16" s="819" t="n"/>
      <c r="HF16" s="745" t="n"/>
      <c r="HG16" s="745" t="n"/>
      <c r="HH16" s="745" t="n"/>
      <c r="HI16" s="745" t="n"/>
      <c r="HJ16" s="745" t="n"/>
      <c r="HK16" s="745" t="n"/>
      <c r="HL16" s="745" t="n"/>
      <c r="HM16" s="745" t="n"/>
      <c r="HN16" s="745" t="n"/>
      <c r="HO16" s="745" t="n"/>
    </row>
    <row r="17" ht="18" customFormat="1" customHeight="1" s="3">
      <c r="A17" s="37" t="inlineStr">
        <is>
          <t>KIT SACOLA P VERDE (KIT C/ 10)</t>
        </is>
      </c>
      <c r="B17" s="699" t="n">
        <v>200</v>
      </c>
      <c r="C17" s="762" t="n">
        <v>184.08</v>
      </c>
      <c r="D17" s="382" t="n">
        <v>20</v>
      </c>
      <c r="E17" s="2" t="n"/>
      <c r="F17" s="697">
        <f>37+GB17</f>
        <v/>
      </c>
      <c r="G17" s="697" t="n">
        <v>33</v>
      </c>
      <c r="H17" s="697" t="n">
        <v>84</v>
      </c>
      <c r="I17" s="697" t="n">
        <v>78</v>
      </c>
      <c r="J17" s="697" t="n">
        <v>76</v>
      </c>
      <c r="K17" s="697" t="n">
        <v>62</v>
      </c>
      <c r="L17" s="697">
        <f>60+FT17</f>
        <v/>
      </c>
      <c r="M17" s="697" t="n">
        <v>100</v>
      </c>
      <c r="N17" s="697" t="n">
        <v>96</v>
      </c>
      <c r="O17" s="697" t="n">
        <v>92</v>
      </c>
      <c r="P17" s="697" t="n">
        <v>89</v>
      </c>
      <c r="Q17" s="697" t="n">
        <v>87</v>
      </c>
      <c r="R17" s="697" t="n">
        <v>80</v>
      </c>
      <c r="S17" s="697" t="n">
        <v>80</v>
      </c>
      <c r="T17" s="697" t="n">
        <v>78</v>
      </c>
      <c r="U17" s="697" t="n">
        <v>74</v>
      </c>
      <c r="V17" s="697" t="n">
        <v>70</v>
      </c>
      <c r="W17" s="697" t="n">
        <v>70</v>
      </c>
      <c r="X17" s="697" t="n">
        <v>68</v>
      </c>
      <c r="Y17" s="697" t="n">
        <v>62</v>
      </c>
      <c r="Z17" s="697" t="n">
        <v>57</v>
      </c>
      <c r="AA17" s="697" t="n">
        <v>54</v>
      </c>
      <c r="AB17" s="697" t="n">
        <v>53</v>
      </c>
      <c r="AC17" s="697" t="n">
        <v>48</v>
      </c>
      <c r="AD17" s="697" t="n">
        <v>40</v>
      </c>
      <c r="AE17" s="697">
        <f>37+41</f>
        <v/>
      </c>
      <c r="AF17" s="697" t="n">
        <v>68</v>
      </c>
      <c r="AG17" s="697" t="n">
        <v>66</v>
      </c>
      <c r="AH17" s="697" t="n">
        <v>64</v>
      </c>
      <c r="AI17" s="697" t="n">
        <v>59</v>
      </c>
      <c r="AJ17" s="697" t="n">
        <v>56</v>
      </c>
      <c r="AK17" s="697" t="n">
        <v>55</v>
      </c>
      <c r="AL17" s="697" t="n">
        <v>41</v>
      </c>
      <c r="AM17" s="697" t="n">
        <v>34</v>
      </c>
      <c r="AN17" s="697" t="n">
        <v>25</v>
      </c>
      <c r="AO17" s="697" t="n">
        <v>20</v>
      </c>
      <c r="AP17" s="697" t="n">
        <v>19</v>
      </c>
      <c r="AQ17" s="697" t="n">
        <v>11</v>
      </c>
      <c r="AR17" s="697" t="n">
        <v>28</v>
      </c>
      <c r="AS17" s="697" t="n">
        <v>26</v>
      </c>
      <c r="AT17" s="697" t="n">
        <v>23</v>
      </c>
      <c r="AU17" s="697" t="n">
        <v>18</v>
      </c>
      <c r="AV17" s="697" t="n">
        <v>14</v>
      </c>
      <c r="AW17" s="697" t="n">
        <v>11</v>
      </c>
      <c r="AX17" s="697" t="n">
        <v>11</v>
      </c>
      <c r="AY17" s="697" t="n">
        <v>2</v>
      </c>
      <c r="AZ17" s="697">
        <f>0+DA17</f>
        <v/>
      </c>
      <c r="BA17" s="697" t="n">
        <v>200</v>
      </c>
      <c r="BB17" s="697" t="n">
        <v>186</v>
      </c>
      <c r="BC17" s="697">
        <f>180+CV17</f>
        <v/>
      </c>
      <c r="BD17" s="697">
        <f>360+CU17</f>
        <v/>
      </c>
      <c r="BE17" s="697" t="n">
        <v>555</v>
      </c>
      <c r="BF17" s="697" t="n">
        <v>533</v>
      </c>
      <c r="BG17" s="697" t="n">
        <v>533</v>
      </c>
      <c r="BH17" s="697" t="n">
        <v>533</v>
      </c>
      <c r="BI17" s="697" t="n">
        <v>527</v>
      </c>
      <c r="BJ17" s="697" t="n">
        <v>525</v>
      </c>
      <c r="BK17" s="697" t="n">
        <v>520</v>
      </c>
      <c r="BL17" s="697" t="n">
        <v>517</v>
      </c>
      <c r="BM17" s="697" t="n">
        <v>517</v>
      </c>
      <c r="BN17" s="697" t="n">
        <v>517</v>
      </c>
      <c r="BO17" s="697" t="n">
        <v>501</v>
      </c>
      <c r="BP17" s="697" t="n">
        <v>489</v>
      </c>
      <c r="BQ17" s="697" t="n">
        <v>489</v>
      </c>
      <c r="BR17" s="697" t="n">
        <v>461</v>
      </c>
      <c r="BS17" s="697" t="n">
        <v>457</v>
      </c>
      <c r="BT17" s="697" t="n"/>
      <c r="BU17" s="697" t="n"/>
      <c r="BV17" s="697" t="n"/>
      <c r="BW17" s="697" t="n"/>
      <c r="BX17" s="697" t="n"/>
      <c r="BY17" s="192">
        <f>BW17+IF(NOT(ISBLANK(OFFSET(BY17,0,6))),N(OFFSET(BY17,0,6)),N(OFFSET(BY17,0,7)))-BX17</f>
        <v/>
      </c>
      <c r="BZ17" s="72" t="n"/>
      <c r="CA17" s="22" t="n"/>
      <c r="CB17" s="22" t="n"/>
      <c r="CC17" s="5" t="n"/>
      <c r="CD17" s="27" t="n"/>
      <c r="CE17" s="2" t="n"/>
      <c r="CF17" s="23" t="n">
        <v>0</v>
      </c>
      <c r="CG17" s="23" t="n">
        <v>0</v>
      </c>
      <c r="CH17" s="23" t="n"/>
      <c r="CI17" s="23" t="n"/>
      <c r="CJ17" s="419" t="n">
        <v>200</v>
      </c>
      <c r="CK17" s="23" t="n"/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/>
      <c r="CU17" s="23" t="n">
        <v>200</v>
      </c>
      <c r="CV17" s="23" t="n">
        <v>200</v>
      </c>
      <c r="CW17" s="23" t="n"/>
      <c r="CX17" s="23" t="n"/>
      <c r="CY17" s="23" t="n"/>
      <c r="CZ17" s="219" t="n"/>
      <c r="DA17" s="23" t="n">
        <v>200</v>
      </c>
      <c r="DB17" s="23" t="n"/>
      <c r="DC17" s="23" t="n"/>
      <c r="DD17" s="23" t="n"/>
      <c r="DE17" s="23" t="n"/>
      <c r="DF17" s="23" t="n"/>
      <c r="DG17" s="23" t="n"/>
      <c r="DH17" s="23" t="n"/>
      <c r="DI17" s="23" t="n"/>
      <c r="DJ17" s="23" t="n"/>
      <c r="DK17" s="23" t="n"/>
      <c r="DL17" s="23" t="n"/>
      <c r="DM17" s="23" t="n">
        <v>20</v>
      </c>
      <c r="DN17" s="23" t="n"/>
      <c r="DO17" s="23" t="n"/>
      <c r="DP17" s="23" t="n"/>
      <c r="DQ17" s="23" t="n"/>
      <c r="DR17" s="23" t="n"/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92" t="inlineStr">
        <is>
          <t>100 DE ER</t>
        </is>
      </c>
      <c r="EG17" s="23" t="n"/>
      <c r="EH17" s="23" t="n"/>
      <c r="EI17" s="23" t="n"/>
      <c r="EJ17" s="282" t="inlineStr">
        <is>
          <t>41 DE ERB</t>
        </is>
      </c>
      <c r="EK17" s="23" t="n"/>
      <c r="EL17" s="23" t="n"/>
      <c r="EM17" s="23" t="n"/>
      <c r="EN17" s="23" t="n"/>
      <c r="EO17" s="23" t="n"/>
      <c r="EP17" s="23" t="n"/>
      <c r="EQ17" s="23" t="n"/>
      <c r="ER17" s="23" t="n"/>
      <c r="ES17" s="23" t="n"/>
      <c r="ET17" s="376" t="inlineStr">
        <is>
          <t>50 DE ERB</t>
        </is>
      </c>
      <c r="EU17" s="23" t="n"/>
      <c r="EV17" s="23" t="n"/>
      <c r="EW17" s="23" t="n"/>
      <c r="EX17" s="23" t="n"/>
      <c r="EY17" s="23" t="n"/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19" t="n"/>
      <c r="FL17" s="23" t="n"/>
      <c r="FM17" s="23" t="n"/>
      <c r="FN17" s="219" t="n">
        <v>600</v>
      </c>
      <c r="FO17" s="23" t="n"/>
      <c r="FP17" s="23" t="n"/>
      <c r="FQ17" s="23" t="n"/>
      <c r="FR17" s="23" t="n"/>
      <c r="FS17" s="23" t="n"/>
      <c r="FT17" s="23" t="n">
        <v>40</v>
      </c>
      <c r="FU17" s="23" t="n"/>
      <c r="FV17" s="23" t="n"/>
      <c r="FW17" s="23" t="n"/>
      <c r="FX17" s="23" t="n"/>
      <c r="FY17" s="23" t="n">
        <v>60</v>
      </c>
      <c r="FZ17" s="23" t="n"/>
      <c r="GA17" s="23" t="n"/>
      <c r="GB17" s="23" t="n">
        <v>40</v>
      </c>
      <c r="GC17" s="23" t="n">
        <v>20</v>
      </c>
      <c r="GE17" s="65" t="inlineStr">
        <is>
          <t>SACOLA M</t>
        </is>
      </c>
      <c r="GF17" s="208" t="n">
        <v>200</v>
      </c>
      <c r="GG17" s="699">
        <f>FN17</f>
        <v/>
      </c>
      <c r="GH17" s="699" t="n">
        <v>565</v>
      </c>
      <c r="GI17" s="699" t="n">
        <v>505</v>
      </c>
      <c r="GJ17" s="699" t="n">
        <v>505</v>
      </c>
      <c r="GK17" s="699" t="n">
        <v>495</v>
      </c>
      <c r="GL17" s="699" t="n">
        <v>469</v>
      </c>
      <c r="GM17" s="699" t="n">
        <v>466</v>
      </c>
      <c r="GN17" s="699" t="n">
        <v>456</v>
      </c>
      <c r="GO17" s="699" t="n">
        <v>456</v>
      </c>
      <c r="GP17" s="699" t="n">
        <v>0</v>
      </c>
      <c r="GQ17" s="699" t="n">
        <v>0</v>
      </c>
      <c r="GR17" s="303" t="n">
        <v>0</v>
      </c>
      <c r="GT17" s="65" t="inlineStr">
        <is>
          <t>SACOLA M</t>
        </is>
      </c>
      <c r="GU17" s="208" t="n">
        <v>200</v>
      </c>
      <c r="GV17" s="699">
        <f>0+50</f>
        <v/>
      </c>
      <c r="GW17" s="699" t="n">
        <v>50</v>
      </c>
      <c r="GX17" s="699" t="n">
        <v>0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369" t="n">
        <v>0</v>
      </c>
      <c r="HE17" s="65" t="inlineStr">
        <is>
          <t>SACOLA M</t>
        </is>
      </c>
      <c r="HF17" s="208" t="n">
        <v>200</v>
      </c>
      <c r="HG17" s="699" t="n">
        <v>0</v>
      </c>
      <c r="HH17" s="699">
        <f>0+100</f>
        <v/>
      </c>
      <c r="HI17" s="699" t="n">
        <v>100</v>
      </c>
      <c r="HJ17" s="699" t="n">
        <v>99</v>
      </c>
      <c r="HK17" s="699" t="n">
        <v>90</v>
      </c>
      <c r="HL17" s="699" t="n">
        <v>46</v>
      </c>
      <c r="HM17" s="699" t="n">
        <v>39</v>
      </c>
      <c r="HN17" s="699" t="n">
        <v>38</v>
      </c>
      <c r="HO17" s="412">
        <f>HM17-HN17</f>
        <v/>
      </c>
    </row>
    <row r="18" ht="19.5" customFormat="1" customHeight="1" s="3">
      <c r="A18" s="37" t="inlineStr">
        <is>
          <t>KIT SACOLA M VERDE (KIT C/ 10)</t>
        </is>
      </c>
      <c r="B18" s="699" t="n">
        <v>150</v>
      </c>
      <c r="C18" s="762" t="n">
        <v>181.31</v>
      </c>
      <c r="D18" s="382" t="n">
        <v>20</v>
      </c>
      <c r="E18" s="2" t="n"/>
      <c r="F18" s="697" t="n">
        <v>26</v>
      </c>
      <c r="G18" s="697">
        <f>24+GA18</f>
        <v/>
      </c>
      <c r="H18" s="697" t="n">
        <v>35</v>
      </c>
      <c r="I18" s="697">
        <f>31+FX18</f>
        <v/>
      </c>
      <c r="J18" s="697" t="n">
        <v>45</v>
      </c>
      <c r="K18" s="697" t="n">
        <v>40</v>
      </c>
      <c r="L18" s="697" t="n">
        <v>39</v>
      </c>
      <c r="M18" s="697" t="n">
        <v>39</v>
      </c>
      <c r="N18" s="697" t="n">
        <v>38</v>
      </c>
      <c r="O18" s="697" t="n">
        <v>35</v>
      </c>
      <c r="P18" s="697" t="n">
        <v>31</v>
      </c>
      <c r="Q18" s="697" t="n">
        <v>30</v>
      </c>
      <c r="R18" s="697" t="n">
        <v>27</v>
      </c>
      <c r="S18" s="697" t="n">
        <v>24</v>
      </c>
      <c r="T18" s="697" t="n">
        <v>23</v>
      </c>
      <c r="U18" s="697">
        <f>19+FG18</f>
        <v/>
      </c>
      <c r="V18" s="697" t="n">
        <v>26</v>
      </c>
      <c r="W18" s="697" t="n">
        <v>26</v>
      </c>
      <c r="X18" s="697" t="n">
        <v>25</v>
      </c>
      <c r="Y18" s="697" t="n">
        <v>21</v>
      </c>
      <c r="Z18" s="697" t="n">
        <v>18</v>
      </c>
      <c r="AA18" s="697" t="n">
        <v>16</v>
      </c>
      <c r="AB18" s="697" t="n">
        <v>14</v>
      </c>
      <c r="AC18" s="697" t="n">
        <v>12</v>
      </c>
      <c r="AD18" s="697" t="n">
        <v>9</v>
      </c>
      <c r="AE18" s="697" t="n">
        <v>23</v>
      </c>
      <c r="AF18" s="697" t="n">
        <v>19</v>
      </c>
      <c r="AG18" s="697" t="n">
        <v>19</v>
      </c>
      <c r="AH18" s="697" t="n">
        <v>18</v>
      </c>
      <c r="AI18" s="697" t="n">
        <v>14</v>
      </c>
      <c r="AJ18" s="697" t="n">
        <v>11</v>
      </c>
      <c r="AK18" s="697" t="n">
        <v>11</v>
      </c>
      <c r="AL18" s="697" t="n">
        <v>6</v>
      </c>
      <c r="AM18" s="697" t="n">
        <v>16</v>
      </c>
      <c r="AN18" s="697" t="n">
        <v>30</v>
      </c>
      <c r="AO18" s="697" t="n">
        <v>28</v>
      </c>
      <c r="AP18" s="697" t="n">
        <v>28</v>
      </c>
      <c r="AQ18" s="697" t="n">
        <v>24</v>
      </c>
      <c r="AR18" s="697" t="n">
        <v>22</v>
      </c>
      <c r="AS18" s="697" t="n">
        <v>21</v>
      </c>
      <c r="AT18" s="697" t="n">
        <v>19</v>
      </c>
      <c r="AU18" s="697" t="n">
        <v>16</v>
      </c>
      <c r="AV18" s="697" t="n">
        <v>16</v>
      </c>
      <c r="AW18" s="697" t="n">
        <v>13</v>
      </c>
      <c r="AX18" s="697" t="n">
        <v>13</v>
      </c>
      <c r="AY18" s="697" t="n">
        <v>10</v>
      </c>
      <c r="AZ18" s="697" t="n">
        <v>7</v>
      </c>
      <c r="BA18" s="697" t="n">
        <v>1</v>
      </c>
      <c r="BB18" s="697" t="n">
        <v>0</v>
      </c>
      <c r="BC18" s="697">
        <f>0+CV18</f>
        <v/>
      </c>
      <c r="BD18" s="697" t="n">
        <v>185</v>
      </c>
      <c r="BE18" s="697" t="n">
        <v>160</v>
      </c>
      <c r="BF18" s="697" t="n">
        <v>149</v>
      </c>
      <c r="BG18" s="697" t="n">
        <v>147</v>
      </c>
      <c r="BH18" s="697" t="n">
        <v>142</v>
      </c>
      <c r="BI18" s="697" t="n">
        <v>141</v>
      </c>
      <c r="BJ18" s="697" t="n">
        <v>140</v>
      </c>
      <c r="BK18" s="697" t="n">
        <v>134</v>
      </c>
      <c r="BL18" s="697" t="n">
        <v>129</v>
      </c>
      <c r="BM18" s="697" t="n">
        <v>129</v>
      </c>
      <c r="BN18" s="697" t="n">
        <v>127</v>
      </c>
      <c r="BO18" s="697" t="n">
        <v>120</v>
      </c>
      <c r="BP18" s="697" t="n">
        <v>94</v>
      </c>
      <c r="BQ18" s="697" t="n">
        <v>74</v>
      </c>
      <c r="BR18" s="697" t="n">
        <v>57</v>
      </c>
      <c r="BS18" s="697" t="n">
        <v>51</v>
      </c>
      <c r="BT18" s="697" t="n"/>
      <c r="BU18" s="697" t="n"/>
      <c r="BV18" s="697" t="n"/>
      <c r="BW18" s="697" t="n"/>
      <c r="BX18" s="697" t="n"/>
      <c r="BY18" s="192">
        <f>BW18+IF(NOT(ISBLANK(OFFSET(BY18,0,6))),N(OFFSET(BY18,0,6)),N(OFFSET(BY18,0,7)))-BX18</f>
        <v/>
      </c>
      <c r="BZ18" s="72" t="n"/>
      <c r="CA18" s="22" t="n"/>
      <c r="CB18" s="22" t="n"/>
      <c r="CC18" s="5" t="n"/>
      <c r="CD18" s="27" t="n"/>
      <c r="CE18" s="2" t="n"/>
      <c r="CF18" s="23" t="n">
        <v>0</v>
      </c>
      <c r="CG18" s="23" t="n">
        <v>0</v>
      </c>
      <c r="CH18" s="23" t="n"/>
      <c r="CI18" s="23" t="n"/>
      <c r="CJ18" s="419" t="n">
        <v>200</v>
      </c>
      <c r="CK18" s="23" t="n"/>
      <c r="CL18" s="23" t="n"/>
      <c r="CM18" s="467" t="n">
        <v>300</v>
      </c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>
        <v>200</v>
      </c>
      <c r="CW18" s="23" t="n"/>
      <c r="CX18" s="23" t="n"/>
      <c r="CY18" s="23" t="n"/>
      <c r="CZ18" s="219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>
        <v>15</v>
      </c>
      <c r="DV18" s="23" t="n">
        <v>15</v>
      </c>
      <c r="DW18" s="23" t="n"/>
      <c r="DX18" s="23" t="n"/>
      <c r="DY18" s="23" t="n"/>
      <c r="DZ18" s="23" t="n"/>
      <c r="EA18" s="23" t="n"/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>
        <v>15</v>
      </c>
      <c r="EM18" s="23" t="n"/>
      <c r="EN18" s="23" t="n"/>
      <c r="EO18" s="23" t="n"/>
      <c r="EP18" s="23" t="n"/>
      <c r="EQ18" s="23" t="n"/>
      <c r="ER18" s="23" t="n"/>
      <c r="ES18" s="23" t="n"/>
      <c r="ET18" s="376" t="inlineStr">
        <is>
          <t>10 DE ERB</t>
        </is>
      </c>
      <c r="EU18" s="23" t="n"/>
      <c r="EV18" s="23" t="n"/>
      <c r="EW18" s="23" t="n"/>
      <c r="EX18" s="23" t="n"/>
      <c r="EY18" s="23" t="n"/>
      <c r="EZ18" s="23" t="n"/>
      <c r="FA18" s="23" t="n"/>
      <c r="FB18" s="23" t="n"/>
      <c r="FC18" s="23" t="n"/>
      <c r="FD18" s="23" t="n"/>
      <c r="FE18" s="23" t="n"/>
      <c r="FF18" s="23" t="n"/>
      <c r="FG18" s="23" t="n">
        <v>15</v>
      </c>
      <c r="FH18" s="23" t="n"/>
      <c r="FI18" s="23" t="n"/>
      <c r="FJ18" s="23" t="n"/>
      <c r="FK18" s="219" t="n"/>
      <c r="FL18" s="23" t="n"/>
      <c r="FM18" s="23" t="n"/>
      <c r="FN18" s="219" t="n"/>
      <c r="FO18" s="23" t="n"/>
      <c r="FP18" s="23" t="n"/>
      <c r="FQ18" s="23" t="n"/>
      <c r="FR18" s="23" t="n"/>
      <c r="FS18" s="23" t="n"/>
      <c r="FT18" s="23" t="n"/>
      <c r="FU18" s="23" t="n"/>
      <c r="FV18" s="23" t="n"/>
      <c r="FW18" s="23" t="n"/>
      <c r="FX18" s="23" t="n">
        <v>15</v>
      </c>
      <c r="FY18" s="23" t="n"/>
      <c r="FZ18" s="23" t="n"/>
      <c r="GA18" s="23" t="n">
        <v>15</v>
      </c>
      <c r="GB18" s="23" t="n"/>
      <c r="GC18" s="23" t="n"/>
      <c r="GE18" s="66" t="inlineStr">
        <is>
          <t>SACOLA G</t>
        </is>
      </c>
      <c r="GF18" s="208" t="n">
        <v>100</v>
      </c>
      <c r="GG18" s="699">
        <f>FR18</f>
        <v/>
      </c>
      <c r="GH18" s="699" t="n">
        <v>0</v>
      </c>
      <c r="GI18" s="699" t="n">
        <v>0</v>
      </c>
      <c r="GJ18" s="699" t="n">
        <v>0</v>
      </c>
      <c r="GK18" s="699" t="n">
        <v>0</v>
      </c>
      <c r="GL18" s="699" t="n">
        <v>0</v>
      </c>
      <c r="GM18" s="699" t="n">
        <v>0</v>
      </c>
      <c r="GN18" s="699" t="n">
        <v>0</v>
      </c>
      <c r="GO18" s="699" t="n">
        <v>0</v>
      </c>
      <c r="GP18" s="699" t="n">
        <v>0</v>
      </c>
      <c r="GQ18" s="699" t="n">
        <v>0</v>
      </c>
      <c r="GR18" s="303" t="n">
        <v>0</v>
      </c>
      <c r="GT18" s="66" t="inlineStr">
        <is>
          <t>SACOLA G</t>
        </is>
      </c>
      <c r="GU18" s="208" t="n">
        <v>100</v>
      </c>
      <c r="GV18" s="699">
        <f>0+10</f>
        <v/>
      </c>
      <c r="GW18" s="699" t="n">
        <v>10</v>
      </c>
      <c r="GX18" s="699" t="n">
        <v>0</v>
      </c>
      <c r="GY18" s="699" t="n">
        <v>0</v>
      </c>
      <c r="GZ18" s="699" t="n">
        <v>0</v>
      </c>
      <c r="HA18" s="699" t="n">
        <v>0</v>
      </c>
      <c r="HB18" s="699" t="n">
        <v>0</v>
      </c>
      <c r="HC18" s="369" t="n">
        <v>0</v>
      </c>
      <c r="HE18" s="35" t="n"/>
      <c r="HQ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16" t="n"/>
      <c r="BZ19" s="5" t="n"/>
      <c r="CA19" s="16" t="n"/>
      <c r="CB19" s="16" t="n"/>
      <c r="CC19" s="5" t="n"/>
      <c r="CD19" s="4" t="n"/>
      <c r="CE19" s="5" t="n"/>
      <c r="CF19" s="20" t="n"/>
      <c r="CG19" s="20" t="n"/>
      <c r="CH19" s="20" t="n"/>
      <c r="CI19" s="20" t="n"/>
      <c r="CJ19" s="20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308" t="n"/>
      <c r="DA19" s="20" t="n"/>
      <c r="DB19" s="20" t="n"/>
      <c r="DC19" s="20" t="n"/>
      <c r="DD19" s="20" t="n"/>
      <c r="DE19" s="20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308" t="n"/>
      <c r="FL19" s="20" t="n"/>
      <c r="FM19" s="20" t="n"/>
      <c r="FN19" s="308" t="n"/>
      <c r="FO19" s="20" t="n"/>
      <c r="FP19" s="20" t="n"/>
      <c r="FQ19" s="20" t="n"/>
      <c r="FR19" s="20" t="n"/>
      <c r="FS19" s="20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T19" s="35" t="n"/>
      <c r="HE19" s="35" t="n"/>
      <c r="HQ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6" t="n"/>
      <c r="F20" s="746" t="n">
        <v>45656</v>
      </c>
      <c r="G20" s="746" t="n">
        <v>45663</v>
      </c>
      <c r="H20" s="746" t="n">
        <v>45670</v>
      </c>
      <c r="I20" s="746" t="n">
        <v>45677</v>
      </c>
      <c r="J20" s="746" t="n">
        <v>45684</v>
      </c>
      <c r="K20" s="746" t="n">
        <v>45691</v>
      </c>
      <c r="L20" s="746" t="n">
        <v>45698</v>
      </c>
      <c r="M20" s="746" t="n">
        <v>45705</v>
      </c>
      <c r="N20" s="746" t="n">
        <v>45712</v>
      </c>
      <c r="O20" s="746" t="n">
        <v>45719</v>
      </c>
      <c r="P20" s="746" t="n">
        <v>45726</v>
      </c>
      <c r="Q20" s="746" t="n">
        <v>45733</v>
      </c>
      <c r="R20" s="746" t="n">
        <v>45740</v>
      </c>
      <c r="S20" s="746" t="n">
        <v>45747</v>
      </c>
      <c r="T20" s="746" t="n">
        <v>45754</v>
      </c>
      <c r="U20" s="746" t="n">
        <v>45761</v>
      </c>
      <c r="V20" s="746" t="n">
        <v>45768</v>
      </c>
      <c r="W20" s="746" t="n">
        <v>45775</v>
      </c>
      <c r="X20" s="746" t="n">
        <v>45782</v>
      </c>
      <c r="Y20" s="746" t="n">
        <v>45789</v>
      </c>
      <c r="Z20" s="746" t="n">
        <v>45796</v>
      </c>
      <c r="AA20" s="746" t="n">
        <v>45803</v>
      </c>
      <c r="AB20" s="746" t="n">
        <v>45810</v>
      </c>
      <c r="AC20" s="746" t="n">
        <v>45817</v>
      </c>
      <c r="AD20" s="746" t="n">
        <v>45824</v>
      </c>
      <c r="AE20" s="746" t="n">
        <v>45831</v>
      </c>
      <c r="AF20" s="746" t="n">
        <v>45838</v>
      </c>
      <c r="AG20" s="746" t="n">
        <v>45845</v>
      </c>
      <c r="AH20" s="746" t="n">
        <v>45852</v>
      </c>
      <c r="AI20" s="746" t="n">
        <v>45859</v>
      </c>
      <c r="AJ20" s="746" t="n">
        <v>45866</v>
      </c>
      <c r="AK20" s="746" t="n">
        <v>45873</v>
      </c>
      <c r="AL20" s="746" t="n">
        <v>45880</v>
      </c>
      <c r="AM20" s="746" t="n">
        <v>45887</v>
      </c>
      <c r="AN20" s="746" t="n">
        <v>45894</v>
      </c>
      <c r="AO20" s="746" t="n">
        <v>45901</v>
      </c>
      <c r="AP20" s="746" t="n">
        <v>45908</v>
      </c>
      <c r="AQ20" s="746" t="n">
        <v>45915</v>
      </c>
      <c r="AR20" s="746" t="n">
        <v>45922</v>
      </c>
      <c r="AS20" s="746" t="n">
        <v>45929</v>
      </c>
      <c r="AT20" s="746" t="n">
        <v>45936</v>
      </c>
      <c r="AU20" s="746" t="n">
        <v>45943</v>
      </c>
      <c r="AV20" s="746" t="n">
        <v>45950</v>
      </c>
      <c r="AW20" s="746" t="n">
        <v>45957</v>
      </c>
      <c r="AX20" s="746" t="n">
        <v>45964</v>
      </c>
      <c r="AY20" s="746" t="n">
        <v>45971</v>
      </c>
      <c r="AZ20" s="746" t="n">
        <v>45978</v>
      </c>
      <c r="BA20" s="746" t="n">
        <v>45985</v>
      </c>
      <c r="BB20" s="746" t="n">
        <v>45992</v>
      </c>
      <c r="BC20" s="746" t="n">
        <v>45999</v>
      </c>
      <c r="BD20" s="746" t="n">
        <v>46006</v>
      </c>
      <c r="BE20" s="746" t="n">
        <v>46013</v>
      </c>
      <c r="BF20" s="746" t="n">
        <v>46020</v>
      </c>
      <c r="BG20" s="746" t="n">
        <v>46027</v>
      </c>
      <c r="BH20" s="746" t="n">
        <v>46034</v>
      </c>
      <c r="BI20" s="746" t="n">
        <v>46041</v>
      </c>
      <c r="BJ20" s="746" t="n">
        <v>46048</v>
      </c>
      <c r="BK20" s="746" t="n">
        <v>46055</v>
      </c>
      <c r="BL20" s="746" t="n">
        <v>46062</v>
      </c>
      <c r="BM20" s="746" t="n">
        <v>46069</v>
      </c>
      <c r="BN20" s="746" t="n">
        <v>46076</v>
      </c>
      <c r="BO20" s="746" t="n">
        <v>46083</v>
      </c>
      <c r="BP20" s="746" t="n">
        <v>46090</v>
      </c>
      <c r="BQ20" s="746" t="n">
        <v>46097</v>
      </c>
      <c r="BR20" s="746" t="n">
        <v>46104</v>
      </c>
      <c r="BS20" s="746" t="n">
        <v>46111</v>
      </c>
      <c r="BT20" s="746" t="n">
        <v>46118</v>
      </c>
      <c r="BU20" s="746" t="n">
        <v>46125</v>
      </c>
      <c r="BV20" s="746" t="n">
        <v>46132</v>
      </c>
      <c r="BW20" s="746" t="n">
        <v>46139</v>
      </c>
      <c r="BX20" s="746" t="n">
        <v>46146</v>
      </c>
      <c r="BY20" s="748" t="inlineStr">
        <is>
          <t>USOU</t>
        </is>
      </c>
      <c r="BZ20" s="5" t="n"/>
      <c r="CA20" s="44" t="inlineStr">
        <is>
          <t>Pendências</t>
        </is>
      </c>
      <c r="CB20" s="44" t="inlineStr">
        <is>
          <t>Pendências</t>
        </is>
      </c>
      <c r="CC20" s="5" t="n"/>
      <c r="CD20" s="12" t="inlineStr">
        <is>
          <t>Novo Pedido</t>
        </is>
      </c>
      <c r="CE20" s="726" t="n"/>
      <c r="CF20" s="794" t="n">
        <v>46149</v>
      </c>
      <c r="CG20" s="794" t="n">
        <v>46142</v>
      </c>
      <c r="CH20" s="794" t="n">
        <v>46114</v>
      </c>
      <c r="CI20" s="794" t="n">
        <v>46107</v>
      </c>
      <c r="CJ20" s="795" t="n">
        <v>46065</v>
      </c>
      <c r="CK20" s="794" t="n">
        <v>46099</v>
      </c>
      <c r="CL20" s="794" t="n">
        <v>46092</v>
      </c>
      <c r="CM20" s="796" t="n">
        <v>46045</v>
      </c>
      <c r="CN20" s="794" t="n">
        <v>46077</v>
      </c>
      <c r="CO20" s="794" t="n">
        <v>46048</v>
      </c>
      <c r="CP20" s="794" t="n">
        <v>46043</v>
      </c>
      <c r="CQ20" s="794" t="n">
        <v>46024</v>
      </c>
      <c r="CR20" s="794" t="n">
        <v>46017</v>
      </c>
      <c r="CS20" s="794" t="n">
        <v>46007</v>
      </c>
      <c r="CT20" s="794" t="n">
        <v>46001</v>
      </c>
      <c r="CU20" s="794" t="n">
        <v>46001</v>
      </c>
      <c r="CV20" s="794" t="n">
        <v>45994</v>
      </c>
      <c r="CW20" s="794" t="n">
        <v>45986</v>
      </c>
      <c r="CX20" s="794" t="n">
        <v>45980</v>
      </c>
      <c r="CY20" s="794" t="n">
        <v>45980</v>
      </c>
      <c r="CZ20" s="797" t="n">
        <v>45982</v>
      </c>
      <c r="DA20" s="794" t="n">
        <v>45973</v>
      </c>
      <c r="DB20" s="794" t="n">
        <v>45965</v>
      </c>
      <c r="DC20" s="794" t="n">
        <v>45960</v>
      </c>
      <c r="DD20" s="794" t="n">
        <v>45951</v>
      </c>
      <c r="DE20" s="737" t="n">
        <v>45903</v>
      </c>
      <c r="DF20" s="794" t="n">
        <v>45945</v>
      </c>
      <c r="DG20" s="794" t="n">
        <v>45937</v>
      </c>
      <c r="DH20" s="794" t="n">
        <v>45931</v>
      </c>
      <c r="DI20" s="794" t="n">
        <v>45931</v>
      </c>
      <c r="DJ20" s="794" t="n">
        <v>45915</v>
      </c>
      <c r="DK20" s="794" t="n">
        <v>45923</v>
      </c>
      <c r="DL20" s="794" t="n">
        <v>45903</v>
      </c>
      <c r="DM20" s="794" t="n">
        <v>45915</v>
      </c>
      <c r="DN20" s="797" t="n">
        <v>45918</v>
      </c>
      <c r="DO20" s="794" t="n">
        <v>45909</v>
      </c>
      <c r="DP20" s="738" t="n">
        <v>45903</v>
      </c>
      <c r="DQ20" s="794" t="n">
        <v>45895</v>
      </c>
      <c r="DR20" s="797" t="n">
        <v>45896</v>
      </c>
      <c r="DS20" s="794" t="n">
        <v>45881</v>
      </c>
      <c r="DT20" s="738" t="n">
        <v>45839</v>
      </c>
      <c r="DU20" s="794" t="n">
        <v>45888</v>
      </c>
      <c r="DV20" s="794" t="n">
        <v>45881</v>
      </c>
      <c r="DW20" s="797" t="n">
        <v>45881</v>
      </c>
      <c r="DX20" s="794" t="n">
        <v>45874</v>
      </c>
      <c r="DY20" s="797" t="n">
        <v>45876</v>
      </c>
      <c r="DZ20" s="794" t="n">
        <v>45867</v>
      </c>
      <c r="EA20" s="794" t="n">
        <v>45867</v>
      </c>
      <c r="EB20" s="794" t="n">
        <v>45860</v>
      </c>
      <c r="EC20" s="797" t="n">
        <v>45861</v>
      </c>
      <c r="ED20" s="797" t="n">
        <v>45860</v>
      </c>
      <c r="EE20" s="794" t="n">
        <v>45853</v>
      </c>
      <c r="EF20" s="739" t="n">
        <v>45855</v>
      </c>
      <c r="EG20" s="794" t="n">
        <v>45848</v>
      </c>
      <c r="EH20" s="794" t="n">
        <v>45839</v>
      </c>
      <c r="EI20" s="794" t="n">
        <v>45839</v>
      </c>
      <c r="EJ20" s="797" t="n">
        <v>45835</v>
      </c>
      <c r="EK20" s="794" t="n">
        <v>45790</v>
      </c>
      <c r="EL20" s="794" t="n">
        <v>45825</v>
      </c>
      <c r="EM20" s="794" t="n">
        <v>45819</v>
      </c>
      <c r="EN20" s="794" t="n">
        <v>45813</v>
      </c>
      <c r="EO20" s="794" t="n">
        <v>45797</v>
      </c>
      <c r="EP20" s="797" t="n">
        <v>45811</v>
      </c>
      <c r="EQ20" s="797" t="n">
        <v>45810</v>
      </c>
      <c r="ER20" s="797" t="n">
        <v>45806</v>
      </c>
      <c r="ES20" s="797" t="n">
        <v>45803</v>
      </c>
      <c r="ET20" s="755" t="n">
        <v>45803</v>
      </c>
      <c r="EU20" s="794" t="n">
        <v>45784</v>
      </c>
      <c r="EV20" s="797" t="n">
        <v>45796</v>
      </c>
      <c r="EW20" s="794" t="n">
        <v>45784</v>
      </c>
      <c r="EX20" s="794" t="n">
        <v>45764</v>
      </c>
      <c r="EY20" s="797" t="n">
        <v>45791</v>
      </c>
      <c r="EZ20" s="794" t="n">
        <v>45783</v>
      </c>
      <c r="FA20" s="794" t="n">
        <v>45770</v>
      </c>
      <c r="FB20" s="794" t="n">
        <v>45775</v>
      </c>
      <c r="FC20" s="794" t="n">
        <v>45770</v>
      </c>
      <c r="FD20" s="794" t="n">
        <v>45770</v>
      </c>
      <c r="FE20" s="797" t="n">
        <v>45775</v>
      </c>
      <c r="FF20" s="797" t="n">
        <v>45770</v>
      </c>
      <c r="FG20" s="794" t="n">
        <v>45756</v>
      </c>
      <c r="FH20" s="794" t="n">
        <v>45735</v>
      </c>
      <c r="FI20" s="797" t="n">
        <v>45751</v>
      </c>
      <c r="FJ20" s="794" t="n">
        <v>45743</v>
      </c>
      <c r="FK20" s="746" t="n">
        <v>45729</v>
      </c>
      <c r="FL20" s="794" t="n">
        <v>45722</v>
      </c>
      <c r="FM20" s="794" t="n">
        <v>45722</v>
      </c>
      <c r="FN20" s="746" t="n">
        <v>45700</v>
      </c>
      <c r="FO20" s="797" t="n">
        <v>45722</v>
      </c>
      <c r="FP20" s="794" t="n">
        <v>45714</v>
      </c>
      <c r="FQ20" s="794" t="n">
        <v>45706</v>
      </c>
      <c r="FR20" s="794" t="n">
        <v>45684</v>
      </c>
      <c r="FS20" s="794" t="n">
        <v>45699</v>
      </c>
      <c r="FT20" s="794" t="n">
        <v>45693</v>
      </c>
      <c r="FU20" s="797" t="n">
        <v>45687</v>
      </c>
      <c r="FV20" s="794" t="n">
        <v>45685</v>
      </c>
      <c r="FW20" s="797" t="n">
        <v>45684</v>
      </c>
      <c r="FX20" s="794" t="n">
        <v>45674</v>
      </c>
      <c r="FY20" s="794" t="n">
        <v>45664</v>
      </c>
      <c r="FZ20" s="794" t="n">
        <v>45660</v>
      </c>
      <c r="GA20" s="794" t="n">
        <v>45660</v>
      </c>
      <c r="GB20" s="794" t="n">
        <v>45652</v>
      </c>
      <c r="GC20" s="794" t="n">
        <v>45643</v>
      </c>
      <c r="GE20" s="304" t="inlineStr">
        <is>
          <t>DIVERSOS VENDA</t>
        </is>
      </c>
      <c r="GF20" s="544" t="inlineStr">
        <is>
          <t>PCT</t>
        </is>
      </c>
      <c r="GG20" s="536" t="n">
        <v>45726</v>
      </c>
      <c r="GH20" s="536" t="n">
        <v>45733</v>
      </c>
      <c r="GI20" s="536" t="n">
        <v>45740</v>
      </c>
      <c r="GJ20" s="322" t="n">
        <v>45747</v>
      </c>
      <c r="GK20" s="536" t="n">
        <v>45754</v>
      </c>
      <c r="GL20" s="536" t="n">
        <v>45761</v>
      </c>
      <c r="GM20" s="536" t="n">
        <v>45768</v>
      </c>
      <c r="GN20" s="536" t="n">
        <v>45775</v>
      </c>
      <c r="GO20" s="536" t="n">
        <v>45782</v>
      </c>
      <c r="GP20" s="536" t="n">
        <v>45789</v>
      </c>
      <c r="GQ20" s="536" t="n">
        <v>45796</v>
      </c>
      <c r="GR20" s="235" t="inlineStr">
        <is>
          <t>USOU</t>
        </is>
      </c>
      <c r="GT20" s="366" t="inlineStr">
        <is>
          <t>DIVERSOS VENDA</t>
        </is>
      </c>
      <c r="GU20" s="524" t="inlineStr">
        <is>
          <t>PCT</t>
        </is>
      </c>
      <c r="GV20" s="511" t="n">
        <v>45796</v>
      </c>
      <c r="GW20" s="511" t="n">
        <v>45803</v>
      </c>
      <c r="GX20" s="511" t="n">
        <v>45810</v>
      </c>
      <c r="GY20" s="511" t="n">
        <v>45817</v>
      </c>
      <c r="GZ20" s="511" t="n">
        <v>45824</v>
      </c>
      <c r="HA20" s="511" t="n">
        <v>45831</v>
      </c>
      <c r="HB20" s="511" t="n">
        <v>45838</v>
      </c>
      <c r="HC20" s="368" t="inlineStr">
        <is>
          <t>USOU</t>
        </is>
      </c>
      <c r="HE20" s="222" t="inlineStr">
        <is>
          <t>DIVERSOS VENDA</t>
        </is>
      </c>
      <c r="HF20" s="519" t="inlineStr">
        <is>
          <t>PCT</t>
        </is>
      </c>
      <c r="HG20" s="513" t="n">
        <v>45845</v>
      </c>
      <c r="HH20" s="513" t="n">
        <v>45852</v>
      </c>
      <c r="HI20" s="513" t="n">
        <v>45859</v>
      </c>
      <c r="HJ20" s="513" t="n">
        <v>45866</v>
      </c>
      <c r="HK20" s="513" t="n">
        <v>45873</v>
      </c>
      <c r="HL20" s="513" t="n">
        <v>45880</v>
      </c>
      <c r="HM20" s="513" t="n">
        <v>45887</v>
      </c>
      <c r="HN20" s="513" t="n">
        <v>45894</v>
      </c>
      <c r="HO20" s="411" t="inlineStr">
        <is>
          <t>USOU</t>
        </is>
      </c>
      <c r="HQ20" s="438" t="inlineStr">
        <is>
          <t>DIVERSOS VENDA</t>
        </is>
      </c>
      <c r="HR20" s="571" t="inlineStr">
        <is>
          <t>PCT</t>
        </is>
      </c>
      <c r="HS20" s="513" t="n">
        <v>45950</v>
      </c>
      <c r="HT20" s="513" t="n">
        <v>45957</v>
      </c>
      <c r="HU20" s="513" t="n">
        <v>45964</v>
      </c>
      <c r="HV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699" t="n">
        <v>500</v>
      </c>
      <c r="C21" s="762" t="n">
        <v>95.90000000000001</v>
      </c>
      <c r="D21" s="382" t="n">
        <v>15</v>
      </c>
      <c r="E21" s="726" t="n"/>
      <c r="F21" s="697" t="n">
        <v>76</v>
      </c>
      <c r="G21" s="697" t="n">
        <v>75</v>
      </c>
      <c r="H21" s="697" t="n">
        <v>75</v>
      </c>
      <c r="I21" s="697" t="n">
        <v>74</v>
      </c>
      <c r="J21" s="697" t="n">
        <v>74</v>
      </c>
      <c r="K21" s="697" t="n">
        <v>73</v>
      </c>
      <c r="L21" s="697" t="n">
        <v>71</v>
      </c>
      <c r="M21" s="697" t="n">
        <v>71</v>
      </c>
      <c r="N21" s="697" t="n">
        <v>71</v>
      </c>
      <c r="O21" s="697" t="n">
        <v>70</v>
      </c>
      <c r="P21" s="697" t="n">
        <v>68</v>
      </c>
      <c r="Q21" s="697" t="n">
        <v>68</v>
      </c>
      <c r="R21" s="697" t="n">
        <v>68</v>
      </c>
      <c r="S21" s="697" t="n">
        <v>61</v>
      </c>
      <c r="T21" s="697" t="n">
        <v>60</v>
      </c>
      <c r="U21" s="697" t="n">
        <v>58</v>
      </c>
      <c r="V21" s="697" t="n">
        <v>58</v>
      </c>
      <c r="W21" s="697" t="n">
        <v>58</v>
      </c>
      <c r="X21" s="697" t="n">
        <v>56</v>
      </c>
      <c r="Y21" s="697" t="n">
        <v>56</v>
      </c>
      <c r="Z21" s="697" t="n">
        <v>56</v>
      </c>
      <c r="AA21" s="697" t="n">
        <v>54</v>
      </c>
      <c r="AB21" s="697" t="n">
        <v>52</v>
      </c>
      <c r="AC21" s="697" t="n">
        <v>52</v>
      </c>
      <c r="AD21" s="697" t="n">
        <v>46</v>
      </c>
      <c r="AE21" s="697" t="n">
        <v>42</v>
      </c>
      <c r="AF21" s="697" t="n">
        <v>40</v>
      </c>
      <c r="AG21" s="697" t="n">
        <v>40</v>
      </c>
      <c r="AH21" s="697" t="n">
        <v>38</v>
      </c>
      <c r="AI21" s="697" t="n">
        <v>36</v>
      </c>
      <c r="AJ21" s="697" t="n">
        <v>34</v>
      </c>
      <c r="AK21" s="697" t="n">
        <v>34</v>
      </c>
      <c r="AL21" s="697" t="n">
        <v>22</v>
      </c>
      <c r="AM21" s="697" t="n">
        <v>18</v>
      </c>
      <c r="AN21" s="697" t="n">
        <v>17</v>
      </c>
      <c r="AO21" s="697" t="n">
        <v>16</v>
      </c>
      <c r="AP21" s="697" t="n">
        <v>15</v>
      </c>
      <c r="AQ21" s="697" t="n">
        <v>5</v>
      </c>
      <c r="AR21" s="697" t="n">
        <v>22</v>
      </c>
      <c r="AS21" s="697" t="n">
        <v>22</v>
      </c>
      <c r="AT21" s="697" t="n">
        <v>20</v>
      </c>
      <c r="AU21" s="697" t="n">
        <v>20</v>
      </c>
      <c r="AV21" s="697" t="n">
        <v>20</v>
      </c>
      <c r="AW21" s="697" t="n">
        <v>20</v>
      </c>
      <c r="AX21" s="697" t="n">
        <v>20</v>
      </c>
      <c r="AY21" s="697" t="n">
        <v>20</v>
      </c>
      <c r="AZ21" s="697" t="n">
        <v>20</v>
      </c>
      <c r="BA21" s="697" t="n">
        <v>0</v>
      </c>
      <c r="BB21" s="697" t="n">
        <v>0</v>
      </c>
      <c r="BC21" s="697">
        <f>0+CV21</f>
        <v/>
      </c>
      <c r="BD21" s="697" t="n">
        <v>200</v>
      </c>
      <c r="BE21" s="697" t="n">
        <v>144</v>
      </c>
      <c r="BF21" s="697" t="n">
        <v>143</v>
      </c>
      <c r="BG21" s="697" t="n">
        <v>143</v>
      </c>
      <c r="BH21" s="697" t="n">
        <v>127</v>
      </c>
      <c r="BI21" s="697" t="n">
        <v>99</v>
      </c>
      <c r="BJ21" s="697" t="n">
        <v>89</v>
      </c>
      <c r="BK21" s="697" t="n">
        <v>289</v>
      </c>
      <c r="BL21" s="697" t="n">
        <v>285</v>
      </c>
      <c r="BM21" s="697" t="n">
        <v>285</v>
      </c>
      <c r="BN21" s="697" t="n">
        <v>275</v>
      </c>
      <c r="BO21" s="697" t="n">
        <v>233</v>
      </c>
      <c r="BP21" s="697" t="n">
        <v>233</v>
      </c>
      <c r="BQ21" s="697" t="n">
        <v>223</v>
      </c>
      <c r="BR21" s="697" t="n">
        <v>195</v>
      </c>
      <c r="BS21" s="697" t="n">
        <v>162</v>
      </c>
      <c r="BT21" s="697" t="n"/>
      <c r="BU21" s="697" t="n"/>
      <c r="BV21" s="697" t="n"/>
      <c r="BW21" s="697" t="n"/>
      <c r="BX21" s="697" t="n"/>
      <c r="BY21" s="192">
        <f>BW21+IF(NOT(ISBLANK(OFFSET(BY21,0,6))),N(OFFSET(BY21,0,6)),N(OFFSET(BY21,0,7)))-BX21</f>
        <v/>
      </c>
      <c r="BZ21" s="5" t="n"/>
      <c r="CA21" s="22" t="n"/>
      <c r="CB21" s="22" t="n"/>
      <c r="CC21" s="5" t="n"/>
      <c r="CD21" s="27" t="n"/>
      <c r="CE21" s="726" t="n"/>
      <c r="CF21" s="40" t="n">
        <v>0</v>
      </c>
      <c r="CG21" s="40" t="n">
        <v>0</v>
      </c>
      <c r="CH21" s="40" t="n"/>
      <c r="CI21" s="40" t="n"/>
      <c r="CJ21" s="419" t="n">
        <v>20</v>
      </c>
      <c r="CK21" s="40" t="n"/>
      <c r="CL21" s="40" t="n"/>
      <c r="CM21" s="467" t="n">
        <v>200</v>
      </c>
      <c r="CN21" s="40" t="n"/>
      <c r="CO21" s="40" t="n"/>
      <c r="CP21" s="40" t="n">
        <v>200</v>
      </c>
      <c r="CQ21" s="40" t="n"/>
      <c r="CR21" s="40" t="n"/>
      <c r="CS21" s="40" t="n"/>
      <c r="CT21" s="40" t="n"/>
      <c r="CU21" s="40" t="n"/>
      <c r="CV21" s="40" t="n">
        <v>200</v>
      </c>
      <c r="CW21" s="40" t="n"/>
      <c r="CX21" s="40" t="n"/>
      <c r="CY21" s="40" t="n"/>
      <c r="CZ21" s="219" t="n"/>
      <c r="DA21" s="40" t="n"/>
      <c r="DB21" s="40" t="n"/>
      <c r="DC21" s="40" t="n"/>
      <c r="DD21" s="40" t="n"/>
      <c r="DE21" s="219" t="n">
        <v>20</v>
      </c>
      <c r="DF21" s="40" t="n"/>
      <c r="DG21" s="40" t="n"/>
      <c r="DH21" s="40" t="n"/>
      <c r="DI21" s="40" t="n"/>
      <c r="DJ21" s="40" t="n"/>
      <c r="DK21" s="40" t="n"/>
      <c r="DL21" s="40" t="n"/>
      <c r="DM21" s="40" t="n">
        <v>20</v>
      </c>
      <c r="DN21" s="40" t="n"/>
      <c r="DO21" s="40" t="n"/>
      <c r="DP21" s="23" t="n"/>
      <c r="DQ21" s="40" t="n"/>
      <c r="DR21" s="40" t="n"/>
      <c r="DS21" s="40" t="n"/>
      <c r="DT21" s="23" t="n"/>
      <c r="DU21" s="40" t="n"/>
      <c r="DV21" s="40" t="n"/>
      <c r="DW21" s="40" t="n"/>
      <c r="DX21" s="40" t="n"/>
      <c r="DY21" s="40" t="n"/>
      <c r="DZ21" s="40" t="n"/>
      <c r="EA21" s="40" t="n"/>
      <c r="EB21" s="40" t="n"/>
      <c r="EC21" s="40" t="n"/>
      <c r="ED21" s="40" t="n"/>
      <c r="EE21" s="40" t="n"/>
      <c r="EF21" s="292" t="inlineStr">
        <is>
          <t>10 DE ER</t>
        </is>
      </c>
      <c r="EG21" s="40" t="n"/>
      <c r="EH21" s="40" t="n"/>
      <c r="EI21" s="40" t="n"/>
      <c r="EJ21" s="40" t="n"/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219" t="n"/>
      <c r="FL21" s="40" t="n"/>
      <c r="FM21" s="40" t="n"/>
      <c r="FN21" s="219" t="n">
        <v>30</v>
      </c>
      <c r="FO21" s="40" t="n"/>
      <c r="FP21" s="40" t="n"/>
      <c r="FQ21" s="40" t="n"/>
      <c r="FR21" s="40" t="n"/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E21" s="37" t="inlineStr">
        <is>
          <t>KIT PAPEL SEDA 10 PC C/ 20</t>
        </is>
      </c>
      <c r="GF21" s="208" t="n">
        <v>200</v>
      </c>
      <c r="GG21" s="699">
        <f>FN21</f>
        <v/>
      </c>
      <c r="GH21" s="699" t="n">
        <v>30</v>
      </c>
      <c r="GI21" s="699" t="n">
        <v>29</v>
      </c>
      <c r="GJ21" s="699" t="n">
        <v>17</v>
      </c>
      <c r="GK21" s="699" t="n">
        <v>15</v>
      </c>
      <c r="GL21" s="699" t="n">
        <v>9</v>
      </c>
      <c r="GM21" s="699" t="n">
        <v>6</v>
      </c>
      <c r="GN21" s="699" t="n">
        <v>2</v>
      </c>
      <c r="GO21" s="699" t="n">
        <v>2</v>
      </c>
      <c r="GP21" s="699" t="n">
        <v>2</v>
      </c>
      <c r="GQ21" s="699" t="n">
        <v>0</v>
      </c>
      <c r="GR21" s="303">
        <f>GP21-GQ21</f>
        <v/>
      </c>
      <c r="GT21" s="37" t="inlineStr">
        <is>
          <t>KIT PAPEL SEDA 10 PC C/ 20</t>
        </is>
      </c>
      <c r="GU21" s="208" t="n">
        <v>200</v>
      </c>
      <c r="GV21" s="699" t="n">
        <v>0</v>
      </c>
      <c r="GW21" s="699" t="n">
        <v>0</v>
      </c>
      <c r="GX21" s="699" t="n">
        <v>0</v>
      </c>
      <c r="GY21" s="699" t="n">
        <v>0</v>
      </c>
      <c r="GZ21" s="699" t="n">
        <v>0</v>
      </c>
      <c r="HA21" s="699" t="n">
        <v>0</v>
      </c>
      <c r="HB21" s="699" t="n">
        <v>0</v>
      </c>
      <c r="HC21" s="369">
        <f>GV21-GW21</f>
        <v/>
      </c>
      <c r="HE21" s="37" t="inlineStr">
        <is>
          <t>KIT PAPEL SEDA 10 PC C/ 20</t>
        </is>
      </c>
      <c r="HF21" s="208" t="n">
        <v>200</v>
      </c>
      <c r="HG21" s="699" t="n">
        <v>0</v>
      </c>
      <c r="HH21" s="699">
        <f>0+10</f>
        <v/>
      </c>
      <c r="HI21" s="699" t="n">
        <v>10</v>
      </c>
      <c r="HJ21" s="699" t="n">
        <v>3</v>
      </c>
      <c r="HK21" s="699" t="n">
        <v>1</v>
      </c>
      <c r="HL21" s="699" t="n">
        <v>0</v>
      </c>
      <c r="HM21" s="699" t="n">
        <v>0</v>
      </c>
      <c r="HN21" s="699" t="n">
        <v>0</v>
      </c>
      <c r="HO21" s="412" t="n">
        <v>0</v>
      </c>
      <c r="HQ21" s="37" t="inlineStr">
        <is>
          <t>KIT PAPEL SEDA 10 PC C/ 20</t>
        </is>
      </c>
      <c r="HR21" s="208" t="n">
        <v>200</v>
      </c>
      <c r="HS21" s="699" t="n">
        <v>0</v>
      </c>
      <c r="HT21" s="699">
        <f>DE21</f>
        <v/>
      </c>
      <c r="HU21" s="699" t="n">
        <v>20</v>
      </c>
      <c r="HV21" s="235">
        <f>HT21-HU21</f>
        <v/>
      </c>
    </row>
    <row r="22" customFormat="1" s="3">
      <c r="A22" s="37" t="inlineStr">
        <is>
          <t>KIT ETIQUETAS (50 c/50un)</t>
        </is>
      </c>
      <c r="B22" s="699" t="n">
        <v>2500</v>
      </c>
      <c r="C22" s="762" t="n">
        <v>66.87</v>
      </c>
      <c r="D22" s="382" t="n">
        <v>15</v>
      </c>
      <c r="E22" s="726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19+FG22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192">
        <f>BW22+IF(NOT(ISBLANK(OFFSET(BY22,0,6))),N(OFFSET(BY22,0,6)),N(OFFSET(BY22,0,7)))-BX22</f>
        <v/>
      </c>
      <c r="BZ22" s="5" t="n"/>
      <c r="CA22" s="22" t="n"/>
      <c r="CB22" s="22" t="n"/>
      <c r="CC22" s="5" t="n"/>
      <c r="CD22" s="27" t="n"/>
      <c r="CE22" s="726" t="n"/>
      <c r="CF22" s="40" t="n">
        <v>0</v>
      </c>
      <c r="CG22" s="40" t="n">
        <v>0</v>
      </c>
      <c r="CH22" s="40" t="n"/>
      <c r="CI22" s="40" t="n"/>
      <c r="CJ22" s="40" t="n"/>
      <c r="CK22" s="40" t="n"/>
      <c r="CL22" s="40" t="n"/>
      <c r="CM22" s="467" t="n">
        <v>2</v>
      </c>
      <c r="CN22" s="40" t="n"/>
      <c r="CO22" s="40" t="n"/>
      <c r="CP22" s="40" t="n"/>
      <c r="CQ22" s="40" t="n"/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198" t="inlineStr">
        <is>
          <t>05 P/ ERB</t>
        </is>
      </c>
      <c r="DA22" s="40" t="n"/>
      <c r="DB22" s="40" t="n"/>
      <c r="DC22" s="40" t="n"/>
      <c r="DD22" s="40" t="n"/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23" t="n"/>
      <c r="DQ22" s="40" t="n"/>
      <c r="DR22" s="40" t="n"/>
      <c r="DS22" s="40" t="n"/>
      <c r="DT22" s="23" t="n"/>
      <c r="DU22" s="40" t="n"/>
      <c r="DV22" s="40" t="n">
        <v>50</v>
      </c>
      <c r="DW22" s="40" t="n"/>
      <c r="DX22" s="40" t="n"/>
      <c r="DY22" s="40" t="n"/>
      <c r="DZ22" s="40" t="n"/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>
        <v>50</v>
      </c>
      <c r="FH22" s="40" t="n"/>
      <c r="FI22" s="40" t="n"/>
      <c r="FJ22" s="40" t="n"/>
      <c r="FK22" s="219" t="n"/>
      <c r="FL22" s="40" t="n"/>
      <c r="FM22" s="40" t="n"/>
      <c r="FN22" s="219" t="n">
        <v>15</v>
      </c>
      <c r="FO22" s="40" t="n"/>
      <c r="FP22" s="40" t="n"/>
      <c r="FQ22" s="40" t="n"/>
      <c r="FR22" s="40" t="n"/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E22" s="37" t="inlineStr">
        <is>
          <t>KIT TAGS 15 PC C/ 10</t>
        </is>
      </c>
      <c r="GF22" s="208" t="n">
        <v>150</v>
      </c>
      <c r="GG22" s="699">
        <f>FN22</f>
        <v/>
      </c>
      <c r="GH22" s="699" t="n">
        <v>15</v>
      </c>
      <c r="GI22" s="699" t="n">
        <v>12</v>
      </c>
      <c r="GJ22" s="699" t="n">
        <v>0</v>
      </c>
      <c r="GK22" s="699" t="n">
        <v>0</v>
      </c>
      <c r="GL22" s="699" t="n">
        <v>0</v>
      </c>
      <c r="GM22" s="699" t="n">
        <v>0</v>
      </c>
      <c r="GN22" s="699" t="n">
        <v>0</v>
      </c>
      <c r="GO22" s="699" t="n">
        <v>0</v>
      </c>
      <c r="GP22" s="699" t="n">
        <v>0</v>
      </c>
      <c r="GQ22" s="699" t="n">
        <v>0</v>
      </c>
      <c r="GR22" s="303">
        <f>GP22-GQ22</f>
        <v/>
      </c>
      <c r="GT22" s="37" t="inlineStr">
        <is>
          <t>KIT TAGS 15 PC C/ 10</t>
        </is>
      </c>
      <c r="GU22" s="208" t="n">
        <v>150</v>
      </c>
      <c r="GV22" s="699" t="n">
        <v>0</v>
      </c>
      <c r="GW22" s="699" t="n">
        <v>0</v>
      </c>
      <c r="GX22" s="699" t="n">
        <v>0</v>
      </c>
      <c r="GY22" s="699" t="n">
        <v>0</v>
      </c>
      <c r="GZ22" s="699" t="n">
        <v>0</v>
      </c>
      <c r="HA22" s="699" t="n">
        <v>0</v>
      </c>
      <c r="HB22" s="699" t="n">
        <v>0</v>
      </c>
      <c r="HC22" s="369">
        <f>GV22-GW22</f>
        <v/>
      </c>
    </row>
    <row r="23" ht="20.25" customFormat="1" customHeight="1" s="3">
      <c r="A23" s="37" t="inlineStr">
        <is>
          <t>KIT TAGS  (21 c/ 50 un)</t>
        </is>
      </c>
      <c r="B23" s="699" t="n">
        <v>1050</v>
      </c>
      <c r="C23" s="762" t="n">
        <v>52.14</v>
      </c>
      <c r="D23" s="382" t="n">
        <v>10</v>
      </c>
      <c r="E23" s="2" t="n"/>
      <c r="F23" s="697" t="n">
        <v>46</v>
      </c>
      <c r="G23" s="697" t="n">
        <v>45</v>
      </c>
      <c r="H23" s="697" t="n">
        <v>45</v>
      </c>
      <c r="I23" s="697" t="n">
        <v>45</v>
      </c>
      <c r="J23" s="697" t="n">
        <v>45</v>
      </c>
      <c r="K23" s="697" t="n">
        <v>45</v>
      </c>
      <c r="L23" s="697" t="n">
        <v>45</v>
      </c>
      <c r="M23" s="697" t="n">
        <v>43</v>
      </c>
      <c r="N23" s="697" t="n">
        <v>43</v>
      </c>
      <c r="O23" s="697" t="n">
        <v>42</v>
      </c>
      <c r="P23" s="697" t="n">
        <v>42</v>
      </c>
      <c r="Q23" s="697" t="n">
        <v>42</v>
      </c>
      <c r="R23" s="697" t="n">
        <v>42</v>
      </c>
      <c r="S23" s="697" t="n">
        <v>42</v>
      </c>
      <c r="T23" s="697" t="n">
        <v>42</v>
      </c>
      <c r="U23" s="697" t="n">
        <v>42</v>
      </c>
      <c r="V23" s="697" t="n">
        <v>42</v>
      </c>
      <c r="W23" s="697" t="n">
        <v>39</v>
      </c>
      <c r="X23" s="697" t="n">
        <v>38</v>
      </c>
      <c r="Y23" s="697" t="n">
        <v>37</v>
      </c>
      <c r="Z23" s="697" t="n">
        <v>37</v>
      </c>
      <c r="AA23" s="697" t="n">
        <v>37</v>
      </c>
      <c r="AB23" s="697" t="n">
        <v>35</v>
      </c>
      <c r="AC23" s="697" t="n">
        <v>35</v>
      </c>
      <c r="AD23" s="697" t="n">
        <v>34</v>
      </c>
      <c r="AE23" s="697" t="n">
        <v>33</v>
      </c>
      <c r="AF23" s="697" t="n">
        <v>32</v>
      </c>
      <c r="AG23" s="697" t="n">
        <v>32</v>
      </c>
      <c r="AH23" s="697" t="n">
        <v>30</v>
      </c>
      <c r="AI23" s="697" t="n">
        <v>30</v>
      </c>
      <c r="AJ23" s="697" t="n">
        <v>30</v>
      </c>
      <c r="AK23" s="697" t="n">
        <v>29</v>
      </c>
      <c r="AL23" s="697" t="n">
        <v>24</v>
      </c>
      <c r="AM23" s="697" t="n">
        <v>24</v>
      </c>
      <c r="AN23" s="697" t="n">
        <v>24</v>
      </c>
      <c r="AO23" s="697" t="n">
        <v>23</v>
      </c>
      <c r="AP23" s="697" t="n">
        <v>23</v>
      </c>
      <c r="AQ23" s="697" t="n">
        <v>21</v>
      </c>
      <c r="AR23" s="697" t="n">
        <v>20</v>
      </c>
      <c r="AS23" s="697" t="n">
        <v>20</v>
      </c>
      <c r="AT23" s="697" t="n">
        <v>19</v>
      </c>
      <c r="AU23" s="697" t="n">
        <v>19</v>
      </c>
      <c r="AV23" s="697" t="n">
        <v>19</v>
      </c>
      <c r="AW23" s="697" t="n">
        <v>19</v>
      </c>
      <c r="AX23" s="697" t="n">
        <v>18</v>
      </c>
      <c r="AY23" s="697" t="n">
        <v>18</v>
      </c>
      <c r="AZ23" s="697" t="n">
        <v>18</v>
      </c>
      <c r="BA23" s="697" t="n">
        <v>18</v>
      </c>
      <c r="BB23" s="697" t="n">
        <v>18</v>
      </c>
      <c r="BC23" s="697" t="n">
        <v>17</v>
      </c>
      <c r="BD23" s="697" t="n">
        <v>17</v>
      </c>
      <c r="BE23" s="697" t="n">
        <v>17</v>
      </c>
      <c r="BF23" s="697" t="n">
        <v>17</v>
      </c>
      <c r="BG23" s="697" t="n">
        <v>17</v>
      </c>
      <c r="BH23" s="697" t="n">
        <v>17</v>
      </c>
      <c r="BI23" s="697" t="n">
        <v>17</v>
      </c>
      <c r="BJ23" s="697" t="n">
        <v>17</v>
      </c>
      <c r="BK23" s="697" t="n">
        <v>17</v>
      </c>
      <c r="BL23" s="697" t="n">
        <v>17</v>
      </c>
      <c r="BM23" s="697" t="n">
        <v>17</v>
      </c>
      <c r="BN23" s="697" t="n">
        <v>17</v>
      </c>
      <c r="BO23" s="697" t="n">
        <v>16</v>
      </c>
      <c r="BP23" s="697" t="n">
        <v>16</v>
      </c>
      <c r="BQ23" s="697" t="n">
        <v>16</v>
      </c>
      <c r="BR23" s="697" t="n">
        <v>13</v>
      </c>
      <c r="BS23" s="697" t="n">
        <v>12</v>
      </c>
      <c r="BT23" s="697" t="n"/>
      <c r="BU23" s="697" t="n"/>
      <c r="BV23" s="697" t="n"/>
      <c r="BW23" s="697" t="n"/>
      <c r="BX23" s="697" t="n"/>
      <c r="BY23" s="192">
        <f>BW23+IF(NOT(ISBLANK(OFFSET(BY23,0,6))),N(OFFSET(BY23,0,6)),N(OFFSET(BY23,0,7)))-BX23</f>
        <v/>
      </c>
      <c r="BZ23" s="5" t="n"/>
      <c r="CA23" s="22" t="n"/>
      <c r="CB23" s="22" t="n"/>
      <c r="CC23" s="5" t="n"/>
      <c r="CD23" s="27" t="n"/>
      <c r="CE23" s="726" t="n"/>
      <c r="CF23" s="40" t="n">
        <v>0</v>
      </c>
      <c r="CG23" s="40" t="n">
        <v>0</v>
      </c>
      <c r="CH23" s="40" t="n"/>
      <c r="CI23" s="40" t="n"/>
      <c r="CJ23" s="40" t="n"/>
      <c r="CK23" s="40" t="n"/>
      <c r="CL23" s="40" t="n"/>
      <c r="CM23" s="467" t="n">
        <v>10</v>
      </c>
      <c r="CN23" s="40" t="n"/>
      <c r="CO23" s="40" t="n"/>
      <c r="CP23" s="40" t="n"/>
      <c r="CQ23" s="40" t="n"/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219" t="n"/>
      <c r="DA23" s="40" t="n"/>
      <c r="DB23" s="40" t="n"/>
      <c r="DC23" s="40" t="n"/>
      <c r="DD23" s="40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23" t="n"/>
      <c r="DQ23" s="40" t="n"/>
      <c r="DR23" s="40" t="n"/>
      <c r="DS23" s="40" t="n"/>
      <c r="DT23" s="23" t="n"/>
      <c r="DU23" s="40" t="n"/>
      <c r="DV23" s="40" t="n"/>
      <c r="DW23" s="40" t="n"/>
      <c r="DX23" s="40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219" t="n"/>
      <c r="FL23" s="40" t="n"/>
      <c r="FM23" s="40" t="n"/>
      <c r="FN23" s="219" t="n"/>
      <c r="FO23" s="40" t="n"/>
      <c r="FP23" s="40" t="n"/>
      <c r="FQ23" s="40" t="n"/>
      <c r="FR23" s="40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E23" s="35" t="n"/>
      <c r="GT23" s="35" t="n"/>
      <c r="HE23" s="35" t="n"/>
      <c r="HQ23" s="35" t="n"/>
    </row>
    <row r="24" ht="20.45" customFormat="1" customHeight="1" s="3">
      <c r="A24" s="35" t="n"/>
      <c r="BY24" s="573" t="n"/>
      <c r="BZ24" s="5" t="n"/>
      <c r="CA24" s="11" t="n"/>
      <c r="CB24" s="11" t="n"/>
      <c r="CC24" s="5" t="n"/>
      <c r="CF24" s="21" t="n"/>
      <c r="CG24" s="21" t="n"/>
      <c r="CH24" s="21" t="n"/>
      <c r="CI24" s="21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11" t="n"/>
      <c r="DA24" s="21" t="n"/>
      <c r="DB24" s="21" t="n"/>
      <c r="DC24" s="21" t="n"/>
      <c r="DD24" s="2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11" t="n"/>
      <c r="FL24" s="21" t="n"/>
      <c r="FM24" s="21" t="n"/>
      <c r="FN24" s="11" t="n"/>
      <c r="FO24" s="21" t="n"/>
      <c r="FP24" s="21" t="n"/>
      <c r="FQ24" s="21" t="n"/>
      <c r="FR24" s="21" t="n"/>
      <c r="FS24" s="2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S24" s="5" t="n"/>
      <c r="GT24" s="35" t="n"/>
      <c r="HE24" s="35" t="n"/>
      <c r="HQ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8" t="inlineStr">
        <is>
          <t>USOU</t>
        </is>
      </c>
      <c r="CA25" s="44" t="inlineStr">
        <is>
          <t>Pendências</t>
        </is>
      </c>
      <c r="CB25" s="44" t="inlineStr">
        <is>
          <t>Pendências</t>
        </is>
      </c>
      <c r="CC25" s="5" t="n"/>
      <c r="CD25" s="12" t="inlineStr">
        <is>
          <t>Novo Pedido</t>
        </is>
      </c>
      <c r="CE25" s="2" t="n"/>
      <c r="CF25" s="794" t="n">
        <v>46149</v>
      </c>
      <c r="CG25" s="794" t="n">
        <v>46142</v>
      </c>
      <c r="CH25" s="794" t="n">
        <v>46114</v>
      </c>
      <c r="CI25" s="794" t="n">
        <v>46107</v>
      </c>
      <c r="CJ25" s="795" t="n">
        <v>46065</v>
      </c>
      <c r="CK25" s="794" t="n">
        <v>46099</v>
      </c>
      <c r="CL25" s="794" t="n">
        <v>46092</v>
      </c>
      <c r="CM25" s="796" t="n">
        <v>46045</v>
      </c>
      <c r="CN25" s="794" t="n">
        <v>46077</v>
      </c>
      <c r="CO25" s="794" t="n">
        <v>46048</v>
      </c>
      <c r="CP25" s="794" t="n">
        <v>46043</v>
      </c>
      <c r="CQ25" s="794" t="n">
        <v>46024</v>
      </c>
      <c r="CR25" s="794" t="n">
        <v>46017</v>
      </c>
      <c r="CS25" s="794" t="n">
        <v>46007</v>
      </c>
      <c r="CT25" s="794" t="n">
        <v>46001</v>
      </c>
      <c r="CU25" s="794" t="n">
        <v>46001</v>
      </c>
      <c r="CV25" s="794" t="n">
        <v>45994</v>
      </c>
      <c r="CW25" s="794" t="n">
        <v>45986</v>
      </c>
      <c r="CX25" s="794" t="n">
        <v>45980</v>
      </c>
      <c r="CY25" s="794" t="n">
        <v>45980</v>
      </c>
      <c r="CZ25" s="797" t="n">
        <v>45982</v>
      </c>
      <c r="DA25" s="794" t="n">
        <v>45973</v>
      </c>
      <c r="DB25" s="794" t="n">
        <v>45965</v>
      </c>
      <c r="DC25" s="794" t="n">
        <v>45960</v>
      </c>
      <c r="DD25" s="794" t="n">
        <v>45951</v>
      </c>
      <c r="DE25" s="737" t="n">
        <v>45903</v>
      </c>
      <c r="DF25" s="794" t="n">
        <v>45945</v>
      </c>
      <c r="DG25" s="794" t="n">
        <v>45937</v>
      </c>
      <c r="DH25" s="794" t="n">
        <v>45931</v>
      </c>
      <c r="DI25" s="794" t="n">
        <v>45931</v>
      </c>
      <c r="DJ25" s="794" t="n">
        <v>45915</v>
      </c>
      <c r="DK25" s="794" t="n">
        <v>45923</v>
      </c>
      <c r="DL25" s="794" t="n">
        <v>45903</v>
      </c>
      <c r="DM25" s="794" t="n">
        <v>45915</v>
      </c>
      <c r="DN25" s="797" t="n">
        <v>45918</v>
      </c>
      <c r="DO25" s="794" t="n">
        <v>45909</v>
      </c>
      <c r="DP25" s="738" t="n">
        <v>45903</v>
      </c>
      <c r="DQ25" s="794" t="n">
        <v>45895</v>
      </c>
      <c r="DR25" s="797" t="n">
        <v>45896</v>
      </c>
      <c r="DS25" s="794" t="n">
        <v>45881</v>
      </c>
      <c r="DT25" s="738" t="n">
        <v>45839</v>
      </c>
      <c r="DU25" s="794" t="n">
        <v>45888</v>
      </c>
      <c r="DV25" s="794" t="n">
        <v>45881</v>
      </c>
      <c r="DW25" s="797" t="n">
        <v>45881</v>
      </c>
      <c r="DX25" s="794" t="n">
        <v>45874</v>
      </c>
      <c r="DY25" s="797" t="n">
        <v>45876</v>
      </c>
      <c r="DZ25" s="794" t="n">
        <v>45867</v>
      </c>
      <c r="EA25" s="794" t="n">
        <v>45867</v>
      </c>
      <c r="EB25" s="794" t="n">
        <v>45860</v>
      </c>
      <c r="EC25" s="797" t="n">
        <v>45861</v>
      </c>
      <c r="ED25" s="797" t="n">
        <v>45860</v>
      </c>
      <c r="EE25" s="794" t="n">
        <v>45853</v>
      </c>
      <c r="EF25" s="739" t="n">
        <v>45855</v>
      </c>
      <c r="EG25" s="794" t="n">
        <v>45848</v>
      </c>
      <c r="EH25" s="794" t="n">
        <v>45839</v>
      </c>
      <c r="EI25" s="794" t="n">
        <v>45839</v>
      </c>
      <c r="EJ25" s="797" t="n">
        <v>45835</v>
      </c>
      <c r="EK25" s="794" t="n">
        <v>45790</v>
      </c>
      <c r="EL25" s="794" t="n">
        <v>45825</v>
      </c>
      <c r="EM25" s="794" t="n">
        <v>45819</v>
      </c>
      <c r="EN25" s="794" t="n">
        <v>45813</v>
      </c>
      <c r="EO25" s="794" t="n">
        <v>45797</v>
      </c>
      <c r="EP25" s="797" t="n">
        <v>45811</v>
      </c>
      <c r="EQ25" s="797" t="n">
        <v>45810</v>
      </c>
      <c r="ER25" s="797" t="n">
        <v>45806</v>
      </c>
      <c r="ES25" s="797" t="n">
        <v>45803</v>
      </c>
      <c r="ET25" s="755" t="n">
        <v>45803</v>
      </c>
      <c r="EU25" s="794" t="n">
        <v>45784</v>
      </c>
      <c r="EV25" s="797" t="n">
        <v>45796</v>
      </c>
      <c r="EW25" s="794" t="n">
        <v>45784</v>
      </c>
      <c r="EX25" s="794" t="n">
        <v>45764</v>
      </c>
      <c r="EY25" s="797" t="n">
        <v>45791</v>
      </c>
      <c r="EZ25" s="794" t="n">
        <v>45783</v>
      </c>
      <c r="FA25" s="794" t="n">
        <v>45770</v>
      </c>
      <c r="FB25" s="794" t="n">
        <v>45775</v>
      </c>
      <c r="FC25" s="794" t="n">
        <v>45770</v>
      </c>
      <c r="FD25" s="794" t="n">
        <v>45770</v>
      </c>
      <c r="FE25" s="797" t="n">
        <v>45775</v>
      </c>
      <c r="FF25" s="797" t="n">
        <v>45770</v>
      </c>
      <c r="FG25" s="794" t="n">
        <v>45756</v>
      </c>
      <c r="FH25" s="794" t="n">
        <v>45735</v>
      </c>
      <c r="FI25" s="797" t="n">
        <v>45751</v>
      </c>
      <c r="FJ25" s="794" t="n">
        <v>45743</v>
      </c>
      <c r="FK25" s="746" t="n">
        <v>45729</v>
      </c>
      <c r="FL25" s="794" t="n">
        <v>45722</v>
      </c>
      <c r="FM25" s="794" t="n">
        <v>45722</v>
      </c>
      <c r="FN25" s="746" t="n">
        <v>45700</v>
      </c>
      <c r="FO25" s="797" t="n">
        <v>45722</v>
      </c>
      <c r="FP25" s="794" t="n">
        <v>45714</v>
      </c>
      <c r="FQ25" s="794" t="n">
        <v>45706</v>
      </c>
      <c r="FR25" s="794" t="n">
        <v>45684</v>
      </c>
      <c r="FS25" s="794" t="n">
        <v>45699</v>
      </c>
      <c r="FT25" s="794" t="n">
        <v>45693</v>
      </c>
      <c r="FU25" s="797" t="n">
        <v>45687</v>
      </c>
      <c r="FV25" s="794" t="n">
        <v>45685</v>
      </c>
      <c r="FW25" s="797" t="n">
        <v>45684</v>
      </c>
      <c r="FX25" s="794" t="n">
        <v>45674</v>
      </c>
      <c r="FY25" s="794" t="n">
        <v>45664</v>
      </c>
      <c r="FZ25" s="794" t="n">
        <v>45660</v>
      </c>
      <c r="GA25" s="794" t="n">
        <v>45660</v>
      </c>
      <c r="GB25" s="794" t="n">
        <v>45652</v>
      </c>
      <c r="GC25" s="794" t="n">
        <v>45643</v>
      </c>
      <c r="GE25" s="304" t="inlineStr">
        <is>
          <t>CAIXAS</t>
        </is>
      </c>
      <c r="GF25" s="544" t="inlineStr">
        <is>
          <t>PCT</t>
        </is>
      </c>
      <c r="GG25" s="536" t="n">
        <v>45726</v>
      </c>
      <c r="GH25" s="536" t="n">
        <v>45733</v>
      </c>
      <c r="GI25" s="536" t="n">
        <v>45740</v>
      </c>
      <c r="GJ25" s="322" t="n">
        <v>45747</v>
      </c>
      <c r="GK25" s="536" t="n">
        <v>45754</v>
      </c>
      <c r="GL25" s="536" t="n">
        <v>45761</v>
      </c>
      <c r="GM25" s="536" t="n">
        <v>45768</v>
      </c>
      <c r="GN25" s="536" t="n">
        <v>45775</v>
      </c>
      <c r="GO25" s="536" t="n">
        <v>45782</v>
      </c>
      <c r="GP25" s="536" t="n">
        <v>45789</v>
      </c>
      <c r="GQ25" s="536" t="n">
        <v>45796</v>
      </c>
      <c r="GR25" s="235" t="inlineStr">
        <is>
          <t>USOU</t>
        </is>
      </c>
      <c r="GS25" s="5" t="n"/>
      <c r="GT25" s="369" t="inlineStr">
        <is>
          <t>CAIXAS</t>
        </is>
      </c>
      <c r="GU25" s="805" t="inlineStr">
        <is>
          <t>PCT</t>
        </is>
      </c>
      <c r="GV25" s="398" t="n">
        <v>45796</v>
      </c>
      <c r="GW25" s="398" t="n">
        <v>45803</v>
      </c>
      <c r="GX25" s="398" t="n">
        <v>45810</v>
      </c>
      <c r="GY25" s="398" t="n">
        <v>45817</v>
      </c>
      <c r="GZ25" s="398" t="n">
        <v>45824</v>
      </c>
      <c r="HA25" s="398" t="n">
        <v>45831</v>
      </c>
      <c r="HB25" s="398" t="n">
        <v>45838</v>
      </c>
      <c r="HC25" s="368" t="inlineStr">
        <is>
          <t>USOU</t>
        </is>
      </c>
      <c r="HE25" s="412" t="inlineStr">
        <is>
          <t>CAIXAS</t>
        </is>
      </c>
      <c r="HF25" s="810" t="inlineStr">
        <is>
          <t>PCT</t>
        </is>
      </c>
      <c r="HG25" s="811" t="n">
        <v>45845</v>
      </c>
      <c r="HH25" s="811" t="n">
        <v>45852</v>
      </c>
      <c r="HI25" s="811" t="n">
        <v>45859</v>
      </c>
      <c r="HJ25" s="811" t="n">
        <v>45866</v>
      </c>
      <c r="HK25" s="811" t="n">
        <v>45873</v>
      </c>
      <c r="HL25" s="811" t="n">
        <v>45880</v>
      </c>
      <c r="HM25" s="811" t="n">
        <v>45887</v>
      </c>
      <c r="HN25" s="811" t="n">
        <v>45894</v>
      </c>
      <c r="HO25" s="411" t="inlineStr">
        <is>
          <t>USOU</t>
        </is>
      </c>
      <c r="HQ25" s="438" t="inlineStr">
        <is>
          <t>CAIXAS</t>
        </is>
      </c>
      <c r="HR25" s="829" t="inlineStr">
        <is>
          <t>PCT</t>
        </is>
      </c>
      <c r="HS25" s="513" t="n">
        <v>45950</v>
      </c>
      <c r="HT25" s="513" t="n">
        <v>45957</v>
      </c>
      <c r="HU25" s="513" t="n">
        <v>45964</v>
      </c>
      <c r="HV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65" t="n">
        <v>239.21</v>
      </c>
      <c r="D26" s="382" t="n">
        <v>15</v>
      </c>
      <c r="E26" s="2" t="n"/>
      <c r="F26" s="697" t="n">
        <v>32</v>
      </c>
      <c r="G26" s="697" t="n">
        <v>31</v>
      </c>
      <c r="H26" s="697" t="n">
        <v>28</v>
      </c>
      <c r="I26" s="697" t="n">
        <v>27</v>
      </c>
      <c r="J26" s="697" t="n">
        <v>27</v>
      </c>
      <c r="K26" s="697" t="n">
        <v>27</v>
      </c>
      <c r="L26" s="697" t="n">
        <v>24</v>
      </c>
      <c r="M26" s="697">
        <f>23+FS26</f>
        <v/>
      </c>
      <c r="N26" s="697" t="n">
        <v>98</v>
      </c>
      <c r="O26" s="697" t="n">
        <v>95</v>
      </c>
      <c r="P26" s="697" t="n">
        <v>94</v>
      </c>
      <c r="Q26" s="697" t="n">
        <v>90</v>
      </c>
      <c r="R26" s="697" t="n">
        <v>85</v>
      </c>
      <c r="S26" s="697" t="n">
        <v>82</v>
      </c>
      <c r="T26" s="697" t="n">
        <v>82</v>
      </c>
      <c r="U26" s="697" t="n">
        <v>80</v>
      </c>
      <c r="V26" s="697" t="n">
        <v>79</v>
      </c>
      <c r="W26" s="697" t="n">
        <v>79</v>
      </c>
      <c r="X26" s="697" t="n">
        <v>78</v>
      </c>
      <c r="Y26" s="697" t="n">
        <v>72</v>
      </c>
      <c r="Z26" s="697" t="n">
        <v>68</v>
      </c>
      <c r="AA26" s="697" t="n">
        <v>64</v>
      </c>
      <c r="AB26" s="697">
        <f>57-20</f>
        <v/>
      </c>
      <c r="AC26" s="697" t="n">
        <v>35</v>
      </c>
      <c r="AD26" s="697" t="n">
        <v>25</v>
      </c>
      <c r="AE26" s="697" t="n">
        <v>99</v>
      </c>
      <c r="AF26" s="697" t="n">
        <v>89</v>
      </c>
      <c r="AG26" s="697" t="n">
        <v>89</v>
      </c>
      <c r="AH26" s="697" t="n">
        <v>82</v>
      </c>
      <c r="AI26" s="697">
        <f>80-10</f>
        <v/>
      </c>
      <c r="AJ26" s="697" t="n">
        <v>69</v>
      </c>
      <c r="AK26" s="697">
        <f>69-20</f>
        <v/>
      </c>
      <c r="AL26" s="697" t="n">
        <v>40</v>
      </c>
      <c r="AM26" s="697" t="n">
        <v>37</v>
      </c>
      <c r="AN26" s="697" t="n">
        <v>35</v>
      </c>
      <c r="AO26" s="697" t="n">
        <v>32</v>
      </c>
      <c r="AP26" s="697" t="n">
        <v>30</v>
      </c>
      <c r="AQ26" s="697" t="n">
        <v>27</v>
      </c>
      <c r="AR26" s="697" t="n">
        <v>22</v>
      </c>
      <c r="AS26" s="697" t="n">
        <v>22</v>
      </c>
      <c r="AT26" s="697" t="n">
        <v>19</v>
      </c>
      <c r="AU26" s="697" t="n">
        <v>17</v>
      </c>
      <c r="AV26" s="697" t="n">
        <v>4</v>
      </c>
      <c r="AW26" s="697" t="n">
        <v>2</v>
      </c>
      <c r="AX26" s="697" t="n">
        <v>1</v>
      </c>
      <c r="AY26" s="697" t="n">
        <v>0</v>
      </c>
      <c r="AZ26" s="697">
        <f>0+20</f>
        <v/>
      </c>
      <c r="BA26" s="697" t="n">
        <v>20</v>
      </c>
      <c r="BB26" s="697" t="n">
        <v>13</v>
      </c>
      <c r="BC26" s="697" t="n">
        <v>2</v>
      </c>
      <c r="BD26" s="697" t="n">
        <v>1</v>
      </c>
      <c r="BE26" s="697" t="n">
        <v>0</v>
      </c>
      <c r="BF26" s="697" t="n">
        <v>0</v>
      </c>
      <c r="BG26" s="697" t="n">
        <v>0</v>
      </c>
      <c r="BH26" s="697" t="n">
        <v>0</v>
      </c>
      <c r="BI26" s="697" t="n">
        <v>0</v>
      </c>
      <c r="BJ26" s="697" t="n">
        <v>0</v>
      </c>
      <c r="BK26" s="697" t="n">
        <v>150</v>
      </c>
      <c r="BL26" s="697" t="n">
        <v>149</v>
      </c>
      <c r="BM26" s="697" t="n">
        <v>149</v>
      </c>
      <c r="BN26" s="697" t="n">
        <v>149</v>
      </c>
      <c r="BO26" s="697" t="n">
        <v>148</v>
      </c>
      <c r="BP26" s="697" t="n">
        <v>144</v>
      </c>
      <c r="BQ26" s="697" t="n">
        <v>144</v>
      </c>
      <c r="BR26" s="697" t="n">
        <v>140</v>
      </c>
      <c r="BS26" s="697" t="n">
        <v>140</v>
      </c>
      <c r="BT26" s="697" t="n"/>
      <c r="BU26" s="697" t="n"/>
      <c r="BV26" s="697" t="n"/>
      <c r="BW26" s="697" t="n"/>
      <c r="BX26" s="697" t="n"/>
      <c r="BY26" s="192">
        <f>BW26+IF(NOT(ISBLANK(OFFSET(BY26,0,6))),N(OFFSET(BY26,0,6)),N(OFFSET(BY26,0,7)))-BX26</f>
        <v/>
      </c>
      <c r="CA26" s="22" t="n"/>
      <c r="CB26" s="22" t="n"/>
      <c r="CC26" s="5" t="n"/>
      <c r="CD26" s="27" t="n"/>
      <c r="CE26" s="2" t="n"/>
      <c r="CF26" s="40" t="n">
        <v>0</v>
      </c>
      <c r="CG26" s="40" t="n">
        <v>0</v>
      </c>
      <c r="CH26" s="40" t="n"/>
      <c r="CI26" s="40" t="n"/>
      <c r="CJ26" s="419" t="n">
        <v>150</v>
      </c>
      <c r="CK26" s="40" t="n"/>
      <c r="CL26" s="40" t="n"/>
      <c r="CM26" s="467" t="n">
        <v>200</v>
      </c>
      <c r="CN26" s="40" t="n"/>
      <c r="CO26" s="40" t="n"/>
      <c r="CP26" s="40" t="n">
        <v>150</v>
      </c>
      <c r="CQ26" s="40" t="n"/>
      <c r="CR26" s="40" t="n"/>
      <c r="CS26" s="40" t="n"/>
      <c r="CT26" s="40" t="n"/>
      <c r="CU26" s="40" t="n"/>
      <c r="CV26" s="40" t="n"/>
      <c r="CW26" s="40" t="n"/>
      <c r="CX26" s="40" t="n"/>
      <c r="CY26" s="40" t="n"/>
      <c r="CZ26" s="192" t="inlineStr">
        <is>
          <t>20 DE ERB</t>
        </is>
      </c>
      <c r="DA26" s="40" t="n"/>
      <c r="DB26" s="40" t="n"/>
      <c r="DC26" s="40" t="n"/>
      <c r="DD26" s="40" t="n"/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192" t="inlineStr">
        <is>
          <t>20 P/ ER</t>
        </is>
      </c>
      <c r="DZ26" s="40" t="n"/>
      <c r="EA26" s="40" t="n"/>
      <c r="EB26" s="40" t="n"/>
      <c r="EC26" s="40" t="n"/>
      <c r="ED26" s="282" t="inlineStr">
        <is>
          <t>10 P/ ER</t>
        </is>
      </c>
      <c r="EE26" s="40" t="n"/>
      <c r="EF26" s="40" t="n"/>
      <c r="EG26" s="40" t="n"/>
      <c r="EH26" s="40" t="n"/>
      <c r="EI26" s="40" t="n"/>
      <c r="EJ26" s="40" t="n"/>
      <c r="EK26" s="40" t="n"/>
      <c r="EL26" s="40" t="n">
        <v>75</v>
      </c>
      <c r="EM26" s="40" t="n"/>
      <c r="EN26" s="40" t="n"/>
      <c r="EO26" s="40" t="n"/>
      <c r="EP26" s="282" t="inlineStr">
        <is>
          <t>20 P/ ER</t>
        </is>
      </c>
      <c r="EQ26" s="40" t="n"/>
      <c r="ER26" s="40" t="n"/>
      <c r="ES26" s="40" t="n"/>
      <c r="ET26" s="40" t="n"/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292" t="inlineStr">
        <is>
          <t>50 P/ ER</t>
        </is>
      </c>
      <c r="FL26" s="40" t="n"/>
      <c r="FM26" s="40" t="n"/>
      <c r="FN26" s="219" t="n">
        <v>150</v>
      </c>
      <c r="FO26" s="40" t="n"/>
      <c r="FP26" s="40" t="n"/>
      <c r="FQ26" s="40" t="n"/>
      <c r="FR26" s="40" t="n"/>
      <c r="FS26" s="40" t="n">
        <v>75</v>
      </c>
      <c r="FT26" s="40" t="n"/>
      <c r="FU26" s="40" t="n"/>
      <c r="FV26" s="40" t="n"/>
      <c r="FW26" s="40" t="n"/>
      <c r="FX26" s="40" t="n"/>
      <c r="FY26" s="40" t="n"/>
      <c r="FZ26" s="40" t="n"/>
      <c r="GA26" s="40" t="n"/>
      <c r="GB26" s="40" t="n"/>
      <c r="GC26" s="40" t="n"/>
      <c r="GE26" s="37" t="inlineStr">
        <is>
          <t>KIT CAIXA P</t>
        </is>
      </c>
      <c r="GF26" s="208" t="n">
        <v>150</v>
      </c>
      <c r="GG26" s="699">
        <f>FN26</f>
        <v/>
      </c>
      <c r="GH26" s="699">
        <f>150-50</f>
        <v/>
      </c>
      <c r="GI26" s="699" t="n">
        <v>100</v>
      </c>
      <c r="GJ26" s="699" t="n">
        <v>95</v>
      </c>
      <c r="GK26" s="699" t="n">
        <v>95</v>
      </c>
      <c r="GL26" s="699" t="n">
        <v>91</v>
      </c>
      <c r="GM26" s="699" t="n">
        <v>49</v>
      </c>
      <c r="GN26" s="699" t="n">
        <v>45</v>
      </c>
      <c r="GO26" s="699" t="n">
        <v>40</v>
      </c>
      <c r="GP26" s="699" t="n">
        <v>0</v>
      </c>
      <c r="GQ26" s="699" t="n">
        <v>0</v>
      </c>
      <c r="GR26" s="303">
        <f>GP26-GQ26</f>
        <v/>
      </c>
      <c r="GS26" s="5" t="n"/>
      <c r="GT26" s="745" t="n"/>
      <c r="GU26" s="745" t="n"/>
      <c r="GV26" s="745" t="n"/>
      <c r="GW26" s="745" t="n"/>
      <c r="GX26" s="745" t="n"/>
      <c r="GY26" s="745" t="n"/>
      <c r="GZ26" s="745" t="n"/>
      <c r="HA26" s="745" t="n"/>
      <c r="HB26" s="745" t="n"/>
      <c r="HC26" s="745" t="n"/>
      <c r="HE26" s="745" t="n"/>
      <c r="HF26" s="745" t="n"/>
      <c r="HG26" s="745" t="n"/>
      <c r="HH26" s="745" t="n"/>
      <c r="HI26" s="745" t="n"/>
      <c r="HJ26" s="745" t="n"/>
      <c r="HK26" s="745" t="n"/>
      <c r="HL26" s="745" t="n"/>
      <c r="HM26" s="745" t="n"/>
      <c r="HN26" s="745" t="n"/>
      <c r="HO26" s="745" t="n"/>
      <c r="HQ26" s="37" t="inlineStr">
        <is>
          <t xml:space="preserve">CAIXA P </t>
        </is>
      </c>
      <c r="HR26" s="208" t="n">
        <v>150</v>
      </c>
      <c r="HS26" s="699" t="n">
        <v>0</v>
      </c>
      <c r="HT26" s="699" t="n">
        <v>0</v>
      </c>
      <c r="HU26" s="162" t="n">
        <v>0</v>
      </c>
      <c r="HV26" s="545">
        <f>HT26-HU26</f>
        <v/>
      </c>
      <c r="HX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62" t="n">
        <v>312.27</v>
      </c>
      <c r="D27" s="382" t="n">
        <v>15</v>
      </c>
      <c r="E27" s="2" t="n"/>
      <c r="F27" s="697" t="n">
        <v>36</v>
      </c>
      <c r="G27" s="697" t="n">
        <v>34</v>
      </c>
      <c r="H27" s="697" t="n">
        <v>31</v>
      </c>
      <c r="I27" s="697" t="n">
        <v>28</v>
      </c>
      <c r="J27" s="697" t="n">
        <v>28</v>
      </c>
      <c r="K27" s="697" t="n">
        <v>23</v>
      </c>
      <c r="L27" s="697" t="n">
        <v>19</v>
      </c>
      <c r="M27" s="697">
        <f>17+FS27</f>
        <v/>
      </c>
      <c r="N27" s="697" t="n">
        <v>91</v>
      </c>
      <c r="O27" s="697" t="n">
        <v>89</v>
      </c>
      <c r="P27" s="697" t="n">
        <v>87</v>
      </c>
      <c r="Q27" s="697" t="n">
        <v>86</v>
      </c>
      <c r="R27" s="697" t="n">
        <v>85</v>
      </c>
      <c r="S27" s="697" t="n">
        <v>84</v>
      </c>
      <c r="T27" s="697" t="n">
        <v>84</v>
      </c>
      <c r="U27" s="697" t="n">
        <v>79</v>
      </c>
      <c r="V27" s="697" t="n">
        <v>78</v>
      </c>
      <c r="W27" s="697" t="n">
        <v>78</v>
      </c>
      <c r="X27" s="697" t="n">
        <v>78</v>
      </c>
      <c r="Y27" s="697" t="n">
        <v>70</v>
      </c>
      <c r="Z27" s="697" t="n">
        <v>67</v>
      </c>
      <c r="AA27" s="697" t="n">
        <v>65</v>
      </c>
      <c r="AB27" s="697" t="n">
        <v>59</v>
      </c>
      <c r="AC27" s="697" t="n">
        <v>53</v>
      </c>
      <c r="AD27" s="697" t="n">
        <v>46</v>
      </c>
      <c r="AE27" s="697" t="n">
        <v>46</v>
      </c>
      <c r="AF27" s="697" t="n">
        <v>40</v>
      </c>
      <c r="AG27" s="697" t="n">
        <v>40</v>
      </c>
      <c r="AH27" s="697" t="n">
        <v>36</v>
      </c>
      <c r="AI27" s="697" t="n">
        <v>31</v>
      </c>
      <c r="AJ27" s="697" t="n">
        <v>23</v>
      </c>
      <c r="AK27" s="697" t="n">
        <v>22</v>
      </c>
      <c r="AL27" s="697" t="n">
        <v>16</v>
      </c>
      <c r="AM27" s="697" t="n">
        <v>12</v>
      </c>
      <c r="AN27" s="697" t="n">
        <v>9</v>
      </c>
      <c r="AO27" s="697" t="n">
        <v>6</v>
      </c>
      <c r="AP27" s="697" t="n">
        <v>5</v>
      </c>
      <c r="AQ27" s="697" t="n">
        <v>4</v>
      </c>
      <c r="AR27" s="697" t="n">
        <v>3</v>
      </c>
      <c r="AS27" s="697" t="n">
        <v>2</v>
      </c>
      <c r="AT27" s="697" t="n">
        <v>1</v>
      </c>
      <c r="AU27" s="697" t="n">
        <v>0</v>
      </c>
      <c r="AV27" s="697" t="n">
        <v>0</v>
      </c>
      <c r="AW27" s="697" t="n">
        <v>0</v>
      </c>
      <c r="AX27" s="697" t="n">
        <v>0</v>
      </c>
      <c r="AY27" s="697" t="n">
        <v>0</v>
      </c>
      <c r="AZ27" s="697" t="n">
        <v>0</v>
      </c>
      <c r="BA27" s="697">
        <f>0+CY27</f>
        <v/>
      </c>
      <c r="BB27" s="697" t="n">
        <v>100</v>
      </c>
      <c r="BC27" s="697" t="n">
        <v>94</v>
      </c>
      <c r="BD27" s="697" t="n">
        <v>94</v>
      </c>
      <c r="BE27" s="697" t="n">
        <v>84</v>
      </c>
      <c r="BF27" s="697" t="n">
        <v>83</v>
      </c>
      <c r="BG27" s="697" t="n">
        <v>83</v>
      </c>
      <c r="BH27" s="697" t="n">
        <v>80</v>
      </c>
      <c r="BI27" s="697" t="n">
        <v>80</v>
      </c>
      <c r="BJ27" s="697" t="n">
        <v>79</v>
      </c>
      <c r="BK27" s="697" t="n">
        <v>77</v>
      </c>
      <c r="BL27" s="697" t="n">
        <v>76</v>
      </c>
      <c r="BM27" s="697" t="n">
        <v>76</v>
      </c>
      <c r="BN27" s="697" t="n">
        <v>76</v>
      </c>
      <c r="BO27" s="697" t="n">
        <v>76</v>
      </c>
      <c r="BP27" s="697" t="n">
        <v>75</v>
      </c>
      <c r="BQ27" s="697" t="n">
        <v>73</v>
      </c>
      <c r="BR27" s="697" t="n">
        <v>71</v>
      </c>
      <c r="BS27" s="697" t="n">
        <v>70</v>
      </c>
      <c r="BT27" s="697" t="n"/>
      <c r="BU27" s="697" t="n"/>
      <c r="BV27" s="697" t="n"/>
      <c r="BW27" s="697" t="n"/>
      <c r="BX27" s="697" t="n"/>
      <c r="BY27" s="192">
        <f>BW27+IF(NOT(ISBLANK(OFFSET(BY27,0,6))),N(OFFSET(BY27,0,6)),N(OFFSET(BY27,0,7)))-BX27</f>
        <v/>
      </c>
      <c r="CA27" s="22" t="inlineStr">
        <is>
          <t>50 P/ ER</t>
        </is>
      </c>
      <c r="CB27" s="22" t="n"/>
      <c r="CC27" s="5" t="n"/>
      <c r="CD27" s="27" t="n"/>
      <c r="CE27" s="2" t="n"/>
      <c r="CF27" s="40" t="n">
        <v>0</v>
      </c>
      <c r="CG27" s="40" t="n">
        <v>0</v>
      </c>
      <c r="CH27" s="40" t="n"/>
      <c r="CI27" s="40" t="n"/>
      <c r="CJ27" s="419" t="n">
        <v>100</v>
      </c>
      <c r="CK27" s="40" t="n"/>
      <c r="CL27" s="40" t="n"/>
      <c r="CM27" s="467" t="n">
        <v>100</v>
      </c>
      <c r="CN27" s="40" t="n"/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>
        <v>100</v>
      </c>
      <c r="CZ27" s="219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23" t="n"/>
      <c r="DQ27" s="40" t="n"/>
      <c r="DR27" s="40" t="n"/>
      <c r="DS27" s="40" t="n"/>
      <c r="DT27" s="23" t="n"/>
      <c r="DU27" s="40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376" t="inlineStr">
        <is>
          <t>50 DE ERB</t>
        </is>
      </c>
      <c r="EU27" s="40" t="n"/>
      <c r="EV27" s="40" t="n"/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292" t="inlineStr">
        <is>
          <t>50 P/ ER</t>
        </is>
      </c>
      <c r="FL27" s="40" t="n"/>
      <c r="FM27" s="40" t="n"/>
      <c r="FN27" s="219" t="n">
        <v>100</v>
      </c>
      <c r="FO27" s="40" t="n"/>
      <c r="FP27" s="40" t="n"/>
      <c r="FQ27" s="40" t="n"/>
      <c r="FR27" s="40" t="n"/>
      <c r="FS27" s="40" t="n">
        <v>75</v>
      </c>
      <c r="FT27" s="40" t="n"/>
      <c r="FU27" s="40" t="n"/>
      <c r="FV27" s="40" t="n"/>
      <c r="FW27" s="40" t="n"/>
      <c r="FX27" s="40" t="n"/>
      <c r="FY27" s="40" t="n"/>
      <c r="FZ27" s="40" t="n"/>
      <c r="GA27" s="40" t="n"/>
      <c r="GB27" s="40" t="n"/>
      <c r="GC27" s="40" t="n"/>
      <c r="GE27" s="37" t="inlineStr">
        <is>
          <t>KIT CAIXA M</t>
        </is>
      </c>
      <c r="GF27" s="208" t="n">
        <v>100</v>
      </c>
      <c r="GG27" s="699">
        <f>FN27</f>
        <v/>
      </c>
      <c r="GH27" s="699">
        <f>100-50</f>
        <v/>
      </c>
      <c r="GI27" s="699" t="n">
        <v>50</v>
      </c>
      <c r="GJ27" s="699" t="n">
        <v>48</v>
      </c>
      <c r="GK27" s="699" t="n">
        <v>48</v>
      </c>
      <c r="GL27" s="699" t="n">
        <v>48</v>
      </c>
      <c r="GM27" s="699" t="n">
        <v>25</v>
      </c>
      <c r="GN27" s="699" t="n">
        <v>16</v>
      </c>
      <c r="GO27" s="699" t="n">
        <v>5</v>
      </c>
      <c r="GP27" s="699" t="n">
        <v>1</v>
      </c>
      <c r="GQ27" s="699" t="n">
        <v>0</v>
      </c>
      <c r="GR27" s="303">
        <f>GP27-GQ27</f>
        <v/>
      </c>
      <c r="GS27" s="5" t="n"/>
      <c r="GT27" s="37" t="inlineStr">
        <is>
          <t>CAIXA M</t>
        </is>
      </c>
      <c r="GU27" s="208" t="n">
        <v>100</v>
      </c>
      <c r="GV27" s="699">
        <f>0+50</f>
        <v/>
      </c>
      <c r="GW27" s="699" t="n">
        <v>50</v>
      </c>
      <c r="GX27" s="699" t="n">
        <v>31</v>
      </c>
      <c r="GY27" s="699" t="n">
        <v>19</v>
      </c>
      <c r="GZ27" s="699" t="n">
        <v>6</v>
      </c>
      <c r="HA27" s="699" t="n">
        <v>3</v>
      </c>
      <c r="HB27" s="699" t="n">
        <v>3</v>
      </c>
      <c r="HC27" s="369">
        <f>HA27-HB27</f>
        <v/>
      </c>
      <c r="HE27" s="37" t="inlineStr">
        <is>
          <t>CAIXA M/24</t>
        </is>
      </c>
      <c r="HF27" s="208" t="n">
        <v>100</v>
      </c>
      <c r="HG27" s="699" t="n">
        <v>21</v>
      </c>
      <c r="HH27" s="699" t="n">
        <v>14</v>
      </c>
      <c r="HI27" s="699" t="n">
        <v>13</v>
      </c>
      <c r="HJ27" s="699" t="n">
        <v>11</v>
      </c>
      <c r="HK27" s="699" t="n">
        <v>11</v>
      </c>
      <c r="HL27" s="699" t="n">
        <v>0</v>
      </c>
      <c r="HM27" s="699" t="n">
        <v>0</v>
      </c>
      <c r="HN27" s="699" t="n">
        <v>0</v>
      </c>
      <c r="HO27" s="412">
        <f>HM27-HN27</f>
        <v/>
      </c>
      <c r="HQ27" s="37" t="inlineStr">
        <is>
          <t>CAIXA M</t>
        </is>
      </c>
      <c r="HR27" s="208" t="n">
        <v>100</v>
      </c>
      <c r="HS27" s="699" t="n">
        <v>0</v>
      </c>
      <c r="HT27" s="699" t="n">
        <v>0</v>
      </c>
      <c r="HU27" s="699" t="n">
        <v>0</v>
      </c>
      <c r="HV27" s="545">
        <f>HT27-HU27</f>
        <v/>
      </c>
      <c r="HX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62" t="n">
        <v>367.65</v>
      </c>
      <c r="D28" s="382" t="n">
        <v>5</v>
      </c>
      <c r="F28" s="697" t="n">
        <v>23</v>
      </c>
      <c r="G28" s="697" t="n">
        <v>23</v>
      </c>
      <c r="H28" s="697" t="n">
        <v>22</v>
      </c>
      <c r="I28" s="697" t="n">
        <v>21</v>
      </c>
      <c r="J28" s="697" t="n">
        <v>20</v>
      </c>
      <c r="K28" s="697" t="n">
        <v>20</v>
      </c>
      <c r="L28" s="697" t="n">
        <v>20</v>
      </c>
      <c r="M28" s="697" t="n">
        <v>20</v>
      </c>
      <c r="N28" s="697" t="n">
        <v>20</v>
      </c>
      <c r="O28" s="697" t="n">
        <v>20</v>
      </c>
      <c r="P28" s="697" t="n">
        <v>20</v>
      </c>
      <c r="Q28" s="697" t="n">
        <v>20</v>
      </c>
      <c r="R28" s="697" t="n">
        <v>20</v>
      </c>
      <c r="S28" s="697" t="n">
        <v>19</v>
      </c>
      <c r="T28" s="697" t="n">
        <v>19</v>
      </c>
      <c r="U28" s="697" t="n">
        <v>19</v>
      </c>
      <c r="V28" s="697" t="n">
        <v>19</v>
      </c>
      <c r="W28" s="697" t="n">
        <v>19</v>
      </c>
      <c r="X28" s="697" t="n">
        <v>19</v>
      </c>
      <c r="Y28" s="697" t="n">
        <v>18</v>
      </c>
      <c r="Z28" s="697" t="n">
        <v>17</v>
      </c>
      <c r="AA28" s="697" t="n">
        <v>17</v>
      </c>
      <c r="AB28" s="697" t="n">
        <v>17</v>
      </c>
      <c r="AC28" s="697" t="n">
        <v>17</v>
      </c>
      <c r="AD28" s="697" t="n">
        <v>17</v>
      </c>
      <c r="AE28" s="697" t="n">
        <v>17</v>
      </c>
      <c r="AF28" s="697" t="n">
        <v>17</v>
      </c>
      <c r="AG28" s="697" t="n">
        <v>17</v>
      </c>
      <c r="AH28" s="697" t="n">
        <v>17</v>
      </c>
      <c r="AI28" s="697" t="n">
        <v>17</v>
      </c>
      <c r="AJ28" s="697" t="n">
        <v>16</v>
      </c>
      <c r="AK28" s="697" t="n">
        <v>16</v>
      </c>
      <c r="AL28" s="697" t="n">
        <v>16</v>
      </c>
      <c r="AM28" s="697" t="n">
        <v>16</v>
      </c>
      <c r="AN28" s="697" t="n">
        <v>16</v>
      </c>
      <c r="AO28" s="697" t="n">
        <v>12</v>
      </c>
      <c r="AP28" s="697" t="n">
        <v>10</v>
      </c>
      <c r="AQ28" s="697" t="n">
        <v>10</v>
      </c>
      <c r="AR28" s="697" t="n">
        <v>10</v>
      </c>
      <c r="AS28" s="697" t="n">
        <v>10</v>
      </c>
      <c r="AT28" s="697" t="n">
        <v>10</v>
      </c>
      <c r="AU28" s="697" t="n">
        <v>10</v>
      </c>
      <c r="AV28" s="697" t="n">
        <v>10</v>
      </c>
      <c r="AW28" s="697" t="n">
        <v>5</v>
      </c>
      <c r="AX28" s="697" t="n">
        <v>4</v>
      </c>
      <c r="AY28" s="697" t="n">
        <v>0</v>
      </c>
      <c r="AZ28" s="697" t="n">
        <v>0</v>
      </c>
      <c r="BA28" s="697" t="n">
        <v>0</v>
      </c>
      <c r="BB28" s="697" t="n">
        <v>0</v>
      </c>
      <c r="BC28" s="697" t="n">
        <v>0</v>
      </c>
      <c r="BD28" s="697" t="n">
        <v>0</v>
      </c>
      <c r="BE28" s="697" t="n">
        <v>0</v>
      </c>
      <c r="BF28" s="697" t="n">
        <v>0</v>
      </c>
      <c r="BG28" s="697" t="n">
        <v>0</v>
      </c>
      <c r="BH28" s="697" t="n">
        <v>0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>
        <v>0</v>
      </c>
      <c r="BT28" s="697" t="n"/>
      <c r="BU28" s="697" t="n"/>
      <c r="BV28" s="697" t="n"/>
      <c r="BW28" s="697" t="n"/>
      <c r="BX28" s="697" t="n"/>
      <c r="BY28" s="192">
        <f>BW28+IF(NOT(ISBLANK(OFFSET(BY28,0,6))),N(OFFSET(BY28,0,6)),N(OFFSET(BY28,0,7)))-BX28</f>
        <v/>
      </c>
      <c r="CA28" s="22" t="n"/>
      <c r="CB28" s="161" t="n"/>
      <c r="CD28" s="27" t="n"/>
      <c r="CE28" s="2" t="n"/>
      <c r="CF28" s="40" t="n">
        <v>0</v>
      </c>
      <c r="CG28" s="40" t="n">
        <v>0</v>
      </c>
      <c r="CH28" s="40" t="n"/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219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23" t="n"/>
      <c r="DQ28" s="40" t="n"/>
      <c r="DR28" s="40" t="n"/>
      <c r="DS28" s="40" t="n"/>
      <c r="DT28" s="23" t="n"/>
      <c r="DU28" s="40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292" t="inlineStr">
        <is>
          <t>75 DE ER</t>
        </is>
      </c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376" t="inlineStr">
        <is>
          <t>50 DE ERB</t>
        </is>
      </c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292" t="inlineStr">
        <is>
          <t>80 P/ ER</t>
        </is>
      </c>
      <c r="FL28" s="40" t="n"/>
      <c r="FM28" s="40" t="n"/>
      <c r="FN28" s="219" t="n">
        <v>200</v>
      </c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E28" s="37" t="inlineStr">
        <is>
          <t>ENVELOPE C/ VISOR P</t>
        </is>
      </c>
      <c r="GF28" s="208" t="n">
        <v>200</v>
      </c>
      <c r="GG28" s="699">
        <f>FN28</f>
        <v/>
      </c>
      <c r="GH28" s="699">
        <f>200-80</f>
        <v/>
      </c>
      <c r="GI28" s="699" t="n">
        <v>120</v>
      </c>
      <c r="GJ28" s="699" t="n">
        <v>106</v>
      </c>
      <c r="GK28" s="699" t="n">
        <v>100</v>
      </c>
      <c r="GL28" s="699" t="n">
        <v>85</v>
      </c>
      <c r="GM28" s="699" t="n">
        <v>45</v>
      </c>
      <c r="GN28" s="699" t="n">
        <v>45</v>
      </c>
      <c r="GO28" s="699" t="n">
        <v>42</v>
      </c>
      <c r="GP28" s="699" t="n">
        <v>0</v>
      </c>
      <c r="GQ28" s="699" t="n">
        <v>0</v>
      </c>
      <c r="GR28" s="303">
        <f>GP28-GQ28</f>
        <v/>
      </c>
      <c r="GT28" s="37" t="inlineStr">
        <is>
          <t>ENVELOPE C/ VISOR M</t>
        </is>
      </c>
      <c r="GU28" s="208" t="n">
        <v>100</v>
      </c>
      <c r="GV28" s="699">
        <f>0+50</f>
        <v/>
      </c>
      <c r="GW28" s="699" t="n">
        <v>50</v>
      </c>
      <c r="GX28" s="699" t="n">
        <v>48</v>
      </c>
      <c r="GY28" s="699" t="n">
        <v>31</v>
      </c>
      <c r="GZ28" s="699" t="n">
        <v>0</v>
      </c>
      <c r="HA28" s="699" t="n">
        <v>0</v>
      </c>
      <c r="HB28" s="699" t="n">
        <v>0</v>
      </c>
      <c r="HC28" s="369">
        <f>HA28-HB28</f>
        <v/>
      </c>
      <c r="HE28" s="37" t="inlineStr">
        <is>
          <t>ENVELOPE C/ VISOR M</t>
        </is>
      </c>
      <c r="HF28" s="208" t="n">
        <v>150</v>
      </c>
      <c r="HG28" s="699" t="n">
        <v>0</v>
      </c>
      <c r="HH28" s="699">
        <f>0+75</f>
        <v/>
      </c>
      <c r="HI28" s="699" t="n">
        <v>75</v>
      </c>
      <c r="HJ28" s="699" t="n">
        <v>75</v>
      </c>
      <c r="HK28" s="699" t="n">
        <v>70</v>
      </c>
      <c r="HL28" s="699" t="n">
        <v>22</v>
      </c>
      <c r="HM28" s="699" t="n">
        <v>22</v>
      </c>
      <c r="HN28" s="699" t="n">
        <v>21</v>
      </c>
      <c r="HO28" s="412">
        <f>HM28-HN28</f>
        <v/>
      </c>
      <c r="HQ28" s="37" t="inlineStr">
        <is>
          <t>CARTUCHO P</t>
        </is>
      </c>
      <c r="HR28" s="208" t="n">
        <v>200</v>
      </c>
      <c r="HS28" s="699" t="n">
        <v>0</v>
      </c>
      <c r="HT28" s="699" t="n">
        <v>0</v>
      </c>
      <c r="HU28" s="699" t="n">
        <v>0</v>
      </c>
      <c r="HV28" s="545">
        <f>HT28-HU28</f>
        <v/>
      </c>
    </row>
    <row r="29" customFormat="1" s="3">
      <c r="CC29" s="5" t="n"/>
      <c r="CZ29" s="309" t="n"/>
      <c r="DP29" s="47" t="n"/>
      <c r="DT29" s="47" t="n"/>
      <c r="FK29" s="292" t="inlineStr">
        <is>
          <t>60 P/ ER</t>
        </is>
      </c>
      <c r="FN29" s="219" t="n">
        <v>150</v>
      </c>
      <c r="GE29" s="37" t="inlineStr">
        <is>
          <t>ENVELOPE C/ VISOR M</t>
        </is>
      </c>
      <c r="GF29" s="208" t="n">
        <v>150</v>
      </c>
      <c r="GG29" s="699">
        <f>FN29</f>
        <v/>
      </c>
      <c r="GH29" s="699">
        <f>150-60</f>
        <v/>
      </c>
      <c r="GI29" s="699" t="n">
        <v>86</v>
      </c>
      <c r="GJ29" s="699" t="n">
        <v>78</v>
      </c>
      <c r="GK29" s="699" t="n">
        <v>75</v>
      </c>
      <c r="GL29" s="699" t="n">
        <v>69</v>
      </c>
      <c r="GM29" s="699" t="n">
        <v>32</v>
      </c>
      <c r="GN29" s="699" t="n">
        <v>32</v>
      </c>
      <c r="GO29" s="699" t="n">
        <v>31</v>
      </c>
      <c r="GP29" s="699" t="n">
        <v>0</v>
      </c>
      <c r="GQ29" s="699" t="n">
        <v>0</v>
      </c>
      <c r="GR29" s="303">
        <f>GP29-GQ29</f>
        <v/>
      </c>
      <c r="GS29" s="5" t="n"/>
      <c r="GT29" s="35" t="n"/>
      <c r="GV29" s="2" t="n"/>
      <c r="GW29" s="2" t="n"/>
      <c r="GX29" s="2" t="n"/>
      <c r="GY29" s="2" t="n"/>
      <c r="GZ29" s="2" t="n"/>
      <c r="HA29" s="2" t="n"/>
      <c r="HB29" s="2" t="n"/>
      <c r="HE29" s="35" t="n"/>
      <c r="HG29" s="2" t="n"/>
      <c r="HH29" s="2" t="n"/>
      <c r="HI29" s="2" t="n"/>
      <c r="HJ29" s="2" t="n"/>
      <c r="HK29" s="2" t="n"/>
      <c r="HL29" s="2" t="n"/>
      <c r="HM29" s="2" t="n"/>
      <c r="HN29" s="2" t="n"/>
      <c r="HQ29" s="37" t="inlineStr">
        <is>
          <t>CARTUCHO M</t>
        </is>
      </c>
      <c r="HR29" s="208" t="n">
        <v>150</v>
      </c>
      <c r="HS29" s="699" t="n">
        <v>0</v>
      </c>
      <c r="HT29" s="699" t="n">
        <v>0</v>
      </c>
      <c r="HU29" s="699" t="n">
        <v>0</v>
      </c>
      <c r="HV29" s="545">
        <f>HT29-HU29</f>
        <v/>
      </c>
    </row>
    <row r="30" hidden="1" customFormat="1" s="3">
      <c r="CC30" s="5" t="n"/>
      <c r="CZ30" s="309" t="n"/>
      <c r="FK30" s="308" t="n"/>
      <c r="FN30" s="308" t="n"/>
      <c r="GE30" s="35" t="n"/>
      <c r="GG30" s="2" t="n"/>
      <c r="GH30" s="2" t="n"/>
      <c r="GI30" s="2" t="n"/>
      <c r="GJ30" s="2" t="n"/>
      <c r="GK30" s="2" t="n"/>
      <c r="GL30" s="2" t="n"/>
      <c r="GM30" s="2" t="n"/>
      <c r="GN30" s="2" t="n"/>
      <c r="GO30" s="2" t="n"/>
      <c r="GP30" s="2" t="n"/>
      <c r="GQ30" s="2" t="n"/>
      <c r="GS30" s="5" t="n"/>
      <c r="GT30" s="5" t="n"/>
      <c r="GU30" s="5" t="n"/>
      <c r="GV30" s="5" t="n"/>
      <c r="GW30" s="5" t="n"/>
      <c r="GX30" s="5" t="n"/>
      <c r="GY30" s="5" t="n"/>
      <c r="GZ30" s="5" t="n"/>
      <c r="HA30" s="5" t="n"/>
      <c r="HB30" s="5" t="n"/>
      <c r="HC30" s="5" t="n"/>
      <c r="HE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Q30" s="5" t="n"/>
      <c r="HR30" s="5" t="n"/>
      <c r="HS30" s="5" t="n"/>
      <c r="HT30" s="5" t="n"/>
      <c r="HU30" s="5" t="n"/>
      <c r="HV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73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45908</v>
      </c>
      <c r="AQ31" s="746" t="n">
        <v>45915</v>
      </c>
      <c r="AR31" s="746" t="n">
        <v>45922</v>
      </c>
      <c r="AS31" s="746" t="n">
        <v>45929</v>
      </c>
      <c r="AT31" s="746" t="n">
        <v>45936</v>
      </c>
      <c r="AU31" s="746" t="n">
        <v>45943</v>
      </c>
      <c r="AV31" s="746" t="n">
        <v>45950</v>
      </c>
      <c r="AW31" s="746" t="n">
        <v>45957</v>
      </c>
      <c r="AX31" s="746" t="n">
        <v>45964</v>
      </c>
      <c r="AY31" s="746" t="n">
        <v>45971</v>
      </c>
      <c r="AZ31" s="746" t="n">
        <v>45978</v>
      </c>
      <c r="BA31" s="746" t="n">
        <v>45985</v>
      </c>
      <c r="BB31" s="746" t="n">
        <v>45992</v>
      </c>
      <c r="BC31" s="746" t="n">
        <v>45999</v>
      </c>
      <c r="BD31" s="746" t="n">
        <v>46006</v>
      </c>
      <c r="BE31" s="746" t="n">
        <v>46013</v>
      </c>
      <c r="BF31" s="746" t="n">
        <v>46020</v>
      </c>
      <c r="BG31" s="746" t="n">
        <v>46027</v>
      </c>
      <c r="BH31" s="746" t="n">
        <v>46034</v>
      </c>
      <c r="BI31" s="746" t="n">
        <v>46041</v>
      </c>
      <c r="BJ31" s="746" t="n">
        <v>46048</v>
      </c>
      <c r="BK31" s="746" t="n">
        <v>46055</v>
      </c>
      <c r="BL31" s="746" t="n">
        <v>46062</v>
      </c>
      <c r="BM31" s="746" t="n">
        <v>46069</v>
      </c>
      <c r="BN31" s="746" t="n">
        <v>46076</v>
      </c>
      <c r="BO31" s="746" t="n">
        <v>46083</v>
      </c>
      <c r="BP31" s="746" t="n">
        <v>46090</v>
      </c>
      <c r="BQ31" s="746" t="n">
        <v>46097</v>
      </c>
      <c r="BR31" s="746" t="n">
        <v>46104</v>
      </c>
      <c r="BS31" s="746" t="n">
        <v>46111</v>
      </c>
      <c r="BT31" s="746" t="n">
        <v>46118</v>
      </c>
      <c r="BU31" s="746" t="n">
        <v>46125</v>
      </c>
      <c r="BV31" s="746" t="n">
        <v>46132</v>
      </c>
      <c r="BW31" s="746" t="n">
        <v>46139</v>
      </c>
      <c r="BX31" s="746" t="n">
        <v>46146</v>
      </c>
      <c r="BY31" s="748" t="inlineStr">
        <is>
          <t>USOU</t>
        </is>
      </c>
      <c r="CA31" s="44" t="inlineStr">
        <is>
          <t>Pendências</t>
        </is>
      </c>
      <c r="CB31" s="44" t="inlineStr">
        <is>
          <t>Pendências</t>
        </is>
      </c>
      <c r="CD31" s="12" t="inlineStr">
        <is>
          <t>Novo Pedido</t>
        </is>
      </c>
      <c r="CE31" s="573" t="n"/>
      <c r="CF31" s="794" t="n">
        <v>46149</v>
      </c>
      <c r="CG31" s="794" t="n">
        <v>46142</v>
      </c>
      <c r="CH31" s="794" t="n">
        <v>46114</v>
      </c>
      <c r="CI31" s="794" t="n">
        <v>46107</v>
      </c>
      <c r="CJ31" s="795" t="n">
        <v>46065</v>
      </c>
      <c r="CK31" s="794" t="n">
        <v>46099</v>
      </c>
      <c r="CL31" s="794" t="n">
        <v>46092</v>
      </c>
      <c r="CM31" s="796" t="n">
        <v>46045</v>
      </c>
      <c r="CN31" s="794" t="n">
        <v>46077</v>
      </c>
      <c r="CO31" s="794" t="n">
        <v>46048</v>
      </c>
      <c r="CP31" s="794" t="n">
        <v>46043</v>
      </c>
      <c r="CQ31" s="794" t="n">
        <v>46024</v>
      </c>
      <c r="CR31" s="794" t="n">
        <v>46017</v>
      </c>
      <c r="CS31" s="794" t="n">
        <v>46007</v>
      </c>
      <c r="CT31" s="794" t="n">
        <v>46001</v>
      </c>
      <c r="CU31" s="794" t="n">
        <v>46001</v>
      </c>
      <c r="CV31" s="794" t="n">
        <v>45994</v>
      </c>
      <c r="CW31" s="794" t="n">
        <v>45986</v>
      </c>
      <c r="CX31" s="794" t="n">
        <v>45980</v>
      </c>
      <c r="CY31" s="794" t="n">
        <v>45980</v>
      </c>
      <c r="CZ31" s="797" t="n">
        <v>45982</v>
      </c>
      <c r="DA31" s="794" t="n">
        <v>45973</v>
      </c>
      <c r="DB31" s="794" t="n">
        <v>45965</v>
      </c>
      <c r="DC31" s="794" t="n">
        <v>45960</v>
      </c>
      <c r="DD31" s="794" t="n">
        <v>45951</v>
      </c>
      <c r="DE31" s="737" t="n">
        <v>45903</v>
      </c>
      <c r="DF31" s="794" t="n">
        <v>45945</v>
      </c>
      <c r="DG31" s="794" t="n">
        <v>45937</v>
      </c>
      <c r="DH31" s="794" t="n">
        <v>45931</v>
      </c>
      <c r="DI31" s="794" t="n">
        <v>45931</v>
      </c>
      <c r="DJ31" s="794" t="n">
        <v>45915</v>
      </c>
      <c r="DK31" s="794" t="n">
        <v>45923</v>
      </c>
      <c r="DL31" s="794" t="n">
        <v>45903</v>
      </c>
      <c r="DM31" s="794" t="n">
        <v>45915</v>
      </c>
      <c r="DN31" s="797" t="n">
        <v>45918</v>
      </c>
      <c r="DO31" s="794" t="n">
        <v>45909</v>
      </c>
      <c r="DP31" s="738" t="n">
        <v>45903</v>
      </c>
      <c r="DQ31" s="794" t="n">
        <v>45895</v>
      </c>
      <c r="DR31" s="797" t="n">
        <v>45896</v>
      </c>
      <c r="DS31" s="794" t="n">
        <v>45881</v>
      </c>
      <c r="DT31" s="738" t="n">
        <v>45839</v>
      </c>
      <c r="DU31" s="794" t="n">
        <v>45888</v>
      </c>
      <c r="DV31" s="794" t="n">
        <v>45881</v>
      </c>
      <c r="DW31" s="797" t="n">
        <v>45881</v>
      </c>
      <c r="DX31" s="794" t="n">
        <v>45874</v>
      </c>
      <c r="DY31" s="797" t="n">
        <v>45876</v>
      </c>
      <c r="DZ31" s="794" t="n">
        <v>45867</v>
      </c>
      <c r="EA31" s="794" t="n">
        <v>45867</v>
      </c>
      <c r="EB31" s="794" t="n">
        <v>45860</v>
      </c>
      <c r="EC31" s="797" t="n">
        <v>45861</v>
      </c>
      <c r="ED31" s="797" t="n">
        <v>45860</v>
      </c>
      <c r="EE31" s="794" t="n">
        <v>45853</v>
      </c>
      <c r="EF31" s="739" t="n">
        <v>45855</v>
      </c>
      <c r="EG31" s="794" t="n">
        <v>45848</v>
      </c>
      <c r="EH31" s="794" t="n">
        <v>45839</v>
      </c>
      <c r="EI31" s="794" t="n">
        <v>45839</v>
      </c>
      <c r="EJ31" s="797" t="n">
        <v>45835</v>
      </c>
      <c r="EK31" s="794" t="n">
        <v>45790</v>
      </c>
      <c r="EL31" s="794" t="n">
        <v>45825</v>
      </c>
      <c r="EM31" s="794" t="n">
        <v>45819</v>
      </c>
      <c r="EN31" s="794" t="n">
        <v>45813</v>
      </c>
      <c r="EO31" s="794" t="n">
        <v>45797</v>
      </c>
      <c r="EP31" s="797" t="n">
        <v>45811</v>
      </c>
      <c r="EQ31" s="797" t="n">
        <v>45810</v>
      </c>
      <c r="ER31" s="797" t="n">
        <v>45806</v>
      </c>
      <c r="ES31" s="797" t="n">
        <v>45803</v>
      </c>
      <c r="ET31" s="755" t="n">
        <v>45803</v>
      </c>
      <c r="EU31" s="794" t="n">
        <v>45784</v>
      </c>
      <c r="EV31" s="797" t="n">
        <v>45796</v>
      </c>
      <c r="EW31" s="794" t="n">
        <v>45784</v>
      </c>
      <c r="EX31" s="794" t="n">
        <v>45764</v>
      </c>
      <c r="EY31" s="797" t="n">
        <v>45791</v>
      </c>
      <c r="EZ31" s="794" t="n">
        <v>45783</v>
      </c>
      <c r="FA31" s="794" t="n">
        <v>45770</v>
      </c>
      <c r="FB31" s="794" t="n">
        <v>45775</v>
      </c>
      <c r="FC31" s="794" t="n">
        <v>45770</v>
      </c>
      <c r="FD31" s="794" t="n">
        <v>45770</v>
      </c>
      <c r="FE31" s="797" t="n">
        <v>45775</v>
      </c>
      <c r="FF31" s="797" t="n">
        <v>45770</v>
      </c>
      <c r="FG31" s="794" t="n">
        <v>45756</v>
      </c>
      <c r="FH31" s="794" t="n">
        <v>45735</v>
      </c>
      <c r="FI31" s="797" t="n">
        <v>45751</v>
      </c>
      <c r="FJ31" s="794" t="n">
        <v>45743</v>
      </c>
      <c r="FK31" s="746" t="n">
        <v>45729</v>
      </c>
      <c r="FL31" s="794" t="n">
        <v>45722</v>
      </c>
      <c r="FM31" s="794" t="n">
        <v>45722</v>
      </c>
      <c r="FN31" s="746" t="n">
        <v>45700</v>
      </c>
      <c r="FO31" s="797" t="n">
        <v>45722</v>
      </c>
      <c r="FP31" s="794" t="n">
        <v>45714</v>
      </c>
      <c r="FQ31" s="794" t="n">
        <v>45706</v>
      </c>
      <c r="FR31" s="794" t="n">
        <v>45684</v>
      </c>
      <c r="FS31" s="794" t="n">
        <v>45699</v>
      </c>
      <c r="FT31" s="794" t="n">
        <v>45693</v>
      </c>
      <c r="FU31" s="797" t="n">
        <v>45687</v>
      </c>
      <c r="FV31" s="794" t="n">
        <v>45685</v>
      </c>
      <c r="FW31" s="797" t="n">
        <v>45684</v>
      </c>
      <c r="FX31" s="794" t="n">
        <v>45674</v>
      </c>
      <c r="FY31" s="794" t="n">
        <v>45664</v>
      </c>
      <c r="FZ31" s="794" t="n">
        <v>45660</v>
      </c>
      <c r="GA31" s="794" t="n">
        <v>45660</v>
      </c>
      <c r="GB31" s="794" t="n">
        <v>45652</v>
      </c>
      <c r="GC31" s="794" t="n">
        <v>45643</v>
      </c>
      <c r="GT31" s="573" t="inlineStr">
        <is>
          <t>VER COM A ELEN SE PODEMOS TRANSF. P/ BSH - CAIXA</t>
        </is>
      </c>
    </row>
    <row r="32">
      <c r="A32" s="37" t="inlineStr">
        <is>
          <t>KIT OVERBAG OMNI P</t>
        </is>
      </c>
      <c r="B32" s="699" t="n">
        <v>25</v>
      </c>
      <c r="C32" s="762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92+FP32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/>
      <c r="BY32" s="198">
        <f>BW32+IF(NOT(ISBLANK(OFFSET(BY32,0,6))),N(OFFSET(BY32,0,6)),N(OFFSET(BY32,0,7)))-BX32</f>
        <v/>
      </c>
      <c r="CA32" s="22" t="n"/>
      <c r="CB32" s="22" t="n"/>
      <c r="CD32" s="252" t="n"/>
      <c r="CE32" s="573" t="n"/>
      <c r="CF32" s="135" t="n">
        <v>0</v>
      </c>
      <c r="CG32" s="135" t="n">
        <v>0</v>
      </c>
      <c r="CH32" s="135" t="n"/>
      <c r="CI32" s="135" t="n"/>
      <c r="CJ32" s="135" t="n"/>
      <c r="CK32" s="135" t="n"/>
      <c r="CL32" s="135" t="n"/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98" t="inlineStr">
        <is>
          <t>05 DE ERB</t>
        </is>
      </c>
      <c r="DA32" s="135" t="n"/>
      <c r="DB32" s="135" t="n"/>
      <c r="DC32" s="135" t="n"/>
      <c r="DD32" s="135" t="n"/>
      <c r="DE32" s="135" t="n"/>
      <c r="DF32" s="135" t="n"/>
      <c r="DG32" s="135" t="n"/>
      <c r="DH32" s="135" t="n"/>
      <c r="DI32" s="135" t="n"/>
      <c r="DJ32" s="135" t="n"/>
      <c r="DK32" s="135" t="n"/>
      <c r="DL32" s="135" t="n"/>
      <c r="DM32" s="135" t="n">
        <v>25</v>
      </c>
      <c r="DN32" s="135" t="n"/>
      <c r="DO32" s="135" t="n"/>
      <c r="DP32" s="23" t="n"/>
      <c r="DQ32" s="135" t="n"/>
      <c r="DR32" s="135" t="n"/>
      <c r="DS32" s="135" t="n"/>
      <c r="DT32" s="23" t="n"/>
      <c r="DU32" s="135" t="n"/>
      <c r="DV32" s="135" t="n"/>
      <c r="DW32" s="135" t="n"/>
      <c r="DX32" s="135" t="n"/>
      <c r="DY32" s="135" t="n"/>
      <c r="DZ32" s="135" t="n"/>
      <c r="EA32" s="135" t="n"/>
      <c r="EB32" s="135" t="n"/>
      <c r="EC32" s="406" t="inlineStr">
        <is>
          <t>10 DE ER</t>
        </is>
      </c>
      <c r="ED32" s="135" t="n"/>
      <c r="EE32" s="135" t="n"/>
      <c r="EF32" s="135" t="n"/>
      <c r="EG32" s="135" t="n"/>
      <c r="EH32" s="135" t="n"/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219" t="n"/>
      <c r="FL32" s="135" t="n"/>
      <c r="FM32" s="135" t="n"/>
      <c r="FN32" s="219" t="n"/>
      <c r="FO32" s="135" t="n"/>
      <c r="FP32" s="135" t="n">
        <v>25</v>
      </c>
      <c r="FQ32" s="135" t="n"/>
      <c r="FR32" s="135" t="n"/>
      <c r="FS32" s="135" t="n"/>
      <c r="FT32" s="135" t="n"/>
      <c r="FU32" s="135" t="n"/>
      <c r="FV32" s="135" t="n"/>
      <c r="FW32" s="135" t="n"/>
      <c r="FX32" s="135" t="n"/>
      <c r="FY32" s="135" t="n">
        <v>25</v>
      </c>
      <c r="FZ32" s="135" t="n"/>
      <c r="GA32" s="135" t="n"/>
      <c r="GB32" s="135" t="n"/>
      <c r="GC32" s="135" t="n"/>
    </row>
    <row r="33">
      <c r="A33" s="37" t="inlineStr">
        <is>
          <t>KIT OVERBAG OMNI M</t>
        </is>
      </c>
      <c r="B33" s="699" t="n">
        <v>25</v>
      </c>
      <c r="C33" s="762" t="n">
        <v>57</v>
      </c>
      <c r="D33" s="382" t="n">
        <v>15</v>
      </c>
      <c r="E33" s="573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/>
      <c r="BU33" s="153" t="n"/>
      <c r="BV33" s="153" t="n"/>
      <c r="BW33" s="153" t="n"/>
      <c r="BX33" s="153" t="n"/>
      <c r="BY33" s="198">
        <f>BW33+IF(NOT(ISBLANK(OFFSET(BY33,0,6))),N(OFFSET(BY33,0,6)),N(OFFSET(BY33,0,7)))-BX33</f>
        <v/>
      </c>
      <c r="CA33" s="22" t="n"/>
      <c r="CB33" s="22" t="n"/>
      <c r="CD33" s="252" t="n"/>
      <c r="CE33" s="573" t="n"/>
      <c r="CF33" s="135" t="n">
        <v>0</v>
      </c>
      <c r="CG33" s="135" t="n">
        <v>0</v>
      </c>
      <c r="CH33" s="135" t="n"/>
      <c r="CI33" s="135" t="n"/>
      <c r="CJ33" s="135" t="n"/>
      <c r="CK33" s="135" t="n"/>
      <c r="CL33" s="135" t="n"/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98" t="inlineStr">
        <is>
          <t>10 P/ ERB</t>
        </is>
      </c>
      <c r="DA33" s="135" t="n"/>
      <c r="DB33" s="135" t="n"/>
      <c r="DC33" s="135" t="n"/>
      <c r="DD33" s="135" t="n"/>
      <c r="DE33" s="135" t="n"/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23" t="n"/>
      <c r="DQ33" s="135" t="n"/>
      <c r="DR33" s="135" t="n"/>
      <c r="DS33" s="135" t="n"/>
      <c r="DT33" s="23" t="n"/>
      <c r="DU33" s="135" t="n"/>
      <c r="DV33" s="135" t="n"/>
      <c r="DW33" s="135" t="n"/>
      <c r="DX33" s="135" t="n"/>
      <c r="DY33" s="135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219" t="n"/>
      <c r="FL33" s="135" t="n"/>
      <c r="FM33" s="135" t="n"/>
      <c r="FN33" s="219" t="n"/>
      <c r="FO33" s="135" t="n"/>
      <c r="FP33" s="135" t="n"/>
      <c r="FQ33" s="135" t="n"/>
      <c r="FR33" s="135" t="n"/>
      <c r="FS33" s="135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S33" s="573" t="n"/>
      <c r="GT33" s="573" t="n"/>
      <c r="GU33" s="573" t="n"/>
      <c r="GV33" s="573" t="n"/>
      <c r="GW33" s="573" t="n"/>
      <c r="GX33" s="573" t="n"/>
      <c r="GY33" s="573" t="n"/>
      <c r="GZ33" s="573" t="n"/>
      <c r="HA33" s="573" t="n"/>
      <c r="HB33" s="573" t="n"/>
      <c r="HC33" s="573" t="n"/>
      <c r="HE33" s="573" t="n"/>
      <c r="HF33" s="573" t="n"/>
      <c r="HG33" s="573" t="n"/>
      <c r="HH33" s="573" t="n"/>
      <c r="HI33" s="573" t="n"/>
      <c r="HJ33" s="573" t="n"/>
      <c r="HK33" s="573" t="n"/>
      <c r="HL33" s="573" t="n"/>
      <c r="HM33" s="573" t="n"/>
      <c r="HN33" s="573" t="n"/>
      <c r="HO33" s="573" t="n"/>
      <c r="HQ33" s="573" t="n"/>
      <c r="HR33" s="573" t="n"/>
      <c r="HS33" s="573" t="n"/>
      <c r="HT33" s="573" t="n"/>
      <c r="HU33" s="573" t="n"/>
      <c r="HV33" s="573" t="n"/>
    </row>
    <row r="34" ht="17.25" customHeight="1">
      <c r="B34" s="573" t="n"/>
      <c r="E34" s="573" t="n"/>
      <c r="F34" s="573" t="n"/>
      <c r="G34" s="573" t="n"/>
      <c r="H34" s="573" t="n"/>
      <c r="I34" s="573" t="n"/>
      <c r="J34" s="573" t="n"/>
      <c r="K34" s="573" t="n"/>
      <c r="L34" s="573" t="n"/>
      <c r="M34" s="573" t="n"/>
      <c r="N34" s="573" t="n"/>
      <c r="O34" s="573" t="n"/>
      <c r="P34" s="573" t="n"/>
      <c r="Q34" s="573" t="n"/>
      <c r="R34" s="573" t="n"/>
      <c r="S34" s="573" t="n"/>
      <c r="T34" s="573" t="n"/>
      <c r="U34" s="573" t="n"/>
      <c r="V34" s="573" t="n"/>
      <c r="W34" s="573" t="n"/>
      <c r="X34" s="573" t="n"/>
      <c r="Y34" s="573" t="n"/>
      <c r="Z34" s="573" t="n"/>
      <c r="AA34" s="573" t="n"/>
      <c r="AB34" s="573" t="n"/>
      <c r="AC34" s="573" t="n"/>
      <c r="AD34" s="573" t="n"/>
      <c r="AE34" s="573" t="n"/>
      <c r="AF34" s="573" t="n"/>
      <c r="AG34" s="573" t="n"/>
      <c r="AH34" s="573" t="n"/>
      <c r="AI34" s="573" t="n"/>
      <c r="AJ34" s="573" t="n"/>
      <c r="AK34" s="573" t="n"/>
      <c r="AL34" s="573" t="n"/>
      <c r="AM34" s="573" t="n"/>
      <c r="AN34" s="573" t="n"/>
      <c r="AO34" s="573" t="n"/>
      <c r="AP34" s="573" t="n"/>
      <c r="AQ34" s="573" t="n"/>
      <c r="AR34" s="573" t="n"/>
      <c r="AS34" s="573" t="n"/>
      <c r="AT34" s="573" t="n"/>
      <c r="AU34" s="573" t="n"/>
      <c r="AV34" s="573" t="n"/>
      <c r="AW34" s="573" t="n"/>
      <c r="AX34" s="573" t="n"/>
      <c r="AY34" s="573" t="n"/>
      <c r="AZ34" s="573" t="n"/>
      <c r="BA34" s="573" t="n"/>
      <c r="BB34" s="573" t="n"/>
      <c r="BC34" s="573" t="n"/>
      <c r="BD34" s="573" t="n"/>
      <c r="BE34" s="573" t="n"/>
      <c r="BF34" s="573" t="n"/>
      <c r="BG34" s="573" t="n"/>
      <c r="BH34" s="573" t="n"/>
      <c r="BI34" s="573" t="n"/>
      <c r="BJ34" s="573" t="n"/>
      <c r="BK34" s="573" t="n"/>
      <c r="BL34" s="573" t="n"/>
      <c r="BM34" s="573" t="n"/>
      <c r="BN34" s="573" t="n"/>
      <c r="BO34" s="573" t="n"/>
      <c r="BP34" s="573" t="n"/>
      <c r="BQ34" s="573" t="n"/>
      <c r="BR34" s="573" t="n"/>
      <c r="BS34" s="573" t="n"/>
      <c r="BT34" s="573" t="n"/>
      <c r="BU34" s="573" t="n"/>
      <c r="BV34" s="573" t="n"/>
      <c r="BW34" s="573" t="n"/>
      <c r="BX34" s="573" t="n"/>
      <c r="BY34" s="573" t="n"/>
      <c r="CE34" s="573" t="n"/>
      <c r="CF34" s="749" t="n"/>
      <c r="CG34" s="749" t="n"/>
      <c r="CH34" s="749" t="n"/>
      <c r="CI34" s="749" t="n"/>
      <c r="CJ34" s="749" t="n"/>
      <c r="CK34" s="749" t="n"/>
      <c r="CL34" s="749" t="n"/>
      <c r="CM34" s="749" t="n"/>
      <c r="CN34" s="749" t="n"/>
      <c r="CO34" s="749" t="n"/>
      <c r="CP34" s="749" t="n"/>
      <c r="CQ34" s="749" t="n"/>
      <c r="CR34" s="749" t="n"/>
      <c r="CS34" s="749" t="n"/>
      <c r="CT34" s="749" t="n"/>
      <c r="CU34" s="749" t="n"/>
      <c r="CV34" s="749" t="n"/>
      <c r="CW34" s="749" t="n"/>
      <c r="CX34" s="749" t="n"/>
      <c r="CY34" s="749" t="n"/>
      <c r="CZ34" s="749" t="n"/>
      <c r="DA34" s="749" t="n"/>
      <c r="DB34" s="749" t="n"/>
      <c r="DC34" s="749" t="n"/>
      <c r="DD34" s="749" t="n"/>
      <c r="DE34" s="749" t="n"/>
      <c r="DF34" s="749" t="n"/>
      <c r="DG34" s="749" t="n"/>
      <c r="DH34" s="749" t="n"/>
      <c r="DI34" s="749" t="n"/>
      <c r="DJ34" s="749" t="n"/>
      <c r="DK34" s="749" t="n"/>
      <c r="DL34" s="749" t="n"/>
      <c r="DM34" s="749" t="n"/>
      <c r="DN34" s="749" t="n"/>
      <c r="DO34" s="749" t="n"/>
      <c r="DQ34" s="749" t="n"/>
      <c r="DR34" s="749" t="n"/>
      <c r="DS34" s="749" t="n"/>
      <c r="DU34" s="749" t="n"/>
      <c r="DV34" s="749" t="n"/>
      <c r="DW34" s="749" t="n"/>
      <c r="DX34" s="749" t="n"/>
      <c r="DY34" s="749" t="n"/>
      <c r="DZ34" s="749" t="n"/>
      <c r="EA34" s="749" t="n"/>
      <c r="EB34" s="749" t="n"/>
      <c r="EC34" s="749" t="n"/>
      <c r="ED34" s="749" t="n"/>
      <c r="EE34" s="749" t="n"/>
      <c r="EF34" s="749" t="n"/>
      <c r="EG34" s="749" t="n"/>
      <c r="EH34" s="749" t="n"/>
      <c r="EI34" s="749" t="n"/>
      <c r="EJ34" s="749" t="n"/>
      <c r="EK34" s="749" t="n"/>
      <c r="EL34" s="749" t="n"/>
      <c r="EM34" s="749" t="n"/>
      <c r="EN34" s="749" t="n"/>
      <c r="EO34" s="749" t="n"/>
      <c r="EP34" s="749" t="n"/>
      <c r="EQ34" s="749" t="n"/>
      <c r="ER34" s="749" t="n"/>
      <c r="ES34" s="749" t="n"/>
      <c r="ET34" s="749" t="n"/>
      <c r="EU34" s="749" t="n"/>
      <c r="EV34" s="749" t="n"/>
      <c r="EW34" s="749" t="n"/>
      <c r="EX34" s="749" t="n"/>
      <c r="EY34" s="749" t="n"/>
      <c r="EZ34" s="749" t="n"/>
      <c r="FA34" s="749" t="n"/>
      <c r="FB34" s="749" t="n"/>
      <c r="FC34" s="749" t="n"/>
      <c r="FD34" s="749" t="n"/>
      <c r="FE34" s="749" t="n"/>
      <c r="FF34" s="749" t="n"/>
      <c r="FG34" s="749" t="n"/>
      <c r="FH34" s="749" t="n"/>
      <c r="FI34" s="749" t="n"/>
      <c r="FJ34" s="749" t="n"/>
      <c r="FL34" s="749" t="n"/>
      <c r="FM34" s="749" t="n"/>
      <c r="FO34" s="135" t="n"/>
      <c r="FP34" s="749" t="n"/>
      <c r="FQ34" s="749" t="n"/>
      <c r="FR34" s="749" t="n"/>
      <c r="FS34" s="749" t="n"/>
      <c r="FT34" s="749" t="n"/>
      <c r="FU34" s="749" t="n"/>
      <c r="FV34" s="749" t="n"/>
      <c r="FW34" s="749" t="n"/>
      <c r="FX34" s="749" t="n"/>
      <c r="FY34" s="749" t="n"/>
      <c r="FZ34" s="749" t="n"/>
      <c r="GA34" s="749" t="n"/>
      <c r="GB34" s="749" t="n"/>
      <c r="GC34" s="749" t="n"/>
      <c r="GE34" s="573" t="n"/>
      <c r="GF34" s="573" t="n"/>
      <c r="GG34" s="573" t="n"/>
      <c r="GH34" s="573" t="n"/>
      <c r="GI34" s="573" t="n"/>
      <c r="GJ34" s="573" t="n"/>
      <c r="GK34" s="573" t="n"/>
      <c r="GL34" s="573" t="n"/>
      <c r="GM34" s="573" t="n"/>
      <c r="GN34" s="573" t="n"/>
      <c r="GO34" s="573" t="n"/>
      <c r="GP34" s="573" t="n"/>
      <c r="GQ34" s="573" t="n"/>
      <c r="GR34" s="573" t="n"/>
      <c r="GS34" s="573" t="n"/>
      <c r="GT34" s="573" t="n"/>
      <c r="GU34" s="573" t="n"/>
      <c r="GV34" s="573" t="n"/>
      <c r="GW34" s="573" t="n"/>
      <c r="GX34" s="573" t="n"/>
      <c r="GY34" s="573" t="n"/>
      <c r="GZ34" s="573" t="n"/>
      <c r="HA34" s="573" t="n"/>
      <c r="HB34" s="573" t="n"/>
      <c r="HC34" s="573" t="n"/>
      <c r="HE34" s="573" t="n"/>
      <c r="HF34" s="573" t="n"/>
      <c r="HG34" s="573" t="n"/>
      <c r="HH34" s="573" t="n"/>
      <c r="HI34" s="573" t="n"/>
      <c r="HJ34" s="573" t="n"/>
      <c r="HK34" s="573" t="n"/>
      <c r="HL34" s="573" t="n"/>
      <c r="HM34" s="573" t="n"/>
      <c r="HN34" s="573" t="n"/>
      <c r="HO34" s="573" t="n"/>
      <c r="HQ34" s="573" t="n"/>
      <c r="HR34" s="573" t="n"/>
      <c r="HS34" s="573" t="n"/>
      <c r="HT34" s="573" t="n"/>
      <c r="HU34" s="573" t="n"/>
      <c r="HV34" s="573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6" t="n">
        <v>45656</v>
      </c>
      <c r="G35" s="746" t="n">
        <v>45663</v>
      </c>
      <c r="H35" s="746" t="n">
        <v>45670</v>
      </c>
      <c r="I35" s="746" t="n">
        <v>45677</v>
      </c>
      <c r="J35" s="746" t="n">
        <v>45684</v>
      </c>
      <c r="K35" s="746" t="n">
        <v>45691</v>
      </c>
      <c r="L35" s="746" t="n">
        <v>45698</v>
      </c>
      <c r="M35" s="746" t="n">
        <v>45705</v>
      </c>
      <c r="N35" s="746" t="n">
        <v>45712</v>
      </c>
      <c r="O35" s="746" t="n">
        <v>45719</v>
      </c>
      <c r="P35" s="746" t="n">
        <v>45726</v>
      </c>
      <c r="Q35" s="746" t="n">
        <v>45733</v>
      </c>
      <c r="R35" s="746" t="n">
        <v>45740</v>
      </c>
      <c r="S35" s="746" t="n">
        <v>45747</v>
      </c>
      <c r="T35" s="746" t="n">
        <v>45754</v>
      </c>
      <c r="U35" s="746" t="n">
        <v>45761</v>
      </c>
      <c r="V35" s="746" t="n">
        <v>45768</v>
      </c>
      <c r="W35" s="746" t="n">
        <v>45775</v>
      </c>
      <c r="X35" s="746" t="n">
        <v>45782</v>
      </c>
      <c r="Y35" s="746" t="n">
        <v>45789</v>
      </c>
      <c r="Z35" s="746" t="n">
        <v>45796</v>
      </c>
      <c r="AA35" s="746" t="n">
        <v>45803</v>
      </c>
      <c r="AB35" s="746" t="n">
        <v>45810</v>
      </c>
      <c r="AC35" s="746" t="n">
        <v>45817</v>
      </c>
      <c r="AD35" s="746" t="n">
        <v>45824</v>
      </c>
      <c r="AE35" s="746" t="n">
        <v>45831</v>
      </c>
      <c r="AF35" s="746" t="n">
        <v>45838</v>
      </c>
      <c r="AG35" s="746" t="n">
        <v>45845</v>
      </c>
      <c r="AH35" s="746" t="n">
        <v>45852</v>
      </c>
      <c r="AI35" s="746" t="n">
        <v>45859</v>
      </c>
      <c r="AJ35" s="746" t="n">
        <v>45866</v>
      </c>
      <c r="AK35" s="746" t="n">
        <v>45873</v>
      </c>
      <c r="AL35" s="746" t="n">
        <v>45880</v>
      </c>
      <c r="AM35" s="746" t="n">
        <v>45887</v>
      </c>
      <c r="AN35" s="746" t="n">
        <v>45894</v>
      </c>
      <c r="AO35" s="746" t="n">
        <v>45901</v>
      </c>
      <c r="AP35" s="746" t="n">
        <v>45908</v>
      </c>
      <c r="AQ35" s="746" t="n">
        <v>45915</v>
      </c>
      <c r="AR35" s="746" t="n">
        <v>45922</v>
      </c>
      <c r="AS35" s="746" t="n">
        <v>45929</v>
      </c>
      <c r="AT35" s="746" t="n">
        <v>45936</v>
      </c>
      <c r="AU35" s="746" t="n">
        <v>45943</v>
      </c>
      <c r="AV35" s="746" t="n">
        <v>45950</v>
      </c>
      <c r="AW35" s="746" t="n">
        <v>45957</v>
      </c>
      <c r="AX35" s="746" t="n">
        <v>45964</v>
      </c>
      <c r="AY35" s="746" t="n">
        <v>45971</v>
      </c>
      <c r="AZ35" s="746" t="n">
        <v>45978</v>
      </c>
      <c r="BA35" s="746" t="n">
        <v>45985</v>
      </c>
      <c r="BB35" s="746" t="n">
        <v>45992</v>
      </c>
      <c r="BC35" s="746" t="n">
        <v>45999</v>
      </c>
      <c r="BD35" s="746" t="n">
        <v>46006</v>
      </c>
      <c r="BE35" s="746" t="n">
        <v>46013</v>
      </c>
      <c r="BF35" s="746" t="n">
        <v>46020</v>
      </c>
      <c r="BG35" s="746" t="n">
        <v>46027</v>
      </c>
      <c r="BH35" s="746" t="n">
        <v>46034</v>
      </c>
      <c r="BI35" s="746" t="n">
        <v>46041</v>
      </c>
      <c r="BJ35" s="746" t="n">
        <v>46048</v>
      </c>
      <c r="BK35" s="746" t="n">
        <v>46055</v>
      </c>
      <c r="BL35" s="746" t="n">
        <v>46062</v>
      </c>
      <c r="BM35" s="746" t="n">
        <v>46069</v>
      </c>
      <c r="BN35" s="746" t="n">
        <v>46076</v>
      </c>
      <c r="BO35" s="746" t="n">
        <v>46083</v>
      </c>
      <c r="BP35" s="746" t="n">
        <v>46090</v>
      </c>
      <c r="BQ35" s="746" t="n">
        <v>46097</v>
      </c>
      <c r="BR35" s="746" t="n">
        <v>46104</v>
      </c>
      <c r="BS35" s="746" t="n">
        <v>46111</v>
      </c>
      <c r="BT35" s="746" t="n">
        <v>46118</v>
      </c>
      <c r="BU35" s="746" t="n">
        <v>46125</v>
      </c>
      <c r="BV35" s="746" t="n">
        <v>46132</v>
      </c>
      <c r="BW35" s="746" t="n">
        <v>46139</v>
      </c>
      <c r="BX35" s="746" t="n">
        <v>46146</v>
      </c>
      <c r="BY35" s="748" t="inlineStr">
        <is>
          <t>USOU</t>
        </is>
      </c>
      <c r="CA35" s="44" t="inlineStr">
        <is>
          <t>Pendências</t>
        </is>
      </c>
      <c r="CB35" s="44" t="inlineStr">
        <is>
          <t>Pendências</t>
        </is>
      </c>
      <c r="CD35" s="12" t="inlineStr">
        <is>
          <t>Novo Pedido</t>
        </is>
      </c>
      <c r="CE35" s="573" t="n"/>
      <c r="CF35" s="794" t="n">
        <v>46149</v>
      </c>
      <c r="CG35" s="794" t="n">
        <v>46142</v>
      </c>
      <c r="CH35" s="794" t="n">
        <v>46114</v>
      </c>
      <c r="CI35" s="794" t="n">
        <v>46107</v>
      </c>
      <c r="CJ35" s="795" t="n">
        <v>46065</v>
      </c>
      <c r="CK35" s="794" t="n">
        <v>46099</v>
      </c>
      <c r="CL35" s="794" t="n">
        <v>46092</v>
      </c>
      <c r="CM35" s="796" t="n">
        <v>46045</v>
      </c>
      <c r="CN35" s="794" t="n">
        <v>46077</v>
      </c>
      <c r="CO35" s="794" t="n">
        <v>46048</v>
      </c>
      <c r="CP35" s="794" t="n">
        <v>46043</v>
      </c>
      <c r="CQ35" s="794" t="n">
        <v>46024</v>
      </c>
      <c r="CR35" s="794" t="n">
        <v>46017</v>
      </c>
      <c r="CS35" s="794" t="n">
        <v>46007</v>
      </c>
      <c r="CT35" s="794" t="n">
        <v>46001</v>
      </c>
      <c r="CU35" s="794" t="n">
        <v>46001</v>
      </c>
      <c r="CV35" s="794" t="n">
        <v>45994</v>
      </c>
      <c r="CW35" s="794" t="n">
        <v>45986</v>
      </c>
      <c r="CX35" s="794" t="n">
        <v>45980</v>
      </c>
      <c r="CY35" s="794" t="n">
        <v>45980</v>
      </c>
      <c r="CZ35" s="797" t="n">
        <v>45982</v>
      </c>
      <c r="DA35" s="794" t="n">
        <v>45973</v>
      </c>
      <c r="DB35" s="794" t="n">
        <v>45965</v>
      </c>
      <c r="DC35" s="794" t="n">
        <v>45960</v>
      </c>
      <c r="DD35" s="794" t="n">
        <v>45951</v>
      </c>
      <c r="DE35" s="737" t="n">
        <v>45903</v>
      </c>
      <c r="DF35" s="794" t="n">
        <v>45945</v>
      </c>
      <c r="DG35" s="794" t="n">
        <v>45937</v>
      </c>
      <c r="DH35" s="794" t="n">
        <v>45931</v>
      </c>
      <c r="DI35" s="794" t="n">
        <v>45931</v>
      </c>
      <c r="DJ35" s="794" t="n">
        <v>45915</v>
      </c>
      <c r="DK35" s="794" t="n">
        <v>45923</v>
      </c>
      <c r="DL35" s="794" t="n">
        <v>45903</v>
      </c>
      <c r="DM35" s="794" t="n">
        <v>45915</v>
      </c>
      <c r="DN35" s="797" t="n">
        <v>45918</v>
      </c>
      <c r="DO35" s="794" t="n">
        <v>45909</v>
      </c>
      <c r="DP35" s="738" t="n">
        <v>45903</v>
      </c>
      <c r="DQ35" s="794" t="n">
        <v>45895</v>
      </c>
      <c r="DR35" s="797" t="n">
        <v>45896</v>
      </c>
      <c r="DS35" s="794" t="n">
        <v>45881</v>
      </c>
      <c r="DT35" s="738" t="n">
        <v>45839</v>
      </c>
      <c r="DU35" s="794" t="n">
        <v>45888</v>
      </c>
      <c r="DV35" s="794" t="n">
        <v>45881</v>
      </c>
      <c r="DW35" s="797" t="n">
        <v>45881</v>
      </c>
      <c r="DX35" s="794" t="n">
        <v>45874</v>
      </c>
      <c r="DY35" s="797" t="n">
        <v>45876</v>
      </c>
      <c r="DZ35" s="794" t="n">
        <v>45867</v>
      </c>
      <c r="EA35" s="794" t="n">
        <v>45867</v>
      </c>
      <c r="EB35" s="794" t="n">
        <v>45860</v>
      </c>
      <c r="EC35" s="797" t="n">
        <v>45861</v>
      </c>
      <c r="ED35" s="797" t="n">
        <v>45860</v>
      </c>
      <c r="EE35" s="794" t="n">
        <v>45853</v>
      </c>
      <c r="EF35" s="739" t="n">
        <v>45855</v>
      </c>
      <c r="EG35" s="794" t="n">
        <v>45848</v>
      </c>
      <c r="EH35" s="794" t="n">
        <v>45839</v>
      </c>
      <c r="EI35" s="794" t="n">
        <v>45839</v>
      </c>
      <c r="EJ35" s="797" t="n">
        <v>45835</v>
      </c>
      <c r="EK35" s="794" t="n">
        <v>45790</v>
      </c>
      <c r="EL35" s="794" t="n">
        <v>45825</v>
      </c>
      <c r="EM35" s="794" t="n">
        <v>45819</v>
      </c>
      <c r="EN35" s="794" t="n">
        <v>45813</v>
      </c>
      <c r="EO35" s="794" t="n">
        <v>45797</v>
      </c>
      <c r="EP35" s="797" t="n">
        <v>45811</v>
      </c>
      <c r="EQ35" s="797" t="n">
        <v>45810</v>
      </c>
      <c r="ER35" s="797" t="n">
        <v>45806</v>
      </c>
      <c r="ES35" s="797" t="n">
        <v>45803</v>
      </c>
      <c r="ET35" s="755" t="n">
        <v>45803</v>
      </c>
      <c r="EU35" s="794" t="n">
        <v>45784</v>
      </c>
      <c r="EV35" s="797" t="n">
        <v>45791</v>
      </c>
      <c r="EW35" s="794" t="n">
        <v>45784</v>
      </c>
      <c r="EX35" s="794" t="n">
        <v>45764</v>
      </c>
      <c r="EY35" s="797" t="n">
        <v>45791</v>
      </c>
      <c r="EZ35" s="794" t="n">
        <v>45783</v>
      </c>
      <c r="FA35" s="794" t="n">
        <v>45770</v>
      </c>
      <c r="FB35" s="794" t="n">
        <v>45775</v>
      </c>
      <c r="FC35" s="794" t="n">
        <v>45770</v>
      </c>
      <c r="FD35" s="794" t="n">
        <v>45770</v>
      </c>
      <c r="FE35" s="797" t="n">
        <v>45775</v>
      </c>
      <c r="FF35" s="797" t="n">
        <v>45770</v>
      </c>
      <c r="FG35" s="794" t="n">
        <v>45756</v>
      </c>
      <c r="FH35" s="794" t="n">
        <v>45735</v>
      </c>
      <c r="FI35" s="797" t="n">
        <v>45751</v>
      </c>
      <c r="FJ35" s="794" t="n">
        <v>45743</v>
      </c>
      <c r="FK35" s="746" t="n">
        <v>45729</v>
      </c>
      <c r="FL35" s="794" t="n">
        <v>45722</v>
      </c>
      <c r="FM35" s="794" t="n">
        <v>45722</v>
      </c>
      <c r="FN35" s="746" t="n">
        <v>45700</v>
      </c>
      <c r="FO35" s="797" t="n">
        <v>45722</v>
      </c>
      <c r="FP35" s="794" t="n">
        <v>45714</v>
      </c>
      <c r="FQ35" s="794" t="n">
        <v>45706</v>
      </c>
      <c r="FR35" s="794" t="n">
        <v>45684</v>
      </c>
      <c r="FS35" s="794" t="n">
        <v>45699</v>
      </c>
      <c r="FT35" s="794" t="n">
        <v>45693</v>
      </c>
      <c r="FU35" s="797" t="n">
        <v>45687</v>
      </c>
      <c r="FV35" s="794" t="n">
        <v>45685</v>
      </c>
      <c r="FW35" s="797" t="n">
        <v>45684</v>
      </c>
      <c r="FX35" s="794" t="n">
        <v>45674</v>
      </c>
      <c r="FY35" s="794" t="n">
        <v>45664</v>
      </c>
      <c r="FZ35" s="794" t="n">
        <v>45660</v>
      </c>
      <c r="GA35" s="794" t="n">
        <v>45660</v>
      </c>
      <c r="GB35" s="794" t="n">
        <v>45652</v>
      </c>
      <c r="GC35" s="794" t="n">
        <v>45643</v>
      </c>
      <c r="GE35" s="573" t="n"/>
      <c r="GF35" s="573" t="n"/>
      <c r="GG35" s="573" t="n"/>
      <c r="GH35" s="573" t="n"/>
      <c r="GI35" s="573" t="n"/>
      <c r="GJ35" s="573" t="n"/>
      <c r="GK35" s="573" t="n"/>
      <c r="GL35" s="573" t="n"/>
      <c r="GM35" s="573" t="n"/>
      <c r="GN35" s="573" t="n"/>
      <c r="GO35" s="573" t="n"/>
      <c r="GP35" s="573" t="n"/>
      <c r="GQ35" s="573" t="n"/>
      <c r="GR35" s="573" t="n"/>
      <c r="GS35" s="573" t="n"/>
      <c r="GT35" s="573" t="n"/>
      <c r="GU35" s="573" t="n"/>
      <c r="GV35" s="573" t="n"/>
      <c r="GW35" s="573" t="n"/>
      <c r="GX35" s="573" t="n"/>
      <c r="GY35" s="573" t="n"/>
      <c r="GZ35" s="573" t="n"/>
      <c r="HA35" s="573" t="n"/>
      <c r="HB35" s="573" t="n"/>
      <c r="HC35" s="573" t="n"/>
      <c r="HE35" s="573" t="n"/>
      <c r="HF35" s="573" t="n"/>
      <c r="HG35" s="573" t="n"/>
      <c r="HH35" s="573" t="n"/>
      <c r="HI35" s="573" t="n"/>
      <c r="HJ35" s="573" t="n"/>
      <c r="HK35" s="573" t="n"/>
      <c r="HL35" s="573" t="n"/>
      <c r="HM35" s="573" t="n"/>
      <c r="HN35" s="573" t="n"/>
      <c r="HO35" s="573" t="n"/>
      <c r="HQ35" s="573" t="n"/>
      <c r="HR35" s="573" t="n"/>
      <c r="HS35" s="573" t="n"/>
      <c r="HT35" s="573" t="n"/>
      <c r="HU35" s="573" t="n"/>
      <c r="HV35" s="573" t="n"/>
    </row>
    <row r="36">
      <c r="A36" s="37" t="inlineStr">
        <is>
          <t>SACOLA P OUI</t>
        </is>
      </c>
      <c r="B36" s="32" t="n">
        <v>150</v>
      </c>
      <c r="C36" s="773" t="n">
        <v>469.25</v>
      </c>
      <c r="D36" s="382" t="n">
        <v>10</v>
      </c>
      <c r="E36" s="573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/>
      <c r="BU36" s="32" t="n"/>
      <c r="BV36" s="32" t="n"/>
      <c r="BW36" s="32" t="n"/>
      <c r="BX36" s="32" t="n"/>
      <c r="BY36" s="192">
        <f>BW36+IF(NOT(ISBLANK(OFFSET(BY36,0,6))),N(OFFSET(BY36,0,6)),N(OFFSET(BY36,0,7)))-BX36</f>
        <v/>
      </c>
      <c r="CA36" s="22" t="n"/>
      <c r="CB36" s="22" t="n"/>
      <c r="CD36" s="27" t="n"/>
      <c r="CE36" s="573" t="n"/>
      <c r="CF36" s="40" t="n">
        <v>0</v>
      </c>
      <c r="CG36" s="40" t="n">
        <v>0</v>
      </c>
      <c r="CH36" s="40" t="n"/>
      <c r="CI36" s="40" t="n"/>
      <c r="CJ36" s="40" t="n"/>
      <c r="CK36" s="40" t="n"/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219" t="n"/>
      <c r="DA36" s="40" t="n"/>
      <c r="DB36" s="40" t="n"/>
      <c r="DC36" s="40" t="n"/>
      <c r="DD36" s="40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23" t="n"/>
      <c r="DQ36" s="40" t="n"/>
      <c r="DR36" s="40" t="n"/>
      <c r="DS36" s="40" t="n"/>
      <c r="DT36" s="23" t="n"/>
      <c r="DU36" s="40" t="n"/>
      <c r="DV36" s="40" t="n"/>
      <c r="DW36" s="40" t="n"/>
      <c r="DX36" s="40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219" t="n"/>
      <c r="FL36" s="40" t="n"/>
      <c r="FM36" s="40" t="n"/>
      <c r="FN36" s="219" t="n"/>
      <c r="FO36" s="135" t="n"/>
      <c r="FP36" s="40" t="n"/>
      <c r="FQ36" s="40" t="n"/>
      <c r="FR36" s="40" t="n"/>
      <c r="FS36" s="40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E36" s="573" t="n"/>
      <c r="GF36" s="573" t="n"/>
      <c r="GG36" s="573" t="n"/>
      <c r="GH36" s="573" t="n"/>
      <c r="GI36" s="573" t="n"/>
      <c r="GJ36" s="573" t="n"/>
      <c r="GK36" s="573" t="n"/>
      <c r="GL36" s="573" t="n"/>
      <c r="GM36" s="573" t="n"/>
      <c r="GN36" s="573" t="n"/>
      <c r="GO36" s="573" t="n"/>
      <c r="GP36" s="573" t="n"/>
      <c r="GQ36" s="573" t="n"/>
      <c r="GR36" s="573" t="n"/>
      <c r="GS36" s="573" t="n"/>
      <c r="GT36" s="573" t="n"/>
      <c r="GU36" s="573" t="n"/>
      <c r="GV36" s="573" t="n"/>
      <c r="GW36" s="573" t="n"/>
      <c r="GX36" s="573" t="n"/>
      <c r="GY36" s="573" t="n"/>
      <c r="GZ36" s="573" t="n"/>
      <c r="HA36" s="573" t="n"/>
      <c r="HB36" s="573" t="n"/>
      <c r="HC36" s="573" t="n"/>
      <c r="HE36" s="573" t="n"/>
      <c r="HF36" s="573" t="n"/>
      <c r="HG36" s="573" t="n"/>
      <c r="HH36" s="573" t="n"/>
      <c r="HI36" s="573" t="n"/>
      <c r="HJ36" s="573" t="n"/>
      <c r="HK36" s="573" t="n"/>
      <c r="HL36" s="573" t="n"/>
      <c r="HM36" s="573" t="n"/>
      <c r="HN36" s="573" t="n"/>
      <c r="HO36" s="573" t="n"/>
      <c r="HQ36" s="573" t="n"/>
      <c r="HR36" s="573" t="n"/>
      <c r="HS36" s="573" t="n"/>
      <c r="HT36" s="573" t="n"/>
      <c r="HU36" s="573" t="n"/>
      <c r="HV36" s="573" t="n"/>
    </row>
    <row r="37">
      <c r="A37" s="37" t="inlineStr">
        <is>
          <t>SACOLA M OUI</t>
        </is>
      </c>
      <c r="B37" s="32" t="n">
        <v>100</v>
      </c>
      <c r="C37" s="773" t="n">
        <v>368.23</v>
      </c>
      <c r="D37" s="382" t="n">
        <v>10</v>
      </c>
      <c r="E37" s="573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/>
      <c r="BU37" s="32" t="n"/>
      <c r="BV37" s="32" t="n"/>
      <c r="BW37" s="32" t="n"/>
      <c r="BX37" s="32" t="n"/>
      <c r="BY37" s="192">
        <f>BW37+IF(NOT(ISBLANK(OFFSET(BY37,0,6))),N(OFFSET(BY37,0,6)),N(OFFSET(BY37,0,7)))-BX37</f>
        <v/>
      </c>
      <c r="CA37" s="22" t="n"/>
      <c r="CB37" s="22" t="n"/>
      <c r="CD37" s="27" t="n"/>
      <c r="CE37" s="573" t="n"/>
      <c r="CF37" s="40" t="n">
        <v>0</v>
      </c>
      <c r="CG37" s="40" t="n">
        <v>0</v>
      </c>
      <c r="CH37" s="40" t="n"/>
      <c r="CI37" s="40" t="n"/>
      <c r="CJ37" s="40" t="n"/>
      <c r="CK37" s="40" t="n"/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219" t="n"/>
      <c r="DA37" s="40" t="n"/>
      <c r="DB37" s="40" t="n"/>
      <c r="DC37" s="40" t="n"/>
      <c r="DD37" s="40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23" t="n"/>
      <c r="DQ37" s="40" t="n"/>
      <c r="DR37" s="40" t="n"/>
      <c r="DS37" s="40" t="n"/>
      <c r="DT37" s="23" t="n"/>
      <c r="DU37" s="40" t="n"/>
      <c r="DV37" s="40" t="n"/>
      <c r="DW37" s="40" t="n"/>
      <c r="DX37" s="40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219" t="n"/>
      <c r="EQ37" s="219" t="n"/>
      <c r="ER37" s="219" t="n"/>
      <c r="ES37" s="219" t="n"/>
      <c r="ET37" s="40" t="n"/>
      <c r="EU37" s="40" t="n"/>
      <c r="EV37" s="219" t="n"/>
      <c r="EW37" s="40" t="n"/>
      <c r="EX37" s="40" t="n"/>
      <c r="EY37" s="282" t="inlineStr">
        <is>
          <t>50 P/ ER</t>
        </is>
      </c>
      <c r="EZ37" s="40" t="n"/>
      <c r="FA37" s="40" t="n">
        <v>100</v>
      </c>
      <c r="FB37" s="40" t="n"/>
      <c r="FC37" s="40" t="n"/>
      <c r="FD37" s="40" t="n"/>
      <c r="FE37" s="40" t="n"/>
      <c r="FF37" s="40" t="n"/>
      <c r="FG37" s="40" t="n"/>
      <c r="FH37" s="40" t="n"/>
      <c r="FI37" s="40" t="n"/>
      <c r="FJ37" s="40" t="n"/>
      <c r="FK37" s="219" t="n"/>
      <c r="FL37" s="40" t="n"/>
      <c r="FM37" s="40" t="n"/>
      <c r="FN37" s="219" t="n"/>
      <c r="FO37" s="40" t="n"/>
      <c r="FP37" s="40" t="n"/>
      <c r="FQ37" s="40" t="n"/>
      <c r="FR37" s="40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E37" s="573" t="n"/>
      <c r="GF37" s="573" t="n"/>
      <c r="GG37" s="573" t="n"/>
      <c r="GH37" s="573" t="n"/>
      <c r="GI37" s="573" t="n"/>
      <c r="GJ37" s="573" t="n"/>
      <c r="GK37" s="573" t="n"/>
      <c r="GL37" s="573" t="n"/>
      <c r="GM37" s="573" t="n"/>
      <c r="GN37" s="573" t="n"/>
      <c r="GO37" s="573" t="n"/>
      <c r="GP37" s="573" t="n"/>
      <c r="GQ37" s="573" t="n"/>
      <c r="GR37" s="573" t="n"/>
      <c r="GS37" s="573" t="n"/>
      <c r="GT37" s="41" t="n"/>
      <c r="GU37" s="41" t="n"/>
      <c r="GV37" s="41" t="n"/>
      <c r="GW37" s="41" t="n"/>
      <c r="GX37" s="41" t="n"/>
      <c r="GY37" s="41" t="n"/>
      <c r="GZ37" s="41" t="n"/>
      <c r="HA37" s="41" t="n"/>
      <c r="HB37" s="41" t="n"/>
      <c r="HC37" s="41" t="n"/>
      <c r="HE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Q37" s="41" t="n"/>
      <c r="HR37" s="41" t="n"/>
      <c r="HS37" s="41" t="n"/>
      <c r="HT37" s="41" t="n"/>
      <c r="HU37" s="41" t="n"/>
      <c r="HV37" s="41" t="n"/>
    </row>
    <row r="38">
      <c r="A38" s="37" t="inlineStr">
        <is>
          <t>SACOLA G OUI</t>
        </is>
      </c>
      <c r="B38" s="32" t="n">
        <v>50</v>
      </c>
      <c r="C38" s="773" t="n">
        <v>257.98</v>
      </c>
      <c r="D38" s="382" t="n">
        <v>5</v>
      </c>
      <c r="E38" s="573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/>
      <c r="BU38" s="32" t="n"/>
      <c r="BV38" s="32" t="n"/>
      <c r="BW38" s="32" t="n"/>
      <c r="BX38" s="32" t="n"/>
      <c r="BY38" s="192">
        <f>BW38+IF(NOT(ISBLANK(OFFSET(BY38,0,6))),N(OFFSET(BY38,0,6)),N(OFFSET(BY38,0,7)))-BX38</f>
        <v/>
      </c>
      <c r="CA38" s="22" t="n"/>
      <c r="CB38" s="22" t="n"/>
      <c r="CD38" s="27" t="n"/>
      <c r="CE38" s="573" t="n"/>
      <c r="CF38" s="40" t="n">
        <v>0</v>
      </c>
      <c r="CG38" s="40" t="n">
        <v>0</v>
      </c>
      <c r="CH38" s="40" t="n"/>
      <c r="CI38" s="40" t="n"/>
      <c r="CJ38" s="40" t="n"/>
      <c r="CK38" s="40" t="n"/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219" t="n"/>
      <c r="DA38" s="40" t="n"/>
      <c r="DB38" s="40" t="n"/>
      <c r="DC38" s="40" t="n"/>
      <c r="DD38" s="40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23" t="n"/>
      <c r="DQ38" s="40" t="n"/>
      <c r="DR38" s="40" t="n"/>
      <c r="DS38" s="40" t="n"/>
      <c r="DT38" s="23" t="n"/>
      <c r="DU38" s="40" t="n"/>
      <c r="DV38" s="40" t="n"/>
      <c r="DW38" s="40" t="n"/>
      <c r="DX38" s="40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219" t="n"/>
      <c r="EQ38" s="219" t="n"/>
      <c r="ER38" s="219" t="n"/>
      <c r="ES38" s="219" t="n"/>
      <c r="ET38" s="40" t="n"/>
      <c r="EU38" s="40" t="n"/>
      <c r="EV38" s="219" t="n"/>
      <c r="EW38" s="40" t="n"/>
      <c r="EX38" s="40" t="n"/>
      <c r="EY38" s="282" t="inlineStr">
        <is>
          <t>20 P/ ER</t>
        </is>
      </c>
      <c r="EZ38" s="40" t="n"/>
      <c r="FA38" s="40" t="n"/>
      <c r="FB38" s="40" t="n"/>
      <c r="FC38" s="40" t="n">
        <v>50</v>
      </c>
      <c r="FD38" s="40" t="n"/>
      <c r="FE38" s="40" t="n"/>
      <c r="FF38" s="40" t="n"/>
      <c r="FG38" s="40" t="n"/>
      <c r="FH38" s="40" t="n"/>
      <c r="FI38" s="40" t="n"/>
      <c r="FJ38" s="40" t="n"/>
      <c r="FK38" s="219" t="n"/>
      <c r="FL38" s="40" t="n"/>
      <c r="FM38" s="40" t="n"/>
      <c r="FN38" s="219" t="n"/>
      <c r="FO38" s="40" t="n"/>
      <c r="FP38" s="40" t="n"/>
      <c r="FQ38" s="40" t="n"/>
      <c r="FR38" s="40" t="n"/>
      <c r="FS38" s="40" t="n"/>
      <c r="FT38" s="40" t="n"/>
      <c r="FU38" s="40" t="n"/>
      <c r="FV38" s="40" t="n"/>
      <c r="FW38" s="282" t="inlineStr">
        <is>
          <t>10 P/ ER</t>
        </is>
      </c>
      <c r="FX38" s="40" t="n"/>
      <c r="FY38" s="40" t="n"/>
      <c r="FZ38" s="40" t="n"/>
      <c r="GA38" s="40" t="n"/>
      <c r="GB38" s="40" t="n"/>
      <c r="GC38" s="40" t="n"/>
      <c r="GE38" s="573" t="n"/>
      <c r="GF38" s="573" t="n"/>
      <c r="GG38" s="573" t="n"/>
      <c r="GH38" s="573" t="n"/>
      <c r="GI38" s="573" t="n"/>
      <c r="GJ38" s="573" t="n"/>
      <c r="GK38" s="573" t="n"/>
      <c r="GL38" s="573" t="n"/>
      <c r="GM38" s="573" t="n"/>
      <c r="GN38" s="573" t="n"/>
      <c r="GO38" s="573" t="n"/>
      <c r="GP38" s="573" t="n"/>
      <c r="GQ38" s="573" t="n"/>
      <c r="GR38" s="573" t="n"/>
      <c r="GS38" s="573" t="n"/>
      <c r="GT38" s="41" t="n"/>
      <c r="GU38" s="41" t="n"/>
      <c r="GV38" s="41" t="n"/>
      <c r="GW38" s="41" t="n"/>
      <c r="GX38" s="41" t="n"/>
      <c r="GY38" s="41" t="n"/>
      <c r="GZ38" s="41" t="n"/>
      <c r="HA38" s="41" t="n"/>
      <c r="HB38" s="41" t="n"/>
      <c r="HC38" s="41" t="n"/>
      <c r="HE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Q38" s="41" t="n"/>
      <c r="HR38" s="41" t="n"/>
      <c r="HS38" s="41" t="n"/>
      <c r="HT38" s="41" t="n"/>
      <c r="HU38" s="41" t="n"/>
      <c r="HV38" s="41" t="n"/>
    </row>
    <row r="39" customFormat="1" s="3">
      <c r="A39" s="37" t="inlineStr">
        <is>
          <t>SACO M OUI (BRINDE)</t>
        </is>
      </c>
      <c r="B39" s="699" t="n">
        <v>200</v>
      </c>
      <c r="C39" s="762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0+CW39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0+CI39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192">
        <f>BW39+IF(NOT(ISBLANK(OFFSET(BY39,0,6))),N(OFFSET(BY39,0,6)),N(OFFSET(BY39,0,7)))-BX39</f>
        <v/>
      </c>
      <c r="BZ39" s="5" t="n"/>
      <c r="CA39" s="22" t="n"/>
      <c r="CB39" s="22" t="n">
        <v>200</v>
      </c>
      <c r="CC39" s="5" t="n"/>
      <c r="CD39" s="27" t="n"/>
      <c r="CE39" s="573" t="n"/>
      <c r="CF39" s="40" t="n">
        <v>0</v>
      </c>
      <c r="CG39" s="40" t="n">
        <v>0</v>
      </c>
      <c r="CH39" s="40" t="n"/>
      <c r="CI39" s="40" t="n">
        <v>200</v>
      </c>
      <c r="CJ39" s="40" t="n"/>
      <c r="CK39" s="40" t="n"/>
      <c r="CL39" s="40" t="n"/>
      <c r="CM39" s="40" t="n"/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>
        <v>400</v>
      </c>
      <c r="CX39" s="40" t="n"/>
      <c r="CY39" s="40" t="n"/>
      <c r="CZ39" s="219" t="n"/>
      <c r="DA39" s="40" t="n"/>
      <c r="DB39" s="40" t="n"/>
      <c r="DC39" s="40" t="n"/>
      <c r="DD39" s="40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192" t="inlineStr">
        <is>
          <t>200 P/ ER</t>
        </is>
      </c>
      <c r="DO39" s="40" t="n"/>
      <c r="DP39" s="23" t="n"/>
      <c r="DQ39" s="40" t="n"/>
      <c r="DR39" s="40" t="n"/>
      <c r="DS39" s="40" t="n"/>
      <c r="DT39" s="23" t="n"/>
      <c r="DU39" s="40" t="n"/>
      <c r="DV39" s="40" t="n"/>
      <c r="DW39" s="40" t="n"/>
      <c r="DX39" s="40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>
        <v>200</v>
      </c>
      <c r="EL39" s="40" t="n"/>
      <c r="EM39" s="40" t="n">
        <v>200</v>
      </c>
      <c r="EN39" s="40" t="n"/>
      <c r="EO39" s="40" t="n"/>
      <c r="EP39" s="219" t="n"/>
      <c r="EQ39" s="282" t="inlineStr">
        <is>
          <t>200 DE ER</t>
        </is>
      </c>
      <c r="ER39" s="219" t="n"/>
      <c r="ES39" s="219" t="n"/>
      <c r="ET39" s="40" t="n"/>
      <c r="EU39" s="40" t="n"/>
      <c r="EV39" s="282" t="inlineStr">
        <is>
          <t>200 DE ER</t>
        </is>
      </c>
      <c r="EW39" s="40" t="n"/>
      <c r="EX39" s="40" t="n"/>
      <c r="EY39" s="40" t="n"/>
      <c r="EZ39" s="40" t="n"/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219" t="n"/>
      <c r="FL39" s="40" t="n"/>
      <c r="FM39" s="40" t="n"/>
      <c r="FN39" s="219" t="n"/>
      <c r="FO39" s="40" t="n"/>
      <c r="FP39" s="40" t="n"/>
      <c r="FQ39" s="40" t="n"/>
      <c r="FR39" s="40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E39" s="573" t="n"/>
      <c r="GF39" s="573" t="n"/>
      <c r="GG39" s="573" t="n"/>
      <c r="GH39" s="573" t="n"/>
      <c r="GI39" s="573" t="n"/>
      <c r="GJ39" s="573" t="n"/>
      <c r="GK39" s="573" t="n"/>
      <c r="GL39" s="573" t="n"/>
      <c r="GM39" s="573" t="n"/>
      <c r="GN39" s="573" t="n"/>
      <c r="GO39" s="573" t="n"/>
      <c r="GP39" s="573" t="n"/>
      <c r="GQ39" s="573" t="n"/>
      <c r="GR39" s="573" t="n"/>
      <c r="GS39" s="5" t="n"/>
      <c r="GT39" s="5" t="n"/>
      <c r="GU39" s="5" t="n"/>
      <c r="GV39" s="5" t="n"/>
      <c r="GW39" s="5" t="n"/>
      <c r="GX39" s="5" t="n"/>
      <c r="GY39" s="5" t="n"/>
      <c r="GZ39" s="5" t="n"/>
      <c r="HA39" s="5" t="n"/>
      <c r="HB39" s="5" t="n"/>
      <c r="HC39" s="5" t="n"/>
      <c r="HE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Q39" s="5" t="n"/>
      <c r="HR39" s="5" t="n"/>
      <c r="HS39" s="5" t="n"/>
      <c r="HT39" s="5" t="n"/>
      <c r="HU39" s="5" t="n"/>
      <c r="HV39" s="5" t="n"/>
    </row>
    <row r="40">
      <c r="B40" s="573" t="n"/>
      <c r="E40" s="573" t="n"/>
      <c r="F40" s="573" t="n"/>
      <c r="G40" s="573" t="n"/>
      <c r="H40" s="573" t="n"/>
      <c r="I40" s="573" t="n"/>
      <c r="J40" s="573" t="n"/>
      <c r="K40" s="573" t="n"/>
      <c r="L40" s="573" t="n"/>
      <c r="M40" s="573" t="n"/>
      <c r="N40" s="573" t="n"/>
      <c r="O40" s="573" t="n"/>
      <c r="P40" s="573" t="n"/>
      <c r="Q40" s="573" t="n"/>
      <c r="R40" s="573" t="n"/>
      <c r="S40" s="573" t="n"/>
      <c r="T40" s="573" t="n"/>
      <c r="U40" s="573" t="n"/>
      <c r="V40" s="573" t="n"/>
      <c r="W40" s="573" t="n"/>
      <c r="X40" s="573" t="n"/>
      <c r="Y40" s="573" t="n"/>
      <c r="Z40" s="573" t="n"/>
      <c r="AA40" s="573" t="n"/>
      <c r="AB40" s="573" t="n"/>
      <c r="AC40" s="573" t="n"/>
      <c r="AD40" s="573" t="n"/>
      <c r="AE40" s="573" t="n"/>
      <c r="AF40" s="573" t="n"/>
      <c r="AG40" s="573" t="n"/>
      <c r="AH40" s="573" t="n"/>
      <c r="AI40" s="573" t="n"/>
      <c r="AJ40" s="573" t="n"/>
      <c r="AK40" s="573" t="n"/>
      <c r="AL40" s="573" t="n"/>
      <c r="AM40" s="573" t="n"/>
      <c r="AN40" s="573" t="n"/>
      <c r="AO40" s="573" t="n"/>
      <c r="AP40" s="573" t="n"/>
      <c r="AQ40" s="573" t="n"/>
      <c r="AR40" s="573" t="n"/>
      <c r="AS40" s="573" t="n"/>
      <c r="AT40" s="573" t="n"/>
      <c r="AU40" s="573" t="n"/>
      <c r="AV40" s="573" t="n"/>
      <c r="AW40" s="573" t="n"/>
      <c r="AX40" s="573" t="n"/>
      <c r="AY40" s="573" t="n"/>
      <c r="AZ40" s="573" t="n"/>
      <c r="BA40" s="573" t="n"/>
      <c r="BB40" s="573" t="n"/>
      <c r="BC40" s="573" t="n"/>
      <c r="BD40" s="573" t="n"/>
      <c r="BE40" s="573" t="n"/>
      <c r="BF40" s="573" t="n"/>
      <c r="BG40" s="573" t="n"/>
      <c r="BH40" s="573" t="n"/>
      <c r="BI40" s="573" t="n"/>
      <c r="BJ40" s="573" t="n"/>
      <c r="BK40" s="573" t="n"/>
      <c r="BL40" s="573" t="n"/>
      <c r="BM40" s="573" t="n"/>
      <c r="BN40" s="573" t="n"/>
      <c r="BO40" s="573" t="n"/>
      <c r="BP40" s="573" t="n"/>
      <c r="BQ40" s="573" t="n"/>
      <c r="BR40" s="573" t="n"/>
      <c r="BS40" s="573" t="n"/>
      <c r="BT40" s="573" t="n"/>
      <c r="BU40" s="573" t="n"/>
      <c r="BV40" s="573" t="n"/>
      <c r="BW40" s="573" t="n"/>
      <c r="BX40" s="573" t="n"/>
      <c r="CE40" s="573" t="n"/>
      <c r="CF40" s="68" t="n"/>
      <c r="CG40" s="68" t="n"/>
      <c r="CH40" s="68" t="n"/>
      <c r="CI40" s="68" t="n"/>
      <c r="CJ40" s="68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DA40" s="68" t="n"/>
      <c r="DB40" s="68" t="n"/>
      <c r="DC40" s="68" t="n"/>
      <c r="DD40" s="68" t="n"/>
      <c r="DE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Q40" s="68" t="n"/>
      <c r="DR40" s="68" t="n"/>
      <c r="DS40" s="68" t="n"/>
      <c r="DU40" s="68" t="n"/>
      <c r="DV40" s="68" t="n"/>
      <c r="DW40" s="68" t="n"/>
      <c r="DX40" s="68" t="n"/>
      <c r="DY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L40" s="68" t="n"/>
      <c r="FM40" s="68" t="n"/>
      <c r="FP40" s="68" t="n"/>
      <c r="FQ40" s="68" t="n"/>
      <c r="FR40" s="68" t="n"/>
      <c r="FS40" s="68" t="n"/>
      <c r="FT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E40" s="41" t="n"/>
      <c r="GF40" s="41" t="n"/>
      <c r="GG40" s="41" t="n"/>
      <c r="GH40" s="41" t="n"/>
      <c r="GI40" s="41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6" t="n">
        <v>45656</v>
      </c>
      <c r="G41" s="746" t="n">
        <v>45663</v>
      </c>
      <c r="H41" s="746" t="n">
        <v>45670</v>
      </c>
      <c r="I41" s="746" t="n">
        <v>45677</v>
      </c>
      <c r="J41" s="746" t="n">
        <v>45684</v>
      </c>
      <c r="K41" s="746" t="n">
        <v>45691</v>
      </c>
      <c r="L41" s="746" t="n">
        <v>45698</v>
      </c>
      <c r="M41" s="746" t="n">
        <v>45705</v>
      </c>
      <c r="N41" s="746" t="n">
        <v>45712</v>
      </c>
      <c r="O41" s="746" t="n">
        <v>45719</v>
      </c>
      <c r="P41" s="746" t="n">
        <v>45726</v>
      </c>
      <c r="Q41" s="746" t="n">
        <v>45733</v>
      </c>
      <c r="R41" s="746" t="n">
        <v>45740</v>
      </c>
      <c r="S41" s="746" t="n">
        <v>45747</v>
      </c>
      <c r="T41" s="746" t="n">
        <v>45754</v>
      </c>
      <c r="U41" s="746" t="n">
        <v>45761</v>
      </c>
      <c r="V41" s="746" t="n">
        <v>45768</v>
      </c>
      <c r="W41" s="746" t="n">
        <v>45775</v>
      </c>
      <c r="X41" s="746" t="n">
        <v>45782</v>
      </c>
      <c r="Y41" s="746" t="n">
        <v>45789</v>
      </c>
      <c r="Z41" s="746" t="n">
        <v>45796</v>
      </c>
      <c r="AA41" s="746" t="n">
        <v>45803</v>
      </c>
      <c r="AB41" s="746" t="n">
        <v>45810</v>
      </c>
      <c r="AC41" s="746" t="n">
        <v>45817</v>
      </c>
      <c r="AD41" s="746" t="n">
        <v>45824</v>
      </c>
      <c r="AE41" s="746" t="n">
        <v>45831</v>
      </c>
      <c r="AF41" s="746" t="n">
        <v>45838</v>
      </c>
      <c r="AG41" s="746" t="n">
        <v>45845</v>
      </c>
      <c r="AH41" s="746" t="n">
        <v>45852</v>
      </c>
      <c r="AI41" s="746" t="n">
        <v>45859</v>
      </c>
      <c r="AJ41" s="746" t="n">
        <v>45866</v>
      </c>
      <c r="AK41" s="746" t="n">
        <v>45873</v>
      </c>
      <c r="AL41" s="746" t="n">
        <v>45880</v>
      </c>
      <c r="AM41" s="746" t="n">
        <v>45887</v>
      </c>
      <c r="AN41" s="746" t="n">
        <v>45894</v>
      </c>
      <c r="AO41" s="746" t="n">
        <v>45901</v>
      </c>
      <c r="AP41" s="746" t="n">
        <v>45908</v>
      </c>
      <c r="AQ41" s="746" t="n">
        <v>45915</v>
      </c>
      <c r="AR41" s="746" t="n">
        <v>45922</v>
      </c>
      <c r="AS41" s="746" t="n">
        <v>45929</v>
      </c>
      <c r="AT41" s="746" t="n">
        <v>45936</v>
      </c>
      <c r="AU41" s="746" t="n">
        <v>45943</v>
      </c>
      <c r="AV41" s="746" t="n">
        <v>45950</v>
      </c>
      <c r="AW41" s="746" t="n">
        <v>45957</v>
      </c>
      <c r="AX41" s="746" t="n">
        <v>45964</v>
      </c>
      <c r="AY41" s="746" t="n">
        <v>45971</v>
      </c>
      <c r="AZ41" s="746" t="n">
        <v>45978</v>
      </c>
      <c r="BA41" s="746" t="n">
        <v>45985</v>
      </c>
      <c r="BB41" s="746" t="n">
        <v>45992</v>
      </c>
      <c r="BC41" s="746" t="n">
        <v>45999</v>
      </c>
      <c r="BD41" s="746" t="n">
        <v>46006</v>
      </c>
      <c r="BE41" s="746" t="n">
        <v>46013</v>
      </c>
      <c r="BF41" s="746" t="n">
        <v>46020</v>
      </c>
      <c r="BG41" s="746" t="n">
        <v>46027</v>
      </c>
      <c r="BH41" s="746" t="n">
        <v>46034</v>
      </c>
      <c r="BI41" s="746" t="n">
        <v>46041</v>
      </c>
      <c r="BJ41" s="746" t="n">
        <v>46048</v>
      </c>
      <c r="BK41" s="746" t="n">
        <v>46055</v>
      </c>
      <c r="BL41" s="746" t="n">
        <v>46062</v>
      </c>
      <c r="BM41" s="746" t="n">
        <v>46069</v>
      </c>
      <c r="BN41" s="746" t="n">
        <v>46076</v>
      </c>
      <c r="BO41" s="746" t="n">
        <v>46083</v>
      </c>
      <c r="BP41" s="746" t="n">
        <v>46090</v>
      </c>
      <c r="BQ41" s="746" t="n">
        <v>46097</v>
      </c>
      <c r="BR41" s="746" t="n">
        <v>46104</v>
      </c>
      <c r="BS41" s="746" t="n">
        <v>46111</v>
      </c>
      <c r="BT41" s="746" t="n">
        <v>46118</v>
      </c>
      <c r="BU41" s="746" t="n">
        <v>46125</v>
      </c>
      <c r="BV41" s="746" t="n">
        <v>46132</v>
      </c>
      <c r="BW41" s="746" t="n">
        <v>46139</v>
      </c>
      <c r="BX41" s="746" t="n">
        <v>46146</v>
      </c>
      <c r="BY41" s="748" t="inlineStr">
        <is>
          <t>USOU</t>
        </is>
      </c>
      <c r="CA41" s="44" t="inlineStr">
        <is>
          <t>Pendências</t>
        </is>
      </c>
      <c r="CB41" s="44" t="inlineStr">
        <is>
          <t>Pendências</t>
        </is>
      </c>
      <c r="CD41" s="12" t="inlineStr">
        <is>
          <t>Novo Pedido</t>
        </is>
      </c>
      <c r="CE41" s="573" t="n"/>
      <c r="CF41" s="794" t="n">
        <v>46149</v>
      </c>
      <c r="CG41" s="794" t="n">
        <v>46142</v>
      </c>
      <c r="CH41" s="794" t="n">
        <v>46114</v>
      </c>
      <c r="CI41" s="794" t="n">
        <v>46107</v>
      </c>
      <c r="CJ41" s="795" t="n">
        <v>46065</v>
      </c>
      <c r="CK41" s="794" t="n">
        <v>46099</v>
      </c>
      <c r="CL41" s="794" t="n">
        <v>46092</v>
      </c>
      <c r="CM41" s="796" t="n">
        <v>46045</v>
      </c>
      <c r="CN41" s="794" t="n">
        <v>46077</v>
      </c>
      <c r="CO41" s="794" t="n">
        <v>46048</v>
      </c>
      <c r="CP41" s="794" t="n">
        <v>46043</v>
      </c>
      <c r="CQ41" s="794" t="n">
        <v>46024</v>
      </c>
      <c r="CR41" s="794" t="n">
        <v>46017</v>
      </c>
      <c r="CS41" s="794" t="n">
        <v>46007</v>
      </c>
      <c r="CT41" s="794" t="n">
        <v>46001</v>
      </c>
      <c r="CU41" s="794" t="n">
        <v>46001</v>
      </c>
      <c r="CV41" s="794" t="n">
        <v>45994</v>
      </c>
      <c r="CW41" s="794" t="n">
        <v>45986</v>
      </c>
      <c r="CX41" s="794" t="n">
        <v>45980</v>
      </c>
      <c r="CY41" s="794" t="n">
        <v>45980</v>
      </c>
      <c r="CZ41" s="797" t="n">
        <v>45982</v>
      </c>
      <c r="DA41" s="794" t="n">
        <v>45973</v>
      </c>
      <c r="DB41" s="794" t="n">
        <v>45965</v>
      </c>
      <c r="DC41" s="794" t="n">
        <v>45960</v>
      </c>
      <c r="DD41" s="794" t="n">
        <v>45951</v>
      </c>
      <c r="DE41" s="737" t="n">
        <v>45903</v>
      </c>
      <c r="DF41" s="794" t="n">
        <v>45945</v>
      </c>
      <c r="DG41" s="794" t="n">
        <v>45937</v>
      </c>
      <c r="DH41" s="794" t="n">
        <v>45931</v>
      </c>
      <c r="DI41" s="794" t="n">
        <v>45931</v>
      </c>
      <c r="DJ41" s="794" t="n">
        <v>45915</v>
      </c>
      <c r="DK41" s="794" t="n">
        <v>45923</v>
      </c>
      <c r="DL41" s="794" t="n">
        <v>45903</v>
      </c>
      <c r="DM41" s="794" t="n">
        <v>45915</v>
      </c>
      <c r="DN41" s="797" t="n">
        <v>45918</v>
      </c>
      <c r="DO41" s="794" t="n">
        <v>45909</v>
      </c>
      <c r="DP41" s="738" t="n">
        <v>45903</v>
      </c>
      <c r="DQ41" s="794" t="n">
        <v>45895</v>
      </c>
      <c r="DR41" s="797" t="n">
        <v>45896</v>
      </c>
      <c r="DS41" s="794" t="n">
        <v>45881</v>
      </c>
      <c r="DT41" s="738" t="n">
        <v>45839</v>
      </c>
      <c r="DU41" s="794" t="n">
        <v>45888</v>
      </c>
      <c r="DV41" s="794" t="n">
        <v>45881</v>
      </c>
      <c r="DW41" s="797" t="n">
        <v>45881</v>
      </c>
      <c r="DX41" s="794" t="n">
        <v>45874</v>
      </c>
      <c r="DY41" s="797" t="n">
        <v>45876</v>
      </c>
      <c r="DZ41" s="794" t="n">
        <v>45867</v>
      </c>
      <c r="EA41" s="794" t="n">
        <v>45867</v>
      </c>
      <c r="EB41" s="794" t="n">
        <v>45860</v>
      </c>
      <c r="EC41" s="797" t="n">
        <v>45861</v>
      </c>
      <c r="ED41" s="797" t="n">
        <v>45860</v>
      </c>
      <c r="EE41" s="794" t="n">
        <v>45853</v>
      </c>
      <c r="EF41" s="739" t="n">
        <v>45855</v>
      </c>
      <c r="EG41" s="794" t="n">
        <v>45848</v>
      </c>
      <c r="EH41" s="794" t="n">
        <v>45839</v>
      </c>
      <c r="EI41" s="794" t="n">
        <v>45839</v>
      </c>
      <c r="EJ41" s="797" t="n">
        <v>45835</v>
      </c>
      <c r="EK41" s="794" t="n">
        <v>45790</v>
      </c>
      <c r="EL41" s="794" t="n">
        <v>45825</v>
      </c>
      <c r="EM41" s="794" t="n">
        <v>45819</v>
      </c>
      <c r="EN41" s="794" t="n">
        <v>45813</v>
      </c>
      <c r="EO41" s="794" t="n">
        <v>45797</v>
      </c>
      <c r="EP41" s="797" t="n">
        <v>45811</v>
      </c>
      <c r="EQ41" s="797" t="n">
        <v>45810</v>
      </c>
      <c r="ER41" s="797" t="n">
        <v>45806</v>
      </c>
      <c r="ES41" s="797" t="n">
        <v>45803</v>
      </c>
      <c r="ET41" s="755" t="n">
        <v>45803</v>
      </c>
      <c r="EU41" s="794" t="n">
        <v>45784</v>
      </c>
      <c r="EV41" s="797" t="n">
        <v>45796</v>
      </c>
      <c r="EW41" s="794" t="n">
        <v>45784</v>
      </c>
      <c r="EX41" s="794" t="n">
        <v>45764</v>
      </c>
      <c r="EY41" s="797" t="n">
        <v>45791</v>
      </c>
      <c r="EZ41" s="794" t="n">
        <v>45783</v>
      </c>
      <c r="FA41" s="794" t="n">
        <v>45770</v>
      </c>
      <c r="FB41" s="794" t="n">
        <v>45775</v>
      </c>
      <c r="FC41" s="794" t="n">
        <v>45770</v>
      </c>
      <c r="FD41" s="794" t="n">
        <v>45770</v>
      </c>
      <c r="FE41" s="797" t="n">
        <v>45775</v>
      </c>
      <c r="FF41" s="797" t="n">
        <v>45770</v>
      </c>
      <c r="FG41" s="794" t="n">
        <v>45756</v>
      </c>
      <c r="FH41" s="794" t="n">
        <v>45735</v>
      </c>
      <c r="FI41" s="797" t="n">
        <v>45751</v>
      </c>
      <c r="FJ41" s="794" t="n">
        <v>45743</v>
      </c>
      <c r="FK41" s="746" t="n">
        <v>45729</v>
      </c>
      <c r="FL41" s="794" t="n">
        <v>45722</v>
      </c>
      <c r="FM41" s="794" t="n">
        <v>45722</v>
      </c>
      <c r="FN41" s="746" t="n">
        <v>45700</v>
      </c>
      <c r="FO41" s="797" t="n">
        <v>45722</v>
      </c>
      <c r="FP41" s="794" t="n">
        <v>45714</v>
      </c>
      <c r="FQ41" s="794" t="n">
        <v>45706</v>
      </c>
      <c r="FR41" s="794" t="n">
        <v>45684</v>
      </c>
      <c r="FS41" s="794" t="n">
        <v>45699</v>
      </c>
      <c r="FT41" s="794" t="n">
        <v>45693</v>
      </c>
      <c r="FU41" s="797" t="n">
        <v>45687</v>
      </c>
      <c r="FV41" s="794" t="n">
        <v>45685</v>
      </c>
      <c r="FW41" s="797" t="n">
        <v>45684</v>
      </c>
      <c r="FX41" s="794" t="n">
        <v>45674</v>
      </c>
      <c r="FY41" s="794" t="n">
        <v>45664</v>
      </c>
      <c r="FZ41" s="794" t="n">
        <v>45660</v>
      </c>
      <c r="GA41" s="794" t="n">
        <v>45660</v>
      </c>
      <c r="GB41" s="794" t="n">
        <v>45652</v>
      </c>
      <c r="GC41" s="794" t="n">
        <v>45643</v>
      </c>
      <c r="GE41" s="41" t="n"/>
      <c r="GF41" s="41" t="n"/>
      <c r="GG41" s="41" t="n"/>
      <c r="GH41" s="41" t="n"/>
      <c r="GI41" s="41" t="n"/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</row>
    <row r="42">
      <c r="A42" s="37" t="inlineStr">
        <is>
          <t>KIT CAIXA P OUI</t>
        </is>
      </c>
      <c r="B42" s="32" t="n">
        <v>100</v>
      </c>
      <c r="C42" s="773" t="n">
        <v>539.7</v>
      </c>
      <c r="D42" s="382" t="n">
        <v>15</v>
      </c>
      <c r="E42" s="573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/>
      <c r="BU42" s="32" t="n"/>
      <c r="BV42" s="32" t="n"/>
      <c r="BW42" s="32" t="n"/>
      <c r="BX42" s="32" t="n"/>
      <c r="BY42" s="192">
        <f>BW42+IF(NOT(ISBLANK(OFFSET(BY42,0,6))),N(OFFSET(BY42,0,6)),N(OFFSET(BY42,0,7)))-BX42</f>
        <v/>
      </c>
      <c r="CA42" s="38" t="n"/>
      <c r="CB42" s="38" t="n"/>
      <c r="CD42" s="73" t="n"/>
      <c r="CE42" s="573" t="n"/>
      <c r="CF42" s="40" t="n">
        <v>0</v>
      </c>
      <c r="CG42" s="40" t="n">
        <v>0</v>
      </c>
      <c r="CH42" s="40" t="n"/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219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23" t="n"/>
      <c r="DQ42" s="40" t="n"/>
      <c r="DR42" s="40" t="n"/>
      <c r="DS42" s="40" t="n"/>
      <c r="DT42" s="23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282" t="inlineStr">
        <is>
          <t>49 P/ ERB</t>
        </is>
      </c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>
        <v>100</v>
      </c>
      <c r="FD42" s="40" t="n"/>
      <c r="FE42" s="40" t="n"/>
      <c r="FF42" s="40" t="n"/>
      <c r="FG42" s="40" t="n"/>
      <c r="FH42" s="40" t="n"/>
      <c r="FI42" s="40" t="n"/>
      <c r="FJ42" s="40" t="n"/>
      <c r="FK42" s="219" t="n"/>
      <c r="FL42" s="40" t="n"/>
      <c r="FM42" s="40" t="n"/>
      <c r="FN42" s="219" t="n"/>
      <c r="FO42" s="135" t="n"/>
      <c r="FP42" s="40" t="n"/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</row>
    <row r="43">
      <c r="A43" s="37" t="inlineStr">
        <is>
          <t>KIT CAIXA M OUI</t>
        </is>
      </c>
      <c r="B43" s="32" t="n">
        <v>100</v>
      </c>
      <c r="C43" s="773" t="n">
        <v>652.05</v>
      </c>
      <c r="D43" s="382" t="n">
        <v>20</v>
      </c>
      <c r="E43" s="573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0+FJ43-50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/>
      <c r="BU43" s="32" t="n"/>
      <c r="BV43" s="32" t="n"/>
      <c r="BW43" s="32" t="n"/>
      <c r="BX43" s="32" t="n"/>
      <c r="BY43" s="192">
        <f>BW43+IF(NOT(ISBLANK(OFFSET(BY43,0,6))),N(OFFSET(BY43,0,6)),N(OFFSET(BY43,0,7)))-BX43</f>
        <v/>
      </c>
      <c r="CA43" s="38" t="inlineStr">
        <is>
          <t>50 DE ERB</t>
        </is>
      </c>
      <c r="CB43" s="38" t="n"/>
      <c r="CD43" s="27" t="n"/>
      <c r="CE43" s="573" t="n"/>
      <c r="CF43" s="40" t="n">
        <v>0</v>
      </c>
      <c r="CG43" s="40" t="n">
        <v>0</v>
      </c>
      <c r="CH43" s="40" t="n"/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219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192" t="inlineStr">
        <is>
          <t>10 P/ ER</t>
        </is>
      </c>
      <c r="DO43" s="40" t="n"/>
      <c r="DP43" s="23" t="n"/>
      <c r="DQ43" s="40" t="n"/>
      <c r="DR43" s="40" t="n"/>
      <c r="DS43" s="40" t="n"/>
      <c r="DT43" s="23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282" t="inlineStr">
        <is>
          <t>10 P/ ER</t>
        </is>
      </c>
      <c r="EE43" s="40" t="n"/>
      <c r="EF43" s="40" t="n"/>
      <c r="EG43" s="40" t="n"/>
      <c r="EH43" s="40" t="n"/>
      <c r="EI43" s="40" t="n">
        <v>100</v>
      </c>
      <c r="EJ43" s="282" t="inlineStr">
        <is>
          <t>05 DE ERB</t>
        </is>
      </c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282" t="inlineStr">
        <is>
          <t>50 P/ ER</t>
        </is>
      </c>
      <c r="FJ43" s="40" t="n">
        <v>100</v>
      </c>
      <c r="FK43" s="219" t="n"/>
      <c r="FL43" s="40" t="n"/>
      <c r="FM43" s="40" t="n"/>
      <c r="FN43" s="219" t="n"/>
      <c r="FO43" s="282" t="inlineStr">
        <is>
          <t>10 P/ ER</t>
        </is>
      </c>
      <c r="FP43" s="40" t="n"/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</row>
    <row r="44">
      <c r="A44" s="37" t="inlineStr">
        <is>
          <t>KIT CAIXA G OUI</t>
        </is>
      </c>
      <c r="B44" s="32" t="n">
        <v>50</v>
      </c>
      <c r="C44" s="773" t="n">
        <v>567.53</v>
      </c>
      <c r="D44" s="382" t="n">
        <v>5</v>
      </c>
      <c r="E44" s="573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/>
      <c r="BU44" s="32" t="n"/>
      <c r="BV44" s="32" t="n"/>
      <c r="BW44" s="32" t="n"/>
      <c r="BX44" s="32" t="n"/>
      <c r="BY44" s="192">
        <f>BW44+IF(NOT(ISBLANK(OFFSET(BY44,0,6))),N(OFFSET(BY44,0,6)),N(OFFSET(BY44,0,7)))-BX44</f>
        <v/>
      </c>
      <c r="CA44" s="38" t="n"/>
      <c r="CB44" s="38" t="n"/>
      <c r="CD44" s="73" t="n"/>
      <c r="CE44" s="573" t="n"/>
      <c r="CF44" s="40" t="n">
        <v>0</v>
      </c>
      <c r="CG44" s="40" t="n">
        <v>0</v>
      </c>
      <c r="CH44" s="40" t="n"/>
      <c r="CI44" s="40" t="n"/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219" t="n"/>
      <c r="DA44" s="40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23" t="n"/>
      <c r="DQ44" s="40" t="n"/>
      <c r="DR44" s="40" t="n"/>
      <c r="DS44" s="40" t="n"/>
      <c r="DT44" s="23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282" t="inlineStr">
        <is>
          <t>30 P/ ERB</t>
        </is>
      </c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>
        <v>50</v>
      </c>
      <c r="FD44" s="40" t="n"/>
      <c r="FE44" s="40" t="n"/>
      <c r="FF44" s="40" t="n"/>
      <c r="FG44" s="40" t="n"/>
      <c r="FH44" s="40" t="n"/>
      <c r="FI44" s="40" t="n"/>
      <c r="FJ44" s="40" t="n"/>
      <c r="FK44" s="219" t="n"/>
      <c r="FL44" s="40" t="n"/>
      <c r="FM44" s="40" t="n"/>
      <c r="FN44" s="219" t="n"/>
      <c r="FO44" s="40" t="n"/>
      <c r="FP44" s="40" t="n"/>
      <c r="FQ44" s="40" t="n"/>
      <c r="FR44" s="40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</row>
    <row r="45" ht="18.75" customHeight="1">
      <c r="B45" s="573" t="n"/>
      <c r="C45" s="573" t="n"/>
      <c r="D45" s="573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573" t="n"/>
      <c r="BE45" s="573" t="n"/>
      <c r="BF45" s="573" t="n"/>
      <c r="BG45" s="573" t="n"/>
      <c r="BH45" s="573" t="n"/>
      <c r="BI45" s="573" t="n"/>
      <c r="BJ45" s="573" t="n"/>
      <c r="BK45" s="573" t="n"/>
      <c r="BL45" s="573" t="n"/>
      <c r="BM45" s="573" t="n"/>
      <c r="BN45" s="573" t="n"/>
      <c r="BO45" s="573" t="n"/>
      <c r="BP45" s="573" t="n"/>
      <c r="BQ45" s="573" t="n"/>
      <c r="BR45" s="573" t="n"/>
      <c r="BS45" s="573" t="n"/>
      <c r="BT45" s="573" t="n"/>
      <c r="BU45" s="573" t="n"/>
      <c r="BV45" s="573" t="n"/>
      <c r="BW45" s="573" t="n"/>
      <c r="BX45" s="573" t="n"/>
      <c r="CA45" s="5" t="n"/>
      <c r="CB45" s="5" t="n"/>
      <c r="CD45" s="5" t="n"/>
      <c r="CF45" s="5" t="n"/>
      <c r="CG45" s="5" t="n"/>
      <c r="CH45" s="5" t="n"/>
      <c r="CI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306" t="n"/>
      <c r="DA45" s="5" t="n"/>
      <c r="DB45" s="5" t="n"/>
      <c r="DC45" s="5" t="n"/>
      <c r="DD45" s="5" t="n"/>
      <c r="DE45" s="5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47" t="n"/>
      <c r="DQ45" s="5" t="n"/>
      <c r="DR45" s="5" t="n"/>
      <c r="DS45" s="5" t="n"/>
      <c r="DT45" s="47" t="n"/>
      <c r="DU45" s="5" t="n"/>
      <c r="DV45" s="5" t="n"/>
      <c r="DW45" s="5" t="n"/>
      <c r="DX45" s="5" t="n"/>
      <c r="DY45" s="5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308" t="n"/>
      <c r="FL45" s="5" t="n"/>
      <c r="FM45" s="5" t="n"/>
      <c r="FN45" s="308" t="n"/>
      <c r="FP45" s="5" t="n"/>
      <c r="FQ45" s="5" t="n"/>
      <c r="FR45" s="5" t="n"/>
      <c r="FS45" s="20" t="n"/>
      <c r="FT45" s="20" t="n"/>
      <c r="FU45" s="20" t="n"/>
      <c r="FV45" s="20" t="n"/>
      <c r="FW45" s="20" t="n"/>
      <c r="FX45" s="20" t="n"/>
      <c r="FY45" s="20" t="n"/>
      <c r="FZ45" s="20" t="n"/>
      <c r="GA45" s="20" t="n"/>
      <c r="GB45" s="20" t="n"/>
      <c r="GC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6" t="n">
        <v>45656</v>
      </c>
      <c r="G46" s="746" t="n">
        <v>45663</v>
      </c>
      <c r="H46" s="746" t="n">
        <v>45670</v>
      </c>
      <c r="I46" s="746" t="n">
        <v>45677</v>
      </c>
      <c r="J46" s="746" t="n">
        <v>45684</v>
      </c>
      <c r="K46" s="746" t="n">
        <v>45691</v>
      </c>
      <c r="L46" s="746" t="n">
        <v>45698</v>
      </c>
      <c r="M46" s="746" t="n">
        <v>45705</v>
      </c>
      <c r="N46" s="746" t="n">
        <v>45712</v>
      </c>
      <c r="O46" s="746" t="n">
        <v>45719</v>
      </c>
      <c r="P46" s="746" t="n">
        <v>45726</v>
      </c>
      <c r="Q46" s="746" t="n">
        <v>45733</v>
      </c>
      <c r="R46" s="746" t="n">
        <v>45740</v>
      </c>
      <c r="S46" s="746" t="n">
        <v>45747</v>
      </c>
      <c r="T46" s="746" t="n">
        <v>45754</v>
      </c>
      <c r="U46" s="746" t="n">
        <v>45761</v>
      </c>
      <c r="V46" s="746" t="n">
        <v>45768</v>
      </c>
      <c r="W46" s="746" t="n">
        <v>45775</v>
      </c>
      <c r="X46" s="746" t="n">
        <v>45782</v>
      </c>
      <c r="Y46" s="746" t="n">
        <v>45789</v>
      </c>
      <c r="Z46" s="746" t="n">
        <v>45796</v>
      </c>
      <c r="AA46" s="746" t="n">
        <v>45803</v>
      </c>
      <c r="AB46" s="746" t="n">
        <v>45810</v>
      </c>
      <c r="AC46" s="746" t="n">
        <v>45817</v>
      </c>
      <c r="AD46" s="746" t="n">
        <v>45824</v>
      </c>
      <c r="AE46" s="746" t="n">
        <v>45831</v>
      </c>
      <c r="AF46" s="746" t="n">
        <v>45838</v>
      </c>
      <c r="AG46" s="746" t="n">
        <v>45845</v>
      </c>
      <c r="AH46" s="746" t="n">
        <v>45852</v>
      </c>
      <c r="AI46" s="746" t="n">
        <v>45859</v>
      </c>
      <c r="AJ46" s="746" t="n">
        <v>45866</v>
      </c>
      <c r="AK46" s="746" t="n">
        <v>45873</v>
      </c>
      <c r="AL46" s="746" t="n">
        <v>45880</v>
      </c>
      <c r="AM46" s="746" t="n">
        <v>45887</v>
      </c>
      <c r="AN46" s="746" t="n">
        <v>45894</v>
      </c>
      <c r="AO46" s="746" t="n">
        <v>45901</v>
      </c>
      <c r="AP46" s="746" t="n">
        <v>45908</v>
      </c>
      <c r="AQ46" s="746" t="n">
        <v>45915</v>
      </c>
      <c r="AR46" s="746" t="n">
        <v>45922</v>
      </c>
      <c r="AS46" s="746" t="n">
        <v>45929</v>
      </c>
      <c r="AT46" s="746" t="n">
        <v>45936</v>
      </c>
      <c r="AU46" s="746" t="n">
        <v>45943</v>
      </c>
      <c r="AV46" s="746" t="n">
        <v>45950</v>
      </c>
      <c r="AW46" s="746" t="n">
        <v>45957</v>
      </c>
      <c r="AX46" s="746" t="n">
        <v>45964</v>
      </c>
      <c r="AY46" s="746" t="n">
        <v>45971</v>
      </c>
      <c r="AZ46" s="746" t="n">
        <v>45978</v>
      </c>
      <c r="BA46" s="746" t="n">
        <v>45985</v>
      </c>
      <c r="BB46" s="746" t="n">
        <v>45992</v>
      </c>
      <c r="BC46" s="746" t="n">
        <v>45999</v>
      </c>
      <c r="BD46" s="746" t="n">
        <v>46006</v>
      </c>
      <c r="BE46" s="746" t="n">
        <v>46013</v>
      </c>
      <c r="BF46" s="746" t="n">
        <v>46020</v>
      </c>
      <c r="BG46" s="746" t="n">
        <v>46027</v>
      </c>
      <c r="BH46" s="746" t="n">
        <v>46034</v>
      </c>
      <c r="BI46" s="746" t="n">
        <v>46041</v>
      </c>
      <c r="BJ46" s="746" t="n">
        <v>46048</v>
      </c>
      <c r="BK46" s="746" t="n">
        <v>46055</v>
      </c>
      <c r="BL46" s="746" t="n">
        <v>46062</v>
      </c>
      <c r="BM46" s="746" t="n">
        <v>46069</v>
      </c>
      <c r="BN46" s="746" t="n">
        <v>46076</v>
      </c>
      <c r="BO46" s="746" t="n">
        <v>46083</v>
      </c>
      <c r="BP46" s="746" t="n">
        <v>46090</v>
      </c>
      <c r="BQ46" s="746" t="n">
        <v>46097</v>
      </c>
      <c r="BR46" s="746" t="n">
        <v>46104</v>
      </c>
      <c r="BS46" s="746" t="n">
        <v>46111</v>
      </c>
      <c r="BT46" s="746" t="n">
        <v>46118</v>
      </c>
      <c r="BU46" s="746" t="n">
        <v>46125</v>
      </c>
      <c r="BV46" s="746" t="n">
        <v>46132</v>
      </c>
      <c r="BW46" s="746" t="n">
        <v>46139</v>
      </c>
      <c r="BX46" s="746" t="n">
        <v>46146</v>
      </c>
      <c r="BY46" s="748" t="inlineStr">
        <is>
          <t>USOU</t>
        </is>
      </c>
      <c r="CA46" s="44" t="inlineStr">
        <is>
          <t>Pendências</t>
        </is>
      </c>
      <c r="CB46" s="44" t="inlineStr">
        <is>
          <t>Pendências</t>
        </is>
      </c>
      <c r="CD46" s="12" t="inlineStr">
        <is>
          <t>Novo Pedido</t>
        </is>
      </c>
      <c r="CF46" s="794" t="n">
        <v>46149</v>
      </c>
      <c r="CG46" s="794" t="n">
        <v>46142</v>
      </c>
      <c r="CH46" s="794" t="n">
        <v>46114</v>
      </c>
      <c r="CI46" s="794" t="n">
        <v>46107</v>
      </c>
      <c r="CJ46" s="795" t="n">
        <v>46065</v>
      </c>
      <c r="CK46" s="794" t="n">
        <v>46099</v>
      </c>
      <c r="CL46" s="794" t="n">
        <v>46092</v>
      </c>
      <c r="CM46" s="796" t="n">
        <v>46045</v>
      </c>
      <c r="CN46" s="794" t="n">
        <v>46077</v>
      </c>
      <c r="CO46" s="794" t="n">
        <v>46048</v>
      </c>
      <c r="CP46" s="794" t="n">
        <v>46043</v>
      </c>
      <c r="CQ46" s="794" t="n">
        <v>46024</v>
      </c>
      <c r="CR46" s="794" t="n">
        <v>46017</v>
      </c>
      <c r="CS46" s="794" t="n">
        <v>46007</v>
      </c>
      <c r="CT46" s="794" t="n">
        <v>46001</v>
      </c>
      <c r="CU46" s="794" t="n">
        <v>46001</v>
      </c>
      <c r="CV46" s="794" t="n">
        <v>45994</v>
      </c>
      <c r="CW46" s="794" t="n">
        <v>45986</v>
      </c>
      <c r="CX46" s="794" t="n">
        <v>45980</v>
      </c>
      <c r="CY46" s="794" t="n">
        <v>45980</v>
      </c>
      <c r="CZ46" s="797" t="n">
        <v>45982</v>
      </c>
      <c r="DA46" s="794" t="n">
        <v>45973</v>
      </c>
      <c r="DB46" s="794" t="n">
        <v>45965</v>
      </c>
      <c r="DC46" s="794" t="n">
        <v>45960</v>
      </c>
      <c r="DD46" s="794" t="n">
        <v>45951</v>
      </c>
      <c r="DE46" s="737" t="n">
        <v>45903</v>
      </c>
      <c r="DF46" s="794" t="n">
        <v>45945</v>
      </c>
      <c r="DG46" s="794" t="n">
        <v>45937</v>
      </c>
      <c r="DH46" s="794" t="n">
        <v>45931</v>
      </c>
      <c r="DI46" s="794" t="n">
        <v>45931</v>
      </c>
      <c r="DJ46" s="794" t="n">
        <v>45915</v>
      </c>
      <c r="DK46" s="794" t="n">
        <v>45923</v>
      </c>
      <c r="DL46" s="794" t="n">
        <v>45903</v>
      </c>
      <c r="DM46" s="794" t="n">
        <v>45915</v>
      </c>
      <c r="DN46" s="797" t="n">
        <v>45918</v>
      </c>
      <c r="DO46" s="794" t="n">
        <v>45909</v>
      </c>
      <c r="DP46" s="738" t="n">
        <v>45903</v>
      </c>
      <c r="DQ46" s="794" t="n">
        <v>45895</v>
      </c>
      <c r="DR46" s="797" t="n">
        <v>45896</v>
      </c>
      <c r="DS46" s="794" t="n">
        <v>45881</v>
      </c>
      <c r="DT46" s="738" t="n">
        <v>45839</v>
      </c>
      <c r="DU46" s="794" t="n">
        <v>45888</v>
      </c>
      <c r="DV46" s="794" t="n">
        <v>45881</v>
      </c>
      <c r="DW46" s="797" t="n">
        <v>45881</v>
      </c>
      <c r="DX46" s="794" t="n">
        <v>45874</v>
      </c>
      <c r="DY46" s="797" t="n">
        <v>45876</v>
      </c>
      <c r="DZ46" s="794" t="n">
        <v>45867</v>
      </c>
      <c r="EA46" s="794" t="n">
        <v>45867</v>
      </c>
      <c r="EB46" s="794" t="n">
        <v>45860</v>
      </c>
      <c r="EC46" s="797" t="n">
        <v>45861</v>
      </c>
      <c r="ED46" s="797" t="n">
        <v>45860</v>
      </c>
      <c r="EE46" s="794" t="n">
        <v>45853</v>
      </c>
      <c r="EF46" s="739" t="n">
        <v>45855</v>
      </c>
      <c r="EG46" s="794" t="n">
        <v>45848</v>
      </c>
      <c r="EH46" s="794" t="n">
        <v>45839</v>
      </c>
      <c r="EI46" s="794" t="n">
        <v>45839</v>
      </c>
      <c r="EJ46" s="797" t="n">
        <v>45835</v>
      </c>
      <c r="EK46" s="794" t="n">
        <v>45790</v>
      </c>
      <c r="EL46" s="794" t="n">
        <v>45825</v>
      </c>
      <c r="EM46" s="794" t="n">
        <v>45819</v>
      </c>
      <c r="EN46" s="794" t="n">
        <v>45813</v>
      </c>
      <c r="EO46" s="794" t="n">
        <v>45797</v>
      </c>
      <c r="EP46" s="797" t="n">
        <v>45811</v>
      </c>
      <c r="EQ46" s="797" t="n">
        <v>45810</v>
      </c>
      <c r="ER46" s="797" t="n">
        <v>45806</v>
      </c>
      <c r="ES46" s="797" t="n">
        <v>45803</v>
      </c>
      <c r="ET46" s="755" t="n">
        <v>45803</v>
      </c>
      <c r="EU46" s="794" t="n">
        <v>45784</v>
      </c>
      <c r="EV46" s="797" t="n">
        <v>45796</v>
      </c>
      <c r="EW46" s="794" t="n">
        <v>45784</v>
      </c>
      <c r="EX46" s="794" t="n">
        <v>45764</v>
      </c>
      <c r="EY46" s="797" t="n">
        <v>45791</v>
      </c>
      <c r="EZ46" s="794" t="n">
        <v>45783</v>
      </c>
      <c r="FA46" s="794" t="n">
        <v>45770</v>
      </c>
      <c r="FB46" s="794" t="n">
        <v>45775</v>
      </c>
      <c r="FC46" s="794" t="n">
        <v>45770</v>
      </c>
      <c r="FD46" s="794" t="n">
        <v>45770</v>
      </c>
      <c r="FE46" s="797" t="n">
        <v>45775</v>
      </c>
      <c r="FF46" s="797" t="n">
        <v>45770</v>
      </c>
      <c r="FG46" s="794" t="n">
        <v>45756</v>
      </c>
      <c r="FH46" s="794" t="n">
        <v>45735</v>
      </c>
      <c r="FI46" s="797" t="n">
        <v>45751</v>
      </c>
      <c r="FJ46" s="794" t="n">
        <v>45743</v>
      </c>
      <c r="FK46" s="746" t="n">
        <v>45729</v>
      </c>
      <c r="FL46" s="794" t="n">
        <v>45722</v>
      </c>
      <c r="FM46" s="794" t="n">
        <v>45722</v>
      </c>
      <c r="FN46" s="746" t="n">
        <v>45700</v>
      </c>
      <c r="FO46" s="797" t="n">
        <v>45722</v>
      </c>
      <c r="FP46" s="794" t="n">
        <v>45714</v>
      </c>
      <c r="FQ46" s="794" t="n">
        <v>45706</v>
      </c>
      <c r="FR46" s="794" t="n">
        <v>45684</v>
      </c>
      <c r="FS46" s="794" t="n">
        <v>45699</v>
      </c>
      <c r="FT46" s="794" t="n">
        <v>45693</v>
      </c>
      <c r="FU46" s="797" t="n">
        <v>45687</v>
      </c>
      <c r="FV46" s="794" t="n">
        <v>45685</v>
      </c>
      <c r="FW46" s="797" t="n">
        <v>45684</v>
      </c>
      <c r="FX46" s="794" t="n">
        <v>45674</v>
      </c>
      <c r="FY46" s="794" t="n">
        <v>45664</v>
      </c>
      <c r="FZ46" s="794" t="n">
        <v>45660</v>
      </c>
      <c r="GA46" s="794" t="n">
        <v>45660</v>
      </c>
      <c r="GB46" s="794" t="n">
        <v>45652</v>
      </c>
      <c r="GC46" s="794" t="n">
        <v>45643</v>
      </c>
    </row>
    <row r="47">
      <c r="A47" s="37" t="inlineStr">
        <is>
          <t>SACOLA P - QDB</t>
        </is>
      </c>
      <c r="B47" s="699" t="n">
        <v>300</v>
      </c>
      <c r="C47" s="762" t="n">
        <v>169.8</v>
      </c>
      <c r="D47" s="382" t="n">
        <v>0</v>
      </c>
      <c r="F47" s="153">
        <f>300+GB47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98">
        <f>BW47+IF(NOT(ISBLANK(OFFSET(BY47,0,6))),N(OFFSET(BY47,0,6)),N(OFFSET(BY47,0,7)))-BX47</f>
        <v/>
      </c>
      <c r="CA47" s="161" t="n"/>
      <c r="CB47" s="161" t="n"/>
      <c r="CD47" s="27" t="n"/>
      <c r="CF47" s="135" t="n">
        <v>0</v>
      </c>
      <c r="CG47" s="135" t="n">
        <v>0</v>
      </c>
      <c r="CH47" s="135" t="n"/>
      <c r="CI47" s="135" t="n"/>
      <c r="CJ47" s="135" t="n"/>
      <c r="CK47" s="135" t="n"/>
      <c r="CL47" s="135" t="n"/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374" t="n"/>
      <c r="DA47" s="135" t="n"/>
      <c r="DB47" s="135" t="n"/>
      <c r="DC47" s="135" t="n"/>
      <c r="DD47" s="135" t="n"/>
      <c r="DE47" s="135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23" t="n"/>
      <c r="DQ47" s="135" t="n"/>
      <c r="DR47" s="135" t="n"/>
      <c r="DS47" s="135" t="n"/>
      <c r="DT47" s="23" t="n"/>
      <c r="DU47" s="135" t="n"/>
      <c r="DV47" s="135" t="n"/>
      <c r="DW47" s="135" t="n"/>
      <c r="DX47" s="135" t="n"/>
      <c r="DY47" s="135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219" t="n"/>
      <c r="FL47" s="135" t="n"/>
      <c r="FM47" s="135" t="n"/>
      <c r="FN47" s="219" t="n"/>
      <c r="FO47" s="135" t="n"/>
      <c r="FP47" s="135" t="n"/>
      <c r="FQ47" s="135" t="n"/>
      <c r="FR47" s="135" t="n"/>
      <c r="FS47" s="135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>
        <v>600</v>
      </c>
      <c r="GC47" s="135" t="n"/>
    </row>
    <row r="48">
      <c r="A48" s="37" t="inlineStr">
        <is>
          <t>SACOLA M - QDB</t>
        </is>
      </c>
      <c r="B48" s="699" t="n">
        <v>200</v>
      </c>
      <c r="C48" s="762" t="n">
        <v>175.22</v>
      </c>
      <c r="D48" s="382" t="n">
        <v>0</v>
      </c>
      <c r="F48" s="153">
        <f>0+GB48</f>
        <v/>
      </c>
      <c r="G48" s="153" t="n">
        <v>200</v>
      </c>
      <c r="H48" s="153" t="n">
        <v>600</v>
      </c>
      <c r="I48" s="153">
        <f>600+FX48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98">
        <f>BW48+IF(NOT(ISBLANK(OFFSET(BY48,0,6))),N(OFFSET(BY48,0,6)),N(OFFSET(BY48,0,7)))-BX48</f>
        <v/>
      </c>
      <c r="CA48" s="161" t="n"/>
      <c r="CB48" s="161" t="n"/>
      <c r="CD48" s="27" t="n"/>
      <c r="CF48" s="135" t="n">
        <v>0</v>
      </c>
      <c r="CG48" s="135" t="n">
        <v>0</v>
      </c>
      <c r="CH48" s="135" t="n"/>
      <c r="CI48" s="135" t="n"/>
      <c r="CJ48" s="135" t="n"/>
      <c r="CK48" s="135" t="n"/>
      <c r="CL48" s="135" t="n"/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374" t="n"/>
      <c r="DA48" s="135" t="n"/>
      <c r="DB48" s="135" t="n"/>
      <c r="DC48" s="135" t="n"/>
      <c r="DD48" s="135" t="n"/>
      <c r="DE48" s="135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23" t="n"/>
      <c r="DQ48" s="135" t="n"/>
      <c r="DR48" s="135" t="n"/>
      <c r="DS48" s="135" t="n"/>
      <c r="DT48" s="23" t="n"/>
      <c r="DU48" s="135" t="n"/>
      <c r="DV48" s="135" t="n"/>
      <c r="DW48" s="135" t="n"/>
      <c r="DX48" s="135" t="n"/>
      <c r="DY48" s="135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219" t="n"/>
      <c r="FL48" s="135" t="n"/>
      <c r="FM48" s="135" t="n"/>
      <c r="FN48" s="219" t="n"/>
      <c r="FO48" s="135" t="n"/>
      <c r="FP48" s="135" t="n"/>
      <c r="FQ48" s="135" t="n"/>
      <c r="FR48" s="135" t="n"/>
      <c r="FS48" s="135" t="n"/>
      <c r="FT48" s="135" t="n"/>
      <c r="FU48" s="135" t="n"/>
      <c r="FV48" s="135" t="n"/>
      <c r="FW48" s="135" t="n"/>
      <c r="FX48" s="135" t="n">
        <v>400</v>
      </c>
      <c r="FY48" s="135" t="n"/>
      <c r="FZ48" s="135" t="n">
        <v>600</v>
      </c>
      <c r="GA48" s="135" t="n"/>
      <c r="GB48" s="135" t="n">
        <v>200</v>
      </c>
      <c r="GC48" s="135" t="n">
        <v>400</v>
      </c>
    </row>
    <row r="49">
      <c r="A49" s="37" t="inlineStr">
        <is>
          <t>SACOLA G - QDB</t>
        </is>
      </c>
      <c r="B49" s="699" t="n">
        <v>200</v>
      </c>
      <c r="C49" s="762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98">
        <f>BW49+IF(NOT(ISBLANK(OFFSET(BY49,0,6))),N(OFFSET(BY49,0,6)),N(OFFSET(BY49,0,7)))-BX49</f>
        <v/>
      </c>
      <c r="CA49" s="161" t="n"/>
      <c r="CB49" s="161" t="n"/>
      <c r="CD49" s="27" t="n"/>
      <c r="CF49" s="135" t="n">
        <v>0</v>
      </c>
      <c r="CG49" s="135" t="n">
        <v>0</v>
      </c>
      <c r="CH49" s="135" t="n"/>
      <c r="CI49" s="135" t="n"/>
      <c r="CJ49" s="135" t="n"/>
      <c r="CK49" s="135" t="n"/>
      <c r="CL49" s="135" t="n"/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374" t="n"/>
      <c r="DA49" s="135" t="n"/>
      <c r="DB49" s="135" t="n"/>
      <c r="DC49" s="135" t="n"/>
      <c r="DD49" s="135" t="n"/>
      <c r="DE49" s="135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23" t="n"/>
      <c r="DQ49" s="135" t="n"/>
      <c r="DR49" s="135" t="n"/>
      <c r="DS49" s="135" t="n"/>
      <c r="DT49" s="23" t="n"/>
      <c r="DU49" s="135" t="n"/>
      <c r="DV49" s="135" t="n"/>
      <c r="DW49" s="135" t="n"/>
      <c r="DX49" s="135" t="n"/>
      <c r="DY49" s="135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219" t="n"/>
      <c r="FL49" s="135" t="n"/>
      <c r="FM49" s="135" t="n"/>
      <c r="FN49" s="219" t="n"/>
      <c r="FO49" s="135" t="n"/>
      <c r="FP49" s="135" t="n"/>
      <c r="FQ49" s="135" t="n"/>
      <c r="FR49" s="135" t="n"/>
      <c r="FS49" s="135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</row>
    <row r="50">
      <c r="A50" s="37" t="inlineStr">
        <is>
          <t>CAIXA P QDB</t>
        </is>
      </c>
      <c r="B50" s="699" t="n">
        <v>150</v>
      </c>
      <c r="C50" s="762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/>
      <c r="BU50" s="153" t="n"/>
      <c r="BV50" s="153" t="n"/>
      <c r="BW50" s="153" t="n"/>
      <c r="BX50" s="153" t="n"/>
      <c r="BY50" s="198">
        <f>BW50+IF(NOT(ISBLANK(OFFSET(BY50,0,6))),N(OFFSET(BY50,0,6)),N(OFFSET(BY50,0,7)))-BX50</f>
        <v/>
      </c>
      <c r="CA50" s="38" t="n"/>
      <c r="CB50" s="38" t="n"/>
      <c r="CD50" s="27" t="n"/>
      <c r="CF50" s="135" t="n">
        <v>0</v>
      </c>
      <c r="CG50" s="135" t="n">
        <v>0</v>
      </c>
      <c r="CH50" s="135" t="n"/>
      <c r="CI50" s="135" t="n"/>
      <c r="CJ50" s="135" t="n"/>
      <c r="CK50" s="135" t="n"/>
      <c r="CL50" s="135" t="n"/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374" t="n"/>
      <c r="DA50" s="135" t="n"/>
      <c r="DB50" s="135" t="n"/>
      <c r="DC50" s="135" t="n"/>
      <c r="DD50" s="135" t="n"/>
      <c r="DE50" s="135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290" t="n"/>
      <c r="DQ50" s="135" t="n"/>
      <c r="DR50" s="135" t="n"/>
      <c r="DS50" s="135" t="n"/>
      <c r="DT50" s="290" t="n"/>
      <c r="DU50" s="135" t="n"/>
      <c r="DV50" s="135" t="n"/>
      <c r="DW50" s="135" t="n"/>
      <c r="DX50" s="135" t="n"/>
      <c r="DY50" s="135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406" t="inlineStr">
        <is>
          <t>57 P/ ERB</t>
        </is>
      </c>
      <c r="EK50" s="135" t="n"/>
      <c r="EL50" s="135" t="n"/>
      <c r="EM50" s="135" t="n"/>
      <c r="EN50" s="135" t="n"/>
      <c r="EO50" s="135" t="n"/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290" t="n"/>
      <c r="FL50" s="135" t="n"/>
      <c r="FM50" s="135" t="n"/>
      <c r="FN50" s="290" t="n"/>
      <c r="FO50" s="135" t="n"/>
      <c r="FP50" s="135" t="n"/>
      <c r="FQ50" s="135" t="n"/>
      <c r="FR50" s="135" t="n"/>
      <c r="FS50" s="135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>
        <v>150</v>
      </c>
      <c r="GC50" s="135" t="n"/>
    </row>
    <row r="51">
      <c r="A51" s="37" t="inlineStr">
        <is>
          <t>CAIXA M QDB</t>
        </is>
      </c>
      <c r="B51" s="699" t="n">
        <v>100</v>
      </c>
      <c r="C51" s="762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/>
      <c r="BU51" s="32" t="n"/>
      <c r="BV51" s="32" t="n"/>
      <c r="BW51" s="32" t="n"/>
      <c r="BX51" s="32" t="n"/>
      <c r="BY51" s="198">
        <f>BW51+IF(NOT(ISBLANK(OFFSET(BY51,0,6))),N(OFFSET(BY51,0,6)),N(OFFSET(BY51,0,7)))-BX51</f>
        <v/>
      </c>
      <c r="CA51" s="38" t="n"/>
      <c r="CB51" s="38" t="n"/>
      <c r="CD51" s="27" t="n"/>
      <c r="CF51" s="135" t="n">
        <v>0</v>
      </c>
      <c r="CG51" s="135" t="n">
        <v>0</v>
      </c>
      <c r="CH51" s="135" t="n"/>
      <c r="CI51" s="135" t="n"/>
      <c r="CJ51" s="135" t="n"/>
      <c r="CK51" s="135" t="n"/>
      <c r="CL51" s="135" t="n"/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374" t="n"/>
      <c r="DA51" s="135" t="n"/>
      <c r="DB51" s="135" t="n"/>
      <c r="DC51" s="135" t="n"/>
      <c r="DD51" s="135" t="n"/>
      <c r="DE51" s="135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290" t="n"/>
      <c r="DQ51" s="135" t="n"/>
      <c r="DR51" s="135" t="n"/>
      <c r="DS51" s="135" t="n"/>
      <c r="DT51" s="290" t="n"/>
      <c r="DU51" s="135" t="n"/>
      <c r="DV51" s="135" t="n"/>
      <c r="DW51" s="135" t="n"/>
      <c r="DX51" s="135" t="n"/>
      <c r="DY51" s="135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290" t="n"/>
      <c r="FL51" s="135" t="n"/>
      <c r="FM51" s="135" t="n"/>
      <c r="FN51" s="290" t="n"/>
      <c r="FO51" s="135" t="n"/>
      <c r="FP51" s="135" t="n"/>
      <c r="FQ51" s="135" t="n"/>
      <c r="FR51" s="135" t="n"/>
      <c r="FS51" s="135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</row>
    <row r="52">
      <c r="A52" s="37" t="inlineStr">
        <is>
          <t>CAIXA G QDB</t>
        </is>
      </c>
      <c r="B52" s="699" t="n">
        <v>100</v>
      </c>
      <c r="C52" s="762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/>
      <c r="BU52" s="32" t="n"/>
      <c r="BV52" s="32" t="n"/>
      <c r="BW52" s="32" t="n"/>
      <c r="BX52" s="32" t="n"/>
      <c r="BY52" s="198">
        <f>BW52+IF(NOT(ISBLANK(OFFSET(BY52,0,6))),N(OFFSET(BY52,0,6)),N(OFFSET(BY52,0,7)))-BX52</f>
        <v/>
      </c>
      <c r="CA52" s="38" t="n"/>
      <c r="CB52" s="38" t="n"/>
      <c r="CD52" s="27" t="n"/>
      <c r="CF52" s="135" t="n">
        <v>0</v>
      </c>
      <c r="CG52" s="135" t="n">
        <v>0</v>
      </c>
      <c r="CH52" s="135" t="n"/>
      <c r="CI52" s="135" t="n"/>
      <c r="CJ52" s="135" t="n"/>
      <c r="CK52" s="135" t="n"/>
      <c r="CL52" s="135" t="n"/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374" t="n"/>
      <c r="DA52" s="135" t="n"/>
      <c r="DB52" s="135" t="n"/>
      <c r="DC52" s="135" t="n"/>
      <c r="DD52" s="135" t="n"/>
      <c r="DE52" s="135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290" t="n"/>
      <c r="DQ52" s="135" t="n"/>
      <c r="DR52" s="135" t="n"/>
      <c r="DS52" s="135" t="n"/>
      <c r="DT52" s="290" t="n"/>
      <c r="DU52" s="135" t="n"/>
      <c r="DV52" s="135" t="n"/>
      <c r="DW52" s="135" t="n"/>
      <c r="DX52" s="135" t="n"/>
      <c r="DY52" s="135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290" t="n"/>
      <c r="FL52" s="135" t="n"/>
      <c r="FM52" s="135" t="n"/>
      <c r="FN52" s="290" t="n"/>
      <c r="FO52" s="135" t="n"/>
      <c r="FP52" s="135" t="n"/>
      <c r="FQ52" s="135" t="n"/>
      <c r="FR52" s="135" t="n"/>
      <c r="FS52" s="135" t="n"/>
      <c r="FT52" s="135" t="n"/>
      <c r="FU52" s="135" t="n"/>
      <c r="FV52" s="135" t="n"/>
      <c r="FW52" s="135" t="n"/>
      <c r="FX52" s="135" t="n"/>
      <c r="FY52" s="135" t="n"/>
      <c r="FZ52" s="135" t="n">
        <v>100</v>
      </c>
      <c r="GA52" s="135" t="n"/>
      <c r="GB52" s="135" t="n"/>
      <c r="GC52" s="135" t="n"/>
    </row>
    <row r="53">
      <c r="A53" s="35" t="n"/>
      <c r="B53" s="2" t="n"/>
      <c r="C53" s="759" t="n"/>
      <c r="D53" s="759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CA53" s="340" t="n"/>
      <c r="CB53" s="340" t="n"/>
      <c r="CD53" s="18" t="n"/>
      <c r="CF53" s="341" t="n"/>
      <c r="CG53" s="341" t="n"/>
      <c r="CH53" s="341" t="n"/>
      <c r="CI53" s="341" t="n"/>
      <c r="CJ53" s="341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453" t="n"/>
      <c r="DA53" s="341" t="n"/>
      <c r="DB53" s="341" t="n"/>
      <c r="DC53" s="341" t="n"/>
      <c r="DD53" s="341" t="n"/>
      <c r="DE53" s="341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19" t="n"/>
      <c r="DQ53" s="341" t="n"/>
      <c r="DR53" s="341" t="n"/>
      <c r="DS53" s="341" t="n"/>
      <c r="DT53" s="19" t="n"/>
      <c r="DU53" s="341" t="n"/>
      <c r="DV53" s="341" t="n"/>
      <c r="DW53" s="341" t="n"/>
      <c r="DX53" s="341" t="n"/>
      <c r="DY53" s="341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19" t="n"/>
      <c r="FL53" s="341" t="n"/>
      <c r="FM53" s="341" t="n"/>
      <c r="FN53" s="19" t="n"/>
      <c r="FO53" s="341" t="n"/>
      <c r="FP53" s="341" t="n"/>
      <c r="FQ53" s="341" t="n"/>
      <c r="FR53" s="341" t="n"/>
      <c r="FS53" s="341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45908</v>
      </c>
      <c r="AQ54" s="746" t="n">
        <v>45915</v>
      </c>
      <c r="AR54" s="746" t="n">
        <v>45922</v>
      </c>
      <c r="AS54" s="746" t="n">
        <v>45929</v>
      </c>
      <c r="AT54" s="746" t="n">
        <v>45936</v>
      </c>
      <c r="AU54" s="746" t="n">
        <v>45943</v>
      </c>
      <c r="AV54" s="746" t="n">
        <v>45950</v>
      </c>
      <c r="AW54" s="746" t="n">
        <v>45957</v>
      </c>
      <c r="AX54" s="746" t="n">
        <v>45964</v>
      </c>
      <c r="AY54" s="746" t="n">
        <v>45971</v>
      </c>
      <c r="AZ54" s="746" t="n">
        <v>45978</v>
      </c>
      <c r="BA54" s="746" t="n">
        <v>45985</v>
      </c>
      <c r="BB54" s="746" t="n">
        <v>45992</v>
      </c>
      <c r="BC54" s="746" t="n">
        <v>45999</v>
      </c>
      <c r="BD54" s="746" t="n">
        <v>46006</v>
      </c>
      <c r="BE54" s="746" t="n">
        <v>46013</v>
      </c>
      <c r="BF54" s="746" t="n">
        <v>46020</v>
      </c>
      <c r="BG54" s="746" t="n">
        <v>46027</v>
      </c>
      <c r="BH54" s="746" t="n">
        <v>46034</v>
      </c>
      <c r="BI54" s="746" t="n">
        <v>46041</v>
      </c>
      <c r="BJ54" s="746" t="n">
        <v>46048</v>
      </c>
      <c r="BK54" s="746" t="n">
        <v>46055</v>
      </c>
      <c r="BL54" s="746" t="n">
        <v>46062</v>
      </c>
      <c r="BM54" s="746" t="n">
        <v>46069</v>
      </c>
      <c r="BN54" s="746" t="n">
        <v>46076</v>
      </c>
      <c r="BO54" s="746" t="n">
        <v>46083</v>
      </c>
      <c r="BP54" s="746" t="n">
        <v>46090</v>
      </c>
      <c r="BQ54" s="746" t="n">
        <v>46097</v>
      </c>
      <c r="BR54" s="746" t="n">
        <v>46104</v>
      </c>
      <c r="BS54" s="746" t="n">
        <v>46111</v>
      </c>
      <c r="BT54" s="746" t="n">
        <v>46118</v>
      </c>
      <c r="BU54" s="746" t="n">
        <v>46125</v>
      </c>
      <c r="BV54" s="746" t="n">
        <v>46132</v>
      </c>
      <c r="BW54" s="746" t="n">
        <v>46139</v>
      </c>
      <c r="BX54" s="746" t="n">
        <v>46146</v>
      </c>
      <c r="BY54" s="758" t="inlineStr">
        <is>
          <t>USOU</t>
        </is>
      </c>
      <c r="CA54" s="44" t="inlineStr">
        <is>
          <t>Pendências</t>
        </is>
      </c>
      <c r="CB54" s="44" t="inlineStr">
        <is>
          <t>Pendências</t>
        </is>
      </c>
      <c r="CD54" s="12" t="inlineStr">
        <is>
          <t>Novo Pedido</t>
        </is>
      </c>
      <c r="CF54" s="794" t="n">
        <v>46149</v>
      </c>
      <c r="CG54" s="794" t="n">
        <v>46142</v>
      </c>
      <c r="CH54" s="794" t="n">
        <v>46114</v>
      </c>
      <c r="CI54" s="794" t="n">
        <v>46107</v>
      </c>
      <c r="CJ54" s="795" t="n">
        <v>46065</v>
      </c>
      <c r="CK54" s="794" t="n">
        <v>46099</v>
      </c>
      <c r="CL54" s="794" t="n">
        <v>46092</v>
      </c>
      <c r="CM54" s="796" t="n">
        <v>46045</v>
      </c>
      <c r="CN54" s="794" t="n">
        <v>46077</v>
      </c>
      <c r="CO54" s="794" t="n">
        <v>46048</v>
      </c>
      <c r="CP54" s="794" t="n">
        <v>46043</v>
      </c>
      <c r="CQ54" s="794" t="n">
        <v>46024</v>
      </c>
      <c r="CR54" s="794" t="n">
        <v>46017</v>
      </c>
      <c r="CS54" s="794" t="n">
        <v>46007</v>
      </c>
      <c r="CT54" s="794" t="n">
        <v>46001</v>
      </c>
      <c r="CU54" s="794" t="n">
        <v>46001</v>
      </c>
      <c r="CV54" s="794" t="n">
        <v>45994</v>
      </c>
      <c r="CW54" s="794" t="n">
        <v>45986</v>
      </c>
      <c r="CX54" s="794" t="n">
        <v>45980</v>
      </c>
      <c r="CY54" s="794" t="n">
        <v>45980</v>
      </c>
      <c r="CZ54" s="797" t="n">
        <v>45982</v>
      </c>
      <c r="DA54" s="794" t="n">
        <v>45973</v>
      </c>
      <c r="DB54" s="794" t="n">
        <v>45965</v>
      </c>
      <c r="DC54" s="794" t="n">
        <v>45960</v>
      </c>
      <c r="DD54" s="794" t="n">
        <v>45951</v>
      </c>
      <c r="DE54" s="737" t="n">
        <v>45903</v>
      </c>
      <c r="DF54" s="794" t="n">
        <v>45945</v>
      </c>
      <c r="DG54" s="794" t="n">
        <v>45937</v>
      </c>
      <c r="DH54" s="794" t="n">
        <v>45931</v>
      </c>
      <c r="DI54" s="794" t="n">
        <v>45931</v>
      </c>
      <c r="DJ54" s="794" t="n">
        <v>45915</v>
      </c>
      <c r="DK54" s="794" t="n">
        <v>45923</v>
      </c>
      <c r="DL54" s="794" t="n">
        <v>45903</v>
      </c>
      <c r="DM54" s="794" t="n">
        <v>45915</v>
      </c>
      <c r="DN54" s="797" t="n">
        <v>45918</v>
      </c>
      <c r="DO54" s="794" t="n">
        <v>45909</v>
      </c>
      <c r="DP54" s="738" t="n">
        <v>45903</v>
      </c>
      <c r="DQ54" s="794" t="n">
        <v>45895</v>
      </c>
      <c r="DR54" s="797" t="n">
        <v>45896</v>
      </c>
      <c r="DS54" s="794" t="n">
        <v>45881</v>
      </c>
      <c r="DT54" s="738" t="n">
        <v>45839</v>
      </c>
      <c r="DU54" s="794" t="n">
        <v>45888</v>
      </c>
      <c r="DV54" s="794" t="n">
        <v>45881</v>
      </c>
      <c r="DW54" s="797" t="n">
        <v>45881</v>
      </c>
      <c r="DX54" s="794" t="n">
        <v>45874</v>
      </c>
      <c r="DY54" s="797" t="n">
        <v>45876</v>
      </c>
      <c r="DZ54" s="794" t="n">
        <v>45867</v>
      </c>
      <c r="EA54" s="794" t="n">
        <v>45867</v>
      </c>
      <c r="EB54" s="794" t="n">
        <v>45860</v>
      </c>
      <c r="EC54" s="797" t="n">
        <v>45861</v>
      </c>
      <c r="ED54" s="797" t="n">
        <v>45860</v>
      </c>
      <c r="EE54" s="794" t="n">
        <v>45853</v>
      </c>
      <c r="EF54" s="739" t="n">
        <v>45855</v>
      </c>
      <c r="EG54" s="794" t="n">
        <v>45848</v>
      </c>
      <c r="EH54" s="794" t="n">
        <v>45839</v>
      </c>
      <c r="EI54" s="794" t="n">
        <v>45839</v>
      </c>
      <c r="EJ54" s="797" t="n">
        <v>45835</v>
      </c>
      <c r="EK54" s="794" t="n">
        <v>45790</v>
      </c>
      <c r="EL54" s="794" t="n">
        <v>45825</v>
      </c>
      <c r="EM54" s="794" t="n">
        <v>45819</v>
      </c>
      <c r="EN54" s="794" t="n">
        <v>45813</v>
      </c>
      <c r="EO54" s="794" t="n">
        <v>45797</v>
      </c>
      <c r="EP54" s="797" t="n">
        <v>45811</v>
      </c>
      <c r="EQ54" s="797" t="n">
        <v>45810</v>
      </c>
      <c r="ER54" s="797" t="n">
        <v>45806</v>
      </c>
      <c r="ES54" s="797" t="n">
        <v>45803</v>
      </c>
      <c r="ET54" s="755" t="n">
        <v>45803</v>
      </c>
      <c r="EU54" s="794" t="n">
        <v>45784</v>
      </c>
      <c r="EV54" s="797" t="n">
        <v>45796</v>
      </c>
      <c r="EW54" s="794" t="n">
        <v>45784</v>
      </c>
      <c r="EX54" s="794" t="n">
        <v>45764</v>
      </c>
      <c r="EY54" s="797" t="n">
        <v>45791</v>
      </c>
      <c r="EZ54" s="794" t="n">
        <v>45783</v>
      </c>
      <c r="FA54" s="794" t="n">
        <v>45770</v>
      </c>
      <c r="FB54" s="794" t="n">
        <v>45775</v>
      </c>
      <c r="FC54" s="794" t="n">
        <v>45770</v>
      </c>
      <c r="FD54" s="794" t="n">
        <v>45770</v>
      </c>
      <c r="FE54" s="797" t="n">
        <v>45775</v>
      </c>
      <c r="FF54" s="797" t="n">
        <v>45770</v>
      </c>
      <c r="FG54" s="794" t="n">
        <v>45756</v>
      </c>
      <c r="FH54" s="794" t="n">
        <v>45735</v>
      </c>
      <c r="FI54" s="797" t="n">
        <v>45751</v>
      </c>
      <c r="FJ54" s="794" t="n">
        <v>45743</v>
      </c>
      <c r="FK54" s="746" t="n">
        <v>45729</v>
      </c>
      <c r="FL54" s="794" t="n">
        <v>45722</v>
      </c>
      <c r="FM54" s="794" t="n">
        <v>45722</v>
      </c>
      <c r="FN54" s="746" t="n">
        <v>45700</v>
      </c>
      <c r="FO54" s="797" t="n">
        <v>45722</v>
      </c>
      <c r="FP54" s="794" t="n">
        <v>45714</v>
      </c>
      <c r="FQ54" s="794" t="n">
        <v>45706</v>
      </c>
      <c r="FR54" s="794" t="n">
        <v>45684</v>
      </c>
      <c r="FS54" s="794" t="n">
        <v>45699</v>
      </c>
      <c r="FT54" s="794" t="n">
        <v>45693</v>
      </c>
      <c r="FU54" s="797" t="n">
        <v>45687</v>
      </c>
      <c r="FV54" s="794" t="n">
        <v>45685</v>
      </c>
      <c r="FW54" s="797" t="n">
        <v>45684</v>
      </c>
      <c r="FX54" s="794" t="n">
        <v>45674</v>
      </c>
      <c r="FY54" s="794" t="n">
        <v>45664</v>
      </c>
      <c r="FZ54" s="794" t="n">
        <v>45660</v>
      </c>
      <c r="GA54" s="794" t="n">
        <v>45660</v>
      </c>
      <c r="GB54" s="794" t="n">
        <v>45652</v>
      </c>
      <c r="GC54" s="794" t="n">
        <v>45643</v>
      </c>
    </row>
    <row r="55">
      <c r="A55" s="37" t="inlineStr">
        <is>
          <t>SACOLA P EUDORA</t>
        </is>
      </c>
      <c r="B55" s="699" t="n">
        <v>200</v>
      </c>
      <c r="C55" s="762" t="n">
        <v>174.51</v>
      </c>
      <c r="D55" s="382" t="inlineStr">
        <is>
          <t>?</t>
        </is>
      </c>
      <c r="F55" s="697" t="n"/>
      <c r="G55" s="697" t="n"/>
      <c r="H55" s="697" t="n"/>
      <c r="I55" s="697" t="n"/>
      <c r="J55" s="697" t="n"/>
      <c r="K55" s="697" t="n"/>
      <c r="L55" s="697" t="n"/>
      <c r="M55" s="697" t="n"/>
      <c r="N55" s="697" t="n"/>
      <c r="O55" s="697" t="n"/>
      <c r="P55" s="697" t="n"/>
      <c r="Q55" s="697" t="n"/>
      <c r="R55" s="697" t="n"/>
      <c r="S55" s="697" t="n"/>
      <c r="T55" s="697" t="n"/>
      <c r="U55" s="697" t="n"/>
      <c r="V55" s="697" t="n"/>
      <c r="W55" s="697" t="n"/>
      <c r="X55" s="697" t="n">
        <v>0</v>
      </c>
      <c r="Y55" s="697" t="n">
        <v>0</v>
      </c>
      <c r="Z55" s="697" t="n">
        <v>800</v>
      </c>
      <c r="AA55" s="697" t="n">
        <v>800</v>
      </c>
      <c r="AB55" s="697" t="n">
        <v>800</v>
      </c>
      <c r="AC55" s="697" t="n">
        <v>0</v>
      </c>
      <c r="AD55" s="697" t="n">
        <v>1000</v>
      </c>
      <c r="AE55" s="237">
        <f>800+EK55</f>
        <v/>
      </c>
      <c r="AF55" s="237" t="n">
        <v>0</v>
      </c>
      <c r="AG55" s="237">
        <f>0+EI55</f>
        <v/>
      </c>
      <c r="AH55" s="237" t="n">
        <v>800</v>
      </c>
      <c r="AI55" s="237">
        <f>200+EE55</f>
        <v/>
      </c>
      <c r="AJ55" s="237" t="n">
        <v>800</v>
      </c>
      <c r="AK55" s="237" t="n">
        <v>200</v>
      </c>
      <c r="AL55" s="237">
        <f>600+DX55</f>
        <v/>
      </c>
      <c r="AM55" s="237" t="n">
        <v>600</v>
      </c>
      <c r="AN55" s="237">
        <f>600+DU55</f>
        <v/>
      </c>
      <c r="AO55" s="237">
        <f>1600+DL55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800+DI55</f>
        <v/>
      </c>
      <c r="AU55" s="237" t="n">
        <v>1200</v>
      </c>
      <c r="AV55" s="237">
        <f>1200+DF55</f>
        <v/>
      </c>
      <c r="AW55" s="237" t="n">
        <v>2200</v>
      </c>
      <c r="AX55" s="237" t="n">
        <v>1200</v>
      </c>
      <c r="AY55" s="237" t="n">
        <v>1800</v>
      </c>
      <c r="AZ55" s="237">
        <f>900+DA55</f>
        <v/>
      </c>
      <c r="BA55" s="237" t="n">
        <v>0</v>
      </c>
      <c r="BB55" s="237">
        <f>0+CX55+CW55</f>
        <v/>
      </c>
      <c r="BC55" s="237" t="n">
        <v>3800</v>
      </c>
      <c r="BD55" s="237" t="n">
        <v>3600</v>
      </c>
      <c r="BE55" s="237">
        <f>3600+CT55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198">
        <f>BW55+IF(NOT(ISBLANK(OFFSET(BY55,0,6))),N(OFFSET(BY55,0,6)),N(OFFSET(BY55,0,7)))-BX55</f>
        <v/>
      </c>
      <c r="CA55" s="161" t="n"/>
      <c r="CB55" s="161" t="n"/>
      <c r="CD55" s="27" t="n"/>
      <c r="CF55" s="135" t="n">
        <v>0</v>
      </c>
      <c r="CG55" s="135" t="n">
        <v>0</v>
      </c>
      <c r="CH55" s="135" t="n">
        <v>1000</v>
      </c>
      <c r="CI55" s="135" t="n"/>
      <c r="CJ55" s="135" t="n"/>
      <c r="CK55" s="135" t="n"/>
      <c r="CL55" s="135" t="n"/>
      <c r="CM55" s="135" t="n"/>
      <c r="CN55" s="135" t="n">
        <v>2000</v>
      </c>
      <c r="CO55" s="135" t="n"/>
      <c r="CP55" s="135" t="n"/>
      <c r="CQ55" s="135" t="n"/>
      <c r="CR55" s="135" t="n"/>
      <c r="CS55" s="135" t="n"/>
      <c r="CT55" s="135" t="n">
        <v>800</v>
      </c>
      <c r="CU55" s="135" t="n"/>
      <c r="CV55" s="135" t="n"/>
      <c r="CW55" s="135" t="n">
        <v>2000</v>
      </c>
      <c r="CX55" s="135" t="n">
        <v>1000</v>
      </c>
      <c r="CY55" s="135" t="n"/>
      <c r="CZ55" s="374" t="n"/>
      <c r="DA55" s="135" t="n">
        <v>1000</v>
      </c>
      <c r="DB55" s="135" t="n">
        <v>1400</v>
      </c>
      <c r="DC55" s="135" t="n"/>
      <c r="DD55" s="135" t="n"/>
      <c r="DE55" s="135" t="n"/>
      <c r="DF55" s="135" t="n">
        <v>2000</v>
      </c>
      <c r="DG55" s="135" t="n"/>
      <c r="DH55" s="135" t="n"/>
      <c r="DI55" s="135" t="n">
        <v>1600</v>
      </c>
      <c r="DJ55" s="135" t="n"/>
      <c r="DK55" s="135" t="n"/>
      <c r="DL55" s="135" t="n">
        <v>2000</v>
      </c>
      <c r="DM55" s="135" t="n"/>
      <c r="DN55" s="135" t="n"/>
      <c r="DO55" s="135" t="n"/>
      <c r="DP55" s="23" t="n"/>
      <c r="DQ55" s="135" t="n"/>
      <c r="DR55" s="135" t="n"/>
      <c r="DS55" s="135" t="n">
        <v>400</v>
      </c>
      <c r="DT55" s="23" t="n"/>
      <c r="DU55" s="135" t="n">
        <v>1000</v>
      </c>
      <c r="DV55" s="135" t="n"/>
      <c r="DW55" s="135" t="n"/>
      <c r="DX55" s="135" t="n">
        <v>600</v>
      </c>
      <c r="DY55" s="135" t="n"/>
      <c r="DZ55" s="135" t="n">
        <v>800</v>
      </c>
      <c r="EA55" s="135" t="n"/>
      <c r="EB55" s="135" t="n">
        <v>800</v>
      </c>
      <c r="EC55" s="135" t="n"/>
      <c r="ED55" s="135" t="n"/>
      <c r="EE55" s="135" t="n">
        <v>600</v>
      </c>
      <c r="EF55" s="135" t="n"/>
      <c r="EG55" s="135" t="n"/>
      <c r="EH55" s="135" t="n"/>
      <c r="EI55" s="135" t="n">
        <v>1400</v>
      </c>
      <c r="EJ55" s="135" t="n"/>
      <c r="EK55" s="135" t="n">
        <v>200</v>
      </c>
      <c r="EL55" s="135" t="n"/>
      <c r="EM55" s="135" t="n">
        <v>1000</v>
      </c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>
        <v>800</v>
      </c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219" t="n"/>
      <c r="FL55" s="135" t="n"/>
      <c r="FM55" s="135" t="n"/>
      <c r="FN55" s="219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</row>
    <row r="56">
      <c r="A56" s="37" t="inlineStr">
        <is>
          <t>SACOLA M EUDORA</t>
        </is>
      </c>
      <c r="B56" s="699" t="n">
        <v>200</v>
      </c>
      <c r="C56" s="762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697" t="n"/>
      <c r="N56" s="697" t="n"/>
      <c r="O56" s="697" t="n"/>
      <c r="P56" s="697" t="n"/>
      <c r="Q56" s="697" t="n"/>
      <c r="R56" s="697" t="n"/>
      <c r="S56" s="697" t="n"/>
      <c r="T56" s="697" t="n"/>
      <c r="U56" s="697" t="n"/>
      <c r="V56" s="697" t="n"/>
      <c r="W56" s="697" t="n"/>
      <c r="X56" s="697" t="n">
        <v>0</v>
      </c>
      <c r="Y56" s="697" t="n">
        <v>0</v>
      </c>
      <c r="Z56" s="697" t="n">
        <v>600</v>
      </c>
      <c r="AA56" s="697" t="n">
        <v>600</v>
      </c>
      <c r="AB56" s="697" t="n">
        <v>600</v>
      </c>
      <c r="AC56" s="697" t="n">
        <v>0</v>
      </c>
      <c r="AD56" s="697" t="n">
        <v>600</v>
      </c>
      <c r="AE56" s="697" t="n">
        <v>400</v>
      </c>
      <c r="AF56" s="697" t="n">
        <v>0</v>
      </c>
      <c r="AG56" s="237">
        <f>0+EI56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200+DF56</f>
        <v/>
      </c>
      <c r="AW56" s="237" t="n">
        <v>600</v>
      </c>
      <c r="AX56" s="237" t="n">
        <v>200</v>
      </c>
      <c r="AY56" s="237">
        <f>600+DB56</f>
        <v/>
      </c>
      <c r="AZ56" s="237">
        <f>1000+DA56</f>
        <v/>
      </c>
      <c r="BA56" s="237" t="n">
        <v>0</v>
      </c>
      <c r="BB56" s="237">
        <f>600+CW56</f>
        <v/>
      </c>
      <c r="BC56" s="237" t="n">
        <v>2000</v>
      </c>
      <c r="BD56" s="237" t="n">
        <v>1800</v>
      </c>
      <c r="BE56" s="237">
        <f>1800+CT56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2200+CK56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198">
        <f>BW56+IF(NOT(ISBLANK(OFFSET(BY56,0,6))),N(OFFSET(BY56,0,6)),N(OFFSET(BY56,0,7)))-BX56</f>
        <v/>
      </c>
      <c r="CA56" s="161" t="n"/>
      <c r="CB56" s="161" t="n"/>
      <c r="CD56" s="27" t="n"/>
      <c r="CF56" s="135" t="n">
        <v>0</v>
      </c>
      <c r="CG56" s="135" t="n">
        <v>0</v>
      </c>
      <c r="CH56" s="135" t="n"/>
      <c r="CI56" s="135" t="n"/>
      <c r="CJ56" s="135" t="n"/>
      <c r="CK56" s="135" t="n">
        <v>2000</v>
      </c>
      <c r="CL56" s="135" t="n"/>
      <c r="CM56" s="135" t="n"/>
      <c r="CN56" s="135" t="n"/>
      <c r="CO56" s="135" t="n"/>
      <c r="CP56" s="135" t="n"/>
      <c r="CQ56" s="135" t="n"/>
      <c r="CR56" s="135" t="n"/>
      <c r="CS56" s="135" t="n"/>
      <c r="CT56" s="135" t="n">
        <v>1600</v>
      </c>
      <c r="CU56" s="135" t="n"/>
      <c r="CV56" s="135" t="n"/>
      <c r="CW56" s="135" t="n">
        <v>1600</v>
      </c>
      <c r="CX56" s="135" t="n"/>
      <c r="CY56" s="135" t="n"/>
      <c r="CZ56" s="374" t="n"/>
      <c r="DA56" s="135" t="n">
        <v>400</v>
      </c>
      <c r="DB56" s="135" t="n">
        <v>400</v>
      </c>
      <c r="DC56" s="135" t="n"/>
      <c r="DD56" s="135" t="n"/>
      <c r="DE56" s="135" t="n"/>
      <c r="DF56" s="135" t="n">
        <v>400</v>
      </c>
      <c r="DG56" s="135" t="n"/>
      <c r="DH56" s="135" t="n"/>
      <c r="DI56" s="135" t="n"/>
      <c r="DJ56" s="135" t="n"/>
      <c r="DK56" s="135" t="n"/>
      <c r="DL56" s="135" t="n"/>
      <c r="DM56" s="135" t="n"/>
      <c r="DN56" s="135" t="n"/>
      <c r="DO56" s="135" t="n"/>
      <c r="DP56" s="23" t="n"/>
      <c r="DQ56" s="135" t="n"/>
      <c r="DR56" s="135" t="n"/>
      <c r="DS56" s="135" t="n"/>
      <c r="DT56" s="23" t="n"/>
      <c r="DU56" s="135" t="n">
        <v>800</v>
      </c>
      <c r="DV56" s="135" t="n">
        <v>600</v>
      </c>
      <c r="DW56" s="135" t="n"/>
      <c r="DX56" s="135" t="n"/>
      <c r="DY56" s="135" t="n"/>
      <c r="DZ56" s="135" t="n">
        <v>200</v>
      </c>
      <c r="EA56" s="135" t="n"/>
      <c r="EB56" s="135" t="n">
        <v>200</v>
      </c>
      <c r="EC56" s="135" t="n"/>
      <c r="ED56" s="135" t="n"/>
      <c r="EE56" s="135" t="n"/>
      <c r="EF56" s="135" t="n"/>
      <c r="EG56" s="135" t="n"/>
      <c r="EH56" s="135" t="n"/>
      <c r="EI56" s="135" t="n">
        <v>600</v>
      </c>
      <c r="EJ56" s="135" t="n"/>
      <c r="EK56" s="135" t="n"/>
      <c r="EL56" s="135" t="n"/>
      <c r="EM56" s="135" t="n">
        <v>600</v>
      </c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>
        <v>600</v>
      </c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219" t="n"/>
      <c r="FL56" s="135" t="n"/>
      <c r="FM56" s="135" t="n"/>
      <c r="FN56" s="219" t="n"/>
      <c r="FO56" s="135" t="n"/>
      <c r="FP56" s="135" t="n"/>
      <c r="FQ56" s="135" t="n"/>
      <c r="FR56" s="135" t="n"/>
      <c r="FS56" s="135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</row>
    <row r="57">
      <c r="A57" s="37" t="inlineStr">
        <is>
          <t>SACOLA G EUDORA</t>
        </is>
      </c>
      <c r="B57" s="699" t="n">
        <v>100</v>
      </c>
      <c r="C57" s="762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697" t="n"/>
      <c r="N57" s="697" t="n"/>
      <c r="O57" s="697" t="n"/>
      <c r="P57" s="697" t="n"/>
      <c r="Q57" s="697" t="n"/>
      <c r="R57" s="697" t="n"/>
      <c r="S57" s="697" t="n"/>
      <c r="T57" s="697" t="n"/>
      <c r="U57" s="697" t="n"/>
      <c r="V57" s="697" t="n"/>
      <c r="W57" s="697" t="n"/>
      <c r="X57" s="697" t="n">
        <v>0</v>
      </c>
      <c r="Y57" s="697" t="n">
        <v>0</v>
      </c>
      <c r="Z57" s="697" t="n">
        <v>100</v>
      </c>
      <c r="AA57" s="697" t="n">
        <v>100</v>
      </c>
      <c r="AB57" s="697" t="n">
        <v>100</v>
      </c>
      <c r="AC57" s="697" t="n">
        <v>0</v>
      </c>
      <c r="AD57" s="697" t="n">
        <v>100</v>
      </c>
      <c r="AE57" s="697" t="n">
        <v>100</v>
      </c>
      <c r="AF57" s="697" t="n">
        <v>0</v>
      </c>
      <c r="AG57" s="237">
        <f>0+EI57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100+DI57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0+CY57</f>
        <v/>
      </c>
      <c r="BB57" s="237">
        <f>1600+CW57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198">
        <f>BW57+IF(NOT(ISBLANK(OFFSET(BY57,0,6))),N(OFFSET(BY57,0,6)),N(OFFSET(BY57,0,7)))-BX57</f>
        <v/>
      </c>
      <c r="CA57" s="161" t="n"/>
      <c r="CB57" s="161" t="n"/>
      <c r="CD57" s="27" t="n"/>
      <c r="CF57" s="135" t="n">
        <v>0</v>
      </c>
      <c r="CG57" s="135" t="n">
        <v>0</v>
      </c>
      <c r="CH57" s="135" t="n"/>
      <c r="CI57" s="135" t="n"/>
      <c r="CJ57" s="135" t="n"/>
      <c r="CK57" s="135" t="n"/>
      <c r="CL57" s="135" t="n"/>
      <c r="CM57" s="135" t="n"/>
      <c r="CN57" s="135" t="n">
        <v>800</v>
      </c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>
        <v>600</v>
      </c>
      <c r="CX57" s="135" t="n"/>
      <c r="CY57" s="135" t="n">
        <v>600</v>
      </c>
      <c r="CZ57" s="374" t="n"/>
      <c r="DA57" s="135" t="n"/>
      <c r="DB57" s="135" t="n">
        <v>100</v>
      </c>
      <c r="DC57" s="135" t="n"/>
      <c r="DD57" s="135" t="n"/>
      <c r="DE57" s="135" t="n"/>
      <c r="DF57" s="135" t="n"/>
      <c r="DG57" s="135" t="n"/>
      <c r="DH57" s="135" t="n"/>
      <c r="DI57" s="135" t="n">
        <v>500</v>
      </c>
      <c r="DJ57" s="135" t="n"/>
      <c r="DK57" s="135" t="n"/>
      <c r="DL57" s="135" t="n"/>
      <c r="DM57" s="135" t="n">
        <v>200</v>
      </c>
      <c r="DN57" s="135" t="n"/>
      <c r="DO57" s="135" t="n"/>
      <c r="DP57" s="23" t="n"/>
      <c r="DQ57" s="135" t="n"/>
      <c r="DR57" s="135" t="n"/>
      <c r="DS57" s="135" t="n"/>
      <c r="DT57" s="23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>
        <v>200</v>
      </c>
      <c r="EJ57" s="135" t="n"/>
      <c r="EK57" s="135" t="n"/>
      <c r="EL57" s="135" t="n"/>
      <c r="EM57" s="135" t="n">
        <v>100</v>
      </c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>
        <v>100</v>
      </c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219" t="n"/>
      <c r="FL57" s="135" t="n"/>
      <c r="FM57" s="135" t="n"/>
      <c r="FN57" s="219" t="n"/>
      <c r="FO57" s="135" t="n"/>
      <c r="FP57" s="135" t="n"/>
      <c r="FQ57" s="135" t="n"/>
      <c r="FR57" s="135" t="n"/>
      <c r="FS57" s="135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</row>
    <row r="58">
      <c r="A58" s="626" t="inlineStr">
        <is>
          <t>KIT SACOLA P EUDORA (C/ 10)</t>
        </is>
      </c>
      <c r="B58" s="345" t="n">
        <v>200</v>
      </c>
      <c r="C58" s="834" t="n">
        <v>175.36</v>
      </c>
      <c r="D58" s="382" t="n">
        <v>15</v>
      </c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697" t="n"/>
      <c r="S58" s="697" t="n"/>
      <c r="T58" s="697" t="n"/>
      <c r="U58" s="697" t="n"/>
      <c r="V58" s="697" t="n"/>
      <c r="W58" s="697" t="n"/>
      <c r="X58" s="697" t="n">
        <v>0</v>
      </c>
      <c r="Y58" s="697" t="n">
        <v>0</v>
      </c>
      <c r="Z58" s="697" t="n">
        <v>40</v>
      </c>
      <c r="AA58" s="697" t="n">
        <v>40</v>
      </c>
      <c r="AB58" s="697" t="n">
        <v>40</v>
      </c>
      <c r="AC58" s="697" t="n">
        <v>37</v>
      </c>
      <c r="AD58" s="697" t="n">
        <v>37</v>
      </c>
      <c r="AE58" s="697">
        <f>31-9</f>
        <v/>
      </c>
      <c r="AF58" s="697" t="n">
        <v>21</v>
      </c>
      <c r="AG58" s="697" t="n">
        <v>17</v>
      </c>
      <c r="AH58" s="697" t="n">
        <v>15</v>
      </c>
      <c r="AI58" s="697" t="n">
        <v>6</v>
      </c>
      <c r="AJ58" s="697" t="n">
        <v>3</v>
      </c>
      <c r="AK58" s="697" t="n">
        <v>3</v>
      </c>
      <c r="AL58" s="697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7+CW58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/>
      <c r="BU58" s="237" t="n"/>
      <c r="BV58" s="237" t="n"/>
      <c r="BW58" s="237" t="n"/>
      <c r="BX58" s="237" t="n"/>
      <c r="BY58" s="198">
        <f>BW58+IF(NOT(ISBLANK(OFFSET(BY58,0,6))),N(OFFSET(BY58,0,6)),N(OFFSET(BY58,0,7)))-BX58</f>
        <v/>
      </c>
      <c r="CA58" s="38" t="n"/>
      <c r="CB58" s="38" t="n"/>
      <c r="CD58" s="27" t="n"/>
      <c r="CF58" s="135" t="n">
        <v>0</v>
      </c>
      <c r="CG58" s="135" t="n">
        <v>0</v>
      </c>
      <c r="CH58" s="135" t="n"/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>
        <v>40</v>
      </c>
      <c r="CX58" s="135" t="n"/>
      <c r="CY58" s="135" t="n"/>
      <c r="CZ58" s="374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23" t="n"/>
      <c r="DQ58" s="135" t="n"/>
      <c r="DR58" s="135" t="n"/>
      <c r="DS58" s="135" t="n"/>
      <c r="DT58" s="23" t="n"/>
      <c r="DU58" s="135" t="n"/>
      <c r="DV58" s="135" t="n">
        <v>20</v>
      </c>
      <c r="DW58" s="135" t="n"/>
      <c r="DX58" s="135" t="n"/>
      <c r="DY58" s="135" t="n"/>
      <c r="DZ58" s="135" t="n">
        <v>20</v>
      </c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406" t="inlineStr">
        <is>
          <t>09 P/ ERB</t>
        </is>
      </c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>
        <v>40</v>
      </c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290" t="n"/>
      <c r="FL58" s="135" t="n"/>
      <c r="FM58" s="135" t="n"/>
      <c r="FN58" s="290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</row>
    <row r="59">
      <c r="A59" s="626" t="inlineStr">
        <is>
          <t>KIT SACOLA M EUDORA (C/ 10)</t>
        </is>
      </c>
      <c r="B59" s="345" t="n">
        <v>150</v>
      </c>
      <c r="C59" s="834" t="n">
        <v>172.76</v>
      </c>
      <c r="D59" s="382" t="n">
        <v>15</v>
      </c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697" t="n"/>
      <c r="S59" s="697" t="n"/>
      <c r="T59" s="697" t="n"/>
      <c r="U59" s="697" t="n"/>
      <c r="V59" s="697" t="n"/>
      <c r="W59" s="697" t="n"/>
      <c r="X59" s="697" t="n">
        <v>0</v>
      </c>
      <c r="Y59" s="697" t="n">
        <v>0</v>
      </c>
      <c r="Z59" s="697" t="n">
        <v>15</v>
      </c>
      <c r="AA59" s="697" t="n">
        <v>15</v>
      </c>
      <c r="AB59" s="697" t="n">
        <v>15</v>
      </c>
      <c r="AC59" s="697" t="n">
        <v>11</v>
      </c>
      <c r="AD59" s="697" t="n">
        <v>1</v>
      </c>
      <c r="AE59" s="237">
        <f>1+EK59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0+DX59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/>
      <c r="BU59" s="237" t="n"/>
      <c r="BV59" s="237" t="n"/>
      <c r="BW59" s="237" t="n"/>
      <c r="BX59" s="237" t="n"/>
      <c r="BY59" s="198">
        <f>BW59+IF(NOT(ISBLANK(OFFSET(BY59,0,6))),N(OFFSET(BY59,0,6)),N(OFFSET(BY59,0,7)))-BX59</f>
        <v/>
      </c>
      <c r="CA59" s="38" t="n"/>
      <c r="CB59" s="38" t="n"/>
      <c r="CD59" s="27" t="n"/>
      <c r="CF59" s="135" t="n">
        <v>0</v>
      </c>
      <c r="CG59" s="135" t="n">
        <v>0</v>
      </c>
      <c r="CH59" s="135" t="n"/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98" t="inlineStr">
        <is>
          <t>10 DE ERB</t>
        </is>
      </c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23" t="n"/>
      <c r="DQ59" s="135" t="n"/>
      <c r="DR59" s="135" t="n"/>
      <c r="DS59" s="135" t="n"/>
      <c r="DT59" s="23" t="n"/>
      <c r="DU59" s="135" t="n"/>
      <c r="DV59" s="135" t="n"/>
      <c r="DW59" s="135" t="n"/>
      <c r="DX59" s="135" t="n">
        <v>15</v>
      </c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374" t="n"/>
      <c r="EK59" s="135" t="n">
        <v>15</v>
      </c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>
        <v>15</v>
      </c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290" t="n"/>
      <c r="FL59" s="135" t="n"/>
      <c r="FM59" s="135" t="n"/>
      <c r="FN59" s="290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</row>
    <row r="60">
      <c r="A60" s="626" t="inlineStr">
        <is>
          <t>KIT SACOLA G EUDORA (C/ 10)</t>
        </is>
      </c>
      <c r="B60" s="345" t="inlineStr">
        <is>
          <t>-</t>
        </is>
      </c>
      <c r="C60" s="834" t="inlineStr">
        <is>
          <t>-</t>
        </is>
      </c>
      <c r="D60" s="382" t="n">
        <v>10</v>
      </c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697" t="n"/>
      <c r="S60" s="697" t="n"/>
      <c r="T60" s="697" t="n"/>
      <c r="U60" s="697" t="n"/>
      <c r="V60" s="697" t="n"/>
      <c r="W60" s="697" t="n"/>
      <c r="X60" s="697" t="n">
        <v>0</v>
      </c>
      <c r="Y60" s="697" t="n">
        <v>0</v>
      </c>
      <c r="Z60" s="697" t="n">
        <v>0</v>
      </c>
      <c r="AA60" s="697" t="n">
        <v>0</v>
      </c>
      <c r="AB60" s="697" t="n">
        <v>0</v>
      </c>
      <c r="AC60" s="697" t="n">
        <v>0</v>
      </c>
      <c r="AD60" s="697" t="n">
        <v>0</v>
      </c>
      <c r="AE60" s="697" t="n">
        <v>0</v>
      </c>
      <c r="AF60" s="697" t="n">
        <v>0</v>
      </c>
      <c r="AG60" s="697" t="n">
        <v>0</v>
      </c>
      <c r="AH60" s="697" t="n">
        <v>0</v>
      </c>
      <c r="AI60" s="697" t="n">
        <v>0</v>
      </c>
      <c r="AJ60" s="697" t="n">
        <v>0</v>
      </c>
      <c r="AK60" s="697" t="n">
        <v>0</v>
      </c>
      <c r="AL60" s="697" t="n">
        <v>0</v>
      </c>
      <c r="AM60" s="697" t="n">
        <v>0</v>
      </c>
      <c r="AN60" s="697" t="n">
        <v>0</v>
      </c>
      <c r="AO60" s="697" t="n">
        <v>0</v>
      </c>
      <c r="AP60" s="697" t="n">
        <v>0</v>
      </c>
      <c r="AQ60" s="697" t="n">
        <v>0</v>
      </c>
      <c r="AR60" s="697" t="n">
        <v>0</v>
      </c>
      <c r="AS60" s="697" t="n">
        <v>0</v>
      </c>
      <c r="AT60" s="697" t="n">
        <v>0</v>
      </c>
      <c r="AU60" s="697" t="n">
        <v>0</v>
      </c>
      <c r="AV60" s="697" t="n">
        <v>0</v>
      </c>
      <c r="AW60" s="697" t="n">
        <v>0</v>
      </c>
      <c r="AX60" s="697" t="n">
        <v>0</v>
      </c>
      <c r="AY60" s="697" t="n">
        <v>0</v>
      </c>
      <c r="AZ60" s="697" t="n">
        <v>0</v>
      </c>
      <c r="BA60" s="697" t="n">
        <v>0</v>
      </c>
      <c r="BB60" s="697" t="n">
        <v>0</v>
      </c>
      <c r="BC60" s="697" t="n">
        <v>0</v>
      </c>
      <c r="BD60" s="697" t="n">
        <v>0</v>
      </c>
      <c r="BE60" s="697" t="n">
        <v>0</v>
      </c>
      <c r="BF60" s="697" t="n">
        <v>0</v>
      </c>
      <c r="BG60" s="697" t="n">
        <v>0</v>
      </c>
      <c r="BH60" s="697" t="n">
        <v>0</v>
      </c>
      <c r="BI60" s="697" t="n">
        <v>0</v>
      </c>
      <c r="BJ60" s="697" t="n">
        <v>0</v>
      </c>
      <c r="BK60" s="697" t="n">
        <v>0</v>
      </c>
      <c r="BL60" s="697" t="n">
        <v>0</v>
      </c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0</v>
      </c>
      <c r="BS60" s="697" t="n">
        <v>0</v>
      </c>
      <c r="BT60" s="697" t="n"/>
      <c r="BU60" s="697" t="n"/>
      <c r="BV60" s="697" t="n"/>
      <c r="BW60" s="697" t="n"/>
      <c r="BX60" s="697" t="n"/>
      <c r="BY60" s="198">
        <f>BW60+IF(NOT(ISBLANK(OFFSET(BY60,0,6))),N(OFFSET(BY60,0,6)),N(OFFSET(BY60,0,7)))-BX60</f>
        <v/>
      </c>
      <c r="CA60" s="38" t="n"/>
      <c r="CB60" s="38" t="n"/>
      <c r="CD60" s="27" t="n"/>
      <c r="CF60" s="135" t="n">
        <v>0</v>
      </c>
      <c r="CG60" s="135" t="n">
        <v>0</v>
      </c>
      <c r="CH60" s="135" t="n"/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374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290" t="n"/>
      <c r="DQ60" s="135" t="n"/>
      <c r="DR60" s="135" t="n"/>
      <c r="DS60" s="135" t="n"/>
      <c r="DT60" s="290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374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290" t="n"/>
      <c r="FL60" s="135" t="n"/>
      <c r="FM60" s="135" t="n"/>
      <c r="FN60" s="290" t="n"/>
      <c r="FO60" s="135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</row>
    <row r="61">
      <c r="A61" s="626" t="inlineStr">
        <is>
          <t>CAIXA P EUDORA</t>
        </is>
      </c>
      <c r="B61" s="345" t="n">
        <v>150</v>
      </c>
      <c r="C61" s="834" t="n">
        <v>400.5</v>
      </c>
      <c r="D61" s="382" t="n">
        <v>15</v>
      </c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697" t="n"/>
      <c r="S61" s="697" t="n"/>
      <c r="T61" s="697" t="n"/>
      <c r="U61" s="697" t="n"/>
      <c r="V61" s="697" t="n"/>
      <c r="W61" s="697" t="n"/>
      <c r="X61" s="697" t="n">
        <v>0</v>
      </c>
      <c r="Y61" s="697" t="n">
        <v>0</v>
      </c>
      <c r="Z61" s="697">
        <f>150-75</f>
        <v/>
      </c>
      <c r="AA61" s="697" t="n">
        <v>75</v>
      </c>
      <c r="AB61" s="697" t="n">
        <v>75</v>
      </c>
      <c r="AC61" s="697" t="n">
        <v>75</v>
      </c>
      <c r="AD61" s="697" t="n">
        <v>75</v>
      </c>
      <c r="AE61" s="697" t="n">
        <v>75</v>
      </c>
      <c r="AF61" s="697" t="n">
        <v>74</v>
      </c>
      <c r="AG61" s="697" t="n">
        <v>74</v>
      </c>
      <c r="AH61" s="697" t="n">
        <v>71</v>
      </c>
      <c r="AI61" s="697" t="n">
        <v>71</v>
      </c>
      <c r="AJ61" s="697" t="n">
        <v>71</v>
      </c>
      <c r="AK61" s="697" t="n">
        <v>71</v>
      </c>
      <c r="AL61" s="697" t="n">
        <v>69</v>
      </c>
      <c r="AM61" s="697" t="n">
        <v>0</v>
      </c>
      <c r="AN61" s="697">
        <f>150-75</f>
        <v/>
      </c>
      <c r="AO61" s="697" t="n">
        <v>0</v>
      </c>
      <c r="AP61" s="697" t="n">
        <v>0</v>
      </c>
      <c r="AQ61" s="697" t="n">
        <v>0</v>
      </c>
      <c r="AR61" s="697" t="n">
        <v>0</v>
      </c>
      <c r="AS61" s="237">
        <f>0+DJ61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/>
      <c r="BU61" s="237" t="n"/>
      <c r="BV61" s="237" t="n"/>
      <c r="BW61" s="237" t="n"/>
      <c r="BX61" s="237" t="n"/>
      <c r="BY61" s="198">
        <f>BW61+IF(NOT(ISBLANK(OFFSET(BY61,0,6))),N(OFFSET(BY61,0,6)),N(OFFSET(BY61,0,7)))-BX61</f>
        <v/>
      </c>
      <c r="CA61" s="38" t="n"/>
      <c r="CB61" s="38" t="n"/>
      <c r="CD61" s="27" t="n"/>
      <c r="CF61" s="135" t="n">
        <v>0</v>
      </c>
      <c r="CG61" s="135" t="n">
        <v>0</v>
      </c>
      <c r="CH61" s="135" t="n"/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>
        <v>150</v>
      </c>
      <c r="CU61" s="135" t="n"/>
      <c r="CV61" s="135" t="n"/>
      <c r="CW61" s="135" t="n"/>
      <c r="CX61" s="135" t="n"/>
      <c r="CY61" s="135" t="n"/>
      <c r="CZ61" s="374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>
        <v>150</v>
      </c>
      <c r="DK61" s="135" t="n"/>
      <c r="DL61" s="135" t="n"/>
      <c r="DM61" s="135" t="n"/>
      <c r="DN61" s="135" t="n"/>
      <c r="DO61" s="135" t="n"/>
      <c r="DP61" s="290" t="n"/>
      <c r="DQ61" s="135" t="n"/>
      <c r="DR61" s="192" t="inlineStr">
        <is>
          <t>75 P/ ER</t>
        </is>
      </c>
      <c r="DS61" s="135" t="n"/>
      <c r="DT61" s="290" t="n"/>
      <c r="DU61" s="135" t="n">
        <v>150</v>
      </c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374" t="n"/>
      <c r="EK61" s="135" t="n"/>
      <c r="EL61" s="135" t="n"/>
      <c r="EM61" s="135" t="n"/>
      <c r="EN61" s="135" t="n"/>
      <c r="EO61" s="135" t="n"/>
      <c r="EP61" s="219" t="n"/>
      <c r="EQ61" s="219" t="n"/>
      <c r="ER61" s="219" t="n"/>
      <c r="ES61" s="282" t="inlineStr">
        <is>
          <t>75 P/ ERB</t>
        </is>
      </c>
      <c r="ET61" s="135" t="n"/>
      <c r="EU61" s="135" t="n"/>
      <c r="EV61" s="135" t="n"/>
      <c r="EW61" s="135" t="n">
        <v>150</v>
      </c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290" t="n"/>
      <c r="FL61" s="135" t="n"/>
      <c r="FM61" s="135" t="n"/>
      <c r="FN61" s="290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</row>
    <row r="62">
      <c r="A62" s="626" t="inlineStr">
        <is>
          <t>CAIXA M EUDORA</t>
        </is>
      </c>
      <c r="B62" s="345" t="n">
        <v>100</v>
      </c>
      <c r="C62" s="834" t="n">
        <v>365</v>
      </c>
      <c r="D62" s="382" t="n">
        <v>15</v>
      </c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697" t="n"/>
      <c r="S62" s="697" t="n"/>
      <c r="T62" s="697" t="n"/>
      <c r="U62" s="697" t="n"/>
      <c r="V62" s="697" t="n"/>
      <c r="W62" s="697" t="n"/>
      <c r="X62" s="697" t="n">
        <v>0</v>
      </c>
      <c r="Y62" s="697" t="n">
        <v>0</v>
      </c>
      <c r="Z62" s="237">
        <f>0+EU62-50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/>
      <c r="BU62" s="237" t="n"/>
      <c r="BV62" s="237" t="n"/>
      <c r="BW62" s="237" t="n"/>
      <c r="BX62" s="237" t="n"/>
      <c r="BY62" s="198">
        <f>BW62+IF(NOT(ISBLANK(OFFSET(BY62,0,6))),N(OFFSET(BY62,0,6)),N(OFFSET(BY62,0,7)))-BX62</f>
        <v/>
      </c>
      <c r="CA62" s="38" t="n"/>
      <c r="CB62" s="38" t="n"/>
      <c r="CD62" s="27" t="n"/>
      <c r="CF62" s="135" t="n">
        <v>0</v>
      </c>
      <c r="CG62" s="135" t="n">
        <v>0</v>
      </c>
      <c r="CH62" s="135" t="n"/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374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23" t="n"/>
      <c r="DQ62" s="135" t="n"/>
      <c r="DR62" s="135" t="n"/>
      <c r="DS62" s="135" t="n"/>
      <c r="DT62" s="23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374" t="n"/>
      <c r="EK62" s="135" t="n"/>
      <c r="EL62" s="135" t="n"/>
      <c r="EM62" s="135" t="n"/>
      <c r="EN62" s="135" t="n"/>
      <c r="EO62" s="135" t="n"/>
      <c r="EP62" s="219" t="n"/>
      <c r="EQ62" s="219" t="n"/>
      <c r="ER62" s="219" t="n"/>
      <c r="ES62" s="282" t="inlineStr">
        <is>
          <t>50 P/ ERB</t>
        </is>
      </c>
      <c r="ET62" s="135" t="n"/>
      <c r="EU62" s="135" t="n">
        <v>100</v>
      </c>
      <c r="EV62" s="135" t="n"/>
      <c r="EW62" s="135" t="n"/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290" t="n"/>
      <c r="FL62" s="135" t="n"/>
      <c r="FM62" s="135" t="n"/>
      <c r="FN62" s="290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</row>
    <row r="63">
      <c r="A63" s="626" t="inlineStr">
        <is>
          <t>CAIXA G EUDORA</t>
        </is>
      </c>
      <c r="B63" s="345" t="n">
        <v>75</v>
      </c>
      <c r="C63" s="834" t="n">
        <v>438.75</v>
      </c>
      <c r="D63" s="382" t="n">
        <v>10</v>
      </c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>
        <v>0</v>
      </c>
      <c r="Y63" s="697" t="n">
        <v>0</v>
      </c>
      <c r="Z63" s="697">
        <f>75-25</f>
        <v/>
      </c>
      <c r="AA63" s="697" t="n">
        <v>50</v>
      </c>
      <c r="AB63" s="697" t="n">
        <v>50</v>
      </c>
      <c r="AC63" s="697" t="n">
        <v>50</v>
      </c>
      <c r="AD63" s="697" t="n">
        <v>50</v>
      </c>
      <c r="AE63" s="697">
        <f>50-15</f>
        <v/>
      </c>
      <c r="AF63" s="697" t="n">
        <v>35</v>
      </c>
      <c r="AG63" s="697" t="n">
        <v>35</v>
      </c>
      <c r="AH63" s="697" t="n">
        <v>35</v>
      </c>
      <c r="AI63" s="697" t="n">
        <v>35</v>
      </c>
      <c r="AJ63" s="697" t="n">
        <v>35</v>
      </c>
      <c r="AK63" s="697" t="n">
        <v>35</v>
      </c>
      <c r="AL63" s="697" t="n">
        <v>32</v>
      </c>
      <c r="AM63" s="697" t="n">
        <v>32</v>
      </c>
      <c r="AN63" s="697" t="n">
        <v>32</v>
      </c>
      <c r="AO63" s="697" t="n">
        <v>32</v>
      </c>
      <c r="AP63" s="697" t="n">
        <v>31</v>
      </c>
      <c r="AQ63" s="697" t="n">
        <v>31</v>
      </c>
      <c r="AR63" s="697" t="n">
        <v>30</v>
      </c>
      <c r="AS63" s="697" t="n">
        <v>30</v>
      </c>
      <c r="AT63" s="697" t="n">
        <v>30</v>
      </c>
      <c r="AU63" s="697" t="n">
        <v>30</v>
      </c>
      <c r="AV63" s="697" t="n">
        <v>30</v>
      </c>
      <c r="AW63" s="697" t="n">
        <v>30</v>
      </c>
      <c r="AX63" s="697" t="n">
        <v>30</v>
      </c>
      <c r="AY63" s="697" t="n">
        <v>30</v>
      </c>
      <c r="AZ63" s="697" t="n">
        <v>30</v>
      </c>
      <c r="BA63" s="697" t="n">
        <v>30</v>
      </c>
      <c r="BB63" s="697" t="n">
        <v>30</v>
      </c>
      <c r="BC63" s="697" t="n">
        <v>29</v>
      </c>
      <c r="BD63" s="697" t="n">
        <v>29</v>
      </c>
      <c r="BE63" s="697" t="n">
        <v>29</v>
      </c>
      <c r="BF63" s="697" t="n">
        <v>29</v>
      </c>
      <c r="BG63" s="697" t="n">
        <v>29</v>
      </c>
      <c r="BH63" s="697" t="n">
        <v>29</v>
      </c>
      <c r="BI63" s="697" t="n">
        <v>29</v>
      </c>
      <c r="BJ63" s="697" t="n">
        <v>29</v>
      </c>
      <c r="BK63" s="697" t="n">
        <v>29</v>
      </c>
      <c r="BL63" s="697" t="n">
        <v>29</v>
      </c>
      <c r="BM63" s="697" t="n">
        <v>29</v>
      </c>
      <c r="BN63" s="697" t="n">
        <v>29</v>
      </c>
      <c r="BO63" s="697" t="n">
        <v>29</v>
      </c>
      <c r="BP63" s="697" t="n">
        <v>29</v>
      </c>
      <c r="BQ63" s="697" t="n">
        <v>29</v>
      </c>
      <c r="BR63" s="697" t="n">
        <v>29</v>
      </c>
      <c r="BS63" s="697" t="n">
        <v>29</v>
      </c>
      <c r="BT63" s="697" t="n"/>
      <c r="BU63" s="697" t="n"/>
      <c r="BV63" s="697" t="n"/>
      <c r="BW63" s="697" t="n"/>
      <c r="BX63" s="697" t="n"/>
      <c r="BY63" s="198">
        <f>BW63+IF(NOT(ISBLANK(OFFSET(BY63,0,6))),N(OFFSET(BY63,0,6)),N(OFFSET(BY63,0,7)))-BX63</f>
        <v/>
      </c>
      <c r="CA63" s="38" t="n"/>
      <c r="CB63" s="38" t="n"/>
      <c r="CD63" s="27" t="n"/>
      <c r="CF63" s="135" t="n">
        <v>0</v>
      </c>
      <c r="CG63" s="135" t="n">
        <v>0</v>
      </c>
      <c r="CH63" s="135" t="n"/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374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290" t="n"/>
      <c r="DQ63" s="135" t="n"/>
      <c r="DR63" s="135" t="n"/>
      <c r="DS63" s="135" t="n"/>
      <c r="DT63" s="290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406" t="inlineStr">
        <is>
          <t>15 P/ ERB</t>
        </is>
      </c>
      <c r="EK63" s="135" t="n"/>
      <c r="EL63" s="135" t="n"/>
      <c r="EM63" s="135" t="n"/>
      <c r="EN63" s="135" t="n"/>
      <c r="EO63" s="135" t="n"/>
      <c r="EP63" s="219" t="n"/>
      <c r="EQ63" s="219" t="n"/>
      <c r="ER63" s="219" t="n"/>
      <c r="ES63" s="282" t="inlineStr">
        <is>
          <t>25 P/ ERB</t>
        </is>
      </c>
      <c r="ET63" s="135" t="n"/>
      <c r="EU63" s="135" t="n"/>
      <c r="EV63" s="135" t="n"/>
      <c r="EW63" s="135" t="n">
        <v>75</v>
      </c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290" t="n"/>
      <c r="FL63" s="135" t="n"/>
      <c r="FM63" s="135" t="n"/>
      <c r="FN63" s="290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</row>
    <row r="64">
      <c r="DP64" s="47" t="n"/>
      <c r="DT64" s="47" t="n"/>
      <c r="FK64" s="308" t="n"/>
      <c r="FN64" s="308" t="n"/>
    </row>
    <row r="65">
      <c r="A65" s="295" t="inlineStr">
        <is>
          <t>CAIXAS KRAFTS</t>
        </is>
      </c>
      <c r="B65" s="835" t="inlineStr">
        <is>
          <t>LUAPACK</t>
        </is>
      </c>
      <c r="C65" s="775" t="n"/>
      <c r="D65" s="295" t="n"/>
      <c r="E65" s="2" t="n"/>
      <c r="F65" s="746" t="n">
        <v>45656</v>
      </c>
      <c r="G65" s="746" t="n">
        <v>45663</v>
      </c>
      <c r="H65" s="746" t="n">
        <v>45670</v>
      </c>
      <c r="I65" s="746" t="n">
        <v>45677</v>
      </c>
      <c r="J65" s="746" t="n">
        <v>45684</v>
      </c>
      <c r="K65" s="746" t="n">
        <v>45691</v>
      </c>
      <c r="L65" s="746" t="n">
        <v>45698</v>
      </c>
      <c r="M65" s="746" t="n">
        <v>45705</v>
      </c>
      <c r="N65" s="746" t="n">
        <v>45712</v>
      </c>
      <c r="O65" s="746" t="n">
        <v>45719</v>
      </c>
      <c r="P65" s="746" t="n">
        <v>45726</v>
      </c>
      <c r="Q65" s="746" t="n">
        <v>45733</v>
      </c>
      <c r="R65" s="746" t="n">
        <v>45740</v>
      </c>
      <c r="S65" s="746" t="n">
        <v>45747</v>
      </c>
      <c r="T65" s="746" t="n">
        <v>45754</v>
      </c>
      <c r="U65" s="746" t="n">
        <v>45761</v>
      </c>
      <c r="V65" s="746" t="n">
        <v>45768</v>
      </c>
      <c r="W65" s="746" t="n">
        <v>45775</v>
      </c>
      <c r="X65" s="746" t="n">
        <v>45782</v>
      </c>
      <c r="Y65" s="746" t="n">
        <v>45789</v>
      </c>
      <c r="Z65" s="746" t="n">
        <v>45796</v>
      </c>
      <c r="AA65" s="746" t="n">
        <v>45803</v>
      </c>
      <c r="AB65" s="746" t="n">
        <v>45810</v>
      </c>
      <c r="AC65" s="746" t="n">
        <v>45817</v>
      </c>
      <c r="AD65" s="746" t="n">
        <v>45824</v>
      </c>
      <c r="AE65" s="746" t="n">
        <v>45831</v>
      </c>
      <c r="AF65" s="746" t="n">
        <v>45838</v>
      </c>
      <c r="AG65" s="746" t="n">
        <v>45845</v>
      </c>
      <c r="AH65" s="746" t="n">
        <v>45852</v>
      </c>
      <c r="AI65" s="746" t="n">
        <v>45859</v>
      </c>
      <c r="AJ65" s="746" t="n">
        <v>45866</v>
      </c>
      <c r="AK65" s="746" t="n">
        <v>45873</v>
      </c>
      <c r="AL65" s="746" t="n">
        <v>45880</v>
      </c>
      <c r="AM65" s="746" t="n">
        <v>45887</v>
      </c>
      <c r="AN65" s="746" t="n">
        <v>45894</v>
      </c>
      <c r="AO65" s="746" t="n">
        <v>45901</v>
      </c>
      <c r="AP65" s="746" t="n">
        <v>45908</v>
      </c>
      <c r="AQ65" s="746" t="n">
        <v>45915</v>
      </c>
      <c r="AR65" s="746" t="n">
        <v>45922</v>
      </c>
      <c r="AS65" s="746" t="n">
        <v>45929</v>
      </c>
      <c r="AT65" s="746" t="n">
        <v>45936</v>
      </c>
      <c r="AU65" s="746" t="n">
        <v>45943</v>
      </c>
      <c r="AV65" s="746" t="n">
        <v>45950</v>
      </c>
      <c r="AW65" s="746" t="n">
        <v>45957</v>
      </c>
      <c r="AX65" s="746" t="n">
        <v>45964</v>
      </c>
      <c r="AY65" s="746" t="n">
        <v>45971</v>
      </c>
      <c r="AZ65" s="746" t="n">
        <v>45978</v>
      </c>
      <c r="BA65" s="746" t="n">
        <v>45985</v>
      </c>
      <c r="BB65" s="746" t="n">
        <v>45992</v>
      </c>
      <c r="BC65" s="746" t="n">
        <v>45999</v>
      </c>
      <c r="BD65" s="746" t="n">
        <v>46006</v>
      </c>
      <c r="BE65" s="746" t="n">
        <v>46013</v>
      </c>
      <c r="BF65" s="746" t="n">
        <v>46020</v>
      </c>
      <c r="BG65" s="746" t="n">
        <v>46027</v>
      </c>
      <c r="BH65" s="746" t="n">
        <v>46034</v>
      </c>
      <c r="BI65" s="746" t="n">
        <v>46041</v>
      </c>
      <c r="BJ65" s="746" t="n">
        <v>46048</v>
      </c>
      <c r="BK65" s="746" t="n">
        <v>46055</v>
      </c>
      <c r="BL65" s="746" t="n">
        <v>46062</v>
      </c>
      <c r="BM65" s="746" t="n">
        <v>46069</v>
      </c>
      <c r="BN65" s="746" t="n">
        <v>46076</v>
      </c>
      <c r="BO65" s="746" t="n">
        <v>46083</v>
      </c>
      <c r="BP65" s="746" t="n">
        <v>46090</v>
      </c>
      <c r="BQ65" s="746" t="n">
        <v>46097</v>
      </c>
      <c r="BR65" s="746" t="n">
        <v>46104</v>
      </c>
      <c r="BS65" s="746" t="n">
        <v>46111</v>
      </c>
      <c r="BT65" s="746" t="n">
        <v>46118</v>
      </c>
      <c r="BU65" s="746" t="n">
        <v>46125</v>
      </c>
      <c r="BV65" s="746" t="n">
        <v>46132</v>
      </c>
      <c r="BW65" s="746" t="n">
        <v>46139</v>
      </c>
      <c r="BX65" s="746" t="n">
        <v>46146</v>
      </c>
      <c r="BY65" s="748" t="inlineStr">
        <is>
          <t>USOU</t>
        </is>
      </c>
      <c r="CA65" s="44" t="inlineStr">
        <is>
          <t>Pendências</t>
        </is>
      </c>
      <c r="CB65" s="44" t="inlineStr">
        <is>
          <t>Pendências</t>
        </is>
      </c>
      <c r="CD65" s="12" t="inlineStr">
        <is>
          <t>Novo Pedido</t>
        </is>
      </c>
      <c r="CE65" s="573" t="n"/>
      <c r="CF65" s="794" t="n">
        <v>46149</v>
      </c>
      <c r="CG65" s="794" t="n">
        <v>46142</v>
      </c>
      <c r="CH65" s="794" t="n">
        <v>46114</v>
      </c>
      <c r="CI65" s="794" t="n">
        <v>46107</v>
      </c>
      <c r="CJ65" s="795" t="n">
        <v>46065</v>
      </c>
      <c r="CK65" s="794" t="n">
        <v>46099</v>
      </c>
      <c r="CL65" s="794" t="n">
        <v>46092</v>
      </c>
      <c r="CM65" s="796" t="n">
        <v>46045</v>
      </c>
      <c r="CN65" s="794" t="n">
        <v>46077</v>
      </c>
      <c r="CO65" s="794" t="n">
        <v>46048</v>
      </c>
      <c r="CP65" s="794" t="n">
        <v>46043</v>
      </c>
      <c r="CQ65" s="794" t="n">
        <v>46024</v>
      </c>
      <c r="CR65" s="794" t="n">
        <v>46017</v>
      </c>
      <c r="CS65" s="794" t="n">
        <v>46007</v>
      </c>
      <c r="CT65" s="794" t="n">
        <v>46001</v>
      </c>
      <c r="CU65" s="794" t="n">
        <v>46001</v>
      </c>
      <c r="CV65" s="794" t="n">
        <v>45994</v>
      </c>
      <c r="CW65" s="794" t="n">
        <v>45986</v>
      </c>
      <c r="CX65" s="794" t="n">
        <v>45980</v>
      </c>
      <c r="CY65" s="794" t="n">
        <v>45980</v>
      </c>
      <c r="CZ65" s="797" t="n">
        <v>45982</v>
      </c>
      <c r="DA65" s="794" t="n">
        <v>45973</v>
      </c>
      <c r="DB65" s="794" t="n">
        <v>45965</v>
      </c>
      <c r="DC65" s="794" t="n">
        <v>45960</v>
      </c>
      <c r="DD65" s="794" t="n">
        <v>45951</v>
      </c>
      <c r="DE65" s="737" t="n">
        <v>45903</v>
      </c>
      <c r="DF65" s="794" t="n">
        <v>45945</v>
      </c>
      <c r="DG65" s="794" t="n">
        <v>45937</v>
      </c>
      <c r="DH65" s="794" t="n">
        <v>45931</v>
      </c>
      <c r="DI65" s="794" t="n">
        <v>45931</v>
      </c>
      <c r="DJ65" s="794" t="n">
        <v>45915</v>
      </c>
      <c r="DK65" s="794" t="n">
        <v>45923</v>
      </c>
      <c r="DL65" s="794" t="n">
        <v>45903</v>
      </c>
      <c r="DM65" s="794" t="n">
        <v>45915</v>
      </c>
      <c r="DN65" s="797" t="n">
        <v>45918</v>
      </c>
      <c r="DO65" s="794" t="n">
        <v>45909</v>
      </c>
      <c r="DP65" s="738" t="n">
        <v>45903</v>
      </c>
      <c r="DQ65" s="794" t="n">
        <v>45895</v>
      </c>
      <c r="DR65" s="797" t="n">
        <v>45896</v>
      </c>
      <c r="DS65" s="794" t="n">
        <v>45881</v>
      </c>
      <c r="DT65" s="738" t="n">
        <v>45839</v>
      </c>
      <c r="DU65" s="794" t="n">
        <v>45888</v>
      </c>
      <c r="DV65" s="794" t="n">
        <v>45881</v>
      </c>
      <c r="DW65" s="797" t="n">
        <v>45881</v>
      </c>
      <c r="DX65" s="794" t="n">
        <v>45874</v>
      </c>
      <c r="DY65" s="797" t="n">
        <v>45876</v>
      </c>
      <c r="DZ65" s="794" t="n">
        <v>45867</v>
      </c>
      <c r="EA65" s="794" t="n">
        <v>45867</v>
      </c>
      <c r="EB65" s="794" t="n">
        <v>45860</v>
      </c>
      <c r="EC65" s="797" t="n">
        <v>45861</v>
      </c>
      <c r="ED65" s="797" t="n">
        <v>45860</v>
      </c>
      <c r="EE65" s="794" t="n">
        <v>45853</v>
      </c>
      <c r="EF65" s="739" t="n">
        <v>45855</v>
      </c>
      <c r="EG65" s="794" t="n">
        <v>45848</v>
      </c>
      <c r="EH65" s="794" t="n">
        <v>45839</v>
      </c>
      <c r="EI65" s="794" t="n">
        <v>45839</v>
      </c>
      <c r="EJ65" s="797" t="n">
        <v>45835</v>
      </c>
      <c r="EK65" s="794" t="n">
        <v>45790</v>
      </c>
      <c r="EL65" s="794" t="n">
        <v>45825</v>
      </c>
      <c r="EM65" s="794" t="n">
        <v>45819</v>
      </c>
      <c r="EN65" s="794" t="n">
        <v>45813</v>
      </c>
      <c r="EO65" s="794" t="n">
        <v>45797</v>
      </c>
      <c r="EP65" s="797" t="n">
        <v>45811</v>
      </c>
      <c r="EQ65" s="797" t="n">
        <v>45810</v>
      </c>
      <c r="ER65" s="797" t="n">
        <v>45806</v>
      </c>
      <c r="ES65" s="797" t="n">
        <v>45803</v>
      </c>
      <c r="ET65" s="755" t="n">
        <v>45803</v>
      </c>
      <c r="EU65" s="794" t="n">
        <v>45784</v>
      </c>
      <c r="EV65" s="797" t="n">
        <v>45796</v>
      </c>
      <c r="EW65" s="794" t="n">
        <v>45784</v>
      </c>
      <c r="EX65" s="794" t="n">
        <v>45764</v>
      </c>
      <c r="EY65" s="797" t="n">
        <v>45791</v>
      </c>
      <c r="EZ65" s="794" t="n">
        <v>45783</v>
      </c>
      <c r="FA65" s="794" t="n">
        <v>45770</v>
      </c>
      <c r="FB65" s="794" t="n">
        <v>45775</v>
      </c>
      <c r="FC65" s="794" t="n">
        <v>45770</v>
      </c>
      <c r="FD65" s="794" t="n">
        <v>45770</v>
      </c>
      <c r="FE65" s="797" t="n">
        <v>45775</v>
      </c>
      <c r="FF65" s="797" t="n">
        <v>45770</v>
      </c>
      <c r="FG65" s="794" t="n">
        <v>45756</v>
      </c>
      <c r="FH65" s="794" t="n">
        <v>45735</v>
      </c>
      <c r="FI65" s="797" t="n">
        <v>45751</v>
      </c>
      <c r="FJ65" s="794" t="n">
        <v>45743</v>
      </c>
      <c r="FK65" s="746" t="n">
        <v>45729</v>
      </c>
      <c r="FL65" s="794" t="n">
        <v>45722</v>
      </c>
      <c r="FM65" s="794" t="n">
        <v>45722</v>
      </c>
      <c r="FN65" s="746" t="n">
        <v>45700</v>
      </c>
      <c r="FO65" s="797" t="n">
        <v>45722</v>
      </c>
      <c r="FP65" s="794" t="n">
        <v>45714</v>
      </c>
      <c r="FQ65" s="794" t="n">
        <v>45706</v>
      </c>
      <c r="FR65" s="794" t="n">
        <v>45684</v>
      </c>
      <c r="FS65" s="794" t="n">
        <v>45699</v>
      </c>
      <c r="FT65" s="794" t="n">
        <v>45693</v>
      </c>
      <c r="FU65" s="797" t="n">
        <v>45687</v>
      </c>
      <c r="FV65" s="794" t="n">
        <v>45685</v>
      </c>
      <c r="FW65" s="797" t="n">
        <v>45684</v>
      </c>
      <c r="FX65" s="794" t="n">
        <v>45674</v>
      </c>
      <c r="FY65" s="794" t="n">
        <v>45664</v>
      </c>
      <c r="FZ65" s="794" t="n">
        <v>45660</v>
      </c>
      <c r="GA65" s="794" t="n">
        <v>45660</v>
      </c>
      <c r="GB65" s="794" t="n">
        <v>45652</v>
      </c>
      <c r="GC65" s="794" t="n">
        <v>45643</v>
      </c>
    </row>
    <row r="66">
      <c r="A66" s="37" t="inlineStr">
        <is>
          <t>CAIXA P</t>
        </is>
      </c>
      <c r="B66" s="32" t="n">
        <v>25</v>
      </c>
      <c r="C66" s="773" t="n">
        <v>0.99</v>
      </c>
      <c r="D66" s="217" t="n"/>
      <c r="E66" s="573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325+FT66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0+EO66</f>
        <v/>
      </c>
      <c r="AD66" s="153" t="n">
        <v>25</v>
      </c>
      <c r="AE66" s="153">
        <f>0+EK66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500+CS66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98">
        <f>BW66+IF(NOT(ISBLANK(OFFSET(BY66,0,6))),N(OFFSET(BY66,0,6)),N(OFFSET(BY66,0,7)))-BX66</f>
        <v/>
      </c>
      <c r="CA66" s="38" t="n"/>
      <c r="CB66" s="38" t="n">
        <v>500</v>
      </c>
      <c r="CD66" s="27" t="n"/>
      <c r="CE66" s="573" t="n"/>
      <c r="CF66" s="135" t="n">
        <v>0</v>
      </c>
      <c r="CG66" s="135" t="n">
        <v>100</v>
      </c>
      <c r="CH66" s="135" t="n">
        <v>1000</v>
      </c>
      <c r="CI66" s="135" t="n"/>
      <c r="CJ66" s="135" t="n"/>
      <c r="CK66" s="135" t="n"/>
      <c r="CL66" s="135" t="n"/>
      <c r="CM66" s="135" t="n"/>
      <c r="CN66" s="135" t="n">
        <v>1000</v>
      </c>
      <c r="CO66" s="135" t="n">
        <v>1000</v>
      </c>
      <c r="CP66" s="135" t="n"/>
      <c r="CQ66" s="135" t="n"/>
      <c r="CR66" s="135" t="n"/>
      <c r="CS66" s="135" t="n">
        <v>1500</v>
      </c>
      <c r="CT66" s="135" t="n"/>
      <c r="CU66" s="135" t="n"/>
      <c r="CV66" s="135" t="n">
        <v>1000</v>
      </c>
      <c r="CW66" s="135" t="n"/>
      <c r="CX66" s="135" t="n">
        <v>1000</v>
      </c>
      <c r="CY66" s="135" t="n"/>
      <c r="CZ66" s="374" t="n"/>
      <c r="DA66" s="135" t="n"/>
      <c r="DB66" s="135" t="n">
        <v>1000</v>
      </c>
      <c r="DC66" s="135" t="n"/>
      <c r="DD66" s="135" t="n">
        <v>500</v>
      </c>
      <c r="DE66" s="135" t="n"/>
      <c r="DF66" s="135" t="n"/>
      <c r="DG66" s="135" t="n">
        <v>500</v>
      </c>
      <c r="DH66" s="135" t="n"/>
      <c r="DI66" s="135" t="n"/>
      <c r="DJ66" s="135" t="n"/>
      <c r="DK66" s="135" t="n">
        <v>500</v>
      </c>
      <c r="DL66" s="135" t="n"/>
      <c r="DM66" s="135" t="n"/>
      <c r="DN66" s="135" t="n"/>
      <c r="DO66" s="135" t="n">
        <v>1000</v>
      </c>
      <c r="DP66" s="433" t="n"/>
      <c r="DQ66" s="135" t="n">
        <v>500</v>
      </c>
      <c r="DR66" s="135" t="n"/>
      <c r="DS66" s="135" t="n"/>
      <c r="DT66" s="433" t="n"/>
      <c r="DU66" s="135" t="n"/>
      <c r="DV66" s="135" t="n">
        <v>500</v>
      </c>
      <c r="DW66" s="135" t="n"/>
      <c r="DX66" s="135" t="n"/>
      <c r="DY66" s="135" t="n"/>
      <c r="DZ66" s="135" t="n"/>
      <c r="EA66" s="135" t="n">
        <v>500</v>
      </c>
      <c r="EB66" s="135" t="n">
        <v>418</v>
      </c>
      <c r="EC66" s="135" t="n"/>
      <c r="ED66" s="135" t="n"/>
      <c r="EE66" s="135" t="n"/>
      <c r="EF66" s="135" t="n"/>
      <c r="EG66" s="135" t="n"/>
      <c r="EH66" s="135" t="n"/>
      <c r="EI66" s="135" t="n">
        <v>500</v>
      </c>
      <c r="EJ66" s="135" t="n"/>
      <c r="EK66" s="135" t="n">
        <v>1000</v>
      </c>
      <c r="EL66" s="135" t="n"/>
      <c r="EM66" s="135" t="n"/>
      <c r="EN66" s="135" t="n"/>
      <c r="EO66" s="135" t="n">
        <v>500</v>
      </c>
      <c r="EP66" s="135" t="n"/>
      <c r="EQ66" s="135" t="n"/>
      <c r="ER66" s="135" t="n"/>
      <c r="ES66" s="135" t="n"/>
      <c r="ET66" s="135" t="n"/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310" t="n"/>
      <c r="FL66" s="135" t="n"/>
      <c r="FM66" s="135" t="n"/>
      <c r="FN66" s="310" t="n"/>
      <c r="FO66" s="135" t="n"/>
      <c r="FP66" s="135" t="n"/>
      <c r="FQ66" s="135" t="n"/>
      <c r="FR66" s="135" t="n">
        <v>2161</v>
      </c>
      <c r="FS66" s="135" t="n"/>
      <c r="FT66" s="135" t="n">
        <v>500</v>
      </c>
      <c r="FU66" s="135" t="n"/>
      <c r="FV66" s="135" t="n">
        <v>500</v>
      </c>
      <c r="FW66" s="135" t="n"/>
      <c r="FX66" s="135" t="n"/>
      <c r="FY66" s="135" t="n"/>
      <c r="FZ66" s="135" t="n"/>
      <c r="GA66" s="135" t="n"/>
      <c r="GB66" s="135" t="n"/>
      <c r="GC66" s="135" t="n"/>
    </row>
    <row r="67">
      <c r="A67" s="37" t="inlineStr">
        <is>
          <t>CAIXA M</t>
        </is>
      </c>
      <c r="B67" s="32" t="n">
        <v>25</v>
      </c>
      <c r="C67" s="773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0+EK67</f>
        <v/>
      </c>
      <c r="AF67" s="153" t="n">
        <v>125</v>
      </c>
      <c r="AG67" s="153" t="n">
        <v>25</v>
      </c>
      <c r="AH67" s="153">
        <f>0+EH67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75+DA67</f>
        <v/>
      </c>
      <c r="BA67" s="153" t="n">
        <v>400</v>
      </c>
      <c r="BB67" s="153" t="n">
        <v>500</v>
      </c>
      <c r="BC67" s="153" t="n">
        <v>575</v>
      </c>
      <c r="BD67" s="153">
        <f>525+CU67</f>
        <v/>
      </c>
      <c r="BE67" s="153">
        <f>1250+CS67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98">
        <f>BW67+IF(NOT(ISBLANK(OFFSET(BY67,0,6))),N(OFFSET(BY67,0,6)),N(OFFSET(BY67,0,7)))-BX67</f>
        <v/>
      </c>
      <c r="CA67" s="22" t="n"/>
      <c r="CB67" s="38" t="n"/>
      <c r="CD67" s="27" t="n"/>
      <c r="CF67" s="135" t="n">
        <v>0</v>
      </c>
      <c r="CG67" s="135" t="n">
        <v>516</v>
      </c>
      <c r="CH67" s="135" t="n">
        <v>1000</v>
      </c>
      <c r="CI67" s="135" t="n"/>
      <c r="CJ67" s="135" t="n"/>
      <c r="CK67" s="135" t="n"/>
      <c r="CL67" s="135" t="n"/>
      <c r="CM67" s="135" t="n"/>
      <c r="CN67" s="135" t="n"/>
      <c r="CO67" s="135" t="n"/>
      <c r="CP67" s="135" t="n"/>
      <c r="CQ67" s="135" t="n"/>
      <c r="CR67" s="135" t="n"/>
      <c r="CS67" s="135" t="n">
        <v>1500</v>
      </c>
      <c r="CT67" s="135" t="n"/>
      <c r="CU67" s="135" t="n">
        <v>1000</v>
      </c>
      <c r="CV67" s="135" t="n">
        <v>500</v>
      </c>
      <c r="CW67" s="135" t="n"/>
      <c r="CX67" s="135" t="n">
        <v>500</v>
      </c>
      <c r="CY67" s="135" t="n"/>
      <c r="CZ67" s="374" t="n"/>
      <c r="DA67" s="135" t="n">
        <v>500</v>
      </c>
      <c r="DB67" s="135" t="n">
        <v>450</v>
      </c>
      <c r="DC67" s="135" t="n"/>
      <c r="DD67" s="135" t="n">
        <v>500</v>
      </c>
      <c r="DE67" s="135" t="n"/>
      <c r="DF67" s="135" t="n"/>
      <c r="DG67" s="135" t="n">
        <v>500</v>
      </c>
      <c r="DH67" s="135" t="n"/>
      <c r="DI67" s="135" t="n"/>
      <c r="DJ67" s="135" t="n"/>
      <c r="DK67" s="135" t="n"/>
      <c r="DL67" s="135" t="n"/>
      <c r="DM67" s="135" t="n"/>
      <c r="DN67" s="135" t="n"/>
      <c r="DO67" s="135" t="n">
        <v>1000</v>
      </c>
      <c r="DP67" s="433" t="n"/>
      <c r="DQ67" s="135" t="n">
        <v>500</v>
      </c>
      <c r="DR67" s="135" t="n"/>
      <c r="DS67" s="135" t="n"/>
      <c r="DT67" s="433" t="n"/>
      <c r="DU67" s="135" t="n"/>
      <c r="DV67" s="135" t="n">
        <v>500</v>
      </c>
      <c r="DW67" s="135" t="n"/>
      <c r="DX67" s="135" t="n"/>
      <c r="DY67" s="135" t="n"/>
      <c r="DZ67" s="135" t="n"/>
      <c r="EA67" s="135" t="n"/>
      <c r="EB67" s="135" t="n">
        <v>500</v>
      </c>
      <c r="EC67" s="135" t="n"/>
      <c r="ED67" s="135" t="n"/>
      <c r="EE67" s="135" t="n"/>
      <c r="EF67" s="135" t="n"/>
      <c r="EG67" s="135" t="n"/>
      <c r="EH67" s="135" t="n">
        <v>1000</v>
      </c>
      <c r="EI67" s="135" t="n"/>
      <c r="EJ67" s="135" t="n"/>
      <c r="EK67" s="135" t="n">
        <v>542</v>
      </c>
      <c r="EL67" s="135" t="n"/>
      <c r="EM67" s="135" t="n"/>
      <c r="EN67" s="135" t="n"/>
      <c r="EO67" s="135" t="n"/>
      <c r="EP67" s="135" t="n"/>
      <c r="EQ67" s="135" t="n"/>
      <c r="ER67" s="135" t="n"/>
      <c r="ES67" s="135" t="n"/>
      <c r="ET67" s="135" t="n"/>
      <c r="EU67" s="135" t="n"/>
      <c r="EV67" s="135" t="n"/>
      <c r="EW67" s="135" t="n"/>
      <c r="EX67" s="135" t="n">
        <v>1375</v>
      </c>
      <c r="EY67" s="135" t="n"/>
      <c r="EZ67" s="135" t="n"/>
      <c r="FA67" s="135" t="n"/>
      <c r="FB67" s="135" t="n"/>
      <c r="FC67" s="135" t="n"/>
      <c r="FD67" s="135" t="n"/>
      <c r="FE67" s="135" t="n"/>
      <c r="FF67" s="135" t="n"/>
      <c r="FG67" s="135" t="n"/>
      <c r="FH67" s="135" t="n"/>
      <c r="FI67" s="135" t="n"/>
      <c r="FJ67" s="135" t="n"/>
      <c r="FK67" s="310" t="n"/>
      <c r="FL67" s="135" t="n"/>
      <c r="FM67" s="135" t="n"/>
      <c r="FN67" s="310" t="n"/>
      <c r="FO67" s="135" t="n"/>
      <c r="FP67" s="135" t="n"/>
      <c r="FQ67" s="135" t="n"/>
      <c r="FR67" s="135" t="n">
        <v>1516</v>
      </c>
      <c r="FS67" s="135" t="n"/>
      <c r="FT67" s="135" t="n"/>
      <c r="FU67" s="330" t="n"/>
      <c r="FV67" s="330" t="n"/>
      <c r="FW67" s="330" t="n"/>
      <c r="FX67" s="330" t="n"/>
      <c r="FY67" s="330" t="n"/>
      <c r="FZ67" s="330" t="n"/>
      <c r="GA67" s="330" t="n"/>
      <c r="GB67" s="330" t="n"/>
      <c r="GC67" s="330" t="n"/>
    </row>
    <row r="68">
      <c r="A68" s="37" t="inlineStr">
        <is>
          <t>CAIXA G</t>
        </is>
      </c>
      <c r="B68" s="32" t="n">
        <v>25</v>
      </c>
      <c r="C68" s="773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175+FH68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400+DA68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250+CS68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98">
        <f>BW68+IF(NOT(ISBLANK(OFFSET(BY68,0,6))),N(OFFSET(BY68,0,6)),N(OFFSET(BY68,0,7)))-BX68</f>
        <v/>
      </c>
      <c r="CA68" s="38" t="n"/>
      <c r="CB68" s="38" t="n"/>
      <c r="CD68" s="27" t="n"/>
      <c r="CE68" s="253" t="n"/>
      <c r="CF68" s="135" t="n">
        <v>0</v>
      </c>
      <c r="CG68" s="135" t="n">
        <v>0</v>
      </c>
      <c r="CH68" s="135" t="n">
        <v>600</v>
      </c>
      <c r="CI68" s="135" t="n"/>
      <c r="CJ68" s="135" t="n"/>
      <c r="CK68" s="135" t="n"/>
      <c r="CL68" s="135" t="n"/>
      <c r="CM68" s="135" t="n"/>
      <c r="CN68" s="135" t="n"/>
      <c r="CO68" s="135" t="n"/>
      <c r="CP68" s="135" t="n"/>
      <c r="CQ68" s="135" t="n"/>
      <c r="CR68" s="135" t="n"/>
      <c r="CS68" s="135" t="n">
        <v>500</v>
      </c>
      <c r="CT68" s="135" t="n"/>
      <c r="CU68" s="135" t="n"/>
      <c r="CV68" s="135" t="n"/>
      <c r="CW68" s="135" t="n"/>
      <c r="CX68" s="135" t="n"/>
      <c r="CY68" s="135" t="n"/>
      <c r="CZ68" s="374" t="n"/>
      <c r="DA68" s="135" t="n">
        <v>300</v>
      </c>
      <c r="DB68" s="135" t="n">
        <v>300</v>
      </c>
      <c r="DC68" s="135" t="n"/>
      <c r="DD68" s="135" t="n"/>
      <c r="DE68" s="135" t="n"/>
      <c r="DF68" s="135" t="n"/>
      <c r="DG68" s="135" t="n"/>
      <c r="DH68" s="135" t="n"/>
      <c r="DI68" s="135" t="n"/>
      <c r="DJ68" s="135" t="n"/>
      <c r="DK68" s="135" t="n">
        <v>300</v>
      </c>
      <c r="DL68" s="135" t="n"/>
      <c r="DM68" s="135" t="n"/>
      <c r="DN68" s="135" t="n"/>
      <c r="DO68" s="135" t="n"/>
      <c r="DP68" s="433" t="n"/>
      <c r="DQ68" s="135" t="n"/>
      <c r="DR68" s="135" t="n"/>
      <c r="DS68" s="135" t="n"/>
      <c r="DT68" s="433" t="n"/>
      <c r="DU68" s="135" t="n"/>
      <c r="DV68" s="135" t="n"/>
      <c r="DW68" s="135" t="n"/>
      <c r="DX68" s="135" t="n"/>
      <c r="DY68" s="135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>
        <v>500</v>
      </c>
      <c r="EJ68" s="135" t="n"/>
      <c r="EK68" s="135" t="n"/>
      <c r="EL68" s="135" t="n"/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>
        <v>1638</v>
      </c>
      <c r="EY68" s="135" t="n"/>
      <c r="EZ68" s="135" t="n"/>
      <c r="FA68" s="135" t="n"/>
      <c r="FB68" s="135" t="n"/>
      <c r="FC68" s="135" t="n"/>
      <c r="FD68" s="135" t="n"/>
      <c r="FE68" s="135" t="n"/>
      <c r="FF68" s="135" t="n"/>
      <c r="FG68" s="135" t="n"/>
      <c r="FH68" s="135" t="n">
        <v>500</v>
      </c>
      <c r="FI68" s="135" t="n"/>
      <c r="FJ68" s="135" t="n"/>
      <c r="FK68" s="310" t="n"/>
      <c r="FL68" s="135" t="n"/>
      <c r="FM68" s="135" t="n"/>
      <c r="FN68" s="310" t="n"/>
      <c r="FO68" s="135" t="n"/>
      <c r="FP68" s="135" t="n"/>
      <c r="FQ68" s="135" t="n"/>
      <c r="FR68" s="135" t="n">
        <v>550</v>
      </c>
      <c r="FS68" s="135" t="n"/>
      <c r="FT68" s="135" t="n"/>
      <c r="FU68" s="331" t="n"/>
      <c r="FV68" s="331" t="n"/>
      <c r="FW68" s="331" t="n"/>
      <c r="FX68" s="331" t="n"/>
      <c r="FY68" s="331" t="n"/>
      <c r="FZ68" s="331" t="n"/>
      <c r="GA68" s="331" t="n"/>
      <c r="GB68" s="331" t="n"/>
      <c r="GC68" s="331" t="n"/>
    </row>
    <row r="69">
      <c r="FK69" s="309" t="n"/>
      <c r="FN69" s="309" t="n"/>
      <c r="FO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6" t="n">
        <v>45873</v>
      </c>
      <c r="AL70" s="746" t="n">
        <v>45880</v>
      </c>
      <c r="AM70" s="746" t="n">
        <v>45887</v>
      </c>
      <c r="AN70" s="746" t="n">
        <v>45894</v>
      </c>
      <c r="AO70" s="746" t="n">
        <v>45901</v>
      </c>
      <c r="AP70" s="746" t="n">
        <v>45908</v>
      </c>
      <c r="AQ70" s="746" t="n">
        <v>45915</v>
      </c>
      <c r="AR70" s="746" t="n">
        <v>45922</v>
      </c>
      <c r="AS70" s="746" t="n">
        <v>45929</v>
      </c>
      <c r="AT70" s="746" t="n">
        <v>45936</v>
      </c>
      <c r="AU70" s="746" t="n">
        <v>45943</v>
      </c>
      <c r="AV70" s="746" t="n">
        <v>45950</v>
      </c>
      <c r="AW70" s="746" t="n">
        <v>45957</v>
      </c>
      <c r="AX70" s="746" t="n">
        <v>45964</v>
      </c>
      <c r="AY70" s="746" t="n">
        <v>45971</v>
      </c>
      <c r="AZ70" s="746" t="n">
        <v>45978</v>
      </c>
      <c r="BA70" s="746" t="n">
        <v>45985</v>
      </c>
      <c r="BB70" s="746" t="n">
        <v>45992</v>
      </c>
      <c r="BC70" s="746" t="n">
        <v>45999</v>
      </c>
      <c r="BD70" s="746" t="n">
        <v>46006</v>
      </c>
      <c r="BE70" s="746" t="n">
        <v>46013</v>
      </c>
      <c r="BF70" s="746" t="n">
        <v>46020</v>
      </c>
      <c r="BG70" s="746" t="n">
        <v>46027</v>
      </c>
      <c r="BH70" s="746" t="n">
        <v>46034</v>
      </c>
      <c r="BI70" s="746" t="n">
        <v>46041</v>
      </c>
      <c r="BJ70" s="746" t="n">
        <v>46048</v>
      </c>
      <c r="BK70" s="746" t="n">
        <v>46055</v>
      </c>
      <c r="BL70" s="746" t="n">
        <v>46062</v>
      </c>
      <c r="BM70" s="746" t="n">
        <v>46069</v>
      </c>
      <c r="BN70" s="746" t="n">
        <v>46076</v>
      </c>
      <c r="BO70" s="746" t="n">
        <v>46083</v>
      </c>
      <c r="BP70" s="746" t="n">
        <v>46090</v>
      </c>
      <c r="BQ70" s="746" t="n">
        <v>46097</v>
      </c>
      <c r="BR70" s="746" t="n">
        <v>46104</v>
      </c>
      <c r="BS70" s="746" t="n">
        <v>46111</v>
      </c>
      <c r="BT70" s="746" t="n">
        <v>46118</v>
      </c>
      <c r="BU70" s="746" t="n">
        <v>46125</v>
      </c>
      <c r="BV70" s="746" t="n">
        <v>46132</v>
      </c>
      <c r="BW70" s="746" t="n">
        <v>46139</v>
      </c>
      <c r="BX70" s="746" t="n">
        <v>46146</v>
      </c>
      <c r="BY70" s="758" t="inlineStr">
        <is>
          <t>USOU</t>
        </is>
      </c>
      <c r="CZ70" s="309" t="n"/>
      <c r="FK70" s="309" t="n"/>
      <c r="FL70" s="309" t="n"/>
      <c r="FO70" s="309" t="n"/>
      <c r="GB70" s="309" t="n"/>
      <c r="GC70" s="309" t="n"/>
      <c r="HD70" s="5" t="n"/>
      <c r="HP70" s="5" t="n"/>
      <c r="HW70" s="5" t="n"/>
      <c r="HX70" s="5" t="n"/>
      <c r="HY70" s="5" t="n"/>
      <c r="HZ70" s="5" t="n"/>
      <c r="IA70" s="5" t="n"/>
      <c r="IB70" s="5" t="n"/>
      <c r="IC70" s="5" t="n"/>
    </row>
    <row r="71" hidden="1">
      <c r="A71" s="37" t="inlineStr">
        <is>
          <t>SACOLA G HP/25</t>
        </is>
      </c>
      <c r="B71" s="699" t="n">
        <v>100</v>
      </c>
      <c r="C71" s="762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697" t="n">
        <v>0</v>
      </c>
      <c r="AL71" s="697" t="n">
        <v>0</v>
      </c>
      <c r="AM71" s="697" t="n">
        <v>0</v>
      </c>
      <c r="AN71" s="697">
        <f>0+DT9</f>
        <v/>
      </c>
      <c r="AO71" s="697">
        <f>100-60</f>
        <v/>
      </c>
      <c r="AP71" s="697" t="n">
        <v>31</v>
      </c>
      <c r="AQ71" s="697" t="n">
        <v>24</v>
      </c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>
        <v>2</v>
      </c>
      <c r="BB71" s="697" t="n">
        <v>2</v>
      </c>
      <c r="BC71" s="697" t="n">
        <v>1</v>
      </c>
      <c r="BD71" s="697" t="n">
        <v>0</v>
      </c>
      <c r="BE71" s="697" t="n">
        <v>0</v>
      </c>
      <c r="BF71" s="697" t="n">
        <v>0</v>
      </c>
      <c r="BG71" s="697" t="n">
        <v>0</v>
      </c>
      <c r="BH71" s="697" t="n">
        <v>0</v>
      </c>
      <c r="BI71" s="697" t="n">
        <v>0</v>
      </c>
      <c r="BJ71" s="697" t="n">
        <v>0</v>
      </c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431">
        <f>BW71+IF(NOT(ISBLANK(OFFSET(BY71,0,6))),N(OFFSET(BY71,0,6)),N(OFFSET(BY71,0,7)))-BX71</f>
        <v/>
      </c>
      <c r="CZ71" s="309" t="n"/>
      <c r="FK71" s="309" t="n"/>
      <c r="FL71" s="309" t="n"/>
      <c r="FO71" s="309" t="n"/>
      <c r="GB71" s="309" t="n"/>
      <c r="GC71" s="309" t="n"/>
      <c r="HD71" s="5" t="n"/>
      <c r="HP71" s="5" t="n"/>
      <c r="HW71" s="5" t="n"/>
      <c r="HX71" s="5" t="n"/>
      <c r="HY71" s="5" t="n"/>
      <c r="HZ71" s="5" t="n"/>
      <c r="IA71" s="5" t="n"/>
      <c r="IB71" s="5" t="n"/>
      <c r="IC71" s="5" t="n"/>
    </row>
    <row r="72" hidden="1">
      <c r="A72" s="37" t="inlineStr">
        <is>
          <t>TAG HP/25</t>
        </is>
      </c>
      <c r="B72" s="699" t="n">
        <v>100</v>
      </c>
      <c r="C72" s="762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697" t="n">
        <v>0</v>
      </c>
      <c r="AL72" s="697" t="n">
        <v>0</v>
      </c>
      <c r="AM72" s="697" t="n">
        <v>0</v>
      </c>
      <c r="AN72" s="697">
        <f>0+DT10</f>
        <v/>
      </c>
      <c r="AO72" s="697">
        <f>100-60</f>
        <v/>
      </c>
      <c r="AP72" s="697" t="n">
        <v>31</v>
      </c>
      <c r="AQ72" s="314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431">
        <f>BW72+IF(NOT(ISBLANK(OFFSET(BY72,0,6))),N(OFFSET(BY72,0,6)),N(OFFSET(BY72,0,7)))-BX72</f>
        <v/>
      </c>
      <c r="CZ72" s="309" t="n"/>
      <c r="FK72" s="309" t="n"/>
      <c r="FL72" s="309" t="n"/>
      <c r="FO72" s="309" t="n"/>
      <c r="GB72" s="309" t="n"/>
      <c r="GC72" s="309" t="n"/>
      <c r="HD72" s="5" t="n"/>
      <c r="HP72" s="5" t="n"/>
      <c r="HW72" s="5" t="n"/>
      <c r="HX72" s="5" t="n"/>
      <c r="HY72" s="5" t="n"/>
      <c r="HZ72" s="5" t="n"/>
      <c r="IA72" s="5" t="n"/>
      <c r="IB72" s="5" t="n"/>
      <c r="IC72" s="5" t="n"/>
    </row>
    <row r="73">
      <c r="A73" s="37" t="inlineStr">
        <is>
          <t>CARTUCHO P HP/25</t>
        </is>
      </c>
      <c r="B73" s="699" t="n">
        <v>150</v>
      </c>
      <c r="C73" s="762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697" t="n">
        <v>0</v>
      </c>
      <c r="AL73" s="697" t="n">
        <v>0</v>
      </c>
      <c r="AM73" s="697" t="n">
        <v>0</v>
      </c>
      <c r="AN73" s="697">
        <f>0+DT11</f>
        <v/>
      </c>
      <c r="AO73" s="697">
        <f>150-75</f>
        <v/>
      </c>
      <c r="AP73" s="697" t="n">
        <v>72</v>
      </c>
      <c r="AQ73" s="697" t="n">
        <v>72</v>
      </c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>
        <v>66</v>
      </c>
      <c r="BB73" s="697" t="n">
        <v>66</v>
      </c>
      <c r="BC73" s="697" t="n">
        <v>66</v>
      </c>
      <c r="BD73" s="697" t="n">
        <v>65</v>
      </c>
      <c r="BE73" s="697" t="n">
        <v>65</v>
      </c>
      <c r="BF73" s="697" t="n">
        <v>65</v>
      </c>
      <c r="BG73" s="697" t="n">
        <v>65</v>
      </c>
      <c r="BH73" s="697" t="n">
        <v>65</v>
      </c>
      <c r="BI73" s="697" t="n">
        <v>65</v>
      </c>
      <c r="BJ73" s="697" t="n">
        <v>65</v>
      </c>
      <c r="BK73" s="697" t="n">
        <v>65</v>
      </c>
      <c r="BL73" s="697" t="n">
        <v>65</v>
      </c>
      <c r="BM73" s="697" t="n">
        <v>65</v>
      </c>
      <c r="BN73" s="697" t="n">
        <v>65</v>
      </c>
      <c r="BO73" s="697" t="n">
        <v>65</v>
      </c>
      <c r="BP73" s="697" t="n">
        <v>65</v>
      </c>
      <c r="BQ73" s="697" t="n">
        <v>65</v>
      </c>
      <c r="BR73" s="697" t="n">
        <v>65</v>
      </c>
      <c r="BS73" s="697" t="n">
        <v>65</v>
      </c>
      <c r="BT73" s="697" t="n"/>
      <c r="BU73" s="697" t="n"/>
      <c r="BV73" s="697" t="n"/>
      <c r="BW73" s="697" t="n"/>
      <c r="BX73" s="697" t="n"/>
      <c r="BY73" s="431">
        <f>BW73+IF(NOT(ISBLANK(OFFSET(BY73,0,6))),N(OFFSET(BY73,0,6)),N(OFFSET(BY73,0,7)))-BX73</f>
        <v/>
      </c>
      <c r="CZ73" s="309" t="n"/>
      <c r="FK73" s="309" t="n"/>
      <c r="FL73" s="309" t="n"/>
      <c r="FO73" s="309" t="n"/>
      <c r="GB73" s="309" t="n"/>
      <c r="GC73" s="309" t="n"/>
      <c r="HD73" s="5" t="n"/>
      <c r="HP73" s="5" t="n"/>
      <c r="HW73" s="5" t="n"/>
      <c r="HX73" s="5" t="n"/>
      <c r="HY73" s="5" t="n"/>
      <c r="HZ73" s="5" t="n"/>
      <c r="IA73" s="5" t="n"/>
      <c r="IB73" s="5" t="n"/>
      <c r="IC73" s="5" t="n"/>
    </row>
    <row r="74">
      <c r="FK74" s="309" t="n"/>
      <c r="FN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6" t="n">
        <v>45985</v>
      </c>
      <c r="BB75" s="746" t="n">
        <v>45992</v>
      </c>
      <c r="BC75" s="746" t="n">
        <v>45999</v>
      </c>
      <c r="BD75" s="746" t="n">
        <v>46006</v>
      </c>
      <c r="BE75" s="746" t="n">
        <v>46013</v>
      </c>
      <c r="BF75" s="746" t="n">
        <v>46020</v>
      </c>
      <c r="BG75" s="746" t="n">
        <v>46027</v>
      </c>
      <c r="BH75" s="746" t="n">
        <v>46034</v>
      </c>
      <c r="BI75" s="746" t="n">
        <v>46041</v>
      </c>
      <c r="BJ75" s="746" t="n">
        <v>46048</v>
      </c>
      <c r="BK75" s="746" t="n">
        <v>46055</v>
      </c>
      <c r="BL75" s="746" t="n">
        <v>46062</v>
      </c>
      <c r="BM75" s="746" t="n">
        <v>46069</v>
      </c>
      <c r="BN75" s="746" t="n">
        <v>46076</v>
      </c>
      <c r="BO75" s="746" t="n">
        <v>46083</v>
      </c>
      <c r="BP75" s="746" t="n">
        <v>46090</v>
      </c>
      <c r="BQ75" s="746" t="n">
        <v>46097</v>
      </c>
      <c r="BR75" s="746" t="n">
        <v>46104</v>
      </c>
      <c r="BS75" s="746" t="n">
        <v>46111</v>
      </c>
      <c r="BT75" s="746" t="n">
        <v>46118</v>
      </c>
      <c r="BU75" s="746" t="n">
        <v>46125</v>
      </c>
      <c r="BV75" s="746" t="n">
        <v>46132</v>
      </c>
      <c r="BW75" s="746" t="n">
        <v>46139</v>
      </c>
      <c r="BX75" s="746" t="n">
        <v>46146</v>
      </c>
      <c r="BY75" s="758" t="inlineStr">
        <is>
          <t>USOU</t>
        </is>
      </c>
      <c r="FK75" s="309" t="n"/>
      <c r="FN75" s="309" t="n"/>
    </row>
    <row r="76">
      <c r="A76" s="37" t="inlineStr">
        <is>
          <t>SACOLA M</t>
        </is>
      </c>
      <c r="B76" s="699" t="n">
        <v>200</v>
      </c>
      <c r="C76" s="762" t="n">
        <v>479.2</v>
      </c>
      <c r="D76" s="382" t="n"/>
      <c r="BA76" s="697" t="n">
        <v>77</v>
      </c>
      <c r="BB76" s="697" t="n">
        <v>0</v>
      </c>
      <c r="BC76" s="697" t="n">
        <v>0</v>
      </c>
      <c r="BD76" s="314" t="n">
        <v>75</v>
      </c>
      <c r="BE76" s="697" t="n">
        <v>75</v>
      </c>
      <c r="BF76" s="697" t="n">
        <v>74</v>
      </c>
      <c r="BG76" s="697" t="n">
        <v>74</v>
      </c>
      <c r="BH76" s="697" t="n">
        <v>74</v>
      </c>
      <c r="BI76" s="697" t="n">
        <v>74</v>
      </c>
      <c r="BJ76" s="697" t="n">
        <v>73</v>
      </c>
      <c r="BK76" s="697" t="n">
        <v>73</v>
      </c>
      <c r="BL76" s="697" t="n">
        <v>73</v>
      </c>
      <c r="BM76" s="697" t="n">
        <v>73</v>
      </c>
      <c r="BN76" s="697" t="n">
        <v>73</v>
      </c>
      <c r="BO76" s="697" t="n">
        <v>73</v>
      </c>
      <c r="BP76" s="697" t="n">
        <v>73</v>
      </c>
      <c r="BQ76" s="697" t="n">
        <v>73</v>
      </c>
      <c r="BR76" s="697" t="n">
        <v>73</v>
      </c>
      <c r="BS76" s="697" t="n">
        <v>71</v>
      </c>
      <c r="BT76" s="697" t="n"/>
      <c r="BU76" s="697" t="n"/>
      <c r="BV76" s="697" t="n"/>
      <c r="BW76" s="697" t="n"/>
      <c r="BX76" s="697" t="n"/>
      <c r="BY76" s="431">
        <f>BW76+IF(NOT(ISBLANK(OFFSET(BY76,0,6))),N(OFFSET(BY76,0,6)),N(OFFSET(BY76,0,7)))-BX76</f>
        <v/>
      </c>
      <c r="FK76" s="309" t="n"/>
      <c r="FN76" s="309" t="n"/>
    </row>
    <row r="77" hidden="1">
      <c r="A77" s="37" t="inlineStr">
        <is>
          <t>PAPEL DE SEDA</t>
        </is>
      </c>
      <c r="B77" s="699" t="n">
        <v>200</v>
      </c>
      <c r="C77" s="762" t="n">
        <v>45.47</v>
      </c>
      <c r="D77" s="382" t="n"/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431">
        <f>BW77+IF(NOT(ISBLANK(OFFSET(BY77,0,6))),N(OFFSET(BY77,0,6)),N(OFFSET(BY77,0,7)))-BX77</f>
        <v/>
      </c>
      <c r="FK77" s="309" t="n"/>
      <c r="FN77" s="309" t="n"/>
    </row>
    <row r="78">
      <c r="A78" s="37" t="inlineStr">
        <is>
          <t>CAIXA M</t>
        </is>
      </c>
      <c r="B78" s="699" t="n">
        <v>100</v>
      </c>
      <c r="C78" s="762" t="n">
        <v>1490</v>
      </c>
      <c r="D78" s="382" t="n"/>
      <c r="BA78" s="697" t="n">
        <v>50</v>
      </c>
      <c r="BB78" s="697" t="n">
        <v>50</v>
      </c>
      <c r="BC78" s="697" t="n">
        <v>50</v>
      </c>
      <c r="BD78" s="697" t="n">
        <v>50</v>
      </c>
      <c r="BE78" s="697" t="n">
        <v>50</v>
      </c>
      <c r="BF78" s="697" t="n">
        <v>50</v>
      </c>
      <c r="BG78" s="697" t="n">
        <v>50</v>
      </c>
      <c r="BH78" s="697" t="n">
        <v>50</v>
      </c>
      <c r="BI78" s="697" t="n">
        <v>50</v>
      </c>
      <c r="BJ78" s="697" t="n">
        <v>50</v>
      </c>
      <c r="BK78" s="697" t="n">
        <v>50</v>
      </c>
      <c r="BL78" s="697" t="n">
        <v>50</v>
      </c>
      <c r="BM78" s="697" t="n">
        <v>50</v>
      </c>
      <c r="BN78" s="697" t="n">
        <v>50</v>
      </c>
      <c r="BO78" s="697" t="n">
        <v>50</v>
      </c>
      <c r="BP78" s="697" t="n">
        <v>50</v>
      </c>
      <c r="BQ78" s="697" t="n">
        <v>50</v>
      </c>
      <c r="BR78" s="697" t="n">
        <v>50</v>
      </c>
      <c r="BS78" s="697" t="n">
        <v>50</v>
      </c>
      <c r="BT78" s="697" t="n"/>
      <c r="BU78" s="697" t="n"/>
      <c r="BV78" s="697" t="n"/>
      <c r="BW78" s="697" t="n"/>
      <c r="BX78" s="697" t="n"/>
      <c r="BY78" s="431">
        <f>BW78+IF(NOT(ISBLANK(OFFSET(BY78,0,6))),N(OFFSET(BY78,0,6)),N(OFFSET(BY78,0,7)))-BX78</f>
        <v/>
      </c>
      <c r="FK78" s="309" t="n"/>
      <c r="FN78" s="309" t="n"/>
    </row>
    <row r="79">
      <c r="FK79" s="309" t="n"/>
      <c r="FN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6" t="n">
        <v>45985</v>
      </c>
      <c r="BB80" s="746" t="n">
        <v>45992</v>
      </c>
      <c r="BC80" s="746" t="n">
        <v>45999</v>
      </c>
      <c r="BD80" s="746" t="n">
        <v>46006</v>
      </c>
      <c r="BE80" s="746" t="n">
        <v>46013</v>
      </c>
      <c r="BF80" s="746" t="n">
        <v>46020</v>
      </c>
      <c r="BG80" s="746" t="n">
        <v>46027</v>
      </c>
      <c r="BH80" s="746" t="n">
        <v>46034</v>
      </c>
      <c r="BI80" s="746" t="n">
        <v>46041</v>
      </c>
      <c r="BJ80" s="746" t="n">
        <v>46048</v>
      </c>
      <c r="BK80" s="746" t="n">
        <v>46055</v>
      </c>
      <c r="BL80" s="746" t="n">
        <v>46062</v>
      </c>
      <c r="BM80" s="746" t="n">
        <v>46069</v>
      </c>
      <c r="BN80" s="746" t="n">
        <v>46076</v>
      </c>
      <c r="BO80" s="746" t="n">
        <v>46083</v>
      </c>
      <c r="BP80" s="746" t="n">
        <v>46090</v>
      </c>
      <c r="BQ80" s="746" t="n">
        <v>46097</v>
      </c>
      <c r="BR80" s="746" t="n">
        <v>46104</v>
      </c>
      <c r="BS80" s="746" t="n">
        <v>46111</v>
      </c>
      <c r="BT80" s="746" t="n">
        <v>46118</v>
      </c>
      <c r="BU80" s="746" t="n">
        <v>46125</v>
      </c>
      <c r="BV80" s="746" t="n">
        <v>46132</v>
      </c>
      <c r="BW80" s="746" t="n">
        <v>46139</v>
      </c>
      <c r="BX80" s="746" t="n">
        <v>46146</v>
      </c>
      <c r="BY80" s="758" t="inlineStr">
        <is>
          <t>USOU</t>
        </is>
      </c>
      <c r="FK80" s="309" t="n"/>
      <c r="FN80" s="309" t="n"/>
    </row>
    <row r="81">
      <c r="A81" s="37" t="inlineStr">
        <is>
          <t xml:space="preserve">SACOLA M </t>
        </is>
      </c>
      <c r="B81" s="699" t="n">
        <v>200</v>
      </c>
      <c r="C81" s="762" t="n">
        <v>336</v>
      </c>
      <c r="D81" s="382" t="n"/>
      <c r="BA81" s="697" t="n">
        <v>337</v>
      </c>
      <c r="BB81" s="697" t="n">
        <v>256</v>
      </c>
      <c r="BC81" s="697" t="n">
        <v>187</v>
      </c>
      <c r="BD81" s="697" t="n">
        <v>50</v>
      </c>
      <c r="BE81" s="697" t="n">
        <v>6</v>
      </c>
      <c r="BF81" s="697" t="n">
        <v>6</v>
      </c>
      <c r="BG81" s="697" t="n">
        <v>6</v>
      </c>
      <c r="BH81" s="697" t="n">
        <v>6</v>
      </c>
      <c r="BI81" s="697" t="n">
        <v>5</v>
      </c>
      <c r="BJ81" s="697" t="n">
        <v>5</v>
      </c>
      <c r="BK81" s="697" t="n">
        <v>5</v>
      </c>
      <c r="BL81" s="697" t="n">
        <v>5</v>
      </c>
      <c r="BM81" s="697" t="n">
        <v>5</v>
      </c>
      <c r="BN81" s="697" t="n">
        <v>5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/>
      <c r="BU81" s="697" t="n"/>
      <c r="BV81" s="697" t="n"/>
      <c r="BW81" s="697" t="n"/>
      <c r="BX81" s="697" t="n"/>
      <c r="BY81" s="431">
        <f>BW81+IF(NOT(ISBLANK(OFFSET(BY81,0,6))),N(OFFSET(BY81,0,6)),N(OFFSET(BY81,0,7)))-BX81</f>
        <v/>
      </c>
      <c r="FK81" s="309" t="n"/>
      <c r="FN81" s="309" t="n"/>
    </row>
    <row r="82">
      <c r="A82" s="37" t="inlineStr">
        <is>
          <t>PAPEL DE SEDA</t>
        </is>
      </c>
      <c r="B82" s="699" t="n">
        <v>200</v>
      </c>
      <c r="C82" s="762" t="n">
        <v>54</v>
      </c>
      <c r="D82" s="382" t="n"/>
      <c r="BA82" s="697" t="n">
        <v>347</v>
      </c>
      <c r="BB82" s="697" t="n">
        <v>347</v>
      </c>
      <c r="BC82" s="697" t="n">
        <v>287</v>
      </c>
      <c r="BD82" s="697" t="n">
        <v>267</v>
      </c>
      <c r="BE82" s="697" t="n">
        <v>247</v>
      </c>
      <c r="BF82" s="697" t="n">
        <v>247</v>
      </c>
      <c r="BG82" s="697" t="n">
        <v>247</v>
      </c>
      <c r="BH82" s="697" t="n">
        <v>247</v>
      </c>
      <c r="BI82" s="697" t="n">
        <v>247</v>
      </c>
      <c r="BJ82" s="697" t="n">
        <v>199</v>
      </c>
      <c r="BK82" s="697" t="n">
        <v>199</v>
      </c>
      <c r="BL82" s="697" t="n">
        <v>199</v>
      </c>
      <c r="BM82" s="697" t="n">
        <v>199</v>
      </c>
      <c r="BN82" s="697" t="n">
        <v>199</v>
      </c>
      <c r="BO82" s="697" t="n">
        <v>199</v>
      </c>
      <c r="BP82" s="697" t="n">
        <v>140</v>
      </c>
      <c r="BQ82" s="697" t="n">
        <v>140</v>
      </c>
      <c r="BR82" s="697" t="n">
        <v>125</v>
      </c>
      <c r="BS82" s="697" t="n">
        <v>125</v>
      </c>
      <c r="BT82" s="697" t="n"/>
      <c r="BU82" s="697" t="n"/>
      <c r="BV82" s="697" t="n"/>
      <c r="BW82" s="697" t="n"/>
      <c r="BX82" s="697" t="n"/>
      <c r="BY82" s="431">
        <f>BW82+IF(NOT(ISBLANK(OFFSET(BY82,0,6))),N(OFFSET(BY82,0,6)),N(OFFSET(BY82,0,7)))-BX82</f>
        <v/>
      </c>
      <c r="FK82" s="309" t="n"/>
      <c r="FN82" s="309" t="n"/>
    </row>
    <row r="83">
      <c r="A83" s="37" t="inlineStr">
        <is>
          <t>KIT TAG 10 C/ 20</t>
        </is>
      </c>
      <c r="B83" s="699" t="n">
        <v>200</v>
      </c>
      <c r="C83" s="762" t="n">
        <v>40</v>
      </c>
      <c r="D83" s="382" t="n"/>
      <c r="BA83" s="697" t="n">
        <v>5</v>
      </c>
      <c r="BB83" s="697" t="n">
        <v>4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10</v>
      </c>
      <c r="BQ83" s="697" t="n">
        <v>10</v>
      </c>
      <c r="BR83" s="697" t="n">
        <v>10</v>
      </c>
      <c r="BS83" s="697" t="n">
        <v>5</v>
      </c>
      <c r="BT83" s="697" t="n"/>
      <c r="BU83" s="697" t="n"/>
      <c r="BV83" s="697" t="n"/>
      <c r="BW83" s="697" t="n"/>
      <c r="BX83" s="697" t="n"/>
      <c r="BY83" s="431">
        <f>BW83+IF(NOT(ISBLANK(OFFSET(BY83,0,6))),N(OFFSET(BY83,0,6)),N(OFFSET(BY83,0,7)))-BX83</f>
        <v/>
      </c>
      <c r="FK83" s="309" t="n"/>
      <c r="FN83" s="309" t="n"/>
    </row>
    <row r="84">
      <c r="A84" s="347" t="inlineStr">
        <is>
          <t>CAIXA M</t>
        </is>
      </c>
      <c r="B84" s="32" t="n">
        <v>100</v>
      </c>
      <c r="C84" s="773" t="n">
        <v>904</v>
      </c>
      <c r="D84" s="32" t="n"/>
      <c r="BA84" s="697" t="n">
        <v>46</v>
      </c>
      <c r="BB84" s="697" t="n">
        <v>46</v>
      </c>
      <c r="BC84" s="697" t="n">
        <v>45</v>
      </c>
      <c r="BD84" s="697" t="n">
        <v>45</v>
      </c>
      <c r="BE84" s="697" t="n">
        <v>45</v>
      </c>
      <c r="BF84" s="697" t="n">
        <v>45</v>
      </c>
      <c r="BG84" s="697" t="n">
        <v>45</v>
      </c>
      <c r="BH84" s="697" t="n">
        <v>44</v>
      </c>
      <c r="BI84" s="697" t="n">
        <v>44</v>
      </c>
      <c r="BJ84" s="697" t="n">
        <v>44</v>
      </c>
      <c r="BK84" s="697" t="n">
        <v>44</v>
      </c>
      <c r="BL84" s="697" t="n">
        <v>44</v>
      </c>
      <c r="BM84" s="697" t="n">
        <v>44</v>
      </c>
      <c r="BN84" s="697" t="n">
        <v>44</v>
      </c>
      <c r="BO84" s="697" t="n">
        <v>44</v>
      </c>
      <c r="BP84" s="697" t="n">
        <v>44</v>
      </c>
      <c r="BQ84" s="697" t="n">
        <v>44</v>
      </c>
      <c r="BR84" s="697" t="n">
        <v>43</v>
      </c>
      <c r="BS84" s="697" t="n">
        <v>43</v>
      </c>
      <c r="BT84" s="697" t="n"/>
      <c r="BU84" s="697" t="n"/>
      <c r="BV84" s="697" t="n"/>
      <c r="BW84" s="697" t="n"/>
      <c r="BX84" s="697" t="n"/>
      <c r="BY84" s="431">
        <f>BW84+IF(NOT(ISBLANK(OFFSET(BY84,0,6))),N(OFFSET(BY84,0,6)),N(OFFSET(BY84,0,7)))-BX84</f>
        <v/>
      </c>
      <c r="FK84" s="309" t="n"/>
      <c r="FN84" s="309" t="n"/>
    </row>
    <row r="85">
      <c r="A85" s="347" t="inlineStr">
        <is>
          <t>CARTUCHO P</t>
        </is>
      </c>
      <c r="B85" s="32" t="n">
        <v>200</v>
      </c>
      <c r="C85" s="773" t="n">
        <v>464</v>
      </c>
      <c r="D85" s="32" t="n"/>
      <c r="BA85" s="697" t="n">
        <v>187</v>
      </c>
      <c r="BB85" s="697" t="n">
        <v>182</v>
      </c>
      <c r="BC85" s="697" t="n">
        <v>171</v>
      </c>
      <c r="BD85" s="697" t="n">
        <v>171</v>
      </c>
      <c r="BE85" s="697" t="n">
        <v>167</v>
      </c>
      <c r="BF85" s="697" t="n">
        <v>167</v>
      </c>
      <c r="BG85" s="697" t="n">
        <v>167</v>
      </c>
      <c r="BH85" s="697" t="n">
        <v>167</v>
      </c>
      <c r="BI85" s="697" t="n">
        <v>167</v>
      </c>
      <c r="BJ85" s="697" t="n">
        <v>167</v>
      </c>
      <c r="BK85" s="697" t="n">
        <v>167</v>
      </c>
      <c r="BL85" s="697" t="n">
        <v>167</v>
      </c>
      <c r="BM85" s="697" t="n">
        <v>167</v>
      </c>
      <c r="BN85" s="697" t="n">
        <v>167</v>
      </c>
      <c r="BO85" s="697" t="n">
        <v>167</v>
      </c>
      <c r="BP85" s="697" t="n">
        <v>167</v>
      </c>
      <c r="BQ85" s="697" t="n">
        <v>167</v>
      </c>
      <c r="BR85" s="697" t="n">
        <v>165</v>
      </c>
      <c r="BS85" s="697" t="n">
        <v>165</v>
      </c>
      <c r="BT85" s="697" t="n"/>
      <c r="BU85" s="697" t="n"/>
      <c r="BV85" s="697" t="n"/>
      <c r="BW85" s="697" t="n"/>
      <c r="BX85" s="697" t="n"/>
      <c r="BY85" s="431">
        <f>BW85+IF(NOT(ISBLANK(OFFSET(BY85,0,6))),N(OFFSET(BY85,0,6)),N(OFFSET(BY85,0,7)))-BX85</f>
        <v/>
      </c>
      <c r="FK85" s="309" t="n"/>
      <c r="FN85" s="309" t="n"/>
    </row>
    <row r="86">
      <c r="FK86" s="309" t="n"/>
      <c r="FN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6" t="n">
        <v>45985</v>
      </c>
      <c r="BB87" s="746" t="n">
        <v>45992</v>
      </c>
      <c r="BC87" s="746" t="n">
        <v>45999</v>
      </c>
      <c r="BD87" s="746" t="n">
        <v>46006</v>
      </c>
      <c r="BE87" s="746" t="n">
        <v>46013</v>
      </c>
      <c r="BF87" s="746" t="n">
        <v>46020</v>
      </c>
      <c r="BG87" s="746" t="n">
        <v>46027</v>
      </c>
      <c r="BH87" s="746" t="n">
        <v>46034</v>
      </c>
      <c r="BI87" s="746" t="n">
        <v>46041</v>
      </c>
      <c r="BJ87" s="746" t="n">
        <v>46048</v>
      </c>
      <c r="BK87" s="746" t="n">
        <v>46055</v>
      </c>
      <c r="BL87" s="746" t="n">
        <v>46062</v>
      </c>
      <c r="BM87" s="746" t="n">
        <v>46069</v>
      </c>
      <c r="BN87" s="746" t="n">
        <v>46076</v>
      </c>
      <c r="BO87" s="746" t="n">
        <v>46083</v>
      </c>
      <c r="BP87" s="746" t="n">
        <v>46090</v>
      </c>
      <c r="BQ87" s="746" t="n">
        <v>46097</v>
      </c>
      <c r="BR87" s="746" t="n">
        <v>46104</v>
      </c>
      <c r="BS87" s="746" t="n">
        <v>46111</v>
      </c>
      <c r="BT87" s="746" t="n">
        <v>46118</v>
      </c>
      <c r="BU87" s="746" t="n">
        <v>46125</v>
      </c>
      <c r="BV87" s="746" t="n">
        <v>46132</v>
      </c>
      <c r="BW87" s="746" t="n">
        <v>46139</v>
      </c>
      <c r="BX87" s="746" t="n">
        <v>46146</v>
      </c>
      <c r="BY87" s="758" t="inlineStr">
        <is>
          <t>USOU</t>
        </is>
      </c>
      <c r="FK87" s="309" t="n"/>
      <c r="FN87" s="309" t="n"/>
    </row>
    <row r="88">
      <c r="A88" s="37" t="inlineStr">
        <is>
          <t>SACOLA P</t>
        </is>
      </c>
      <c r="B88" s="699" t="n">
        <v>200</v>
      </c>
      <c r="C88" s="762" t="n">
        <v>274.2</v>
      </c>
      <c r="D88" s="382" t="n"/>
      <c r="BA88" s="697" t="n">
        <v>104</v>
      </c>
      <c r="BB88" s="697" t="n">
        <v>78</v>
      </c>
      <c r="BC88" s="697" t="n">
        <v>41</v>
      </c>
      <c r="BD88" s="697" t="n">
        <v>33</v>
      </c>
      <c r="BE88" s="697" t="n">
        <v>3</v>
      </c>
      <c r="BF88" s="697" t="n">
        <v>2</v>
      </c>
      <c r="BG88" s="697" t="n">
        <v>2</v>
      </c>
      <c r="BH88" s="697" t="n">
        <v>2</v>
      </c>
      <c r="BI88" s="697" t="n">
        <v>2</v>
      </c>
      <c r="BJ88" s="697" t="n">
        <v>2</v>
      </c>
      <c r="BK88" s="697" t="n">
        <v>2</v>
      </c>
      <c r="BL88" s="697" t="n">
        <v>2</v>
      </c>
      <c r="BM88" s="697" t="n">
        <v>2</v>
      </c>
      <c r="BN88" s="697" t="n">
        <v>2</v>
      </c>
      <c r="BO88" s="697" t="n">
        <v>2</v>
      </c>
      <c r="BP88" s="697" t="n">
        <v>2</v>
      </c>
      <c r="BQ88" s="697" t="n">
        <v>2</v>
      </c>
      <c r="BR88" s="697" t="n">
        <v>2</v>
      </c>
      <c r="BS88" s="697" t="n">
        <v>2</v>
      </c>
      <c r="BT88" s="697" t="n"/>
      <c r="BU88" s="697" t="n"/>
      <c r="BV88" s="697" t="n"/>
      <c r="BW88" s="697" t="n"/>
      <c r="BX88" s="697" t="n"/>
      <c r="BY88" s="431">
        <f>BW88+IF(NOT(ISBLANK(OFFSET(BY88,0,6))),N(OFFSET(BY88,0,6)),N(OFFSET(BY88,0,7)))-BX88</f>
        <v/>
      </c>
      <c r="FK88" s="309" t="n"/>
      <c r="FN88" s="309" t="n"/>
    </row>
    <row r="89">
      <c r="A89" s="37" t="inlineStr">
        <is>
          <t>SACOLA M</t>
        </is>
      </c>
      <c r="B89" s="699" t="n">
        <v>200</v>
      </c>
      <c r="C89" s="762" t="n">
        <v>347.8</v>
      </c>
      <c r="D89" s="382" t="n"/>
      <c r="BA89" s="697" t="n">
        <v>138</v>
      </c>
      <c r="BB89" s="697" t="n">
        <v>126</v>
      </c>
      <c r="BC89" s="697" t="n">
        <v>104</v>
      </c>
      <c r="BD89" s="697" t="n">
        <v>94</v>
      </c>
      <c r="BE89" s="697" t="n">
        <v>82</v>
      </c>
      <c r="BF89" s="697" t="n">
        <v>79</v>
      </c>
      <c r="BG89" s="697" t="n">
        <v>79</v>
      </c>
      <c r="BH89" s="697" t="n">
        <v>79</v>
      </c>
      <c r="BI89" s="697" t="n">
        <v>79</v>
      </c>
      <c r="BJ89" s="697" t="n">
        <v>78</v>
      </c>
      <c r="BK89" s="697" t="n">
        <v>78</v>
      </c>
      <c r="BL89" s="697" t="n">
        <v>70</v>
      </c>
      <c r="BM89" s="697" t="n">
        <v>70</v>
      </c>
      <c r="BN89" s="697" t="n">
        <v>65</v>
      </c>
      <c r="BO89" s="697" t="n">
        <v>56</v>
      </c>
      <c r="BP89" s="697" t="n">
        <v>54</v>
      </c>
      <c r="BQ89" s="697" t="n">
        <v>54</v>
      </c>
      <c r="BR89" s="697" t="n">
        <v>52</v>
      </c>
      <c r="BS89" s="697" t="n">
        <v>51</v>
      </c>
      <c r="BT89" s="697" t="n"/>
      <c r="BU89" s="697" t="n"/>
      <c r="BV89" s="697" t="n"/>
      <c r="BW89" s="697" t="n"/>
      <c r="BX89" s="697" t="n"/>
      <c r="BY89" s="431">
        <f>BW89+IF(NOT(ISBLANK(OFFSET(BY89,0,6))),N(OFFSET(BY89,0,6)),N(OFFSET(BY89,0,7)))-BX89</f>
        <v/>
      </c>
      <c r="FK89" s="309" t="n"/>
      <c r="FN89" s="309" t="n"/>
    </row>
    <row r="90">
      <c r="A90" s="37" t="inlineStr">
        <is>
          <t>SACOLA G</t>
        </is>
      </c>
      <c r="B90" s="699" t="n">
        <v>100</v>
      </c>
      <c r="C90" s="762" t="n">
        <v>267</v>
      </c>
      <c r="D90" s="382" t="n"/>
      <c r="BA90" s="697" t="n">
        <v>46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-4</v>
      </c>
      <c r="BG90" s="697" t="n">
        <v>-4</v>
      </c>
      <c r="BH90" s="697" t="n">
        <v>-4</v>
      </c>
      <c r="BI90" s="697" t="n">
        <v>0</v>
      </c>
      <c r="BJ90" s="697" t="n">
        <v>-4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/>
      <c r="BU90" s="697" t="n"/>
      <c r="BV90" s="697" t="n"/>
      <c r="BW90" s="697" t="n"/>
      <c r="BX90" s="697" t="n"/>
      <c r="BY90" s="431">
        <f>BW90+IF(NOT(ISBLANK(OFFSET(BY90,0,6))),N(OFFSET(BY90,0,6)),N(OFFSET(BY90,0,7)))-BX90</f>
        <v/>
      </c>
      <c r="FK90" s="309" t="n"/>
      <c r="FN90" s="309" t="n"/>
    </row>
    <row r="91">
      <c r="A91" s="347" t="inlineStr">
        <is>
          <t xml:space="preserve">PAPEL DE SEDA </t>
        </is>
      </c>
      <c r="B91" s="32" t="n">
        <v>200</v>
      </c>
      <c r="C91" s="773" t="n">
        <v>44.4</v>
      </c>
      <c r="D91" s="32" t="n"/>
      <c r="BA91" s="697" t="n">
        <v>368</v>
      </c>
      <c r="BB91" s="697" t="n">
        <v>324</v>
      </c>
      <c r="BC91" s="697" t="n">
        <v>169</v>
      </c>
      <c r="BD91" s="697" t="n">
        <v>150</v>
      </c>
      <c r="BE91" s="697" t="n">
        <v>83</v>
      </c>
      <c r="BF91" s="697" t="n">
        <v>83</v>
      </c>
      <c r="BG91" s="697" t="n">
        <v>-83</v>
      </c>
      <c r="BH91" s="697" t="n">
        <v>-83</v>
      </c>
      <c r="BI91" s="697" t="n">
        <v>0</v>
      </c>
      <c r="BJ91" s="697" t="n">
        <v>-83</v>
      </c>
      <c r="BK91" s="697" t="n">
        <v>83</v>
      </c>
      <c r="BL91" s="697" t="n">
        <v>83</v>
      </c>
      <c r="BM91" s="697" t="n">
        <v>83</v>
      </c>
      <c r="BN91" s="697" t="n">
        <v>83</v>
      </c>
      <c r="BO91" s="697" t="n">
        <v>83</v>
      </c>
      <c r="BP91" s="697" t="n">
        <v>83</v>
      </c>
      <c r="BQ91" s="697" t="n">
        <v>83</v>
      </c>
      <c r="BR91" s="697" t="n">
        <v>63</v>
      </c>
      <c r="BS91" s="697" t="n">
        <v>0</v>
      </c>
      <c r="BT91" s="697" t="n"/>
      <c r="BU91" s="697" t="n"/>
      <c r="BV91" s="697" t="n"/>
      <c r="BW91" s="697" t="n"/>
      <c r="BX91" s="697" t="n"/>
      <c r="BY91" s="431">
        <f>BW91+IF(NOT(ISBLANK(OFFSET(BY91,0,6))),N(OFFSET(BY91,0,6)),N(OFFSET(BY91,0,7)))-BX91</f>
        <v/>
      </c>
      <c r="FK91" s="309" t="n"/>
      <c r="FN91" s="309" t="n"/>
    </row>
    <row r="92">
      <c r="A92" s="347" t="inlineStr">
        <is>
          <t>CAIXA P</t>
        </is>
      </c>
      <c r="B92" s="32" t="n">
        <v>150</v>
      </c>
      <c r="C92" s="773" t="n">
        <v>805.35</v>
      </c>
      <c r="D92" s="32" t="n"/>
      <c r="BA92" s="697" t="n">
        <v>29</v>
      </c>
      <c r="BB92" s="697" t="n">
        <v>29</v>
      </c>
      <c r="BC92" s="697" t="n">
        <v>24</v>
      </c>
      <c r="BD92" s="697" t="n">
        <v>18</v>
      </c>
      <c r="BE92" s="697" t="n">
        <v>11</v>
      </c>
      <c r="BF92" s="697" t="n">
        <v>11</v>
      </c>
      <c r="BG92" s="697" t="n">
        <v>11</v>
      </c>
      <c r="BH92" s="697" t="n">
        <v>11</v>
      </c>
      <c r="BI92" s="697" t="n">
        <v>11</v>
      </c>
      <c r="BJ92" s="697" t="n">
        <v>11</v>
      </c>
      <c r="BK92" s="697" t="n">
        <v>10</v>
      </c>
      <c r="BL92" s="697" t="n">
        <v>10</v>
      </c>
      <c r="BM92" s="697" t="n">
        <v>10</v>
      </c>
      <c r="BN92" s="697" t="n">
        <v>10</v>
      </c>
      <c r="BO92" s="697" t="n">
        <v>10</v>
      </c>
      <c r="BP92" s="697" t="n">
        <v>9</v>
      </c>
      <c r="BQ92" s="697" t="n">
        <v>9</v>
      </c>
      <c r="BR92" s="697" t="n">
        <v>8</v>
      </c>
      <c r="BS92" s="697" t="n">
        <v>7</v>
      </c>
      <c r="BT92" s="697" t="n"/>
      <c r="BU92" s="697" t="n"/>
      <c r="BV92" s="697" t="n"/>
      <c r="BW92" s="697" t="n"/>
      <c r="BX92" s="697" t="n"/>
      <c r="BY92" s="431">
        <f>BW92+IF(NOT(ISBLANK(OFFSET(BY92,0,6))),N(OFFSET(BY92,0,6)),N(OFFSET(BY92,0,7)))-BX92</f>
        <v/>
      </c>
      <c r="FK92" s="309" t="n"/>
      <c r="FN92" s="309" t="n"/>
    </row>
    <row r="93">
      <c r="A93" s="347" t="inlineStr">
        <is>
          <t>CAIXA M</t>
        </is>
      </c>
      <c r="B93" s="32" t="n">
        <v>100</v>
      </c>
      <c r="C93" s="773" t="n">
        <v>792.2</v>
      </c>
      <c r="D93" s="32" t="n"/>
      <c r="BA93" s="697" t="n">
        <v>48</v>
      </c>
      <c r="BB93" s="697" t="n">
        <v>43</v>
      </c>
      <c r="BC93" s="697" t="n">
        <v>35</v>
      </c>
      <c r="BD93" s="697" t="n">
        <v>23</v>
      </c>
      <c r="BE93" s="697" t="n">
        <v>2</v>
      </c>
      <c r="BF93" s="697" t="n">
        <v>2</v>
      </c>
      <c r="BG93" s="697" t="n">
        <v>2</v>
      </c>
      <c r="BH93" s="697" t="n">
        <v>2</v>
      </c>
      <c r="BI93" s="697" t="n">
        <v>2</v>
      </c>
      <c r="BJ93" s="697" t="n">
        <v>2</v>
      </c>
      <c r="BK93" s="697" t="n">
        <v>2</v>
      </c>
      <c r="BL93" s="697" t="n">
        <v>0</v>
      </c>
      <c r="BM93" s="697" t="n">
        <v>0</v>
      </c>
      <c r="BN93" s="697" t="n">
        <v>0</v>
      </c>
      <c r="BO93" s="697" t="n">
        <v>0</v>
      </c>
      <c r="BP93" s="697" t="n">
        <v>0</v>
      </c>
      <c r="BQ93" s="697" t="n">
        <v>0</v>
      </c>
      <c r="BR93" s="697" t="n">
        <v>0</v>
      </c>
      <c r="BS93" s="697" t="n">
        <v>0</v>
      </c>
      <c r="BT93" s="697" t="n"/>
      <c r="BU93" s="697" t="n"/>
      <c r="BV93" s="697" t="n"/>
      <c r="BW93" s="697" t="n"/>
      <c r="BX93" s="697" t="n"/>
      <c r="BY93" s="431">
        <f>BW93+IF(NOT(ISBLANK(OFFSET(BY93,0,6))),N(OFFSET(BY93,0,6)),N(OFFSET(BY93,0,7)))-BX93</f>
        <v/>
      </c>
      <c r="FK93" s="309" t="n"/>
      <c r="FN93" s="309" t="n"/>
    </row>
    <row r="94">
      <c r="A94" s="347" t="inlineStr">
        <is>
          <t>CARTUCHO P</t>
        </is>
      </c>
      <c r="B94" s="32" t="n">
        <v>200</v>
      </c>
      <c r="C94" s="773" t="n">
        <v>487.2</v>
      </c>
      <c r="D94" s="32" t="n"/>
      <c r="BA94" s="697" t="n">
        <v>0</v>
      </c>
      <c r="BB94" s="697" t="n">
        <v>0</v>
      </c>
      <c r="BC94" s="697" t="n">
        <v>0</v>
      </c>
      <c r="BD94" s="697" t="n">
        <v>0</v>
      </c>
      <c r="BE94" s="697" t="n">
        <v>0</v>
      </c>
      <c r="BF94" s="697" t="n">
        <v>0</v>
      </c>
      <c r="BG94" s="697" t="n">
        <v>0</v>
      </c>
      <c r="BH94" s="697" t="n">
        <v>0</v>
      </c>
      <c r="BI94" s="697" t="n">
        <v>0</v>
      </c>
      <c r="BJ94" s="697" t="n">
        <v>0</v>
      </c>
      <c r="BK94" s="697" t="n">
        <v>0</v>
      </c>
      <c r="BL94" s="697" t="n">
        <v>0</v>
      </c>
      <c r="BM94" s="697" t="n">
        <v>0</v>
      </c>
      <c r="BN94" s="697" t="n">
        <v>0</v>
      </c>
      <c r="BO94" s="697" t="n">
        <v>0</v>
      </c>
      <c r="BP94" s="697" t="n">
        <v>0</v>
      </c>
      <c r="BQ94" s="697" t="n">
        <v>0</v>
      </c>
      <c r="BR94" s="697" t="n">
        <v>0</v>
      </c>
      <c r="BS94" s="697" t="n">
        <v>0</v>
      </c>
      <c r="BT94" s="697" t="n"/>
      <c r="BU94" s="697" t="n"/>
      <c r="BV94" s="697" t="n"/>
      <c r="BW94" s="697" t="n"/>
      <c r="BX94" s="697" t="n"/>
      <c r="BY94" s="431">
        <f>BW94+IF(NOT(ISBLANK(OFFSET(BY94,0,6))),N(OFFSET(BY94,0,6)),N(OFFSET(BY94,0,7)))-BX94</f>
        <v/>
      </c>
      <c r="FK94" s="309" t="n"/>
      <c r="FN94" s="309" t="n"/>
    </row>
    <row r="95">
      <c r="A95" s="347" t="inlineStr">
        <is>
          <t>CARTUCHO M</t>
        </is>
      </c>
      <c r="B95" s="32" t="n">
        <v>150</v>
      </c>
      <c r="C95" s="773" t="n">
        <v>460.35</v>
      </c>
      <c r="D95" s="32" t="n"/>
      <c r="BA95" s="697" t="n">
        <v>0</v>
      </c>
      <c r="BB95" s="697" t="n">
        <v>0</v>
      </c>
      <c r="BC95" s="697" t="n">
        <v>0</v>
      </c>
      <c r="BD95" s="697" t="n">
        <v>0</v>
      </c>
      <c r="BE95" s="697" t="n">
        <v>0</v>
      </c>
      <c r="BF95" s="697" t="n">
        <v>0</v>
      </c>
      <c r="BG95" s="697" t="n">
        <v>0</v>
      </c>
      <c r="BH95" s="697" t="n">
        <v>0</v>
      </c>
      <c r="BI95" s="697" t="n">
        <v>0</v>
      </c>
      <c r="BJ95" s="697" t="n">
        <v>0</v>
      </c>
      <c r="BK95" s="697" t="n">
        <v>0</v>
      </c>
      <c r="BL95" s="697" t="n">
        <v>0</v>
      </c>
      <c r="BM95" s="697" t="n">
        <v>0</v>
      </c>
      <c r="BN95" s="697" t="n">
        <v>0</v>
      </c>
      <c r="BO95" s="697" t="n">
        <v>0</v>
      </c>
      <c r="BP95" s="697" t="n">
        <v>0</v>
      </c>
      <c r="BQ95" s="697" t="n">
        <v>0</v>
      </c>
      <c r="BR95" s="697" t="n">
        <v>0</v>
      </c>
      <c r="BS95" s="697" t="n">
        <v>0</v>
      </c>
      <c r="BT95" s="697" t="n"/>
      <c r="BU95" s="697" t="n"/>
      <c r="BV95" s="697" t="n"/>
      <c r="BW95" s="697" t="n"/>
      <c r="BX95" s="697" t="n"/>
      <c r="BY95" s="431">
        <f>BW95+IF(NOT(ISBLANK(OFFSET(BY95,0,6))),N(OFFSET(BY95,0,6)),N(OFFSET(BY95,0,7)))-BX95</f>
        <v/>
      </c>
      <c r="FK95" s="309" t="n"/>
      <c r="FN95" s="309" t="n"/>
    </row>
    <row r="96">
      <c r="FK96" s="309" t="n"/>
      <c r="FN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6" t="n"/>
      <c r="BB97" s="746" t="n"/>
      <c r="BC97" s="746" t="n"/>
      <c r="BD97" s="746" t="n"/>
      <c r="BE97" s="746" t="n"/>
      <c r="BF97" s="746" t="n"/>
      <c r="BG97" s="746" t="n"/>
      <c r="BH97" s="746" t="n">
        <v>46034</v>
      </c>
      <c r="BI97" s="746" t="n">
        <v>46041</v>
      </c>
      <c r="BJ97" s="746" t="n">
        <v>46048</v>
      </c>
      <c r="BK97" s="746" t="n">
        <v>46055</v>
      </c>
      <c r="BL97" s="746" t="n">
        <v>46062</v>
      </c>
      <c r="BM97" s="746" t="n">
        <v>46069</v>
      </c>
      <c r="BN97" s="746" t="n">
        <v>46076</v>
      </c>
      <c r="BO97" s="746" t="n">
        <v>46083</v>
      </c>
      <c r="BP97" s="746" t="n">
        <v>46090</v>
      </c>
      <c r="BQ97" s="746" t="n">
        <v>46097</v>
      </c>
      <c r="BR97" s="746" t="n">
        <v>46104</v>
      </c>
      <c r="BS97" s="746" t="n">
        <v>46111</v>
      </c>
      <c r="BT97" s="746" t="n">
        <v>46118</v>
      </c>
      <c r="BU97" s="746" t="n">
        <v>46125</v>
      </c>
      <c r="BV97" s="746" t="n">
        <v>46132</v>
      </c>
      <c r="BW97" s="746" t="n">
        <v>46139</v>
      </c>
      <c r="BX97" s="746" t="n">
        <v>46146</v>
      </c>
      <c r="BY97" s="758" t="inlineStr">
        <is>
          <t>USOU</t>
        </is>
      </c>
      <c r="FK97" s="309" t="n"/>
      <c r="FN97" s="309" t="n"/>
    </row>
    <row r="98">
      <c r="A98" s="37" t="inlineStr">
        <is>
          <t>ETIQUETA BRANCA 100X80</t>
        </is>
      </c>
      <c r="B98" s="699" t="n">
        <v>1</v>
      </c>
      <c r="C98" s="762" t="n">
        <v>25.9</v>
      </c>
      <c r="D98" s="382" t="n"/>
      <c r="BA98" s="697" t="n"/>
      <c r="BB98" s="697" t="n"/>
      <c r="BC98" s="697" t="n"/>
      <c r="BD98" s="697" t="n"/>
      <c r="BE98" s="697" t="n"/>
      <c r="BF98" s="697" t="n"/>
      <c r="BG98" s="697" t="n"/>
      <c r="BH98" s="697">
        <f>2+30</f>
        <v/>
      </c>
      <c r="BI98" s="697" t="n">
        <v>30</v>
      </c>
      <c r="BJ98" s="697" t="n">
        <v>30</v>
      </c>
      <c r="BK98" s="697" t="n">
        <v>29</v>
      </c>
      <c r="BL98" s="697" t="n">
        <v>27</v>
      </c>
      <c r="BM98" s="697" t="n"/>
      <c r="BN98" s="697" t="n"/>
      <c r="BO98" s="697" t="n">
        <v>27</v>
      </c>
      <c r="BP98" s="697" t="n">
        <v>22</v>
      </c>
      <c r="BQ98" s="697" t="n">
        <v>27</v>
      </c>
      <c r="BR98" s="697" t="n">
        <v>22</v>
      </c>
      <c r="BS98" s="697" t="n">
        <v>21</v>
      </c>
      <c r="BT98" s="697" t="n">
        <v>7</v>
      </c>
      <c r="BU98" s="697" t="n">
        <v>5</v>
      </c>
      <c r="BV98" s="697" t="n">
        <v>3</v>
      </c>
      <c r="BW98" s="697" t="n">
        <v>1</v>
      </c>
      <c r="BX98" s="314" t="n">
        <v>10</v>
      </c>
      <c r="BY98" s="431">
        <f>BW98+IF(NOT(ISBLANK(OFFSET(BY98,0,6))),N(OFFSET(BY98,0,6)),N(OFFSET(BY98,0,7)))-BX98</f>
        <v/>
      </c>
      <c r="FK98" s="309" t="n"/>
      <c r="FN98" s="309" t="n"/>
    </row>
    <row r="99">
      <c r="A99" s="37" t="inlineStr">
        <is>
          <t>RIBBON DE CERA 110X74</t>
        </is>
      </c>
      <c r="B99" s="699" t="n">
        <v>1</v>
      </c>
      <c r="C99" s="762" t="n">
        <v>7.9</v>
      </c>
      <c r="D99" s="382" t="n"/>
      <c r="BA99" s="697" t="n"/>
      <c r="BB99" s="697" t="n"/>
      <c r="BC99" s="697" t="n"/>
      <c r="BD99" s="697" t="n"/>
      <c r="BE99" s="697" t="n"/>
      <c r="BF99" s="697" t="n"/>
      <c r="BG99" s="697" t="n"/>
      <c r="BH99" s="697">
        <f>3+30</f>
        <v/>
      </c>
      <c r="BI99" s="697" t="n">
        <v>30</v>
      </c>
      <c r="BJ99" s="697" t="n">
        <v>30</v>
      </c>
      <c r="BK99" s="697" t="n">
        <v>29</v>
      </c>
      <c r="BL99" s="697" t="n">
        <v>27</v>
      </c>
      <c r="BM99" s="697" t="n"/>
      <c r="BN99" s="697" t="n"/>
      <c r="BO99" s="697" t="n">
        <v>27</v>
      </c>
      <c r="BP99" s="697" t="n">
        <v>23</v>
      </c>
      <c r="BQ99" s="697" t="n">
        <v>27</v>
      </c>
      <c r="BR99" s="697" t="n">
        <v>9</v>
      </c>
      <c r="BS99" s="697" t="n">
        <v>8</v>
      </c>
      <c r="BT99" s="697" t="n">
        <v>21</v>
      </c>
      <c r="BU99" s="697" t="n">
        <v>20</v>
      </c>
      <c r="BV99" s="697" t="n">
        <v>18</v>
      </c>
      <c r="BW99" s="697" t="n">
        <v>17</v>
      </c>
      <c r="BX99" s="697" t="n">
        <v>16</v>
      </c>
      <c r="BY99" s="431">
        <f>BW99+IF(NOT(ISBLANK(OFFSET(BY99,0,6))),N(OFFSET(BY99,0,6)),N(OFFSET(BY99,0,7)))-BX99</f>
        <v/>
      </c>
      <c r="FK99" s="309" t="n"/>
      <c r="FN99" s="309" t="n"/>
    </row>
    <row r="100" ht="19.5" customHeight="1" thickBot="1">
      <c r="FK100" s="309" t="n"/>
      <c r="FN100" s="309" t="n"/>
    </row>
    <row r="101" ht="24" customHeight="1" thickBot="1">
      <c r="A101" s="839" t="n">
        <v>2026</v>
      </c>
      <c r="B101" s="836" t="n"/>
      <c r="C101" s="836" t="n"/>
      <c r="D101" s="836" t="n"/>
      <c r="E101" s="836" t="n"/>
      <c r="F101" s="836" t="n"/>
      <c r="G101" s="836" t="n"/>
      <c r="H101" s="836" t="n"/>
      <c r="I101" s="836" t="n"/>
      <c r="J101" s="836" t="n"/>
      <c r="K101" s="836" t="n"/>
      <c r="L101" s="836" t="n"/>
      <c r="M101" s="836" t="n"/>
      <c r="N101" s="836" t="n"/>
      <c r="O101" s="836" t="n"/>
      <c r="P101" s="836" t="n"/>
      <c r="Q101" s="836" t="n"/>
      <c r="R101" s="836" t="n"/>
      <c r="S101" s="836" t="n"/>
      <c r="T101" s="836" t="n"/>
      <c r="U101" s="836" t="n"/>
      <c r="V101" s="836" t="n"/>
      <c r="W101" s="836" t="n"/>
      <c r="X101" s="836" t="n"/>
      <c r="Y101" s="836" t="n"/>
      <c r="Z101" s="836" t="n"/>
      <c r="AA101" s="836" t="n"/>
      <c r="AB101" s="836" t="n"/>
      <c r="AC101" s="836" t="n"/>
      <c r="AD101" s="836" t="n"/>
      <c r="AE101" s="836" t="n"/>
      <c r="AF101" s="836" t="n"/>
      <c r="AG101" s="836" t="n"/>
      <c r="AH101" s="836" t="n"/>
      <c r="AI101" s="836" t="n"/>
      <c r="AJ101" s="836" t="n"/>
      <c r="AK101" s="836" t="n"/>
      <c r="AL101" s="836" t="n"/>
      <c r="AM101" s="836" t="n"/>
      <c r="AN101" s="836" t="n"/>
      <c r="AO101" s="836" t="n"/>
      <c r="AP101" s="836" t="n"/>
      <c r="AQ101" s="836" t="n"/>
      <c r="AR101" s="836" t="n"/>
      <c r="AS101" s="836" t="n"/>
      <c r="AT101" s="836" t="n"/>
      <c r="AU101" s="836" t="n"/>
      <c r="AV101" s="836" t="n"/>
      <c r="AW101" s="836" t="n"/>
      <c r="AX101" s="836" t="n"/>
      <c r="AY101" s="836" t="n"/>
      <c r="AZ101" s="836" t="n"/>
      <c r="BA101" s="836" t="n"/>
      <c r="BB101" s="836" t="n"/>
      <c r="BC101" s="836" t="n"/>
      <c r="BD101" s="836" t="n"/>
      <c r="BE101" s="836" t="n"/>
      <c r="BF101" s="836" t="n"/>
      <c r="BG101" s="836" t="n"/>
      <c r="BH101" s="836" t="n"/>
      <c r="BI101" s="836" t="n"/>
      <c r="BJ101" s="836" t="n"/>
      <c r="BK101" s="836" t="n"/>
      <c r="BL101" s="836" t="n"/>
      <c r="BM101" s="836" t="n"/>
      <c r="BN101" s="836" t="n"/>
      <c r="BO101" s="836" t="n"/>
      <c r="BP101" s="836" t="n"/>
      <c r="BQ101" s="836" t="n"/>
      <c r="BR101" s="836" t="n"/>
      <c r="BS101" s="836" t="n"/>
      <c r="BT101" s="836" t="n"/>
      <c r="BU101" s="836" t="n"/>
      <c r="BV101" s="836" t="n"/>
      <c r="BW101" s="836" t="n"/>
      <c r="BX101" s="836" t="n"/>
      <c r="BY101" s="840" t="n"/>
      <c r="FK101" s="309" t="n"/>
      <c r="FN101" s="309" t="n"/>
    </row>
    <row r="102">
      <c r="FK102" s="309" t="n"/>
      <c r="FN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6" t="n">
        <v>46069</v>
      </c>
      <c r="BN103" s="746" t="n">
        <v>46076</v>
      </c>
      <c r="BO103" s="746" t="n">
        <v>46083</v>
      </c>
      <c r="BP103" s="746" t="n">
        <v>46090</v>
      </c>
      <c r="BQ103" s="746" t="n">
        <v>46097</v>
      </c>
      <c r="BR103" s="746" t="n">
        <v>46104</v>
      </c>
      <c r="BS103" s="746" t="n">
        <v>46111</v>
      </c>
      <c r="BT103" s="746" t="n">
        <v>46118</v>
      </c>
      <c r="BU103" s="746" t="n">
        <v>46125</v>
      </c>
      <c r="BV103" s="746" t="n">
        <v>46132</v>
      </c>
      <c r="BW103" s="746" t="n">
        <v>46139</v>
      </c>
      <c r="BX103" s="746" t="n">
        <v>46146</v>
      </c>
      <c r="BY103" s="758" t="inlineStr">
        <is>
          <t>USOU</t>
        </is>
      </c>
      <c r="FK103" s="309" t="n"/>
      <c r="FN103" s="309" t="n"/>
    </row>
    <row r="104">
      <c r="A104" s="37" t="inlineStr">
        <is>
          <t xml:space="preserve">SACOLA M </t>
        </is>
      </c>
      <c r="B104" s="699" t="n">
        <v>150</v>
      </c>
      <c r="C104" s="762" t="n"/>
      <c r="D104" s="382" t="n"/>
      <c r="BM104" s="697" t="n">
        <v>0</v>
      </c>
      <c r="BN104" s="697" t="n">
        <v>0</v>
      </c>
      <c r="BO104" s="697" t="n">
        <v>0</v>
      </c>
      <c r="BP104" s="697">
        <f>CM10</f>
        <v/>
      </c>
      <c r="BQ104" s="697" t="n"/>
      <c r="BR104" s="697" t="n"/>
      <c r="BS104" s="697" t="n"/>
      <c r="BT104" s="697" t="n">
        <v>450</v>
      </c>
      <c r="BU104" s="697" t="n">
        <v>600</v>
      </c>
      <c r="BV104" s="697" t="n">
        <v>300</v>
      </c>
      <c r="BW104" s="697" t="n">
        <v>150</v>
      </c>
      <c r="BX104" s="697" t="n">
        <v>150</v>
      </c>
      <c r="BY104" s="431">
        <f>BW104+IF(NOT(ISBLANK(OFFSET(BY104,0,6))),N(OFFSET(BY104,0,6)),N(OFFSET(BY104,0,7)))-BX104</f>
        <v/>
      </c>
      <c r="FK104" s="309" t="n"/>
      <c r="FN104" s="309" t="n"/>
    </row>
    <row r="105">
      <c r="A105" s="37" t="inlineStr">
        <is>
          <t>ADESIVO</t>
        </is>
      </c>
      <c r="B105" s="699" t="n">
        <v>1000</v>
      </c>
      <c r="C105" s="762" t="n"/>
      <c r="D105" s="382" t="n"/>
      <c r="BM105" s="697" t="n">
        <v>0</v>
      </c>
      <c r="BN105" s="697" t="n">
        <v>0</v>
      </c>
      <c r="BO105" s="697" t="n">
        <v>0</v>
      </c>
      <c r="BP105" s="697">
        <f>CM22</f>
        <v/>
      </c>
      <c r="BQ105" s="697" t="n"/>
      <c r="BR105" s="697" t="n"/>
      <c r="BS105" s="697" t="n"/>
      <c r="BT105" s="697" t="n">
        <v>0</v>
      </c>
      <c r="BU105" s="697" t="n">
        <v>0</v>
      </c>
      <c r="BV105" s="697" t="n">
        <v>0</v>
      </c>
      <c r="BW105" s="697" t="n">
        <v>0</v>
      </c>
      <c r="BX105" s="697" t="n">
        <v>0</v>
      </c>
      <c r="BY105" s="431">
        <f>BW105+IF(NOT(ISBLANK(OFFSET(BY105,0,6))),N(OFFSET(BY105,0,6)),N(OFFSET(BY105,0,7)))-BX105</f>
        <v/>
      </c>
      <c r="FK105" s="309" t="n"/>
      <c r="FN105" s="309" t="n"/>
    </row>
    <row r="106">
      <c r="A106" s="37" t="inlineStr">
        <is>
          <t>PAPEL DE SEDA</t>
        </is>
      </c>
      <c r="B106" s="699" t="n">
        <v>200</v>
      </c>
      <c r="C106" s="762" t="n"/>
      <c r="D106" s="382" t="n"/>
      <c r="BM106" s="697" t="n">
        <v>0</v>
      </c>
      <c r="BN106" s="697" t="n">
        <v>0</v>
      </c>
      <c r="BO106" s="697" t="n">
        <v>0</v>
      </c>
      <c r="BP106" s="697">
        <f>CM21</f>
        <v/>
      </c>
      <c r="BQ106" s="697" t="n"/>
      <c r="BR106" s="697" t="n"/>
      <c r="BS106" s="697" t="n"/>
      <c r="BT106" s="697" t="n">
        <v>0</v>
      </c>
      <c r="BU106" s="697" t="n">
        <v>0</v>
      </c>
      <c r="BV106" s="697" t="n">
        <v>0</v>
      </c>
      <c r="BW106" s="697" t="n">
        <v>0</v>
      </c>
      <c r="BX106" s="697" t="n">
        <v>0</v>
      </c>
      <c r="BY106" s="431">
        <f>BW106+IF(NOT(ISBLANK(OFFSET(BY106,0,6))),N(OFFSET(BY106,0,6)),N(OFFSET(BY106,0,7)))-BX106</f>
        <v/>
      </c>
      <c r="FK106" s="309" t="n"/>
      <c r="FN106" s="309" t="n"/>
    </row>
    <row r="107">
      <c r="A107" s="37" t="inlineStr">
        <is>
          <t>SACOLA M VENDA</t>
        </is>
      </c>
      <c r="B107" s="699" t="n">
        <v>150</v>
      </c>
      <c r="C107" s="762" t="n"/>
      <c r="D107" s="382" t="n"/>
      <c r="BM107" s="697" t="n">
        <v>0</v>
      </c>
      <c r="BN107" s="697" t="n">
        <v>0</v>
      </c>
      <c r="BO107" s="697" t="n">
        <v>0</v>
      </c>
      <c r="BP107" s="697">
        <f>CM18</f>
        <v/>
      </c>
      <c r="BQ107" s="697" t="n">
        <v>138</v>
      </c>
      <c r="BR107" s="697" t="n">
        <v>0</v>
      </c>
      <c r="BS107" s="697" t="n">
        <v>0</v>
      </c>
      <c r="BT107" s="697" t="n"/>
      <c r="BU107" s="697" t="n"/>
      <c r="BV107" s="697" t="n"/>
      <c r="BW107" s="697" t="n"/>
      <c r="BX107" s="697" t="n"/>
      <c r="BY107" s="431">
        <f>BW107+IF(NOT(ISBLANK(OFFSET(BY107,0,6))),N(OFFSET(BY107,0,6)),N(OFFSET(BY107,0,7)))-BX107</f>
        <v/>
      </c>
      <c r="FK107" s="309" t="n"/>
      <c r="FN107" s="309" t="n"/>
    </row>
    <row r="108">
      <c r="A108" s="37" t="inlineStr">
        <is>
          <t>KIT TAG 10 C/ 20</t>
        </is>
      </c>
      <c r="B108" s="699" t="n">
        <v>200</v>
      </c>
      <c r="C108" s="762" t="n"/>
      <c r="D108" s="382" t="n"/>
      <c r="BM108" s="697" t="n">
        <v>0</v>
      </c>
      <c r="BN108" s="697" t="n">
        <v>0</v>
      </c>
      <c r="BO108" s="697" t="n">
        <v>0</v>
      </c>
      <c r="BP108" s="697">
        <f>CM23</f>
        <v/>
      </c>
      <c r="BQ108" s="697" t="n">
        <v>10</v>
      </c>
      <c r="BR108" s="697" t="n">
        <v>10</v>
      </c>
      <c r="BS108" s="697" t="n">
        <v>5</v>
      </c>
      <c r="BT108" s="697" t="n"/>
      <c r="BU108" s="697" t="n"/>
      <c r="BV108" s="697" t="n"/>
      <c r="BW108" s="697" t="n"/>
      <c r="BX108" s="697" t="n"/>
      <c r="BY108" s="431">
        <f>BW108+IF(NOT(ISBLANK(OFFSET(BY108,0,6))),N(OFFSET(BY108,0,6)),N(OFFSET(BY108,0,7)))-BX108</f>
        <v/>
      </c>
      <c r="FK108" s="309" t="n"/>
      <c r="FN108" s="309" t="n"/>
    </row>
    <row r="109">
      <c r="A109" s="347" t="inlineStr">
        <is>
          <t>CAIXA M</t>
        </is>
      </c>
      <c r="B109" s="32" t="n">
        <v>100</v>
      </c>
      <c r="C109" s="773" t="n"/>
      <c r="D109" s="32" t="n"/>
      <c r="BM109" s="697" t="n">
        <v>0</v>
      </c>
      <c r="BN109" s="697" t="n">
        <v>0</v>
      </c>
      <c r="BO109" s="697" t="n">
        <v>0</v>
      </c>
      <c r="BP109" s="697">
        <f>CM27</f>
        <v/>
      </c>
      <c r="BQ109" s="697" t="n">
        <v>100</v>
      </c>
      <c r="BR109" s="697" t="n">
        <v>100</v>
      </c>
      <c r="BS109" s="697" t="n">
        <v>49</v>
      </c>
      <c r="BT109" s="697" t="n"/>
      <c r="BU109" s="697" t="n"/>
      <c r="BV109" s="697" t="n"/>
      <c r="BW109" s="697" t="n"/>
      <c r="BX109" s="697" t="n"/>
      <c r="BY109" s="431">
        <f>BW109+IF(NOT(ISBLANK(OFFSET(BY109,0,6))),N(OFFSET(BY109,0,6)),N(OFFSET(BY109,0,7)))-BX109</f>
        <v/>
      </c>
      <c r="FK109" s="309" t="n"/>
      <c r="FN109" s="309" t="n"/>
    </row>
    <row r="110">
      <c r="A110" s="347" t="inlineStr">
        <is>
          <t>CARTUCHO P</t>
        </is>
      </c>
      <c r="B110" s="32" t="n">
        <v>200</v>
      </c>
      <c r="C110" s="773" t="n"/>
      <c r="D110" s="32" t="n"/>
      <c r="BM110" s="697" t="n">
        <v>0</v>
      </c>
      <c r="BN110" s="697" t="n">
        <v>0</v>
      </c>
      <c r="BO110" s="697" t="n">
        <v>0</v>
      </c>
      <c r="BP110" s="697">
        <f>CM26</f>
        <v/>
      </c>
      <c r="BQ110" s="697" t="n">
        <v>200</v>
      </c>
      <c r="BR110" s="697" t="n">
        <v>194</v>
      </c>
      <c r="BS110" s="697" t="n">
        <v>144</v>
      </c>
      <c r="BT110" s="697" t="n"/>
      <c r="BU110" s="697" t="n"/>
      <c r="BV110" s="697" t="n"/>
      <c r="BW110" s="697" t="n"/>
      <c r="BX110" s="697" t="n"/>
      <c r="BY110" s="431">
        <f>BW110+IF(NOT(ISBLANK(OFFSET(BY110,0,6))),N(OFFSET(BY110,0,6)),N(OFFSET(BY110,0,7)))-BX110</f>
        <v/>
      </c>
      <c r="FK110" s="309" t="n"/>
      <c r="FN110" s="309" t="n"/>
    </row>
    <row r="111">
      <c r="FK111" s="309" t="n"/>
      <c r="FN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6" t="n">
        <v>46069</v>
      </c>
      <c r="BN112" s="746" t="n">
        <v>46076</v>
      </c>
      <c r="BO112" s="746" t="n">
        <v>46083</v>
      </c>
      <c r="BP112" s="746" t="n">
        <v>46090</v>
      </c>
      <c r="BQ112" s="746" t="n">
        <v>46097</v>
      </c>
      <c r="BR112" s="746" t="n">
        <v>46104</v>
      </c>
      <c r="BS112" s="746" t="n">
        <v>46111</v>
      </c>
      <c r="BT112" s="746" t="n">
        <v>46118</v>
      </c>
      <c r="BU112" s="746" t="n">
        <v>46125</v>
      </c>
      <c r="BV112" s="746" t="n">
        <v>46132</v>
      </c>
      <c r="BW112" s="746" t="n">
        <v>46139</v>
      </c>
      <c r="BX112" s="746" t="n">
        <v>46146</v>
      </c>
      <c r="BY112" s="758" t="inlineStr">
        <is>
          <t>USOU</t>
        </is>
      </c>
      <c r="FK112" s="309" t="n"/>
      <c r="FN112" s="309" t="n"/>
    </row>
    <row r="113">
      <c r="A113" s="37" t="inlineStr">
        <is>
          <t>SACOLA P</t>
        </is>
      </c>
      <c r="B113" s="699" t="n">
        <v>200</v>
      </c>
      <c r="C113" s="762" t="n"/>
      <c r="D113" s="382" t="n"/>
      <c r="BM113" s="697" t="n">
        <v>0</v>
      </c>
      <c r="BN113" s="697" t="n">
        <v>0</v>
      </c>
      <c r="BO113" s="697" t="n">
        <v>0</v>
      </c>
      <c r="BP113" s="697" t="n">
        <v>0</v>
      </c>
      <c r="BQ113" s="697" t="n">
        <v>0</v>
      </c>
      <c r="BR113" s="697" t="n">
        <v>0</v>
      </c>
      <c r="BS113" s="697">
        <f>CJ9</f>
        <v/>
      </c>
      <c r="BT113" s="697" t="n">
        <v>2600</v>
      </c>
      <c r="BU113" s="697" t="n">
        <v>1800</v>
      </c>
      <c r="BV113" s="697" t="n">
        <v>1400</v>
      </c>
      <c r="BW113" s="697" t="n">
        <v>800</v>
      </c>
      <c r="BX113" s="697" t="n">
        <v>0</v>
      </c>
      <c r="BY113" s="431">
        <f>BW113+IF(NOT(ISBLANK(OFFSET(BY113,0,6))),N(OFFSET(BY113,0,6)),N(OFFSET(BY113,0,7)))-BX113</f>
        <v/>
      </c>
      <c r="FK113" s="309" t="n"/>
      <c r="FN113" s="309" t="n"/>
    </row>
    <row r="114">
      <c r="A114" s="37" t="inlineStr">
        <is>
          <t>SACOLA M</t>
        </is>
      </c>
      <c r="B114" s="699" t="n">
        <v>200</v>
      </c>
      <c r="C114" s="762" t="n"/>
      <c r="D114" s="382" t="n"/>
      <c r="BM114" s="697" t="n">
        <v>0</v>
      </c>
      <c r="BN114" s="697" t="n">
        <v>0</v>
      </c>
      <c r="BO114" s="697" t="n">
        <v>0</v>
      </c>
      <c r="BP114" s="697" t="n">
        <v>0</v>
      </c>
      <c r="BQ114" s="697" t="n">
        <v>0</v>
      </c>
      <c r="BR114" s="697" t="n">
        <v>0</v>
      </c>
      <c r="BS114" s="697">
        <f>CJ10</f>
        <v/>
      </c>
      <c r="BT114" s="697" t="n">
        <v>2400</v>
      </c>
      <c r="BU114" s="697" t="n">
        <v>2200</v>
      </c>
      <c r="BV114" s="697" t="n">
        <v>2000</v>
      </c>
      <c r="BW114" s="697" t="n">
        <v>2000</v>
      </c>
      <c r="BX114" s="697" t="n">
        <v>1600</v>
      </c>
      <c r="BY114" s="431">
        <f>BW114+IF(NOT(ISBLANK(OFFSET(BY114,0,6))),N(OFFSET(BY114,0,6)),N(OFFSET(BY114,0,7)))-BX114</f>
        <v/>
      </c>
      <c r="FK114" s="309" t="n"/>
      <c r="FN114" s="309" t="n"/>
    </row>
    <row r="115">
      <c r="A115" s="37" t="inlineStr">
        <is>
          <t>SACOLA G</t>
        </is>
      </c>
      <c r="B115" s="699" t="n">
        <v>100</v>
      </c>
      <c r="C115" s="762" t="n"/>
      <c r="D115" s="382" t="n"/>
      <c r="BM115" s="697" t="n">
        <v>0</v>
      </c>
      <c r="BN115" s="697" t="n">
        <v>0</v>
      </c>
      <c r="BO115" s="697" t="n">
        <v>0</v>
      </c>
      <c r="BP115" s="697" t="n">
        <v>0</v>
      </c>
      <c r="BQ115" s="697" t="n">
        <v>0</v>
      </c>
      <c r="BR115" s="697" t="n">
        <v>0</v>
      </c>
      <c r="BS115" s="697">
        <f>CJ11</f>
        <v/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431">
        <f>BW115+IF(NOT(ISBLANK(OFFSET(BY115,0,6))),N(OFFSET(BY115,0,6)),N(OFFSET(BY115,0,7)))-BX115</f>
        <v/>
      </c>
      <c r="FK115" s="309" t="n"/>
      <c r="FN115" s="309" t="n"/>
    </row>
    <row r="116">
      <c r="A116" s="37" t="inlineStr">
        <is>
          <t>SACOLA P VENDA</t>
        </is>
      </c>
      <c r="B116" s="699" t="n">
        <v>200</v>
      </c>
      <c r="C116" s="762" t="n"/>
      <c r="D116" s="382" t="n"/>
      <c r="BM116" s="697" t="n">
        <v>0</v>
      </c>
      <c r="BN116" s="697" t="n">
        <v>0</v>
      </c>
      <c r="BO116" s="697" t="n">
        <v>0</v>
      </c>
      <c r="BP116" s="697" t="n">
        <v>0</v>
      </c>
      <c r="BQ116" s="697" t="n">
        <v>0</v>
      </c>
      <c r="BR116" s="697" t="n">
        <v>0</v>
      </c>
      <c r="BS116" s="697">
        <f>CJ17</f>
        <v/>
      </c>
      <c r="BT116" s="697" t="n"/>
      <c r="BU116" s="697" t="n"/>
      <c r="BV116" s="697" t="n"/>
      <c r="BW116" s="697" t="n"/>
      <c r="BX116" s="697" t="n"/>
      <c r="BY116" s="431">
        <f>BW116+IF(NOT(ISBLANK(OFFSET(BY116,0,6))),N(OFFSET(BY116,0,6)),N(OFFSET(BY116,0,7)))-BX116</f>
        <v/>
      </c>
      <c r="FK116" s="309" t="n"/>
      <c r="FN116" s="309" t="n"/>
    </row>
    <row r="117">
      <c r="A117" s="37" t="inlineStr">
        <is>
          <t>SACOLA M VENDA</t>
        </is>
      </c>
      <c r="B117" s="699" t="n">
        <v>200</v>
      </c>
      <c r="C117" s="762" t="n"/>
      <c r="D117" s="382" t="n"/>
      <c r="BM117" s="697" t="n">
        <v>0</v>
      </c>
      <c r="BN117" s="697" t="n">
        <v>0</v>
      </c>
      <c r="BO117" s="697" t="n">
        <v>0</v>
      </c>
      <c r="BP117" s="697" t="n">
        <v>0</v>
      </c>
      <c r="BQ117" s="697" t="n">
        <v>0</v>
      </c>
      <c r="BR117" s="697" t="n">
        <v>0</v>
      </c>
      <c r="BS117" s="697">
        <f>CJ18</f>
        <v/>
      </c>
      <c r="BT117" s="697" t="n"/>
      <c r="BU117" s="697" t="n"/>
      <c r="BV117" s="697" t="n"/>
      <c r="BW117" s="697" t="n"/>
      <c r="BX117" s="697" t="n"/>
      <c r="BY117" s="431">
        <f>BW117+IF(NOT(ISBLANK(OFFSET(BY117,0,6))),N(OFFSET(BY117,0,6)),N(OFFSET(BY117,0,7)))-BX117</f>
        <v/>
      </c>
      <c r="FK117" s="309" t="n"/>
      <c r="FN117" s="309" t="n"/>
    </row>
    <row r="118">
      <c r="A118" s="347" t="inlineStr">
        <is>
          <t>KIT PAPEL DE SEDA 10 C/ 20</t>
        </is>
      </c>
      <c r="B118" s="32" t="n">
        <v>200</v>
      </c>
      <c r="C118" s="773" t="n"/>
      <c r="D118" s="32" t="n"/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0</v>
      </c>
      <c r="BS118" s="697">
        <f>CJ21</f>
        <v/>
      </c>
      <c r="BT118" s="697" t="n"/>
      <c r="BU118" s="697" t="n"/>
      <c r="BV118" s="697" t="n"/>
      <c r="BW118" s="697" t="n"/>
      <c r="BX118" s="697" t="n"/>
      <c r="BY118" s="431">
        <f>BW118+IF(NOT(ISBLANK(OFFSET(BY118,0,6))),N(OFFSET(BY118,0,6)),N(OFFSET(BY118,0,7)))-BX118</f>
        <v/>
      </c>
      <c r="FK118" s="309" t="n"/>
      <c r="FN118" s="309" t="n"/>
    </row>
    <row r="119">
      <c r="A119" s="347" t="inlineStr">
        <is>
          <t>CAIXA P</t>
        </is>
      </c>
      <c r="B119" s="32" t="n">
        <v>150</v>
      </c>
      <c r="C119" s="773" t="n"/>
      <c r="D119" s="32" t="n"/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0</v>
      </c>
      <c r="BS119" s="697">
        <f>CJ26</f>
        <v/>
      </c>
      <c r="BT119" s="697" t="n"/>
      <c r="BU119" s="697" t="n"/>
      <c r="BV119" s="697" t="n"/>
      <c r="BW119" s="697" t="n"/>
      <c r="BX119" s="697" t="n"/>
      <c r="BY119" s="431">
        <f>BW119+IF(NOT(ISBLANK(OFFSET(BY119,0,6))),N(OFFSET(BY119,0,6)),N(OFFSET(BY119,0,7)))-BX119</f>
        <v/>
      </c>
      <c r="FK119" s="309" t="n"/>
      <c r="FN119" s="309" t="n"/>
    </row>
    <row r="120">
      <c r="A120" s="347" t="inlineStr">
        <is>
          <t>CAIXA M</t>
        </is>
      </c>
      <c r="B120" s="32" t="n">
        <v>100</v>
      </c>
      <c r="C120" s="773" t="n"/>
      <c r="D120" s="32" t="n"/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0</v>
      </c>
      <c r="BS120" s="697">
        <f>CJ27</f>
        <v/>
      </c>
      <c r="BT120" s="697" t="n"/>
      <c r="BU120" s="697" t="n"/>
      <c r="BV120" s="697" t="n"/>
      <c r="BW120" s="697" t="n"/>
      <c r="BX120" s="697" t="n"/>
      <c r="BY120" s="431">
        <f>BW120+IF(NOT(ISBLANK(OFFSET(BY120,0,6))),N(OFFSET(BY120,0,6)),N(OFFSET(BY120,0,7)))-BX120</f>
        <v/>
      </c>
      <c r="FK120" s="309" t="n"/>
      <c r="FN120" s="309" t="n"/>
    </row>
    <row r="121">
      <c r="A121" s="347" t="inlineStr">
        <is>
          <t>CARTUCHO M</t>
        </is>
      </c>
      <c r="B121" s="32" t="n">
        <v>150</v>
      </c>
      <c r="C121" s="773" t="n"/>
      <c r="D121" s="32" t="n"/>
      <c r="BM121" s="697" t="n">
        <v>0</v>
      </c>
      <c r="BN121" s="697" t="n">
        <v>0</v>
      </c>
      <c r="BO121" s="697" t="n">
        <v>0</v>
      </c>
      <c r="BP121" s="697" t="n">
        <v>0</v>
      </c>
      <c r="BQ121" s="697" t="n">
        <v>0</v>
      </c>
      <c r="BR121" s="697" t="n">
        <v>0</v>
      </c>
      <c r="BS121" s="697" t="n">
        <v>0</v>
      </c>
      <c r="BT121" s="697" t="n"/>
      <c r="BU121" s="697" t="n"/>
      <c r="BV121" s="697" t="n"/>
      <c r="BW121" s="697" t="n"/>
      <c r="BX121" s="697" t="n"/>
      <c r="BY121" s="431">
        <f>BW121+IF(NOT(ISBLANK(OFFSET(BY121,0,6))),N(OFFSET(BY121,0,6)),N(OFFSET(BY121,0,7)))-BX121</f>
        <v/>
      </c>
      <c r="FK121" s="309" t="n"/>
      <c r="FN121" s="309" t="n"/>
    </row>
    <row r="122">
      <c r="FK122" s="309" t="n"/>
      <c r="FN122" s="309" t="n"/>
    </row>
    <row r="123" ht="21" customHeight="1">
      <c r="A123" s="838" t="inlineStr">
        <is>
          <t>SOBRAS DATAS COMEMORATIVAS</t>
        </is>
      </c>
      <c r="B123" s="731" t="n"/>
      <c r="C123" s="775" t="n"/>
      <c r="FK123" s="308" t="n"/>
      <c r="FN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P124" s="47" t="n"/>
      <c r="DT124" s="47" t="n"/>
      <c r="FK124" s="308" t="n"/>
      <c r="FN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A125" s="5" t="n"/>
      <c r="CB125" s="5" t="n"/>
      <c r="CD125" s="5" t="n"/>
      <c r="CF125" s="5" t="n"/>
      <c r="CG125" s="5" t="n"/>
      <c r="CH125" s="5" t="n"/>
      <c r="CI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306" t="n"/>
      <c r="DA125" s="5" t="n"/>
      <c r="DB125" s="5" t="n"/>
      <c r="DC125" s="5" t="n"/>
      <c r="DD125" s="5" t="n"/>
      <c r="DE125" s="5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47" t="n"/>
      <c r="DQ125" s="5" t="n"/>
      <c r="DR125" s="5" t="n"/>
      <c r="DS125" s="5" t="n"/>
      <c r="DT125" s="47" t="n"/>
      <c r="DU125" s="5" t="n"/>
      <c r="DV125" s="5" t="n"/>
      <c r="DW125" s="5" t="n"/>
      <c r="DX125" s="5" t="n"/>
      <c r="DY125" s="5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L125" s="5" t="n"/>
      <c r="FM125" s="5" t="n"/>
      <c r="FP125" s="5" t="n"/>
      <c r="FQ125" s="5" t="n"/>
      <c r="FR125" s="5" t="n"/>
      <c r="FS125" s="5" t="n"/>
      <c r="FT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JD125" s="59" t="n"/>
      <c r="JE125" s="59" t="n"/>
      <c r="JF125" s="59" t="n"/>
      <c r="JG125" s="59" t="n"/>
      <c r="JH125" s="59" t="n"/>
      <c r="JI125" s="59" t="n"/>
      <c r="JJ125" s="59" t="n"/>
      <c r="JK125" s="59" t="n"/>
      <c r="JL125" s="59" t="n"/>
      <c r="JM125" s="59" t="n"/>
      <c r="JN125" s="59" t="n"/>
      <c r="JO125" s="59" t="n"/>
      <c r="JP125" s="59" t="n"/>
      <c r="JQ125" s="59" t="n"/>
      <c r="JR125" s="59" t="n"/>
      <c r="JS125" s="59" t="n"/>
      <c r="JT125" s="59" t="n"/>
      <c r="JU125" s="59" t="n"/>
      <c r="JV125" s="59" t="n"/>
      <c r="JW125" s="59" t="n"/>
      <c r="JX125" s="59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73" t="n"/>
      <c r="KL125" s="29" t="n"/>
      <c r="KM125" s="29" t="n"/>
      <c r="KN125" s="29" t="n"/>
      <c r="KO125" s="29" t="n"/>
      <c r="KP125" s="29" t="n"/>
      <c r="KQ125" s="29" t="n"/>
      <c r="KR125" s="29" t="n"/>
      <c r="KS125" s="29" t="n"/>
      <c r="KT125" s="29" t="n"/>
      <c r="KU125" s="29" t="n"/>
      <c r="KV125" s="29" t="n"/>
      <c r="KW125" s="29" t="n"/>
      <c r="KX125" s="29" t="n"/>
      <c r="KY125" s="29" t="n"/>
      <c r="KZ125" s="29" t="n"/>
      <c r="LA125" s="29" t="n"/>
      <c r="LB125" s="29" t="n"/>
      <c r="LC125" s="29" t="n"/>
      <c r="LD125" s="29" t="n"/>
      <c r="LE125" s="29" t="n"/>
      <c r="LF125" s="29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L125" s="29" t="n"/>
      <c r="NN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</row>
    <row r="126">
      <c r="A126" s="392" t="n"/>
      <c r="B126" s="393" t="n"/>
      <c r="C126" s="393" t="n"/>
      <c r="FO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GT5:GU6"/>
    <mergeCell ref="GV7:GV9"/>
    <mergeCell ref="HM25:HM26"/>
    <mergeCell ref="GX7:GX9"/>
    <mergeCell ref="GQ5:GQ6"/>
    <mergeCell ref="HH7:HH9"/>
    <mergeCell ref="A1:E1"/>
    <mergeCell ref="GU25:GU26"/>
    <mergeCell ref="HR7:HR8"/>
    <mergeCell ref="GZ7:GZ9"/>
    <mergeCell ref="GK5:GK6"/>
    <mergeCell ref="GX25:GX26"/>
    <mergeCell ref="HE15:HE16"/>
    <mergeCell ref="GZ25:GZ26"/>
    <mergeCell ref="HG15:HG16"/>
    <mergeCell ref="HI15:HI16"/>
    <mergeCell ref="HJ25:HJ26"/>
    <mergeCell ref="GU7:GU9"/>
    <mergeCell ref="HL25:HL26"/>
    <mergeCell ref="HI7:HI9"/>
    <mergeCell ref="GY7:GY9"/>
    <mergeCell ref="HA7:HA9"/>
    <mergeCell ref="A101:BY101"/>
    <mergeCell ref="HO15:HO16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GT7:GT9"/>
    <mergeCell ref="HL7:HL9"/>
    <mergeCell ref="GM5:GM6"/>
    <mergeCell ref="HN7:HN9"/>
    <mergeCell ref="GO5:GO6"/>
    <mergeCell ref="HF7:HF9"/>
    <mergeCell ref="HT7:HT8"/>
    <mergeCell ref="HV7:HV8"/>
    <mergeCell ref="A123:C123"/>
    <mergeCell ref="HE5:HF6"/>
    <mergeCell ref="GW15:GW16"/>
    <mergeCell ref="C5:C6"/>
    <mergeCell ref="HI25:HI26"/>
    <mergeCell ref="GT25:GT26"/>
    <mergeCell ref="HA15:HA16"/>
    <mergeCell ref="GV25:GV26"/>
    <mergeCell ref="HS7:HS8"/>
    <mergeCell ref="HC15:HC16"/>
    <mergeCell ref="HF25:HF26"/>
    <mergeCell ref="HH25:HH26"/>
    <mergeCell ref="GF5:GF6"/>
    <mergeCell ref="GW7:GW9"/>
    <mergeCell ref="HU7:HU8"/>
    <mergeCell ref="GR5:GR6"/>
    <mergeCell ref="HK7:HK9"/>
    <mergeCell ref="HB7:HB9"/>
    <mergeCell ref="GT31:HC31"/>
    <mergeCell ref="HB15:HB16"/>
    <mergeCell ref="GT15:GT16"/>
    <mergeCell ref="GV15:GV16"/>
    <mergeCell ref="GW25:GW26"/>
    <mergeCell ref="HN15:HN16"/>
    <mergeCell ref="GY25:GY26"/>
    <mergeCell ref="HF15:HF16"/>
    <mergeCell ref="HH15:HH16"/>
    <mergeCell ref="GE5:GE6"/>
    <mergeCell ref="GG5:GG6"/>
    <mergeCell ref="HJ7:HJ9"/>
    <mergeCell ref="HN25:HN26"/>
    <mergeCell ref="HC7:HC9"/>
    <mergeCell ref="HE7:HE9"/>
    <mergeCell ref="HG7:HG9"/>
    <mergeCell ref="GU15:GU16"/>
    <mergeCell ref="A5:A6"/>
    <mergeCell ref="GY15:GY16"/>
    <mergeCell ref="HB25:HB26"/>
    <mergeCell ref="HK15:HK16"/>
    <mergeCell ref="HM15:HM16"/>
    <mergeCell ref="GH5:GH6"/>
    <mergeCell ref="GJ5:GJ6"/>
    <mergeCell ref="B65:C65"/>
    <mergeCell ref="B5:B6"/>
    <mergeCell ref="HQ5:HV6"/>
    <mergeCell ref="D5:D6"/>
    <mergeCell ref="B3:D3"/>
    <mergeCell ref="HE25:HE26"/>
    <mergeCell ref="HQ7:HQ8"/>
    <mergeCell ref="HM7:HM9"/>
    <mergeCell ref="HG25:HG26"/>
    <mergeCell ref="HO7:HO9"/>
    <mergeCell ref="B2:D2"/>
  </mergeCells>
  <conditionalFormatting sqref="CA8:CA11 CA16:CA19 CA21:CA24 CA26:CA28 CA32:CA33 CA47:CA49 CA55:CA57 CA67">
    <cfRule type="cellIs" priority="6" operator="lessThan" dxfId="48">
      <formula>0</formula>
    </cfRule>
  </conditionalFormatting>
  <conditionalFormatting sqref="CB8:CB11 CB16:CB19 CB21:CB24 CB26:CB28 CB32:CB33 CB43 CB47:CB49 CB55:CB57">
    <cfRule type="cellIs" priority="5" operator="lessThan" dxfId="48">
      <formula>0</formula>
    </cfRule>
  </conditionalFormatting>
  <conditionalFormatting sqref="CD8:CD14 CD16:CD28 CD31:CD33">
    <cfRule type="cellIs" priority="2" operator="lessThan" dxfId="48">
      <formula>0</formula>
    </cfRule>
  </conditionalFormatting>
  <conditionalFormatting sqref="CD36:CD39 CD47:CD53 CD55:CD63">
    <cfRule type="cellIs" priority="1" operator="lessThan" dxfId="48">
      <formula>0</formula>
    </cfRule>
  </conditionalFormatting>
  <conditionalFormatting sqref="CD43">
    <cfRule type="cellIs" priority="3" operator="lessThan" dxfId="48">
      <formula>0</formula>
    </cfRule>
  </conditionalFormatting>
  <conditionalFormatting sqref="CD66:CD68">
    <cfRule type="cellIs" priority="4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Planilha32">
    <tabColor theme="8"/>
    <outlinePr summaryBelow="1" summaryRight="1"/>
    <pageSetUpPr fitToPage="1"/>
  </sheetPr>
  <dimension ref="A1:RV127"/>
  <sheetViews>
    <sheetView showGridLines="0" topLeftCell="A47" zoomScale="80" zoomScaleNormal="80" zoomScaleSheetLayoutView="50" workbookViewId="0">
      <selection activeCell="BZ66" sqref="BZ66:BZ68"/>
    </sheetView>
  </sheetViews>
  <sheetFormatPr baseColWidth="8" defaultColWidth="9.140625" defaultRowHeight="18.75"/>
  <cols>
    <col width="36.5703125" customWidth="1" style="42" min="1" max="1"/>
    <col width="10.28515625" customWidth="1" style="5" min="2" max="2"/>
    <col width="15.85546875" customWidth="1" style="5" min="3" max="3"/>
    <col width="17.5703125" customWidth="1" style="5" min="4" max="4"/>
    <col width="1.140625" customWidth="1" style="5" min="5" max="5"/>
    <col hidden="1" width="9.5703125" customWidth="1" style="5" min="6" max="75"/>
    <col width="9.5703125" customWidth="1" style="5" min="76" max="77"/>
    <col width="10.5703125" customWidth="1" style="5" min="78" max="78"/>
    <col width="1.5703125" customWidth="1" style="5" min="79" max="79"/>
    <col width="17.28515625" customWidth="1" style="29" min="80" max="80"/>
    <col width="14.28515625" bestFit="1" customWidth="1" style="29" min="81" max="81"/>
    <col width="1.42578125" customWidth="1" style="5" min="82" max="82"/>
    <col width="15.7109375" customWidth="1" style="29" min="83" max="83"/>
    <col width="1.42578125" customWidth="1" style="5" min="84" max="84"/>
    <col width="9.28515625" customWidth="1" style="29" min="85" max="94"/>
    <col hidden="1" width="9.28515625" customWidth="1" style="29" min="95" max="104"/>
    <col hidden="1" width="13.85546875" customWidth="1" style="305" min="105" max="105"/>
    <col hidden="1" width="9.28515625" customWidth="1" style="29" min="106" max="118"/>
    <col hidden="1" width="11.85546875" customWidth="1" style="29" min="119" max="119"/>
    <col hidden="1" width="9.28515625" customWidth="1" style="29" min="120" max="120"/>
    <col hidden="1" width="11" customWidth="1" style="29" min="121" max="121"/>
    <col hidden="1" width="9.28515625" customWidth="1" style="29" min="122" max="122"/>
    <col hidden="1" width="11" customWidth="1" style="29" min="123" max="123"/>
    <col hidden="1" width="9.28515625" customWidth="1" style="29" min="124" max="124"/>
    <col hidden="1" width="9.140625" customWidth="1" style="29" min="125" max="125"/>
    <col hidden="1" width="9.28515625" customWidth="1" style="29" min="126" max="127"/>
    <col hidden="1" width="13.7109375" customWidth="1" style="29" min="128" max="128"/>
    <col hidden="1" width="9.28515625" customWidth="1" style="29" min="129" max="129"/>
    <col hidden="1" width="11" customWidth="1" style="29" min="130" max="130"/>
    <col hidden="1" width="9.28515625" customWidth="1" style="29" min="131" max="133"/>
    <col hidden="1" width="11" customWidth="1" style="29" min="134" max="135"/>
    <col hidden="1" width="9.28515625" customWidth="1" style="29" min="136" max="136"/>
    <col hidden="1" width="14" customWidth="1" style="29" min="137" max="137"/>
    <col hidden="1" width="9.28515625" customWidth="1" style="29" min="138" max="140"/>
    <col hidden="1" width="12.7109375" customWidth="1" style="29" min="141" max="141"/>
    <col hidden="1" width="9.28515625" customWidth="1" style="29" min="142" max="146"/>
    <col hidden="1" width="15.28515625" customWidth="1" style="29" min="147" max="148"/>
    <col hidden="1" width="73.85546875" customWidth="1" style="29" min="149" max="149"/>
    <col hidden="1" width="15.28515625" customWidth="1" style="29" min="150" max="150"/>
    <col hidden="1" width="13.140625" customWidth="1" style="29" min="151" max="151"/>
    <col hidden="1" width="9.28515625" customWidth="1" style="29" min="152" max="152"/>
    <col hidden="1" width="13.140625" customWidth="1" style="29" min="153" max="153"/>
    <col hidden="1" width="9.28515625" customWidth="1" style="29" min="154" max="155"/>
    <col hidden="1" width="12.5703125" customWidth="1" style="29" min="156" max="156"/>
    <col hidden="1" width="9.28515625" customWidth="1" style="29" min="157" max="161"/>
    <col hidden="1" width="12.5703125" customWidth="1" style="29" min="162" max="162"/>
    <col hidden="1" width="28.42578125" customWidth="1" style="29" min="163" max="163"/>
    <col hidden="1" width="9.28515625" customWidth="1" style="29" min="164" max="165"/>
    <col hidden="1" width="12.140625" customWidth="1" style="29" min="166" max="166"/>
    <col hidden="1" width="9.28515625" customWidth="1" style="29" min="167" max="167"/>
    <col hidden="1" width="12" customWidth="1" style="305" min="168" max="168"/>
    <col hidden="1" width="9.28515625" customWidth="1" style="29" min="169" max="170"/>
    <col hidden="1" width="12" customWidth="1" style="305" min="171" max="171"/>
    <col hidden="1" width="12.42578125" customWidth="1" style="29" min="172" max="172"/>
    <col hidden="1" width="9.28515625" customWidth="1" style="29" min="173" max="174"/>
    <col hidden="1" width="11.85546875" customWidth="1" style="29" min="175" max="175"/>
    <col hidden="1" width="9.28515625" customWidth="1" style="29" min="176" max="177"/>
    <col hidden="1" width="12.42578125" customWidth="1" style="29" min="178" max="178"/>
    <col hidden="1" width="9.28515625" customWidth="1" style="29" min="179" max="179"/>
    <col hidden="1" width="11" customWidth="1" style="29" min="180" max="180"/>
    <col hidden="1" width="9.28515625" customWidth="1" style="29" min="181" max="186"/>
    <col width="4" customWidth="1" min="187" max="187"/>
    <col hidden="1" width="32.85546875" customWidth="1" style="5" min="188" max="188"/>
    <col hidden="1" width="9.140625" customWidth="1" style="5" min="189" max="189"/>
    <col hidden="1" width="8.7109375" customWidth="1" style="5" min="190" max="200"/>
    <col hidden="1" width="10.5703125" customWidth="1" style="5" min="201" max="201"/>
    <col width="4.42578125" customWidth="1" style="5" min="202" max="202"/>
    <col hidden="1" width="32.85546875" customWidth="1" style="5" min="203" max="203"/>
    <col hidden="1" width="13" customWidth="1" style="5" min="204" max="204"/>
    <col hidden="1" width="8.7109375" customWidth="1" style="5" min="205" max="211"/>
    <col hidden="1" width="10.5703125" customWidth="1" style="5" min="212" max="212"/>
    <col hidden="1" width="32.85546875" customWidth="1" style="5" min="214" max="214"/>
    <col hidden="1" width="9.140625" customWidth="1" style="5" min="215" max="215"/>
    <col hidden="1" width="8.7109375" customWidth="1" style="5" min="216" max="223"/>
    <col hidden="1" width="10.5703125" customWidth="1" style="5" min="224" max="224"/>
    <col width="4.42578125" customWidth="1" min="225" max="225"/>
    <col hidden="1" width="32.85546875" customWidth="1" style="5" min="226" max="226"/>
    <col hidden="1" width="9.140625" customWidth="1" style="5" min="227" max="227"/>
    <col hidden="1" width="8.7109375" customWidth="1" style="5" min="228" max="230"/>
    <col hidden="1" width="10.5703125" customWidth="1" style="5" min="231" max="231"/>
    <col hidden="1" width="13" customWidth="1" min="233" max="233"/>
    <col width="9.140625" customWidth="1" style="5" min="239" max="1638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488" t="n"/>
      <c r="CB1" s="5" t="n"/>
      <c r="CC1" s="5" t="n"/>
      <c r="CE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306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P1" s="5" t="n"/>
      <c r="DR1" s="5" t="n"/>
      <c r="DS1" s="5" t="n"/>
      <c r="DT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M1" s="5" t="n"/>
      <c r="FN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  <c r="GD1" s="5" t="n"/>
    </row>
    <row r="2">
      <c r="A2" s="43" t="inlineStr">
        <is>
          <t>LOJA:</t>
        </is>
      </c>
      <c r="B2" s="722" t="inlineStr">
        <is>
          <t>CD BAURU</t>
        </is>
      </c>
      <c r="C2" s="723" t="n"/>
      <c r="D2" s="724" t="n"/>
      <c r="CB2" s="5" t="n"/>
      <c r="CC2" s="5" t="n"/>
      <c r="CE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306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R2" s="5" t="n"/>
      <c r="DS2" s="5" t="n"/>
      <c r="DT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M2" s="5" t="n"/>
      <c r="FN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  <c r="GD2" s="5" t="n"/>
    </row>
    <row r="3">
      <c r="A3" s="43" t="inlineStr">
        <is>
          <t>Responsável:</t>
        </is>
      </c>
      <c r="B3" s="725" t="inlineStr">
        <is>
          <t>DENNER / GEOVANA</t>
        </is>
      </c>
      <c r="C3" s="723" t="n"/>
      <c r="D3" s="724" t="n"/>
      <c r="E3" s="726" t="n"/>
      <c r="BZ3" s="726" t="n"/>
      <c r="CB3" s="5" t="n"/>
      <c r="CC3" s="5" t="n"/>
      <c r="CD3" s="726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306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P3" s="5" t="n"/>
      <c r="DR3" s="5" t="n"/>
      <c r="DS3" s="5" t="n"/>
      <c r="DT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M3" s="5" t="n"/>
      <c r="FN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  <c r="GD3" s="5" t="n"/>
    </row>
    <row r="4" ht="8.25" customHeight="1">
      <c r="CB4" s="5" t="n"/>
      <c r="CC4" s="5" t="n"/>
      <c r="CE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306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306" t="n"/>
      <c r="FM4" s="5" t="n"/>
      <c r="FN4" s="5" t="n"/>
      <c r="FO4" s="306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  <c r="GD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B5" s="44" t="inlineStr">
        <is>
          <t>Pendências</t>
        </is>
      </c>
      <c r="CC5" s="44" t="inlineStr">
        <is>
          <t>Pendências</t>
        </is>
      </c>
      <c r="CE5" s="12" t="inlineStr">
        <is>
          <t>Novo Pedido</t>
        </is>
      </c>
      <c r="CG5" s="794" t="n">
        <v>46149</v>
      </c>
      <c r="CH5" s="794" t="n">
        <v>46142</v>
      </c>
      <c r="CI5" s="794" t="n">
        <v>46114</v>
      </c>
      <c r="CJ5" s="794" t="n">
        <v>46107</v>
      </c>
      <c r="CK5" s="795" t="n">
        <v>46065</v>
      </c>
      <c r="CL5" s="794" t="n">
        <v>46099</v>
      </c>
      <c r="CM5" s="794" t="n">
        <v>46092</v>
      </c>
      <c r="CN5" s="796" t="n">
        <v>46045</v>
      </c>
      <c r="CO5" s="794" t="n">
        <v>46077</v>
      </c>
      <c r="CP5" s="794" t="n">
        <v>46048</v>
      </c>
      <c r="CQ5" s="794" t="n">
        <v>46043</v>
      </c>
      <c r="CR5" s="794" t="n">
        <v>46024</v>
      </c>
      <c r="CS5" s="794" t="n">
        <v>46017</v>
      </c>
      <c r="CT5" s="794" t="n">
        <v>46007</v>
      </c>
      <c r="CU5" s="794" t="n">
        <v>46001</v>
      </c>
      <c r="CV5" s="794" t="n">
        <v>46001</v>
      </c>
      <c r="CW5" s="794" t="n">
        <v>45994</v>
      </c>
      <c r="CX5" s="794" t="n">
        <v>45986</v>
      </c>
      <c r="CY5" s="794" t="n">
        <v>45980</v>
      </c>
      <c r="CZ5" s="794" t="n">
        <v>45980</v>
      </c>
      <c r="DA5" s="797" t="inlineStr">
        <is>
          <t>TRANSF.</t>
        </is>
      </c>
      <c r="DB5" s="794" t="n">
        <v>45973</v>
      </c>
      <c r="DC5" s="794" t="n">
        <v>45965</v>
      </c>
      <c r="DD5" s="794" t="n">
        <v>45960</v>
      </c>
      <c r="DE5" s="794" t="n">
        <v>45951</v>
      </c>
      <c r="DF5" s="737" t="n">
        <v>45903</v>
      </c>
      <c r="DG5" s="794" t="n">
        <v>45945</v>
      </c>
      <c r="DH5" s="794" t="n">
        <v>45937</v>
      </c>
      <c r="DI5" s="794" t="n">
        <v>45931</v>
      </c>
      <c r="DJ5" s="794" t="n">
        <v>45931</v>
      </c>
      <c r="DK5" s="794" t="n">
        <v>45915</v>
      </c>
      <c r="DL5" s="794" t="n">
        <v>45923</v>
      </c>
      <c r="DM5" s="794" t="n">
        <v>45903</v>
      </c>
      <c r="DN5" s="794" t="n">
        <v>45915</v>
      </c>
      <c r="DO5" s="797" t="inlineStr">
        <is>
          <t>TRANSF.</t>
        </is>
      </c>
      <c r="DP5" s="794" t="n">
        <v>45909</v>
      </c>
      <c r="DQ5" s="738" t="inlineStr">
        <is>
          <t>TRANSF.</t>
        </is>
      </c>
      <c r="DR5" s="794" t="n">
        <v>45895</v>
      </c>
      <c r="DS5" s="797" t="inlineStr">
        <is>
          <t>TRANSF.</t>
        </is>
      </c>
      <c r="DT5" s="794" t="n">
        <v>45881</v>
      </c>
      <c r="DU5" s="738" t="n">
        <v>45839</v>
      </c>
      <c r="DV5" s="794" t="n">
        <v>45888</v>
      </c>
      <c r="DW5" s="794" t="n">
        <v>45881</v>
      </c>
      <c r="DX5" s="797" t="inlineStr">
        <is>
          <t>TRANSF.</t>
        </is>
      </c>
      <c r="DY5" s="794" t="n">
        <v>45874</v>
      </c>
      <c r="DZ5" s="797" t="inlineStr">
        <is>
          <t>TRANSF.</t>
        </is>
      </c>
      <c r="EA5" s="794" t="n">
        <v>45867</v>
      </c>
      <c r="EB5" s="794" t="n">
        <v>45867</v>
      </c>
      <c r="EC5" s="794" t="n">
        <v>45860</v>
      </c>
      <c r="ED5" s="797" t="inlineStr">
        <is>
          <t>TRANSF.</t>
        </is>
      </c>
      <c r="EE5" s="797" t="inlineStr">
        <is>
          <t>TRANSF.</t>
        </is>
      </c>
      <c r="EF5" s="794" t="n">
        <v>45853</v>
      </c>
      <c r="EG5" s="739" t="inlineStr">
        <is>
          <t xml:space="preserve">TRANSF. </t>
        </is>
      </c>
      <c r="EH5" s="794" t="n">
        <v>45848</v>
      </c>
      <c r="EI5" s="794" t="n">
        <v>45839</v>
      </c>
      <c r="EJ5" s="794" t="n">
        <v>45839</v>
      </c>
      <c r="EK5" s="797" t="inlineStr">
        <is>
          <t>TRANSF.</t>
        </is>
      </c>
      <c r="EL5" s="794" t="n">
        <v>45790</v>
      </c>
      <c r="EM5" s="794" t="n">
        <v>45825</v>
      </c>
      <c r="EN5" s="794" t="n">
        <v>45819</v>
      </c>
      <c r="EO5" s="794" t="n">
        <v>45813</v>
      </c>
      <c r="EP5" s="794" t="n">
        <v>45798</v>
      </c>
      <c r="EQ5" s="797" t="inlineStr">
        <is>
          <t>TRANSF.</t>
        </is>
      </c>
      <c r="ER5" s="797" t="inlineStr">
        <is>
          <t>TRANSF.</t>
        </is>
      </c>
      <c r="ES5" s="797" t="inlineStr">
        <is>
          <t>TRANSF.</t>
        </is>
      </c>
      <c r="ET5" s="797" t="inlineStr">
        <is>
          <t>TRANSF.</t>
        </is>
      </c>
      <c r="EU5" s="742" t="inlineStr">
        <is>
          <t>TRANSF.</t>
        </is>
      </c>
      <c r="EV5" s="794" t="n">
        <v>45784</v>
      </c>
      <c r="EW5" s="797" t="inlineStr">
        <is>
          <t>TRANSF.</t>
        </is>
      </c>
      <c r="EX5" s="794" t="n">
        <v>45784</v>
      </c>
      <c r="EY5" s="794" t="n">
        <v>45764</v>
      </c>
      <c r="EZ5" s="797" t="inlineStr">
        <is>
          <t>TRANSF.</t>
        </is>
      </c>
      <c r="FA5" s="794" t="n">
        <v>45783</v>
      </c>
      <c r="FB5" s="794" t="n">
        <v>45770</v>
      </c>
      <c r="FC5" s="794" t="n">
        <v>45775</v>
      </c>
      <c r="FD5" s="794" t="n">
        <v>45770</v>
      </c>
      <c r="FE5" s="794" t="n">
        <v>45770</v>
      </c>
      <c r="FF5" s="797" t="inlineStr">
        <is>
          <t>TRANSF.</t>
        </is>
      </c>
      <c r="FG5" s="797" t="inlineStr">
        <is>
          <t>TRANSF.</t>
        </is>
      </c>
      <c r="FH5" s="794" t="n">
        <v>45756</v>
      </c>
      <c r="FI5" s="794" t="n">
        <v>45735</v>
      </c>
      <c r="FJ5" s="797" t="inlineStr">
        <is>
          <t>TRANSF.</t>
        </is>
      </c>
      <c r="FK5" s="794" t="n">
        <v>45743</v>
      </c>
      <c r="FL5" s="746" t="inlineStr">
        <is>
          <t>TRANSF.</t>
        </is>
      </c>
      <c r="FM5" s="794" t="n">
        <v>45722</v>
      </c>
      <c r="FN5" s="794" t="n">
        <v>45722</v>
      </c>
      <c r="FO5" s="746" t="n">
        <v>45700</v>
      </c>
      <c r="FP5" s="797" t="inlineStr">
        <is>
          <t>TRANSF.</t>
        </is>
      </c>
      <c r="FQ5" s="794" t="n">
        <v>45714</v>
      </c>
      <c r="FR5" s="794" t="n">
        <v>45706</v>
      </c>
      <c r="FS5" s="794" t="n">
        <v>45684</v>
      </c>
      <c r="FT5" s="794" t="n">
        <v>45699</v>
      </c>
      <c r="FU5" s="794" t="n">
        <v>45693</v>
      </c>
      <c r="FV5" s="797" t="inlineStr">
        <is>
          <t>TRANSF.</t>
        </is>
      </c>
      <c r="FW5" s="794" t="n">
        <v>45685</v>
      </c>
      <c r="FX5" s="797" t="inlineStr">
        <is>
          <t>TRANSF.</t>
        </is>
      </c>
      <c r="FY5" s="794" t="n">
        <v>45674</v>
      </c>
      <c r="FZ5" s="794" t="n">
        <v>45664</v>
      </c>
      <c r="GA5" s="794" t="n">
        <v>45660</v>
      </c>
      <c r="GB5" s="794" t="n">
        <v>45660</v>
      </c>
      <c r="GC5" s="794" t="n">
        <v>45652</v>
      </c>
      <c r="GD5" s="794" t="n">
        <v>45643</v>
      </c>
      <c r="GF5" s="235" t="inlineStr">
        <is>
          <t>MÃES/2025</t>
        </is>
      </c>
      <c r="GG5" s="798" t="inlineStr">
        <is>
          <t>PCT</t>
        </is>
      </c>
      <c r="GH5" s="322" t="n">
        <v>45726</v>
      </c>
      <c r="GI5" s="322" t="n">
        <v>45733</v>
      </c>
      <c r="GJ5" s="322" t="n">
        <v>45740</v>
      </c>
      <c r="GK5" s="322" t="n">
        <v>45747</v>
      </c>
      <c r="GL5" s="322" t="n">
        <v>45754</v>
      </c>
      <c r="GM5" s="322" t="n">
        <v>45761</v>
      </c>
      <c r="GN5" s="322" t="n">
        <v>45768</v>
      </c>
      <c r="GO5" s="322" t="n">
        <v>45775</v>
      </c>
      <c r="GP5" s="322" t="n">
        <v>45782</v>
      </c>
      <c r="GQ5" s="322" t="n">
        <v>45789</v>
      </c>
      <c r="GR5" s="322" t="n">
        <v>45796</v>
      </c>
      <c r="GS5" s="801" t="inlineStr">
        <is>
          <t>USOU</t>
        </is>
      </c>
      <c r="GU5" s="542" t="inlineStr">
        <is>
          <t>NAMORADOS/2025</t>
        </is>
      </c>
      <c r="GW5" s="363" t="n"/>
      <c r="GX5" s="363" t="n"/>
      <c r="GY5" s="363" t="n"/>
      <c r="GZ5" s="363" t="n"/>
      <c r="HA5" s="363" t="n"/>
      <c r="HB5" s="363" t="n"/>
      <c r="HC5" s="363" t="n"/>
      <c r="HD5" s="363" t="n"/>
      <c r="HF5" s="550" t="inlineStr">
        <is>
          <t>PAIS/2025</t>
        </is>
      </c>
      <c r="HH5" s="407" t="n"/>
      <c r="HI5" s="407" t="n"/>
      <c r="HJ5" s="407" t="n"/>
      <c r="HK5" s="407" t="n"/>
      <c r="HL5" s="407" t="n"/>
      <c r="HM5" s="407" t="n"/>
      <c r="HN5" s="407" t="n"/>
      <c r="HO5" s="407" t="n"/>
      <c r="HP5" s="407" t="n"/>
      <c r="HR5" s="554" t="inlineStr">
        <is>
          <t>NATAL 2025</t>
        </is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5" t="n"/>
      <c r="CB6" s="415" t="inlineStr">
        <is>
          <t>TRANSF.</t>
        </is>
      </c>
      <c r="CC6" s="294" t="n"/>
      <c r="CD6" s="5" t="n"/>
      <c r="CE6" s="752" t="n">
        <v>46156</v>
      </c>
      <c r="CF6" s="751" t="n"/>
      <c r="CG6" s="794" t="n">
        <v>46156</v>
      </c>
      <c r="CH6" s="794" t="n">
        <v>46142</v>
      </c>
      <c r="CI6" s="794" t="n">
        <v>46121</v>
      </c>
      <c r="CJ6" s="794" t="n">
        <v>46113</v>
      </c>
      <c r="CK6" s="795" t="n">
        <v>46112</v>
      </c>
      <c r="CL6" s="794" t="n">
        <v>46105</v>
      </c>
      <c r="CM6" s="794" t="n">
        <v>46100</v>
      </c>
      <c r="CN6" s="796" t="n">
        <v>46090</v>
      </c>
      <c r="CO6" s="794" t="n">
        <v>46084</v>
      </c>
      <c r="CP6" s="794" t="n">
        <v>46073</v>
      </c>
      <c r="CQ6" s="794" t="n">
        <v>46050</v>
      </c>
      <c r="CR6" s="794" t="n">
        <v>46035</v>
      </c>
      <c r="CS6" s="794" t="n">
        <v>46029</v>
      </c>
      <c r="CT6" s="794" t="n">
        <v>46010</v>
      </c>
      <c r="CU6" s="794" t="n">
        <v>46008</v>
      </c>
      <c r="CV6" s="794" t="n">
        <v>46009</v>
      </c>
      <c r="CW6" s="794" t="n">
        <v>46001</v>
      </c>
      <c r="CX6" s="794" t="n">
        <v>45992</v>
      </c>
      <c r="CY6" s="794" t="n">
        <v>45992</v>
      </c>
      <c r="CZ6" s="794" t="n">
        <v>45988</v>
      </c>
      <c r="DA6" s="797" t="n">
        <v>45982</v>
      </c>
      <c r="DB6" s="794" t="n">
        <v>45980</v>
      </c>
      <c r="DC6" s="794" t="n">
        <v>45971</v>
      </c>
      <c r="DD6" s="794" t="n">
        <v>45967</v>
      </c>
      <c r="DE6" s="794" t="n">
        <v>45958</v>
      </c>
      <c r="DF6" s="753" t="n">
        <v>45958</v>
      </c>
      <c r="DG6" s="794" t="n">
        <v>45952</v>
      </c>
      <c r="DH6" s="794" t="n">
        <v>45938</v>
      </c>
      <c r="DI6" s="794" t="n">
        <v>45936</v>
      </c>
      <c r="DJ6" s="794" t="n">
        <v>45938</v>
      </c>
      <c r="DK6" s="794" t="n">
        <v>45929</v>
      </c>
      <c r="DL6" s="794" t="n">
        <v>45926</v>
      </c>
      <c r="DM6" s="794" t="n">
        <v>45905</v>
      </c>
      <c r="DN6" s="794" t="n">
        <v>45919</v>
      </c>
      <c r="DO6" s="797" t="n">
        <v>45918</v>
      </c>
      <c r="DP6" s="794" t="n">
        <v>45917</v>
      </c>
      <c r="DQ6" s="738" t="n">
        <v>45903</v>
      </c>
      <c r="DR6" s="794" t="n">
        <v>45898</v>
      </c>
      <c r="DS6" s="797" t="n">
        <v>45896</v>
      </c>
      <c r="DT6" s="794" t="n">
        <v>45896</v>
      </c>
      <c r="DU6" s="738" t="n">
        <v>45894</v>
      </c>
      <c r="DV6" s="794" t="n">
        <v>45890</v>
      </c>
      <c r="DW6" s="794" t="n">
        <v>45884</v>
      </c>
      <c r="DX6" s="797" t="n">
        <v>45881</v>
      </c>
      <c r="DY6" s="794" t="n">
        <v>45881</v>
      </c>
      <c r="DZ6" s="797" t="n">
        <v>45876</v>
      </c>
      <c r="EA6" s="794" t="n">
        <v>45875</v>
      </c>
      <c r="EB6" s="794" t="n">
        <v>45868</v>
      </c>
      <c r="EC6" s="794" t="n">
        <v>45862</v>
      </c>
      <c r="ED6" s="797" t="n">
        <v>45861</v>
      </c>
      <c r="EE6" s="797" t="n">
        <v>45860</v>
      </c>
      <c r="EF6" s="794" t="n">
        <v>45859</v>
      </c>
      <c r="EG6" s="739" t="n">
        <v>45855</v>
      </c>
      <c r="EH6" s="794" t="n">
        <v>45853</v>
      </c>
      <c r="EI6" s="794" t="n">
        <v>45852</v>
      </c>
      <c r="EJ6" s="794" t="n">
        <v>45841</v>
      </c>
      <c r="EK6" s="797" t="n">
        <v>45835</v>
      </c>
      <c r="EL6" s="794" t="n">
        <v>45832</v>
      </c>
      <c r="EM6" s="794" t="n">
        <v>45828</v>
      </c>
      <c r="EN6" s="794" t="n">
        <v>45821</v>
      </c>
      <c r="EO6" s="794" t="n">
        <v>45819</v>
      </c>
      <c r="EP6" s="794" t="n">
        <v>45817</v>
      </c>
      <c r="EQ6" s="797" t="n">
        <v>45811</v>
      </c>
      <c r="ER6" s="797" t="n">
        <v>45810</v>
      </c>
      <c r="ES6" s="797" t="n">
        <v>45806</v>
      </c>
      <c r="ET6" s="797" t="n">
        <v>45803</v>
      </c>
      <c r="EU6" s="755" t="n">
        <v>45803</v>
      </c>
      <c r="EV6" s="794" t="n">
        <v>45798</v>
      </c>
      <c r="EW6" s="797" t="n">
        <v>45796</v>
      </c>
      <c r="EX6" s="794" t="n">
        <v>45793</v>
      </c>
      <c r="EY6" s="794" t="n">
        <v>45793</v>
      </c>
      <c r="EZ6" s="797" t="n">
        <v>45791</v>
      </c>
      <c r="FA6" s="794" t="n">
        <v>45786</v>
      </c>
      <c r="FB6" s="794" t="n">
        <v>45786</v>
      </c>
      <c r="FC6" s="794" t="n">
        <v>45779</v>
      </c>
      <c r="FD6" s="794" t="n">
        <v>45777</v>
      </c>
      <c r="FE6" s="794" t="n">
        <v>45775</v>
      </c>
      <c r="FF6" s="797" t="n">
        <v>45775</v>
      </c>
      <c r="FG6" s="797" t="n">
        <v>45770</v>
      </c>
      <c r="FH6" s="794" t="n">
        <v>45762</v>
      </c>
      <c r="FI6" s="794" t="n">
        <v>45757</v>
      </c>
      <c r="FJ6" s="797" t="n">
        <v>45751</v>
      </c>
      <c r="FK6" s="794" t="n">
        <v>45748</v>
      </c>
      <c r="FL6" s="746" t="n">
        <v>45729</v>
      </c>
      <c r="FM6" s="794" t="n">
        <v>45727</v>
      </c>
      <c r="FN6" s="794" t="n">
        <v>45727</v>
      </c>
      <c r="FO6" s="746" t="n">
        <v>45722</v>
      </c>
      <c r="FP6" s="797" t="n">
        <v>45722</v>
      </c>
      <c r="FQ6" s="794" t="n">
        <v>45721</v>
      </c>
      <c r="FR6" s="794" t="n">
        <v>45713</v>
      </c>
      <c r="FS6" s="794" t="n">
        <v>45712</v>
      </c>
      <c r="FT6" s="794" t="n">
        <v>45706</v>
      </c>
      <c r="FU6" s="794" t="n">
        <v>45699</v>
      </c>
      <c r="FV6" s="797" t="n">
        <v>45687</v>
      </c>
      <c r="FW6" s="794" t="n">
        <v>45686</v>
      </c>
      <c r="FX6" s="797" t="n">
        <v>45684</v>
      </c>
      <c r="FY6" s="794" t="n">
        <v>45678</v>
      </c>
      <c r="FZ6" s="794" t="n">
        <v>45670</v>
      </c>
      <c r="GA6" s="794" t="n">
        <v>45667</v>
      </c>
      <c r="GB6" s="794" t="n">
        <v>45665</v>
      </c>
      <c r="GC6" s="794" t="n">
        <v>45659</v>
      </c>
      <c r="GD6" s="794" t="n">
        <v>45652</v>
      </c>
      <c r="GF6" s="745" t="n"/>
      <c r="GG6" s="745" t="n"/>
      <c r="GH6" s="745" t="n"/>
      <c r="GI6" s="745" t="n"/>
      <c r="GJ6" s="745" t="n"/>
      <c r="GK6" s="745" t="n"/>
      <c r="GL6" s="745" t="n"/>
      <c r="GM6" s="745" t="n"/>
      <c r="GN6" s="745" t="n"/>
      <c r="GO6" s="745" t="n"/>
      <c r="GP6" s="745" t="n"/>
      <c r="GQ6" s="745" t="n"/>
      <c r="GR6" s="745" t="n"/>
      <c r="GS6" s="745" t="n"/>
      <c r="GU6" s="803" t="n"/>
      <c r="GV6" s="782" t="n"/>
      <c r="GW6" s="363" t="n"/>
      <c r="GX6" s="363" t="n"/>
      <c r="GY6" s="363" t="n"/>
      <c r="GZ6" s="363" t="n"/>
      <c r="HA6" s="363" t="n"/>
      <c r="HB6" s="363" t="n"/>
      <c r="HC6" s="363" t="n"/>
      <c r="HD6" s="363" t="n"/>
      <c r="HF6" s="803" t="n"/>
      <c r="HG6" s="782" t="n"/>
      <c r="HH6" s="407" t="n"/>
      <c r="HI6" s="407" t="n"/>
      <c r="HJ6" s="407" t="n"/>
      <c r="HK6" s="407" t="n"/>
      <c r="HL6" s="407" t="n"/>
      <c r="HM6" s="407" t="n"/>
      <c r="HN6" s="407" t="n"/>
      <c r="HO6" s="407" t="n"/>
      <c r="HP6" s="407" t="n"/>
      <c r="HR6" s="803" t="n"/>
      <c r="HS6" s="782" t="n"/>
      <c r="HT6" s="782" t="n"/>
      <c r="HU6" s="782" t="n"/>
      <c r="HV6" s="782" t="n"/>
      <c r="HW6" s="782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5" t="n"/>
      <c r="CB7" s="13" t="n"/>
      <c r="CC7" s="13" t="n"/>
      <c r="CD7" s="5" t="n"/>
      <c r="CE7" s="13" t="n"/>
      <c r="CF7" s="5" t="n"/>
      <c r="CG7" s="203" t="n"/>
      <c r="CH7" s="203" t="n"/>
      <c r="CI7" s="203" t="n"/>
      <c r="CJ7" s="203" t="n"/>
      <c r="CK7" s="307" t="inlineStr">
        <is>
          <t>MÃES</t>
        </is>
      </c>
      <c r="CL7" s="203" t="n"/>
      <c r="CM7" s="203" t="n"/>
      <c r="CN7" s="307" t="inlineStr">
        <is>
          <t>MÃES</t>
        </is>
      </c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3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203" t="n"/>
      <c r="DQ7" s="307" t="inlineStr">
        <is>
          <t>HP</t>
        </is>
      </c>
      <c r="DR7" s="203" t="n"/>
      <c r="DS7" s="203" t="n"/>
      <c r="DT7" s="203" t="n"/>
      <c r="DU7" s="307" t="inlineStr">
        <is>
          <t>HP</t>
        </is>
      </c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203" t="n"/>
      <c r="EG7" s="33" t="inlineStr">
        <is>
          <t>PAIS/25</t>
        </is>
      </c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13" t="inlineStr">
        <is>
          <t>NAMO/25</t>
        </is>
      </c>
      <c r="EV7" s="379" t="inlineStr">
        <is>
          <t>EUD</t>
        </is>
      </c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203" t="n"/>
      <c r="FL7" s="307" t="inlineStr">
        <is>
          <t>MÃES/25</t>
        </is>
      </c>
      <c r="FM7" s="203" t="n"/>
      <c r="FN7" s="203" t="n"/>
      <c r="FO7" s="307" t="inlineStr">
        <is>
          <t>MÃES/25</t>
        </is>
      </c>
      <c r="FP7" s="203" t="n"/>
      <c r="FQ7" s="203" t="n"/>
      <c r="FR7" s="203" t="n"/>
      <c r="FS7" s="33" t="inlineStr">
        <is>
          <t>LUAPACK</t>
        </is>
      </c>
      <c r="FT7" s="203" t="n"/>
      <c r="FU7" s="203" t="n"/>
      <c r="FV7" s="203" t="n"/>
      <c r="FW7" s="203" t="n"/>
      <c r="FX7" s="203" t="n"/>
      <c r="FY7" s="203" t="n"/>
      <c r="FZ7" s="203" t="n"/>
      <c r="GA7" s="203" t="n"/>
      <c r="GB7" s="203" t="n"/>
      <c r="GC7" s="203" t="n"/>
      <c r="GD7" s="203" t="n"/>
      <c r="GF7" s="298" t="inlineStr">
        <is>
          <t xml:space="preserve">SACOLAS </t>
        </is>
      </c>
      <c r="GG7" s="298" t="n"/>
      <c r="GH7" s="298" t="n"/>
      <c r="GI7" s="298" t="n"/>
      <c r="GJ7" s="298" t="n"/>
      <c r="GK7" s="298" t="n"/>
      <c r="GL7" s="298" t="n"/>
      <c r="GM7" s="298" t="n"/>
      <c r="GN7" s="298" t="n"/>
      <c r="GO7" s="298" t="n"/>
      <c r="GP7" s="298" t="n"/>
      <c r="GQ7" s="298" t="n"/>
      <c r="GR7" s="298" t="n"/>
      <c r="GS7" s="298" t="n"/>
      <c r="GU7" s="804" t="inlineStr">
        <is>
          <t xml:space="preserve">SACOLAS </t>
        </is>
      </c>
      <c r="GV7" s="805" t="inlineStr">
        <is>
          <t>PCT</t>
        </is>
      </c>
      <c r="GW7" s="398" t="n">
        <v>45796</v>
      </c>
      <c r="GX7" s="398" t="n">
        <v>45803</v>
      </c>
      <c r="GY7" s="398" t="n">
        <v>45810</v>
      </c>
      <c r="GZ7" s="398" t="n">
        <v>45817</v>
      </c>
      <c r="HA7" s="398" t="n">
        <v>45824</v>
      </c>
      <c r="HB7" s="398" t="n">
        <v>45831</v>
      </c>
      <c r="HC7" s="398" t="n">
        <v>45838</v>
      </c>
      <c r="HD7" s="808" t="inlineStr">
        <is>
          <t>USOU</t>
        </is>
      </c>
      <c r="HF7" s="809" t="inlineStr">
        <is>
          <t xml:space="preserve">SACOLAS </t>
        </is>
      </c>
      <c r="HG7" s="810" t="inlineStr">
        <is>
          <t>PCT</t>
        </is>
      </c>
      <c r="HH7" s="811" t="n">
        <v>45845</v>
      </c>
      <c r="HI7" s="811" t="n">
        <v>45852</v>
      </c>
      <c r="HJ7" s="811" t="n">
        <v>45859</v>
      </c>
      <c r="HK7" s="811" t="n">
        <v>45866</v>
      </c>
      <c r="HL7" s="811" t="n">
        <v>45873</v>
      </c>
      <c r="HM7" s="811" t="n">
        <v>45880</v>
      </c>
      <c r="HN7" s="811" t="n">
        <v>45887</v>
      </c>
      <c r="HO7" s="811" t="n">
        <v>45894</v>
      </c>
      <c r="HP7" s="813" t="inlineStr">
        <is>
          <t>USOU</t>
        </is>
      </c>
      <c r="HR7" s="814" t="inlineStr">
        <is>
          <t>SACOLAS VENDA</t>
        </is>
      </c>
      <c r="HS7" s="815" t="inlineStr">
        <is>
          <t>PCT</t>
        </is>
      </c>
      <c r="HT7" s="513" t="n">
        <v>45950</v>
      </c>
      <c r="HU7" s="513" t="n">
        <v>45957</v>
      </c>
      <c r="HV7" s="513" t="n">
        <v>45964</v>
      </c>
      <c r="HW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1000</v>
      </c>
      <c r="E8" s="5" t="n"/>
      <c r="F8" s="237">
        <f>2100+GC8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1500+FN8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600+FE8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600+EB8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0+DK8</f>
        <v/>
      </c>
      <c r="AT8" s="237" t="n">
        <v>900</v>
      </c>
      <c r="AU8" s="237" t="n">
        <v>300</v>
      </c>
      <c r="AV8" s="237">
        <f>300+DG8</f>
        <v/>
      </c>
      <c r="AW8" s="237" t="n">
        <v>1500</v>
      </c>
      <c r="AX8" s="237" t="n">
        <v>900</v>
      </c>
      <c r="AY8" s="237">
        <f>900+DC8</f>
        <v/>
      </c>
      <c r="AZ8" s="237" t="n">
        <v>1500</v>
      </c>
      <c r="BA8" s="237">
        <f>1500+CZ8</f>
        <v/>
      </c>
      <c r="BB8" s="237">
        <f>2400+CX8</f>
        <v/>
      </c>
      <c r="BC8" s="237" t="n">
        <v>2400</v>
      </c>
      <c r="BD8" s="237">
        <f>2400+CV8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900+CO8</f>
        <v/>
      </c>
      <c r="BP8" s="237" t="n">
        <v>900</v>
      </c>
      <c r="BQ8" s="237">
        <f>900+CM8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237" t="n">
        <v>300</v>
      </c>
      <c r="BZ8" s="198">
        <f>BX8+IF(NOT(ISBLANK(OFFSET(BZ8,0,6))),N(OFFSET(BZ8,0,6)),N(OFFSET(BZ8,0,7)))-BY8</f>
        <v/>
      </c>
      <c r="CA8" s="5" t="n"/>
      <c r="CB8" s="22" t="n"/>
      <c r="CC8" s="22" t="n"/>
      <c r="CD8" s="5" t="n"/>
      <c r="CE8" s="27" t="n">
        <v>600</v>
      </c>
      <c r="CF8" s="1" t="n"/>
      <c r="CG8" s="23" t="n">
        <v>0</v>
      </c>
      <c r="CH8" s="23" t="n">
        <v>0</v>
      </c>
      <c r="CI8" s="23" t="n">
        <v>600</v>
      </c>
      <c r="CJ8" s="23" t="n"/>
      <c r="CK8" s="23" t="n"/>
      <c r="CL8" s="23" t="n"/>
      <c r="CM8" s="23" t="n">
        <v>300</v>
      </c>
      <c r="CN8" s="23" t="n"/>
      <c r="CO8" s="23" t="n">
        <v>300</v>
      </c>
      <c r="CP8" s="23" t="n"/>
      <c r="CQ8" s="23" t="n"/>
      <c r="CR8" s="23" t="n"/>
      <c r="CS8" s="23" t="n"/>
      <c r="CT8" s="23" t="n"/>
      <c r="CU8" s="23" t="n"/>
      <c r="CV8" s="23" t="n">
        <v>600</v>
      </c>
      <c r="CW8" s="23" t="n"/>
      <c r="CX8" s="23" t="n">
        <v>600</v>
      </c>
      <c r="CY8" s="23" t="n"/>
      <c r="CZ8" s="23" t="n">
        <v>1200</v>
      </c>
      <c r="DA8" s="219" t="n"/>
      <c r="DB8" s="23" t="n"/>
      <c r="DC8" s="23" t="n">
        <v>600</v>
      </c>
      <c r="DD8" s="23" t="n"/>
      <c r="DE8" s="23" t="n"/>
      <c r="DF8" s="23" t="n"/>
      <c r="DG8" s="23" t="n">
        <v>1200</v>
      </c>
      <c r="DH8" s="23" t="n"/>
      <c r="DI8" s="23" t="n"/>
      <c r="DJ8" s="23" t="n"/>
      <c r="DK8" s="23" t="n">
        <v>1200</v>
      </c>
      <c r="DL8" s="23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>
        <v>1200</v>
      </c>
      <c r="EC8" s="23" t="n"/>
      <c r="ED8" s="23" t="n"/>
      <c r="EE8" s="23" t="n"/>
      <c r="EF8" s="23" t="n"/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>
        <v>900</v>
      </c>
      <c r="FB8" s="23" t="n"/>
      <c r="FC8" s="23" t="n">
        <v>600</v>
      </c>
      <c r="FD8" s="23" t="n">
        <v>600</v>
      </c>
      <c r="FE8" s="23" t="n">
        <v>600</v>
      </c>
      <c r="FF8" s="23" t="n"/>
      <c r="FG8" s="282" t="inlineStr">
        <is>
          <t>300 P/ GV + 300 P/ SHN</t>
        </is>
      </c>
      <c r="FH8" s="23" t="n"/>
      <c r="FI8" s="23" t="n"/>
      <c r="FJ8" s="23" t="n"/>
      <c r="FK8" s="23" t="n"/>
      <c r="FL8" s="219" t="n"/>
      <c r="FM8" s="23" t="n">
        <v>600</v>
      </c>
      <c r="FN8" s="23" t="n">
        <v>600</v>
      </c>
      <c r="FO8" s="219" t="n"/>
      <c r="FP8" s="23" t="n"/>
      <c r="FQ8" s="23" t="n"/>
      <c r="FR8" s="23" t="n"/>
      <c r="FS8" s="23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/>
      <c r="GC8" s="23" t="n">
        <v>600</v>
      </c>
      <c r="GD8" s="23" t="n"/>
      <c r="GF8" s="299" t="n"/>
      <c r="GG8" s="299" t="n"/>
      <c r="GH8" s="299" t="n"/>
      <c r="GI8" s="299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S8" s="299" t="n"/>
      <c r="GU8" s="816" t="n"/>
      <c r="GV8" s="816" t="n"/>
      <c r="GW8" s="816" t="n"/>
      <c r="GX8" s="816" t="n"/>
      <c r="GY8" s="816" t="n"/>
      <c r="GZ8" s="816" t="n"/>
      <c r="HA8" s="816" t="n"/>
      <c r="HB8" s="816" t="n"/>
      <c r="HC8" s="816" t="n"/>
      <c r="HD8" s="816" t="n"/>
      <c r="HF8" s="816" t="n"/>
      <c r="HG8" s="816" t="n"/>
      <c r="HH8" s="816" t="n"/>
      <c r="HI8" s="816" t="n"/>
      <c r="HJ8" s="816" t="n"/>
      <c r="HK8" s="816" t="n"/>
      <c r="HL8" s="816" t="n"/>
      <c r="HM8" s="816" t="n"/>
      <c r="HN8" s="816" t="n"/>
      <c r="HO8" s="816" t="n"/>
      <c r="HP8" s="816" t="n"/>
      <c r="HR8" s="819" t="n"/>
      <c r="HS8" s="745" t="n"/>
      <c r="HT8" s="816" t="n"/>
      <c r="HU8" s="816" t="n"/>
      <c r="HV8" s="816" t="n"/>
      <c r="HW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2600</v>
      </c>
      <c r="E9" s="5" t="n"/>
      <c r="F9" s="237" t="n">
        <v>7000</v>
      </c>
      <c r="G9" s="237">
        <f>6800+GB9</f>
        <v/>
      </c>
      <c r="H9" s="237" t="n">
        <v>7600</v>
      </c>
      <c r="I9" s="237">
        <f>6800+FY9</f>
        <v/>
      </c>
      <c r="J9" s="237" t="n">
        <v>6200</v>
      </c>
      <c r="K9" s="237" t="n">
        <v>6000</v>
      </c>
      <c r="L9" s="237" t="n">
        <v>4800</v>
      </c>
      <c r="M9" s="237">
        <f>3800+FT9</f>
        <v/>
      </c>
      <c r="N9" s="237">
        <f>4800+FR9</f>
        <v/>
      </c>
      <c r="O9" s="237">
        <f>4800+FQ9</f>
        <v/>
      </c>
      <c r="P9" s="237">
        <f>5600+FN9</f>
        <v/>
      </c>
      <c r="Q9" s="237" t="n">
        <v>6600</v>
      </c>
      <c r="R9" s="237" t="n">
        <v>5800</v>
      </c>
      <c r="S9" s="237">
        <f>4600+FK9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1400+EO9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1400+EH9</f>
        <v/>
      </c>
      <c r="AI9" s="237" t="n">
        <v>1800</v>
      </c>
      <c r="AJ9" s="237" t="n">
        <v>3000</v>
      </c>
      <c r="AK9" s="237">
        <f>2600+EB9</f>
        <v/>
      </c>
      <c r="AL9" s="237">
        <f>2600-1000</f>
        <v/>
      </c>
      <c r="AM9" s="237" t="n">
        <v>1000</v>
      </c>
      <c r="AN9" s="237" t="n">
        <v>1400</v>
      </c>
      <c r="AO9" s="237">
        <f>800+DR9</f>
        <v/>
      </c>
      <c r="AP9" s="237" t="n">
        <v>2400</v>
      </c>
      <c r="AQ9" s="237">
        <f>1000+DP9-400</f>
        <v/>
      </c>
      <c r="AR9" s="237">
        <f>0+DN9</f>
        <v/>
      </c>
      <c r="AS9" s="237">
        <f>1400+DK9</f>
        <v/>
      </c>
      <c r="AT9" s="237" t="n">
        <v>3400</v>
      </c>
      <c r="AU9" s="237" t="n">
        <v>3000</v>
      </c>
      <c r="AV9" s="237" t="n">
        <v>1400</v>
      </c>
      <c r="AW9" s="237">
        <f>800+DE9</f>
        <v/>
      </c>
      <c r="AX9" s="237" t="n">
        <v>2200</v>
      </c>
      <c r="AY9" s="237">
        <f>1200+DC9</f>
        <v/>
      </c>
      <c r="AZ9" s="237">
        <f>400+DB9-400</f>
        <v/>
      </c>
      <c r="BA9" s="237">
        <f>1500+CZ9</f>
        <v/>
      </c>
      <c r="BB9" s="237">
        <f>3600+CX9</f>
        <v/>
      </c>
      <c r="BC9" s="237">
        <f>4600+CW9</f>
        <v/>
      </c>
      <c r="BD9" s="237">
        <f>5200+CV9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1400+CO9</f>
        <v/>
      </c>
      <c r="BP9" s="237" t="n">
        <v>2600</v>
      </c>
      <c r="BQ9" s="237">
        <f>1200+CM9</f>
        <v/>
      </c>
      <c r="BR9" s="237">
        <f>2400+CL9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>
        <f>6400-2000</f>
        <v/>
      </c>
      <c r="BY9" s="237" t="n">
        <v>2800</v>
      </c>
      <c r="BZ9" s="198">
        <f>BX9+IF(NOT(ISBLANK(OFFSET(BZ9,0,6))),N(OFFSET(BZ9,0,6)),N(OFFSET(BZ9,0,7)))-BY9</f>
        <v/>
      </c>
      <c r="CA9" s="5" t="n"/>
      <c r="CB9" s="468" t="inlineStr">
        <is>
          <t>2000 P/ ERB</t>
        </is>
      </c>
      <c r="CC9" s="468" t="inlineStr">
        <is>
          <t>1000 P/ ERB</t>
        </is>
      </c>
      <c r="CD9" s="5" t="n"/>
      <c r="CE9" s="27" t="n">
        <v>2000</v>
      </c>
      <c r="CF9" s="1" t="n"/>
      <c r="CG9" s="23" t="n">
        <v>0</v>
      </c>
      <c r="CH9" s="23" t="n">
        <v>0</v>
      </c>
      <c r="CI9" s="23" t="n">
        <v>4000</v>
      </c>
      <c r="CJ9" s="23" t="n"/>
      <c r="CK9" s="419" t="n">
        <v>4000</v>
      </c>
      <c r="CL9" s="23" t="n">
        <v>2000</v>
      </c>
      <c r="CM9" s="23" t="n">
        <v>2000</v>
      </c>
      <c r="CN9" s="23" t="n"/>
      <c r="CO9" s="23" t="n">
        <v>2600</v>
      </c>
      <c r="CP9" s="23" t="n">
        <v>3000</v>
      </c>
      <c r="CQ9" s="23" t="n"/>
      <c r="CR9" s="23" t="n"/>
      <c r="CS9" s="23" t="n">
        <v>2000</v>
      </c>
      <c r="CT9" s="23" t="n"/>
      <c r="CU9" s="23" t="n"/>
      <c r="CV9" s="23" t="n">
        <v>1000</v>
      </c>
      <c r="CW9" s="23" t="n">
        <v>1000</v>
      </c>
      <c r="CX9" s="23" t="n">
        <v>2000</v>
      </c>
      <c r="CY9" s="23" t="n"/>
      <c r="CZ9" s="23" t="n">
        <v>3000</v>
      </c>
      <c r="DA9" s="198" t="inlineStr">
        <is>
          <t>400 P/ ERB</t>
        </is>
      </c>
      <c r="DB9" s="23" t="n">
        <v>2600</v>
      </c>
      <c r="DC9" s="23" t="n">
        <v>1000</v>
      </c>
      <c r="DD9" s="23" t="n"/>
      <c r="DE9" s="23" t="n">
        <v>2600</v>
      </c>
      <c r="DF9" s="219" t="n">
        <v>200</v>
      </c>
      <c r="DG9" s="23" t="n"/>
      <c r="DH9" s="23" t="n"/>
      <c r="DI9" s="23" t="n"/>
      <c r="DJ9" s="23" t="n"/>
      <c r="DK9" s="23" t="n">
        <v>2600</v>
      </c>
      <c r="DL9" s="23" t="n"/>
      <c r="DM9" s="23" t="n"/>
      <c r="DN9" s="23" t="n">
        <v>2000</v>
      </c>
      <c r="DO9" s="192" t="inlineStr">
        <is>
          <t>400 P/ ER</t>
        </is>
      </c>
      <c r="DP9" s="23" t="n">
        <v>1600</v>
      </c>
      <c r="DQ9" s="434" t="inlineStr">
        <is>
          <t>60 P/ ER</t>
        </is>
      </c>
      <c r="DR9" s="23" t="n">
        <v>3000</v>
      </c>
      <c r="DS9" s="23" t="n"/>
      <c r="DT9" s="23" t="n"/>
      <c r="DU9" s="219" t="n">
        <v>100</v>
      </c>
      <c r="DV9" s="23" t="n">
        <v>2600</v>
      </c>
      <c r="DW9" s="23" t="n"/>
      <c r="DX9" s="192" t="inlineStr">
        <is>
          <t>1000 P/ ER</t>
        </is>
      </c>
      <c r="DY9" s="23" t="n"/>
      <c r="DZ9" s="23" t="n"/>
      <c r="EA9" s="23" t="n"/>
      <c r="EB9" s="23" t="n">
        <v>1000</v>
      </c>
      <c r="EC9" s="23" t="n">
        <v>2600</v>
      </c>
      <c r="ED9" s="23" t="n"/>
      <c r="EE9" s="23" t="n"/>
      <c r="EF9" s="23" t="n"/>
      <c r="EG9" s="23" t="n"/>
      <c r="EH9" s="23" t="n">
        <v>1600</v>
      </c>
      <c r="EI9" s="23" t="n"/>
      <c r="EJ9" s="23" t="n">
        <v>1600</v>
      </c>
      <c r="EK9" s="23" t="n"/>
      <c r="EL9" s="23" t="n"/>
      <c r="EM9" s="23" t="n">
        <v>1800</v>
      </c>
      <c r="EN9" s="23" t="n"/>
      <c r="EO9" s="23" t="n">
        <v>1800</v>
      </c>
      <c r="EP9" s="23" t="n"/>
      <c r="EQ9" s="23" t="n"/>
      <c r="ER9" s="23" t="n"/>
      <c r="ES9" s="282" t="inlineStr">
        <is>
          <t>800 P/ SHN + 600 P/ TDQ + 200 P/ GV + 800 P/ Q7 + 200 P/ Q2</t>
        </is>
      </c>
      <c r="ET9" s="23" t="n"/>
      <c r="EU9" s="23" t="n"/>
      <c r="EV9" s="23" t="n"/>
      <c r="EW9" s="23" t="n"/>
      <c r="EX9" s="23" t="n"/>
      <c r="EY9" s="23" t="n"/>
      <c r="EZ9" s="23" t="n"/>
      <c r="FA9" s="23" t="n"/>
      <c r="FB9" s="23" t="n"/>
      <c r="FC9" s="23" t="n"/>
      <c r="FD9" s="23" t="n">
        <v>2600</v>
      </c>
      <c r="FE9" s="23" t="n"/>
      <c r="FF9" s="282" t="inlineStr">
        <is>
          <t>400 P/ ER</t>
        </is>
      </c>
      <c r="FG9" s="23" t="n"/>
      <c r="FH9" s="23" t="n"/>
      <c r="FI9" s="23" t="n"/>
      <c r="FJ9" s="23" t="n"/>
      <c r="FK9" s="23" t="n">
        <v>4000</v>
      </c>
      <c r="FL9" s="219" t="n"/>
      <c r="FM9" s="23" t="n">
        <v>1400</v>
      </c>
      <c r="FN9" s="23" t="n">
        <v>1400</v>
      </c>
      <c r="FO9" s="219" t="n">
        <v>3400</v>
      </c>
      <c r="FP9" s="23" t="n"/>
      <c r="FQ9" s="23" t="n">
        <v>1200</v>
      </c>
      <c r="FR9" s="23" t="n">
        <v>1200</v>
      </c>
      <c r="FS9" s="23" t="n"/>
      <c r="FT9" s="23" t="n">
        <v>2000</v>
      </c>
      <c r="FU9" s="23" t="n"/>
      <c r="FV9" s="23" t="n"/>
      <c r="FW9" s="23" t="n"/>
      <c r="FX9" s="23" t="n"/>
      <c r="FY9" s="23" t="n">
        <v>400</v>
      </c>
      <c r="FZ9" s="23" t="n">
        <v>400</v>
      </c>
      <c r="GA9" s="23" t="n"/>
      <c r="GB9" s="23" t="n">
        <v>600</v>
      </c>
      <c r="GC9" s="23" t="n"/>
      <c r="GD9" s="23" t="n"/>
      <c r="GF9" s="300" t="inlineStr">
        <is>
          <t>SACOLA P</t>
        </is>
      </c>
      <c r="GG9" s="301" t="n">
        <v>200</v>
      </c>
      <c r="GH9" s="162">
        <f>FO9</f>
        <v/>
      </c>
      <c r="GI9" s="162" t="n">
        <v>3400</v>
      </c>
      <c r="GJ9" s="162" t="n">
        <v>3400</v>
      </c>
      <c r="GK9" s="162" t="n">
        <v>3400</v>
      </c>
      <c r="GL9" s="162" t="n">
        <v>3200</v>
      </c>
      <c r="GM9" s="162" t="n">
        <v>3200</v>
      </c>
      <c r="GN9" s="162" t="n">
        <v>1600</v>
      </c>
      <c r="GO9" s="162" t="n">
        <v>1400</v>
      </c>
      <c r="GP9" s="162" t="n">
        <v>1200</v>
      </c>
      <c r="GQ9" s="162" t="n">
        <v>0</v>
      </c>
      <c r="GR9" s="162" t="n">
        <v>0</v>
      </c>
      <c r="GS9" s="302" t="n">
        <v>0</v>
      </c>
      <c r="GU9" s="819" t="n"/>
      <c r="GV9" s="745" t="n"/>
      <c r="GW9" s="745" t="n"/>
      <c r="GX9" s="745" t="n"/>
      <c r="GY9" s="745" t="n"/>
      <c r="GZ9" s="745" t="n"/>
      <c r="HA9" s="745" t="n"/>
      <c r="HB9" s="745" t="n"/>
      <c r="HC9" s="745" t="n"/>
      <c r="HD9" s="745" t="n"/>
      <c r="HF9" s="819" t="n"/>
      <c r="HG9" s="745" t="n"/>
      <c r="HH9" s="745" t="n"/>
      <c r="HI9" s="745" t="n"/>
      <c r="HJ9" s="745" t="n"/>
      <c r="HK9" s="745" t="n"/>
      <c r="HL9" s="745" t="n"/>
      <c r="HM9" s="745" t="n"/>
      <c r="HN9" s="745" t="n"/>
      <c r="HO9" s="745" t="n"/>
      <c r="HP9" s="745" t="n"/>
      <c r="HR9" s="65" t="inlineStr">
        <is>
          <t>SACOLA P</t>
        </is>
      </c>
      <c r="HS9" s="208" t="n">
        <v>200</v>
      </c>
      <c r="HT9" s="162" t="n">
        <v>0</v>
      </c>
      <c r="HU9" s="162">
        <f>DF9</f>
        <v/>
      </c>
      <c r="HV9" s="162" t="n">
        <v>200</v>
      </c>
      <c r="HW9" s="452">
        <f>HU9-HV9</f>
        <v/>
      </c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2200+FY10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2000+FK10-400</f>
        <v/>
      </c>
      <c r="T10" s="237" t="n">
        <v>4400</v>
      </c>
      <c r="U10" s="237">
        <f>2200+FH10</f>
        <v/>
      </c>
      <c r="V10" s="237" t="n">
        <v>2800</v>
      </c>
      <c r="W10" s="237">
        <f>2800+FE10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1400+EH10</f>
        <v/>
      </c>
      <c r="AI10" s="237" t="n">
        <v>1400</v>
      </c>
      <c r="AJ10" s="237" t="n">
        <v>1000</v>
      </c>
      <c r="AK10" s="237">
        <f>1200+EB10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1200+DG10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1200+CX10</f>
        <v/>
      </c>
      <c r="BC10" s="237">
        <f>2400+CW10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1400+CR10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>
        <f>1800-400</f>
        <v/>
      </c>
      <c r="BY10" s="237" t="n">
        <v>1400</v>
      </c>
      <c r="BZ10" s="198">
        <f>BX10+IF(NOT(ISBLANK(OFFSET(BZ10,0,6))),N(OFFSET(BZ10,0,6)),N(OFFSET(BZ10,0,7)))-BY10</f>
        <v/>
      </c>
      <c r="CA10" s="5" t="n"/>
      <c r="CB10" s="468" t="inlineStr">
        <is>
          <t>400 P/ ERB</t>
        </is>
      </c>
      <c r="CC10" s="468" t="inlineStr">
        <is>
          <t>600 P/ ERB</t>
        </is>
      </c>
      <c r="CD10" s="5" t="n"/>
      <c r="CE10" s="27" t="n"/>
      <c r="CF10" s="1" t="n"/>
      <c r="CG10" s="23" t="n">
        <v>0</v>
      </c>
      <c r="CH10" s="23" t="n">
        <v>0</v>
      </c>
      <c r="CI10" s="23" t="n"/>
      <c r="CJ10" s="23" t="n"/>
      <c r="CK10" s="419" t="n">
        <v>3000</v>
      </c>
      <c r="CL10" s="23" t="n"/>
      <c r="CM10" s="23" t="n"/>
      <c r="CN10" s="467" t="n">
        <v>1500</v>
      </c>
      <c r="CO10" s="23" t="n"/>
      <c r="CP10" s="23" t="n"/>
      <c r="CQ10" s="23" t="n"/>
      <c r="CR10" s="23" t="n">
        <v>1400</v>
      </c>
      <c r="CS10" s="23" t="n">
        <v>800</v>
      </c>
      <c r="CT10" s="23" t="n"/>
      <c r="CU10" s="23" t="n"/>
      <c r="CV10" s="23" t="n"/>
      <c r="CW10" s="23" t="n">
        <v>400</v>
      </c>
      <c r="CX10" s="23" t="n">
        <v>800</v>
      </c>
      <c r="CY10" s="23" t="n"/>
      <c r="CZ10" s="23" t="n"/>
      <c r="DA10" s="198" t="inlineStr">
        <is>
          <t>400 P/ ERB</t>
        </is>
      </c>
      <c r="DB10" s="23" t="n"/>
      <c r="DC10" s="23" t="n"/>
      <c r="DD10" s="23" t="n">
        <v>800</v>
      </c>
      <c r="DE10" s="23" t="n"/>
      <c r="DF10" s="219" t="n">
        <v>200</v>
      </c>
      <c r="DG10" s="23" t="n">
        <v>600</v>
      </c>
      <c r="DH10" s="23" t="n"/>
      <c r="DI10" s="23" t="n">
        <v>1000</v>
      </c>
      <c r="DJ10" s="23" t="n"/>
      <c r="DK10" s="23" t="n"/>
      <c r="DL10" s="23" t="n">
        <v>400</v>
      </c>
      <c r="DM10" s="23" t="n"/>
      <c r="DN10" s="23" t="n"/>
      <c r="DO10" s="192" t="inlineStr">
        <is>
          <t>400 P/ ER</t>
        </is>
      </c>
      <c r="DP10" s="23" t="n"/>
      <c r="DQ10" s="434" t="inlineStr">
        <is>
          <t>60 P/ ER</t>
        </is>
      </c>
      <c r="DR10" s="23" t="n"/>
      <c r="DS10" s="23" t="n"/>
      <c r="DT10" s="23" t="n"/>
      <c r="DU10" s="219" t="n">
        <v>100</v>
      </c>
      <c r="DV10" s="23" t="n">
        <v>1400</v>
      </c>
      <c r="DW10" s="23" t="n"/>
      <c r="DX10" s="192" t="inlineStr">
        <is>
          <t>600 P/ ER</t>
        </is>
      </c>
      <c r="DY10" s="23" t="inlineStr">
        <is>
          <t> </t>
        </is>
      </c>
      <c r="DZ10" s="23" t="n"/>
      <c r="EA10" s="23" t="n"/>
      <c r="EB10" s="23" t="n">
        <v>400</v>
      </c>
      <c r="EC10" s="23" t="n"/>
      <c r="ED10" s="23" t="n"/>
      <c r="EE10" s="23" t="n"/>
      <c r="EF10" s="23" t="n"/>
      <c r="EG10" s="292" t="inlineStr">
        <is>
          <t>1000 DE ER</t>
        </is>
      </c>
      <c r="EH10" s="23" t="n">
        <v>400</v>
      </c>
      <c r="EI10" s="23" t="n"/>
      <c r="EJ10" s="23" t="n"/>
      <c r="EK10" s="23" t="n"/>
      <c r="EL10" s="23" t="n"/>
      <c r="EM10" s="23" t="n"/>
      <c r="EN10" s="23" t="n"/>
      <c r="EO10" s="23" t="n"/>
      <c r="EP10" s="23" t="n"/>
      <c r="EQ10" s="23" t="n"/>
      <c r="ER10" s="23" t="n"/>
      <c r="ES10" s="23" t="n"/>
      <c r="ET10" s="282" t="inlineStr">
        <is>
          <t>2000 P/ ERB</t>
        </is>
      </c>
      <c r="EU10" s="23" t="n"/>
      <c r="EV10" s="23" t="n"/>
      <c r="EW10" s="23" t="n"/>
      <c r="EX10" s="23" t="n"/>
      <c r="EY10" s="23" t="n"/>
      <c r="EZ10" s="23" t="n"/>
      <c r="FA10" s="23" t="n"/>
      <c r="FB10" s="23" t="n"/>
      <c r="FC10" s="23" t="n"/>
      <c r="FD10" s="23" t="n"/>
      <c r="FE10" s="23" t="n">
        <v>2600</v>
      </c>
      <c r="FF10" s="23" t="n"/>
      <c r="FG10" s="23" t="n"/>
      <c r="FH10" s="23" t="n">
        <v>600</v>
      </c>
      <c r="FI10" s="23" t="n"/>
      <c r="FJ10" s="282" t="inlineStr">
        <is>
          <t>400 P/ ER</t>
        </is>
      </c>
      <c r="FK10" s="23" t="n">
        <v>3000</v>
      </c>
      <c r="FL10" s="219" t="n"/>
      <c r="FM10" s="23" t="n"/>
      <c r="FN10" s="23" t="n"/>
      <c r="FO10" s="219" t="n">
        <v>2600</v>
      </c>
      <c r="FP10" s="23" t="n"/>
      <c r="FQ10" s="23" t="n"/>
      <c r="FR10" s="23" t="n"/>
      <c r="FS10" s="23" t="n"/>
      <c r="FT10" s="23" t="n"/>
      <c r="FU10" s="23" t="n"/>
      <c r="FV10" s="23" t="n"/>
      <c r="FW10" s="23" t="n"/>
      <c r="FX10" s="23" t="n"/>
      <c r="FY10" s="23" t="n">
        <v>600</v>
      </c>
      <c r="FZ10" s="23" t="n">
        <v>400</v>
      </c>
      <c r="GA10" s="23" t="n"/>
      <c r="GB10" s="23" t="n"/>
      <c r="GC10" s="23" t="n"/>
      <c r="GD10" s="23" t="n">
        <v>1600</v>
      </c>
      <c r="GF10" s="65" t="inlineStr">
        <is>
          <t>SACOLA M</t>
        </is>
      </c>
      <c r="GG10" s="208" t="n">
        <v>200</v>
      </c>
      <c r="GH10" s="699">
        <f>FO10</f>
        <v/>
      </c>
      <c r="GI10" s="699" t="n">
        <v>1800</v>
      </c>
      <c r="GJ10" s="699" t="n">
        <v>1600</v>
      </c>
      <c r="GK10" s="162" t="n">
        <v>1000</v>
      </c>
      <c r="GL10" s="162" t="n">
        <v>800</v>
      </c>
      <c r="GM10" s="162" t="n">
        <v>800</v>
      </c>
      <c r="GN10" s="162" t="n">
        <v>400</v>
      </c>
      <c r="GO10" s="162" t="n">
        <v>200</v>
      </c>
      <c r="GP10" s="162" t="n">
        <v>200</v>
      </c>
      <c r="GQ10" s="162" t="n">
        <v>0</v>
      </c>
      <c r="GR10" s="162" t="n">
        <v>0</v>
      </c>
      <c r="GS10" s="302" t="n">
        <v>0</v>
      </c>
      <c r="GU10" s="65" t="inlineStr">
        <is>
          <t>SACOLA M</t>
        </is>
      </c>
      <c r="GV10" s="208" t="n">
        <v>200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525">
        <f>GW10-GX10</f>
        <v/>
      </c>
      <c r="HF10" s="65" t="inlineStr">
        <is>
          <t>SACOLA M</t>
        </is>
      </c>
      <c r="HG10" s="208" t="n">
        <v>200</v>
      </c>
      <c r="HH10" s="162" t="n">
        <v>0</v>
      </c>
      <c r="HI10" s="162">
        <f>0+1000</f>
        <v/>
      </c>
      <c r="HJ10" s="162" t="n">
        <v>1000</v>
      </c>
      <c r="HK10" s="162" t="n">
        <v>200</v>
      </c>
      <c r="HL10" s="162" t="n">
        <v>0</v>
      </c>
      <c r="HM10" s="162" t="n">
        <v>0</v>
      </c>
      <c r="HN10" s="162" t="n">
        <v>0</v>
      </c>
      <c r="HO10" s="162" t="n">
        <v>0</v>
      </c>
      <c r="HP10" s="520" t="n">
        <v>0</v>
      </c>
      <c r="HR10" s="65" t="inlineStr">
        <is>
          <t>SACOLA M</t>
        </is>
      </c>
      <c r="HS10" s="208" t="n">
        <v>200</v>
      </c>
      <c r="HT10" s="162" t="n">
        <v>0</v>
      </c>
      <c r="HU10" s="162">
        <f>DF10</f>
        <v/>
      </c>
      <c r="HV10" s="162" t="n">
        <v>200</v>
      </c>
      <c r="HW10" s="452">
        <f>HU10-HV10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500+FK11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200+DG11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800+CX11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237" t="n">
        <v>0</v>
      </c>
      <c r="BZ11" s="198">
        <f>BX11+IF(NOT(ISBLANK(OFFSET(BZ11,0,6))),N(OFFSET(BZ11,0,6)),N(OFFSET(BZ11,0,7)))-BY11</f>
        <v/>
      </c>
      <c r="CA11" s="5" t="n"/>
      <c r="CB11" s="22" t="n"/>
      <c r="CC11" s="468" t="inlineStr">
        <is>
          <t>500 DE ERB</t>
        </is>
      </c>
      <c r="CD11" s="5" t="n"/>
      <c r="CE11" s="27" t="n"/>
      <c r="CF11" s="5" t="n"/>
      <c r="CG11" s="23" t="n">
        <v>0</v>
      </c>
      <c r="CH11" s="23" t="n">
        <v>0</v>
      </c>
      <c r="CI11" s="23" t="n"/>
      <c r="CJ11" s="23" t="n"/>
      <c r="CK11" s="419" t="n">
        <v>100</v>
      </c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>
        <v>600</v>
      </c>
      <c r="CY11" s="23" t="n"/>
      <c r="CZ11" s="23" t="n"/>
      <c r="DA11" s="219" t="n"/>
      <c r="DB11" s="23" t="n"/>
      <c r="DC11" s="23" t="n"/>
      <c r="DD11" s="23" t="n">
        <v>600</v>
      </c>
      <c r="DE11" s="23" t="n"/>
      <c r="DF11" s="219" t="n">
        <v>100</v>
      </c>
      <c r="DG11" s="23" t="n">
        <v>500</v>
      </c>
      <c r="DH11" s="23" t="n"/>
      <c r="DI11" s="23" t="n">
        <v>100</v>
      </c>
      <c r="DJ11" s="23" t="n"/>
      <c r="DK11" s="23" t="n"/>
      <c r="DL11" s="23" t="n">
        <v>200</v>
      </c>
      <c r="DM11" s="23" t="n"/>
      <c r="DN11" s="23" t="n"/>
      <c r="DO11" s="23" t="n"/>
      <c r="DP11" s="23" t="n"/>
      <c r="DQ11" s="434" t="inlineStr">
        <is>
          <t>75 P/ ER</t>
        </is>
      </c>
      <c r="DR11" s="23" t="n"/>
      <c r="DS11" s="23" t="n"/>
      <c r="DT11" s="23" t="n"/>
      <c r="DU11" s="219" t="n">
        <v>150</v>
      </c>
      <c r="DV11" s="23" t="n"/>
      <c r="DW11" s="23" t="n"/>
      <c r="DX11" s="23" t="n"/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/>
      <c r="EM11" s="23" t="n">
        <v>400</v>
      </c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>
        <v>300</v>
      </c>
      <c r="FL11" s="219" t="n"/>
      <c r="FM11" s="23" t="n"/>
      <c r="FN11" s="23" t="n"/>
      <c r="FO11" s="219" t="n">
        <v>800</v>
      </c>
      <c r="FP11" s="23" t="n"/>
      <c r="FQ11" s="23" t="n"/>
      <c r="FR11" s="23" t="n"/>
      <c r="FS11" s="23" t="n"/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D11" s="23" t="n"/>
      <c r="GF11" s="66" t="inlineStr">
        <is>
          <t>SACOLA G</t>
        </is>
      </c>
      <c r="GG11" s="208" t="n">
        <v>100</v>
      </c>
      <c r="GH11" s="699">
        <f>FO11</f>
        <v/>
      </c>
      <c r="GI11" s="699" t="n">
        <v>200</v>
      </c>
      <c r="GJ11" s="699" t="n">
        <v>200</v>
      </c>
      <c r="GK11" s="162" t="n">
        <v>100</v>
      </c>
      <c r="GL11" s="162" t="n">
        <v>100</v>
      </c>
      <c r="GM11" s="162" t="n">
        <v>100</v>
      </c>
      <c r="GN11" s="162" t="n">
        <v>100</v>
      </c>
      <c r="GO11" s="162" t="n">
        <v>100</v>
      </c>
      <c r="GP11" s="162" t="n">
        <v>100</v>
      </c>
      <c r="GQ11" s="162" t="n">
        <v>0</v>
      </c>
      <c r="GR11" s="162" t="n">
        <v>0</v>
      </c>
      <c r="GS11" s="302" t="n">
        <v>0</v>
      </c>
      <c r="GU11" s="66" t="inlineStr">
        <is>
          <t>SACOLA G</t>
        </is>
      </c>
      <c r="GV11" s="208" t="n">
        <v>100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525">
        <f>GW11-GX11</f>
        <v/>
      </c>
      <c r="HF11" s="35" t="n"/>
      <c r="HR11" s="65" t="inlineStr">
        <is>
          <t>SACOLA G</t>
        </is>
      </c>
      <c r="HS11" s="208" t="n">
        <v>100</v>
      </c>
      <c r="HT11" s="162" t="n">
        <v>0</v>
      </c>
      <c r="HU11" s="162">
        <f>DF11</f>
        <v/>
      </c>
      <c r="HV11" s="162" t="n">
        <v>100</v>
      </c>
      <c r="HW11" s="452">
        <f>HU11-HV11</f>
        <v/>
      </c>
      <c r="HY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822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237" t="n"/>
      <c r="BZ12" s="198">
        <f>BX12+IF(NOT(ISBLANK(OFFSET(BZ12,0,6))),N(OFFSET(BZ12,0,6)),N(OFFSET(BZ12,0,7)))-BY12</f>
        <v/>
      </c>
      <c r="CA12" s="5" t="n"/>
      <c r="CB12" s="22" t="n"/>
      <c r="CC12" s="22" t="n"/>
      <c r="CD12" s="5" t="n"/>
      <c r="CE12" s="27" t="n"/>
      <c r="CF12" s="5" t="n"/>
      <c r="CG12" s="23" t="n"/>
      <c r="CH12" s="23" t="n"/>
      <c r="CI12" s="23" t="n"/>
      <c r="CJ12" s="23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3" t="n"/>
      <c r="DA12" s="219" t="n"/>
      <c r="DB12" s="23" t="n"/>
      <c r="DC12" s="23" t="n"/>
      <c r="DD12" s="23" t="n"/>
      <c r="DE12" s="23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3" t="n"/>
      <c r="DQ12" s="219" t="n"/>
      <c r="DR12" s="23" t="n"/>
      <c r="DS12" s="23" t="n"/>
      <c r="DT12" s="23" t="n"/>
      <c r="DU12" s="219" t="n"/>
      <c r="DV12" s="23" t="n"/>
      <c r="DW12" s="23" t="n"/>
      <c r="DX12" s="23" t="n"/>
      <c r="DY12" s="23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3" t="n"/>
      <c r="FL12" s="219" t="n"/>
      <c r="FM12" s="23" t="n"/>
      <c r="FN12" s="23" t="n"/>
      <c r="FO12" s="219" t="n"/>
      <c r="FP12" s="282" t="inlineStr">
        <is>
          <t>600 P/ ER</t>
        </is>
      </c>
      <c r="FQ12" s="23" t="n"/>
      <c r="FR12" s="23" t="n"/>
      <c r="FS12" s="23" t="n"/>
      <c r="FT12" s="23" t="n"/>
      <c r="FU12" s="23" t="n"/>
      <c r="FV12" s="282" t="inlineStr">
        <is>
          <t>600 P/ ER</t>
        </is>
      </c>
      <c r="FW12" s="23" t="n"/>
      <c r="FX12" s="23" t="n"/>
      <c r="FY12" s="23" t="n"/>
      <c r="FZ12" s="23" t="n"/>
      <c r="GA12" s="23" t="n"/>
      <c r="GB12" s="23" t="n"/>
      <c r="GC12" s="23" t="n"/>
      <c r="GD12" s="23" t="n"/>
      <c r="GF12" s="35" t="n"/>
      <c r="GU12" s="35" t="n"/>
      <c r="HF12" s="35" t="n"/>
      <c r="HR12" s="35" t="n"/>
    </row>
    <row r="13" hidden="1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822" t="n"/>
      <c r="E13" s="5" t="n"/>
      <c r="F13" s="697" t="n">
        <v>500</v>
      </c>
      <c r="G13" s="697" t="n">
        <v>400</v>
      </c>
      <c r="H13" s="697" t="n">
        <v>600</v>
      </c>
      <c r="I13" s="697" t="n">
        <v>600</v>
      </c>
      <c r="J13" s="697">
        <f>600-600</f>
        <v/>
      </c>
      <c r="K13" s="697" t="n">
        <v>0</v>
      </c>
      <c r="L13" s="697" t="n">
        <v>0</v>
      </c>
      <c r="M13" s="697" t="n">
        <v>0</v>
      </c>
      <c r="N13" s="697" t="n">
        <v>0</v>
      </c>
      <c r="O13" s="697" t="n">
        <v>0</v>
      </c>
      <c r="P13" s="697" t="n">
        <v>0</v>
      </c>
      <c r="Q13" s="697" t="n">
        <v>0</v>
      </c>
      <c r="R13" s="697" t="n"/>
      <c r="S13" s="697" t="n"/>
      <c r="T13" s="697" t="n"/>
      <c r="U13" s="697" t="n"/>
      <c r="V13" s="697" t="n"/>
      <c r="W13" s="697" t="n"/>
      <c r="X13" s="697" t="n"/>
      <c r="Y13" s="697" t="n"/>
      <c r="Z13" s="697" t="n"/>
      <c r="AA13" s="697" t="n"/>
      <c r="AB13" s="697" t="n"/>
      <c r="AC13" s="697" t="n"/>
      <c r="AD13" s="697" t="n"/>
      <c r="AE13" s="697" t="n"/>
      <c r="AF13" s="697" t="n">
        <v>300</v>
      </c>
      <c r="AG13" s="697" t="n"/>
      <c r="AH13" s="697" t="n"/>
      <c r="AI13" s="697" t="n"/>
      <c r="AJ13" s="697" t="n"/>
      <c r="AK13" s="697" t="n"/>
      <c r="AL13" s="697" t="n"/>
      <c r="AM13" s="697" t="n"/>
      <c r="AN13" s="697" t="n"/>
      <c r="AO13" s="697" t="n"/>
      <c r="AP13" s="697" t="n"/>
      <c r="AQ13" s="697" t="n"/>
      <c r="AR13" s="697" t="n"/>
      <c r="AS13" s="697" t="n"/>
      <c r="AT13" s="697" t="n"/>
      <c r="AU13" s="697" t="n"/>
      <c r="AV13" s="697" t="n"/>
      <c r="AW13" s="697" t="n"/>
      <c r="AX13" s="697" t="n"/>
      <c r="AY13" s="697" t="n"/>
      <c r="AZ13" s="697" t="n"/>
      <c r="BA13" s="697" t="n"/>
      <c r="BB13" s="697" t="n"/>
      <c r="BC13" s="697" t="n"/>
      <c r="BD13" s="697" t="n"/>
      <c r="BE13" s="697" t="n"/>
      <c r="BF13" s="697" t="n"/>
      <c r="BG13" s="697" t="n"/>
      <c r="BH13" s="697" t="n"/>
      <c r="BI13" s="697" t="n"/>
      <c r="BJ13" s="697" t="n"/>
      <c r="BK13" s="697" t="n"/>
      <c r="BL13" s="697" t="n"/>
      <c r="BM13" s="697" t="n"/>
      <c r="BN13" s="697" t="n"/>
      <c r="BO13" s="697" t="n"/>
      <c r="BP13" s="697" t="n"/>
      <c r="BQ13" s="697" t="n"/>
      <c r="BR13" s="697" t="n"/>
      <c r="BS13" s="697" t="n"/>
      <c r="BT13" s="697" t="n"/>
      <c r="BU13" s="697" t="n"/>
      <c r="BV13" s="697" t="n"/>
      <c r="BW13" s="697" t="n"/>
      <c r="BX13" s="697" t="n"/>
      <c r="BY13" s="697" t="n"/>
      <c r="BZ13" s="198">
        <f>BX13+IF(NOT(ISBLANK(OFFSET(BZ13,0,6))),N(OFFSET(BZ13,0,6)),N(OFFSET(BZ13,0,7)))-BY13</f>
        <v/>
      </c>
      <c r="CA13" s="5" t="n"/>
      <c r="CB13" s="22" t="n"/>
      <c r="CC13" s="22" t="n"/>
      <c r="CD13" s="5" t="n"/>
      <c r="CE13" s="27" t="n"/>
      <c r="CF13" s="5" t="n"/>
      <c r="CG13" s="23" t="n"/>
      <c r="CH13" s="23" t="n"/>
      <c r="CI13" s="23" t="n"/>
      <c r="CJ13" s="23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3" t="n"/>
      <c r="DA13" s="219" t="n"/>
      <c r="DB13" s="23" t="n"/>
      <c r="DC13" s="23" t="n"/>
      <c r="DD13" s="23" t="n"/>
      <c r="DE13" s="23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3" t="n"/>
      <c r="DQ13" s="219" t="n"/>
      <c r="DR13" s="23" t="n"/>
      <c r="DS13" s="23" t="n"/>
      <c r="DT13" s="23" t="n"/>
      <c r="DU13" s="219" t="n"/>
      <c r="DV13" s="23" t="n"/>
      <c r="DW13" s="23" t="n"/>
      <c r="DX13" s="23" t="n"/>
      <c r="DY13" s="23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3" t="n"/>
      <c r="FL13" s="219" t="n"/>
      <c r="FM13" s="23" t="n"/>
      <c r="FN13" s="23" t="n"/>
      <c r="FO13" s="219" t="n"/>
      <c r="FP13" s="282" t="inlineStr">
        <is>
          <t>600 P/ ER</t>
        </is>
      </c>
      <c r="FQ13" s="23" t="n"/>
      <c r="FR13" s="23" t="n"/>
      <c r="FS13" s="23" t="n"/>
      <c r="FT13" s="23" t="n"/>
      <c r="FU13" s="23" t="n"/>
      <c r="FV13" s="282" t="inlineStr">
        <is>
          <t>600 P/ ER</t>
        </is>
      </c>
      <c r="FW13" s="23" t="n"/>
      <c r="FX13" s="23" t="n"/>
      <c r="FY13" s="23" t="n"/>
      <c r="FZ13" s="23" t="n">
        <v>200</v>
      </c>
      <c r="GA13" s="23" t="n"/>
      <c r="GB13" s="23" t="n"/>
      <c r="GC13" s="23" t="n"/>
      <c r="GD13" s="23" t="n"/>
      <c r="GF13" s="35" t="n"/>
      <c r="GU13" s="35" t="n"/>
      <c r="HF13" s="35" t="n"/>
      <c r="HR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4" t="n"/>
      <c r="CB14" s="150" t="n"/>
      <c r="CC14" s="150" t="n"/>
      <c r="CD14" s="5" t="n"/>
      <c r="CE14" s="18" t="n"/>
      <c r="CF14" s="726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308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20" t="n"/>
      <c r="DQ14" s="47" t="n"/>
      <c r="DR14" s="20" t="n"/>
      <c r="DS14" s="20" t="n"/>
      <c r="DT14" s="20" t="n"/>
      <c r="DU14" s="47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L14" s="308" t="n"/>
      <c r="FM14" s="20" t="n"/>
      <c r="FN14" s="20" t="n"/>
      <c r="FO14" s="308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D14" s="20" t="n"/>
      <c r="GF14" s="35" t="n"/>
      <c r="GU14" s="35" t="n"/>
      <c r="HF14" s="35" t="n"/>
      <c r="HR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6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45908</v>
      </c>
      <c r="AQ15" s="746" t="n">
        <v>45915</v>
      </c>
      <c r="AR15" s="746" t="n">
        <v>45922</v>
      </c>
      <c r="AS15" s="746" t="n">
        <v>45929</v>
      </c>
      <c r="AT15" s="746" t="n">
        <v>45936</v>
      </c>
      <c r="AU15" s="746" t="n">
        <v>45943</v>
      </c>
      <c r="AV15" s="746" t="n">
        <v>45950</v>
      </c>
      <c r="AW15" s="746" t="n">
        <v>45957</v>
      </c>
      <c r="AX15" s="746" t="n">
        <v>45964</v>
      </c>
      <c r="AY15" s="746" t="n">
        <v>45971</v>
      </c>
      <c r="AZ15" s="746" t="n">
        <v>45978</v>
      </c>
      <c r="BA15" s="746" t="n">
        <v>45985</v>
      </c>
      <c r="BB15" s="746" t="n">
        <v>45992</v>
      </c>
      <c r="BC15" s="746" t="n">
        <v>45999</v>
      </c>
      <c r="BD15" s="746" t="n">
        <v>46006</v>
      </c>
      <c r="BE15" s="746" t="n">
        <v>46013</v>
      </c>
      <c r="BF15" s="746" t="n">
        <v>46020</v>
      </c>
      <c r="BG15" s="746" t="n">
        <v>46027</v>
      </c>
      <c r="BH15" s="746" t="n">
        <v>46034</v>
      </c>
      <c r="BI15" s="746" t="n">
        <v>46041</v>
      </c>
      <c r="BJ15" s="746" t="n">
        <v>46048</v>
      </c>
      <c r="BK15" s="746" t="n">
        <v>46055</v>
      </c>
      <c r="BL15" s="746" t="n">
        <v>46062</v>
      </c>
      <c r="BM15" s="746" t="n">
        <v>46069</v>
      </c>
      <c r="BN15" s="746" t="n">
        <v>46076</v>
      </c>
      <c r="BO15" s="746" t="n">
        <v>46083</v>
      </c>
      <c r="BP15" s="746" t="n">
        <v>46090</v>
      </c>
      <c r="BQ15" s="746" t="n">
        <v>46097</v>
      </c>
      <c r="BR15" s="746" t="n">
        <v>46104</v>
      </c>
      <c r="BS15" s="746" t="n">
        <v>46111</v>
      </c>
      <c r="BT15" s="746" t="n">
        <v>46118</v>
      </c>
      <c r="BU15" s="746" t="n">
        <v>46125</v>
      </c>
      <c r="BV15" s="746" t="n">
        <v>46132</v>
      </c>
      <c r="BW15" s="746" t="n">
        <v>46139</v>
      </c>
      <c r="BX15" s="746" t="n">
        <v>46146</v>
      </c>
      <c r="BY15" s="746" t="n">
        <v>46154</v>
      </c>
      <c r="BZ15" s="748" t="inlineStr">
        <is>
          <t>USOU</t>
        </is>
      </c>
      <c r="CA15" s="5" t="n"/>
      <c r="CB15" s="44" t="inlineStr">
        <is>
          <t>Pendências</t>
        </is>
      </c>
      <c r="CC15" s="44" t="inlineStr">
        <is>
          <t>Pendências</t>
        </is>
      </c>
      <c r="CD15" s="5" t="n"/>
      <c r="CE15" s="12" t="inlineStr">
        <is>
          <t>Novo Pedido</t>
        </is>
      </c>
      <c r="CF15" s="726" t="n"/>
      <c r="CG15" s="794" t="n">
        <v>46149</v>
      </c>
      <c r="CH15" s="794" t="n">
        <v>46142</v>
      </c>
      <c r="CI15" s="794" t="n">
        <v>46114</v>
      </c>
      <c r="CJ15" s="794" t="n">
        <v>46107</v>
      </c>
      <c r="CK15" s="795" t="n">
        <v>46065</v>
      </c>
      <c r="CL15" s="794" t="n">
        <v>46099</v>
      </c>
      <c r="CM15" s="794" t="n">
        <v>46092</v>
      </c>
      <c r="CN15" s="796" t="n">
        <v>46045</v>
      </c>
      <c r="CO15" s="794" t="n">
        <v>46077</v>
      </c>
      <c r="CP15" s="794" t="n">
        <v>46048</v>
      </c>
      <c r="CQ15" s="794" t="n">
        <v>46043</v>
      </c>
      <c r="CR15" s="794" t="n">
        <v>46024</v>
      </c>
      <c r="CS15" s="794" t="n">
        <v>46017</v>
      </c>
      <c r="CT15" s="794" t="n">
        <v>46007</v>
      </c>
      <c r="CU15" s="794" t="n">
        <v>46001</v>
      </c>
      <c r="CV15" s="794" t="n">
        <v>46001</v>
      </c>
      <c r="CW15" s="794" t="n">
        <v>45994</v>
      </c>
      <c r="CX15" s="794" t="n">
        <v>45986</v>
      </c>
      <c r="CY15" s="794" t="n">
        <v>45980</v>
      </c>
      <c r="CZ15" s="794" t="n">
        <v>45980</v>
      </c>
      <c r="DA15" s="797" t="n">
        <v>45982</v>
      </c>
      <c r="DB15" s="794" t="n">
        <v>45973</v>
      </c>
      <c r="DC15" s="794" t="n">
        <v>45965</v>
      </c>
      <c r="DD15" s="794" t="n">
        <v>45960</v>
      </c>
      <c r="DE15" s="794" t="n">
        <v>45951</v>
      </c>
      <c r="DF15" s="737" t="n">
        <v>45903</v>
      </c>
      <c r="DG15" s="794" t="n">
        <v>45945</v>
      </c>
      <c r="DH15" s="794" t="n">
        <v>45937</v>
      </c>
      <c r="DI15" s="794" t="n">
        <v>45931</v>
      </c>
      <c r="DJ15" s="794" t="n">
        <v>45931</v>
      </c>
      <c r="DK15" s="794" t="n">
        <v>45915</v>
      </c>
      <c r="DL15" s="794" t="n">
        <v>45923</v>
      </c>
      <c r="DM15" s="794" t="n">
        <v>45903</v>
      </c>
      <c r="DN15" s="794" t="n">
        <v>45915</v>
      </c>
      <c r="DO15" s="797" t="n">
        <v>45918</v>
      </c>
      <c r="DP15" s="794" t="n">
        <v>45909</v>
      </c>
      <c r="DQ15" s="738" t="n">
        <v>45903</v>
      </c>
      <c r="DR15" s="794" t="n">
        <v>45895</v>
      </c>
      <c r="DS15" s="797" t="n">
        <v>45896</v>
      </c>
      <c r="DT15" s="794" t="n">
        <v>45881</v>
      </c>
      <c r="DU15" s="738" t="n">
        <v>45839</v>
      </c>
      <c r="DV15" s="794" t="n">
        <v>45888</v>
      </c>
      <c r="DW15" s="794" t="n">
        <v>45881</v>
      </c>
      <c r="DX15" s="797" t="n">
        <v>45881</v>
      </c>
      <c r="DY15" s="794" t="n">
        <v>45874</v>
      </c>
      <c r="DZ15" s="797" t="n">
        <v>45876</v>
      </c>
      <c r="EA15" s="794" t="n">
        <v>45867</v>
      </c>
      <c r="EB15" s="794" t="n">
        <v>45867</v>
      </c>
      <c r="EC15" s="794" t="n">
        <v>45860</v>
      </c>
      <c r="ED15" s="797" t="n">
        <v>45861</v>
      </c>
      <c r="EE15" s="797" t="n">
        <v>45860</v>
      </c>
      <c r="EF15" s="794" t="n">
        <v>45853</v>
      </c>
      <c r="EG15" s="739" t="n">
        <v>45855</v>
      </c>
      <c r="EH15" s="794" t="n">
        <v>45848</v>
      </c>
      <c r="EI15" s="794" t="n">
        <v>45839</v>
      </c>
      <c r="EJ15" s="794" t="n">
        <v>45839</v>
      </c>
      <c r="EK15" s="797" t="n">
        <v>45835</v>
      </c>
      <c r="EL15" s="794" t="n">
        <v>45790</v>
      </c>
      <c r="EM15" s="794" t="n">
        <v>45825</v>
      </c>
      <c r="EN15" s="794" t="n">
        <v>45819</v>
      </c>
      <c r="EO15" s="794" t="n">
        <v>45813</v>
      </c>
      <c r="EP15" s="794" t="n">
        <v>45797</v>
      </c>
      <c r="EQ15" s="797" t="n">
        <v>45811</v>
      </c>
      <c r="ER15" s="797" t="n">
        <v>45810</v>
      </c>
      <c r="ES15" s="797" t="n">
        <v>45806</v>
      </c>
      <c r="ET15" s="797" t="n">
        <v>45803</v>
      </c>
      <c r="EU15" s="755" t="n">
        <v>45803</v>
      </c>
      <c r="EV15" s="794" t="n">
        <v>45784</v>
      </c>
      <c r="EW15" s="797" t="n">
        <v>45796</v>
      </c>
      <c r="EX15" s="794" t="n">
        <v>45784</v>
      </c>
      <c r="EY15" s="794" t="n">
        <v>45764</v>
      </c>
      <c r="EZ15" s="797" t="n">
        <v>45791</v>
      </c>
      <c r="FA15" s="794" t="n">
        <v>45783</v>
      </c>
      <c r="FB15" s="794" t="n">
        <v>45770</v>
      </c>
      <c r="FC15" s="794" t="n">
        <v>45775</v>
      </c>
      <c r="FD15" s="794" t="n">
        <v>45770</v>
      </c>
      <c r="FE15" s="794" t="n">
        <v>45770</v>
      </c>
      <c r="FF15" s="797" t="n">
        <v>45775</v>
      </c>
      <c r="FG15" s="797" t="n">
        <v>45770</v>
      </c>
      <c r="FH15" s="794" t="n">
        <v>45756</v>
      </c>
      <c r="FI15" s="794" t="n">
        <v>45735</v>
      </c>
      <c r="FJ15" s="797" t="n">
        <v>45751</v>
      </c>
      <c r="FK15" s="794" t="n">
        <v>45743</v>
      </c>
      <c r="FL15" s="746" t="n">
        <v>45729</v>
      </c>
      <c r="FM15" s="794" t="n">
        <v>45722</v>
      </c>
      <c r="FN15" s="794" t="n">
        <v>45722</v>
      </c>
      <c r="FO15" s="746" t="n">
        <v>45700</v>
      </c>
      <c r="FP15" s="797" t="n">
        <v>45722</v>
      </c>
      <c r="FQ15" s="794" t="n">
        <v>45714</v>
      </c>
      <c r="FR15" s="794" t="n">
        <v>45706</v>
      </c>
      <c r="FS15" s="794" t="n">
        <v>45684</v>
      </c>
      <c r="FT15" s="794" t="n">
        <v>45699</v>
      </c>
      <c r="FU15" s="794" t="n">
        <v>45693</v>
      </c>
      <c r="FV15" s="797" t="n">
        <v>45687</v>
      </c>
      <c r="FW15" s="794" t="n">
        <v>45685</v>
      </c>
      <c r="FX15" s="797" t="n">
        <v>45684</v>
      </c>
      <c r="FY15" s="794" t="n">
        <v>45674</v>
      </c>
      <c r="FZ15" s="794" t="n">
        <v>45664</v>
      </c>
      <c r="GA15" s="794" t="n">
        <v>45660</v>
      </c>
      <c r="GB15" s="794" t="n">
        <v>45660</v>
      </c>
      <c r="GC15" s="794" t="n">
        <v>45652</v>
      </c>
      <c r="GD15" s="794" t="n">
        <v>45643</v>
      </c>
      <c r="GF15" s="298" t="inlineStr">
        <is>
          <t>SACOLAS VENDA</t>
        </is>
      </c>
      <c r="GG15" s="544" t="inlineStr">
        <is>
          <t>PCT</t>
        </is>
      </c>
      <c r="GH15" s="536" t="n">
        <v>45726</v>
      </c>
      <c r="GI15" s="536" t="n">
        <v>45733</v>
      </c>
      <c r="GJ15" s="536" t="n">
        <v>45740</v>
      </c>
      <c r="GK15" s="322" t="n">
        <v>45747</v>
      </c>
      <c r="GL15" s="536" t="n">
        <v>45754</v>
      </c>
      <c r="GM15" s="536" t="n">
        <v>45761</v>
      </c>
      <c r="GN15" s="536" t="n">
        <v>45768</v>
      </c>
      <c r="GO15" s="536" t="n">
        <v>45775</v>
      </c>
      <c r="GP15" s="536" t="n">
        <v>45782</v>
      </c>
      <c r="GQ15" s="536" t="n">
        <v>45789</v>
      </c>
      <c r="GR15" s="536" t="n">
        <v>45796</v>
      </c>
      <c r="GS15" s="235" t="inlineStr">
        <is>
          <t>USOU</t>
        </is>
      </c>
      <c r="GU15" s="804" t="inlineStr">
        <is>
          <t>SACOLAS VENDA</t>
        </is>
      </c>
      <c r="GV15" s="805" t="inlineStr">
        <is>
          <t>PCT</t>
        </is>
      </c>
      <c r="GW15" s="398" t="n">
        <v>45796</v>
      </c>
      <c r="GX15" s="398" t="n">
        <v>45803</v>
      </c>
      <c r="GY15" s="398" t="n">
        <v>45810</v>
      </c>
      <c r="GZ15" s="398" t="n">
        <v>45817</v>
      </c>
      <c r="HA15" s="398" t="n">
        <v>45824</v>
      </c>
      <c r="HB15" s="398" t="n">
        <v>45831</v>
      </c>
      <c r="HC15" s="398" t="n">
        <v>45838</v>
      </c>
      <c r="HD15" s="368" t="inlineStr">
        <is>
          <t>USOU</t>
        </is>
      </c>
      <c r="HF15" s="809" t="inlineStr">
        <is>
          <t>SACOLAS VENDA</t>
        </is>
      </c>
      <c r="HG15" s="810" t="inlineStr">
        <is>
          <t>PCT</t>
        </is>
      </c>
      <c r="HH15" s="811" t="n">
        <v>45845</v>
      </c>
      <c r="HI15" s="811" t="n">
        <v>45852</v>
      </c>
      <c r="HJ15" s="811" t="n">
        <v>45859</v>
      </c>
      <c r="HK15" s="811" t="n">
        <v>45866</v>
      </c>
      <c r="HL15" s="811" t="n">
        <v>45873</v>
      </c>
      <c r="HM15" s="811" t="n">
        <v>45880</v>
      </c>
      <c r="HN15" s="811" t="n">
        <v>45887</v>
      </c>
      <c r="HO15" s="811" t="n">
        <v>45894</v>
      </c>
      <c r="HP15" s="813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699" t="n">
        <v>280</v>
      </c>
      <c r="C16" s="762" t="n">
        <v>166.44</v>
      </c>
      <c r="D16" s="382" t="n">
        <v>20</v>
      </c>
      <c r="E16" s="826" t="n"/>
      <c r="F16" s="31">
        <f>41+GC16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63+FN16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0+DB16</f>
        <v/>
      </c>
      <c r="BA16" s="31" t="n">
        <v>300</v>
      </c>
      <c r="BB16" s="31" t="n">
        <v>260</v>
      </c>
      <c r="BC16" s="31" t="n">
        <v>159</v>
      </c>
      <c r="BD16" s="31">
        <f>141+CV16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31" t="n">
        <v>54</v>
      </c>
      <c r="BZ16" s="192">
        <f>BX16+IF(NOT(ISBLANK(OFFSET(BZ16,0,6))),N(OFFSET(BZ16,0,6)),N(OFFSET(BZ16,0,7)))-BY16</f>
        <v/>
      </c>
      <c r="CA16" s="72" t="n"/>
      <c r="CB16" s="22" t="n"/>
      <c r="CC16" s="22" t="n"/>
      <c r="CD16" s="5" t="n"/>
      <c r="CE16" s="27" t="n"/>
      <c r="CF16" s="826" t="n"/>
      <c r="CG16" s="23" t="n">
        <v>0</v>
      </c>
      <c r="CH16" s="23" t="n">
        <v>0</v>
      </c>
      <c r="CI16" s="23" t="n"/>
      <c r="CJ16" s="23" t="n"/>
      <c r="CK16" s="23" t="n"/>
      <c r="CL16" s="23" t="n"/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/>
      <c r="CV16" s="23" t="n">
        <v>300</v>
      </c>
      <c r="CW16" s="23" t="n"/>
      <c r="CX16" s="23" t="n"/>
      <c r="CY16" s="23" t="n"/>
      <c r="CZ16" s="23" t="n"/>
      <c r="DA16" s="219" t="n"/>
      <c r="DB16" s="23" t="n">
        <v>300</v>
      </c>
      <c r="DC16" s="23" t="n"/>
      <c r="DD16" s="23" t="n"/>
      <c r="DE16" s="23" t="n"/>
      <c r="DF16" s="23" t="n"/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/>
      <c r="EC16" s="23" t="n">
        <v>28</v>
      </c>
      <c r="ED16" s="23" t="n"/>
      <c r="EE16" s="23" t="n"/>
      <c r="EF16" s="23" t="n"/>
      <c r="EG16" s="23" t="n"/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3" t="n"/>
      <c r="FL16" s="219" t="n"/>
      <c r="FM16" s="23" t="n">
        <v>28</v>
      </c>
      <c r="FN16" s="23" t="n">
        <v>28</v>
      </c>
      <c r="FO16" s="219" t="n">
        <v>800</v>
      </c>
      <c r="FP16" s="23" t="n"/>
      <c r="FQ16" s="23" t="n"/>
      <c r="FR16" s="23" t="n"/>
      <c r="FS16" s="23" t="n"/>
      <c r="FT16" s="23" t="n"/>
      <c r="FU16" s="23" t="n"/>
      <c r="FV16" s="23" t="n"/>
      <c r="FW16" s="23" t="n"/>
      <c r="FX16" s="23" t="n"/>
      <c r="FY16" s="23" t="n"/>
      <c r="FZ16" s="23" t="n">
        <v>56</v>
      </c>
      <c r="GA16" s="23" t="n"/>
      <c r="GB16" s="23" t="n"/>
      <c r="GC16" s="23" t="n">
        <v>28</v>
      </c>
      <c r="GD16" s="23" t="n">
        <v>28</v>
      </c>
      <c r="GF16" s="65" t="inlineStr">
        <is>
          <t>SACOLA P</t>
        </is>
      </c>
      <c r="GG16" s="208" t="n">
        <v>200</v>
      </c>
      <c r="GH16" s="699">
        <f>FO16</f>
        <v/>
      </c>
      <c r="GI16" s="699" t="n">
        <v>800</v>
      </c>
      <c r="GJ16" s="699" t="n">
        <v>789</v>
      </c>
      <c r="GK16" s="699" t="n">
        <v>757</v>
      </c>
      <c r="GL16" s="699" t="n">
        <v>704</v>
      </c>
      <c r="GM16" s="699" t="n">
        <v>683</v>
      </c>
      <c r="GN16" s="699" t="n">
        <v>381</v>
      </c>
      <c r="GO16" s="699" t="n">
        <v>380</v>
      </c>
      <c r="GP16" s="699" t="n">
        <v>375</v>
      </c>
      <c r="GQ16" s="699" t="n">
        <v>0</v>
      </c>
      <c r="GR16" s="699" t="n">
        <v>0</v>
      </c>
      <c r="GS16" s="303" t="n">
        <v>0</v>
      </c>
      <c r="GU16" s="819" t="n"/>
      <c r="GV16" s="745" t="n"/>
      <c r="GW16" s="745" t="n"/>
      <c r="GX16" s="745" t="n"/>
      <c r="GY16" s="745" t="n"/>
      <c r="GZ16" s="745" t="n"/>
      <c r="HA16" s="745" t="n"/>
      <c r="HB16" s="745" t="n"/>
      <c r="HC16" s="745" t="n"/>
      <c r="HD16" s="745" t="n"/>
      <c r="HF16" s="819" t="n"/>
      <c r="HG16" s="745" t="n"/>
      <c r="HH16" s="745" t="n"/>
      <c r="HI16" s="745" t="n"/>
      <c r="HJ16" s="745" t="n"/>
      <c r="HK16" s="745" t="n"/>
      <c r="HL16" s="745" t="n"/>
      <c r="HM16" s="745" t="n"/>
      <c r="HN16" s="745" t="n"/>
      <c r="HO16" s="745" t="n"/>
      <c r="HP16" s="745" t="n"/>
    </row>
    <row r="17" ht="18" customFormat="1" customHeight="1" s="3">
      <c r="A17" s="37" t="inlineStr">
        <is>
          <t>KIT SACOLA P VERDE (KIT C/ 10)</t>
        </is>
      </c>
      <c r="B17" s="699" t="n">
        <v>200</v>
      </c>
      <c r="C17" s="762" t="n">
        <v>184.08</v>
      </c>
      <c r="D17" s="382" t="n">
        <v>20</v>
      </c>
      <c r="E17" s="2" t="n"/>
      <c r="F17" s="697">
        <f>37+GC17</f>
        <v/>
      </c>
      <c r="G17" s="697" t="n">
        <v>33</v>
      </c>
      <c r="H17" s="697" t="n">
        <v>84</v>
      </c>
      <c r="I17" s="697" t="n">
        <v>78</v>
      </c>
      <c r="J17" s="697" t="n">
        <v>76</v>
      </c>
      <c r="K17" s="697" t="n">
        <v>62</v>
      </c>
      <c r="L17" s="697">
        <f>60+FU17</f>
        <v/>
      </c>
      <c r="M17" s="697" t="n">
        <v>100</v>
      </c>
      <c r="N17" s="697" t="n">
        <v>96</v>
      </c>
      <c r="O17" s="697" t="n">
        <v>92</v>
      </c>
      <c r="P17" s="697" t="n">
        <v>89</v>
      </c>
      <c r="Q17" s="697" t="n">
        <v>87</v>
      </c>
      <c r="R17" s="697" t="n">
        <v>80</v>
      </c>
      <c r="S17" s="697" t="n">
        <v>80</v>
      </c>
      <c r="T17" s="697" t="n">
        <v>78</v>
      </c>
      <c r="U17" s="697" t="n">
        <v>74</v>
      </c>
      <c r="V17" s="697" t="n">
        <v>70</v>
      </c>
      <c r="W17" s="697" t="n">
        <v>70</v>
      </c>
      <c r="X17" s="697" t="n">
        <v>68</v>
      </c>
      <c r="Y17" s="697" t="n">
        <v>62</v>
      </c>
      <c r="Z17" s="697" t="n">
        <v>57</v>
      </c>
      <c r="AA17" s="697" t="n">
        <v>54</v>
      </c>
      <c r="AB17" s="697" t="n">
        <v>53</v>
      </c>
      <c r="AC17" s="697" t="n">
        <v>48</v>
      </c>
      <c r="AD17" s="697" t="n">
        <v>40</v>
      </c>
      <c r="AE17" s="697">
        <f>37+41</f>
        <v/>
      </c>
      <c r="AF17" s="697" t="n">
        <v>68</v>
      </c>
      <c r="AG17" s="697" t="n">
        <v>66</v>
      </c>
      <c r="AH17" s="697" t="n">
        <v>64</v>
      </c>
      <c r="AI17" s="697" t="n">
        <v>59</v>
      </c>
      <c r="AJ17" s="697" t="n">
        <v>56</v>
      </c>
      <c r="AK17" s="697" t="n">
        <v>55</v>
      </c>
      <c r="AL17" s="697" t="n">
        <v>41</v>
      </c>
      <c r="AM17" s="697" t="n">
        <v>34</v>
      </c>
      <c r="AN17" s="697" t="n">
        <v>25</v>
      </c>
      <c r="AO17" s="697" t="n">
        <v>20</v>
      </c>
      <c r="AP17" s="697" t="n">
        <v>19</v>
      </c>
      <c r="AQ17" s="697" t="n">
        <v>11</v>
      </c>
      <c r="AR17" s="697" t="n">
        <v>28</v>
      </c>
      <c r="AS17" s="697" t="n">
        <v>26</v>
      </c>
      <c r="AT17" s="697" t="n">
        <v>23</v>
      </c>
      <c r="AU17" s="697" t="n">
        <v>18</v>
      </c>
      <c r="AV17" s="697" t="n">
        <v>14</v>
      </c>
      <c r="AW17" s="697" t="n">
        <v>11</v>
      </c>
      <c r="AX17" s="697" t="n">
        <v>11</v>
      </c>
      <c r="AY17" s="697" t="n">
        <v>2</v>
      </c>
      <c r="AZ17" s="697">
        <f>0+DB17</f>
        <v/>
      </c>
      <c r="BA17" s="697" t="n">
        <v>200</v>
      </c>
      <c r="BB17" s="697" t="n">
        <v>186</v>
      </c>
      <c r="BC17" s="697">
        <f>180+CW17</f>
        <v/>
      </c>
      <c r="BD17" s="697">
        <f>360+CV17</f>
        <v/>
      </c>
      <c r="BE17" s="697" t="n">
        <v>555</v>
      </c>
      <c r="BF17" s="697" t="n">
        <v>533</v>
      </c>
      <c r="BG17" s="697" t="n">
        <v>533</v>
      </c>
      <c r="BH17" s="697" t="n">
        <v>533</v>
      </c>
      <c r="BI17" s="697" t="n">
        <v>527</v>
      </c>
      <c r="BJ17" s="697" t="n">
        <v>525</v>
      </c>
      <c r="BK17" s="697" t="n">
        <v>520</v>
      </c>
      <c r="BL17" s="697" t="n">
        <v>517</v>
      </c>
      <c r="BM17" s="697" t="n">
        <v>517</v>
      </c>
      <c r="BN17" s="697" t="n">
        <v>517</v>
      </c>
      <c r="BO17" s="697" t="n">
        <v>501</v>
      </c>
      <c r="BP17" s="697" t="n">
        <v>489</v>
      </c>
      <c r="BQ17" s="697" t="n">
        <v>489</v>
      </c>
      <c r="BR17" s="697" t="n">
        <v>461</v>
      </c>
      <c r="BS17" s="697" t="n">
        <v>457</v>
      </c>
      <c r="BT17" s="697" t="n"/>
      <c r="BU17" s="697" t="n"/>
      <c r="BV17" s="697" t="n"/>
      <c r="BW17" s="697" t="n"/>
      <c r="BX17" s="697" t="n"/>
      <c r="BY17" s="697" t="n">
        <v>356</v>
      </c>
      <c r="BZ17" s="192">
        <f>BX17+IF(NOT(ISBLANK(OFFSET(BZ17,0,6))),N(OFFSET(BZ17,0,6)),N(OFFSET(BZ17,0,7)))-BY17</f>
        <v/>
      </c>
      <c r="CA17" s="72" t="n"/>
      <c r="CB17" s="22" t="n"/>
      <c r="CC17" s="22" t="n"/>
      <c r="CD17" s="5" t="n"/>
      <c r="CE17" s="27" t="n"/>
      <c r="CF17" s="2" t="n"/>
      <c r="CG17" s="23" t="n">
        <v>0</v>
      </c>
      <c r="CH17" s="23" t="n">
        <v>0</v>
      </c>
      <c r="CI17" s="23" t="n"/>
      <c r="CJ17" s="23" t="n"/>
      <c r="CK17" s="419" t="n">
        <v>200</v>
      </c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/>
      <c r="CU17" s="23" t="n"/>
      <c r="CV17" s="23" t="n">
        <v>200</v>
      </c>
      <c r="CW17" s="23" t="n">
        <v>200</v>
      </c>
      <c r="CX17" s="23" t="n"/>
      <c r="CY17" s="23" t="n"/>
      <c r="CZ17" s="23" t="n"/>
      <c r="DA17" s="219" t="n"/>
      <c r="DB17" s="23" t="n">
        <v>200</v>
      </c>
      <c r="DC17" s="23" t="n"/>
      <c r="DD17" s="23" t="n"/>
      <c r="DE17" s="23" t="n"/>
      <c r="DF17" s="23" t="n"/>
      <c r="DG17" s="23" t="n"/>
      <c r="DH17" s="23" t="n"/>
      <c r="DI17" s="23" t="n"/>
      <c r="DJ17" s="23" t="n"/>
      <c r="DK17" s="23" t="n"/>
      <c r="DL17" s="23" t="n"/>
      <c r="DM17" s="23" t="n"/>
      <c r="DN17" s="23" t="n">
        <v>20</v>
      </c>
      <c r="DO17" s="23" t="n"/>
      <c r="DP17" s="23" t="n"/>
      <c r="DQ17" s="23" t="n"/>
      <c r="DR17" s="23" t="n"/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3" t="n"/>
      <c r="EG17" s="292" t="inlineStr">
        <is>
          <t>100 DE ER</t>
        </is>
      </c>
      <c r="EH17" s="23" t="n"/>
      <c r="EI17" s="23" t="n"/>
      <c r="EJ17" s="23" t="n"/>
      <c r="EK17" s="282" t="inlineStr">
        <is>
          <t>41 DE ERB</t>
        </is>
      </c>
      <c r="EL17" s="23" t="n"/>
      <c r="EM17" s="23" t="n"/>
      <c r="EN17" s="23" t="n"/>
      <c r="EO17" s="23" t="n"/>
      <c r="EP17" s="23" t="n"/>
      <c r="EQ17" s="23" t="n"/>
      <c r="ER17" s="23" t="n"/>
      <c r="ES17" s="23" t="n"/>
      <c r="ET17" s="23" t="n"/>
      <c r="EU17" s="376" t="inlineStr">
        <is>
          <t>50 DE ERB</t>
        </is>
      </c>
      <c r="EV17" s="23" t="n"/>
      <c r="EW17" s="23" t="n"/>
      <c r="EX17" s="23" t="n"/>
      <c r="EY17" s="23" t="n"/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3" t="n"/>
      <c r="FL17" s="219" t="n"/>
      <c r="FM17" s="23" t="n"/>
      <c r="FN17" s="23" t="n"/>
      <c r="FO17" s="219" t="n">
        <v>600</v>
      </c>
      <c r="FP17" s="23" t="n"/>
      <c r="FQ17" s="23" t="n"/>
      <c r="FR17" s="23" t="n"/>
      <c r="FS17" s="23" t="n"/>
      <c r="FT17" s="23" t="n"/>
      <c r="FU17" s="23" t="n">
        <v>40</v>
      </c>
      <c r="FV17" s="23" t="n"/>
      <c r="FW17" s="23" t="n"/>
      <c r="FX17" s="23" t="n"/>
      <c r="FY17" s="23" t="n"/>
      <c r="FZ17" s="23" t="n">
        <v>60</v>
      </c>
      <c r="GA17" s="23" t="n"/>
      <c r="GB17" s="23" t="n"/>
      <c r="GC17" s="23" t="n">
        <v>40</v>
      </c>
      <c r="GD17" s="23" t="n">
        <v>20</v>
      </c>
      <c r="GF17" s="65" t="inlineStr">
        <is>
          <t>SACOLA M</t>
        </is>
      </c>
      <c r="GG17" s="208" t="n">
        <v>200</v>
      </c>
      <c r="GH17" s="699">
        <f>FO17</f>
        <v/>
      </c>
      <c r="GI17" s="699" t="n">
        <v>565</v>
      </c>
      <c r="GJ17" s="699" t="n">
        <v>505</v>
      </c>
      <c r="GK17" s="699" t="n">
        <v>505</v>
      </c>
      <c r="GL17" s="699" t="n">
        <v>495</v>
      </c>
      <c r="GM17" s="699" t="n">
        <v>469</v>
      </c>
      <c r="GN17" s="699" t="n">
        <v>466</v>
      </c>
      <c r="GO17" s="699" t="n">
        <v>456</v>
      </c>
      <c r="GP17" s="699" t="n">
        <v>456</v>
      </c>
      <c r="GQ17" s="699" t="n">
        <v>0</v>
      </c>
      <c r="GR17" s="699" t="n">
        <v>0</v>
      </c>
      <c r="GS17" s="303" t="n">
        <v>0</v>
      </c>
      <c r="GU17" s="65" t="inlineStr">
        <is>
          <t>SACOLA M</t>
        </is>
      </c>
      <c r="GV17" s="208" t="n">
        <v>200</v>
      </c>
      <c r="GW17" s="699">
        <f>0+50</f>
        <v/>
      </c>
      <c r="GX17" s="699" t="n">
        <v>50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699" t="n">
        <v>0</v>
      </c>
      <c r="HD17" s="369" t="n">
        <v>0</v>
      </c>
      <c r="HF17" s="65" t="inlineStr">
        <is>
          <t>SACOLA M</t>
        </is>
      </c>
      <c r="HG17" s="208" t="n">
        <v>200</v>
      </c>
      <c r="HH17" s="699" t="n">
        <v>0</v>
      </c>
      <c r="HI17" s="699">
        <f>0+100</f>
        <v/>
      </c>
      <c r="HJ17" s="699" t="n">
        <v>100</v>
      </c>
      <c r="HK17" s="699" t="n">
        <v>99</v>
      </c>
      <c r="HL17" s="699" t="n">
        <v>90</v>
      </c>
      <c r="HM17" s="699" t="n">
        <v>46</v>
      </c>
      <c r="HN17" s="699" t="n">
        <v>39</v>
      </c>
      <c r="HO17" s="699" t="n">
        <v>38</v>
      </c>
      <c r="HP17" s="412">
        <f>HN17-HO17</f>
        <v/>
      </c>
    </row>
    <row r="18" ht="19.5" customFormat="1" customHeight="1" s="3">
      <c r="A18" s="37" t="inlineStr">
        <is>
          <t>KIT SACOLA M VERDE (KIT C/ 10)</t>
        </is>
      </c>
      <c r="B18" s="699" t="n">
        <v>150</v>
      </c>
      <c r="C18" s="762" t="n">
        <v>181.31</v>
      </c>
      <c r="D18" s="382" t="n">
        <v>20</v>
      </c>
      <c r="E18" s="2" t="n"/>
      <c r="F18" s="697" t="n">
        <v>26</v>
      </c>
      <c r="G18" s="697">
        <f>24+GB18</f>
        <v/>
      </c>
      <c r="H18" s="697" t="n">
        <v>35</v>
      </c>
      <c r="I18" s="697">
        <f>31+FY18</f>
        <v/>
      </c>
      <c r="J18" s="697" t="n">
        <v>45</v>
      </c>
      <c r="K18" s="697" t="n">
        <v>40</v>
      </c>
      <c r="L18" s="697" t="n">
        <v>39</v>
      </c>
      <c r="M18" s="697" t="n">
        <v>39</v>
      </c>
      <c r="N18" s="697" t="n">
        <v>38</v>
      </c>
      <c r="O18" s="697" t="n">
        <v>35</v>
      </c>
      <c r="P18" s="697" t="n">
        <v>31</v>
      </c>
      <c r="Q18" s="697" t="n">
        <v>30</v>
      </c>
      <c r="R18" s="697" t="n">
        <v>27</v>
      </c>
      <c r="S18" s="697" t="n">
        <v>24</v>
      </c>
      <c r="T18" s="697" t="n">
        <v>23</v>
      </c>
      <c r="U18" s="697">
        <f>19+FH18</f>
        <v/>
      </c>
      <c r="V18" s="697" t="n">
        <v>26</v>
      </c>
      <c r="W18" s="697" t="n">
        <v>26</v>
      </c>
      <c r="X18" s="697" t="n">
        <v>25</v>
      </c>
      <c r="Y18" s="697" t="n">
        <v>21</v>
      </c>
      <c r="Z18" s="697" t="n">
        <v>18</v>
      </c>
      <c r="AA18" s="697" t="n">
        <v>16</v>
      </c>
      <c r="AB18" s="697" t="n">
        <v>14</v>
      </c>
      <c r="AC18" s="697" t="n">
        <v>12</v>
      </c>
      <c r="AD18" s="697" t="n">
        <v>9</v>
      </c>
      <c r="AE18" s="697" t="n">
        <v>23</v>
      </c>
      <c r="AF18" s="697" t="n">
        <v>19</v>
      </c>
      <c r="AG18" s="697" t="n">
        <v>19</v>
      </c>
      <c r="AH18" s="697" t="n">
        <v>18</v>
      </c>
      <c r="AI18" s="697" t="n">
        <v>14</v>
      </c>
      <c r="AJ18" s="697" t="n">
        <v>11</v>
      </c>
      <c r="AK18" s="697" t="n">
        <v>11</v>
      </c>
      <c r="AL18" s="697" t="n">
        <v>6</v>
      </c>
      <c r="AM18" s="697" t="n">
        <v>16</v>
      </c>
      <c r="AN18" s="697" t="n">
        <v>30</v>
      </c>
      <c r="AO18" s="697" t="n">
        <v>28</v>
      </c>
      <c r="AP18" s="697" t="n">
        <v>28</v>
      </c>
      <c r="AQ18" s="697" t="n">
        <v>24</v>
      </c>
      <c r="AR18" s="697" t="n">
        <v>22</v>
      </c>
      <c r="AS18" s="697" t="n">
        <v>21</v>
      </c>
      <c r="AT18" s="697" t="n">
        <v>19</v>
      </c>
      <c r="AU18" s="697" t="n">
        <v>16</v>
      </c>
      <c r="AV18" s="697" t="n">
        <v>16</v>
      </c>
      <c r="AW18" s="697" t="n">
        <v>13</v>
      </c>
      <c r="AX18" s="697" t="n">
        <v>13</v>
      </c>
      <c r="AY18" s="697" t="n">
        <v>10</v>
      </c>
      <c r="AZ18" s="697" t="n">
        <v>7</v>
      </c>
      <c r="BA18" s="697" t="n">
        <v>1</v>
      </c>
      <c r="BB18" s="697" t="n">
        <v>0</v>
      </c>
      <c r="BC18" s="697">
        <f>0+CW18</f>
        <v/>
      </c>
      <c r="BD18" s="697" t="n">
        <v>185</v>
      </c>
      <c r="BE18" s="697" t="n">
        <v>160</v>
      </c>
      <c r="BF18" s="697" t="n">
        <v>149</v>
      </c>
      <c r="BG18" s="697" t="n">
        <v>147</v>
      </c>
      <c r="BH18" s="697" t="n">
        <v>142</v>
      </c>
      <c r="BI18" s="697" t="n">
        <v>141</v>
      </c>
      <c r="BJ18" s="697" t="n">
        <v>140</v>
      </c>
      <c r="BK18" s="697" t="n">
        <v>134</v>
      </c>
      <c r="BL18" s="697" t="n">
        <v>129</v>
      </c>
      <c r="BM18" s="697" t="n">
        <v>129</v>
      </c>
      <c r="BN18" s="697" t="n">
        <v>127</v>
      </c>
      <c r="BO18" s="697" t="n">
        <v>120</v>
      </c>
      <c r="BP18" s="697" t="n">
        <v>94</v>
      </c>
      <c r="BQ18" s="697" t="n">
        <v>74</v>
      </c>
      <c r="BR18" s="697" t="n">
        <v>57</v>
      </c>
      <c r="BS18" s="697" t="n">
        <v>51</v>
      </c>
      <c r="BT18" s="697" t="n"/>
      <c r="BU18" s="697" t="n"/>
      <c r="BV18" s="697" t="n"/>
      <c r="BW18" s="697" t="n"/>
      <c r="BX18" s="697" t="n"/>
      <c r="BY18" s="697" t="n">
        <v>0</v>
      </c>
      <c r="BZ18" s="192">
        <f>BX18+IF(NOT(ISBLANK(OFFSET(BZ18,0,6))),N(OFFSET(BZ18,0,6)),N(OFFSET(BZ18,0,7)))-BY18</f>
        <v/>
      </c>
      <c r="CA18" s="72" t="n"/>
      <c r="CB18" s="22" t="n"/>
      <c r="CC18" s="22" t="n"/>
      <c r="CD18" s="5" t="n"/>
      <c r="CE18" s="27" t="n">
        <v>200</v>
      </c>
      <c r="CF18" s="2" t="n"/>
      <c r="CG18" s="23" t="n">
        <v>0</v>
      </c>
      <c r="CH18" s="23" t="n">
        <v>0</v>
      </c>
      <c r="CI18" s="23" t="n"/>
      <c r="CJ18" s="23" t="n"/>
      <c r="CK18" s="419" t="n">
        <v>200</v>
      </c>
      <c r="CL18" s="23" t="n"/>
      <c r="CM18" s="23" t="n"/>
      <c r="CN18" s="467" t="n">
        <v>300</v>
      </c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>
        <v>200</v>
      </c>
      <c r="CX18" s="23" t="n"/>
      <c r="CY18" s="23" t="n"/>
      <c r="CZ18" s="23" t="n"/>
      <c r="DA18" s="219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/>
      <c r="DV18" s="23" t="n">
        <v>15</v>
      </c>
      <c r="DW18" s="23" t="n">
        <v>15</v>
      </c>
      <c r="DX18" s="23" t="n"/>
      <c r="DY18" s="23" t="n"/>
      <c r="DZ18" s="23" t="n"/>
      <c r="EA18" s="23" t="n"/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/>
      <c r="EM18" s="23" t="n">
        <v>15</v>
      </c>
      <c r="EN18" s="23" t="n"/>
      <c r="EO18" s="23" t="n"/>
      <c r="EP18" s="23" t="n"/>
      <c r="EQ18" s="23" t="n"/>
      <c r="ER18" s="23" t="n"/>
      <c r="ES18" s="23" t="n"/>
      <c r="ET18" s="23" t="n"/>
      <c r="EU18" s="376" t="inlineStr">
        <is>
          <t>10 DE ERB</t>
        </is>
      </c>
      <c r="EV18" s="23" t="n"/>
      <c r="EW18" s="23" t="n"/>
      <c r="EX18" s="23" t="n"/>
      <c r="EY18" s="23" t="n"/>
      <c r="EZ18" s="23" t="n"/>
      <c r="FA18" s="23" t="n"/>
      <c r="FB18" s="23" t="n"/>
      <c r="FC18" s="23" t="n"/>
      <c r="FD18" s="23" t="n"/>
      <c r="FE18" s="23" t="n"/>
      <c r="FF18" s="23" t="n"/>
      <c r="FG18" s="23" t="n"/>
      <c r="FH18" s="23" t="n">
        <v>15</v>
      </c>
      <c r="FI18" s="23" t="n"/>
      <c r="FJ18" s="23" t="n"/>
      <c r="FK18" s="23" t="n"/>
      <c r="FL18" s="219" t="n"/>
      <c r="FM18" s="23" t="n"/>
      <c r="FN18" s="23" t="n"/>
      <c r="FO18" s="219" t="n"/>
      <c r="FP18" s="23" t="n"/>
      <c r="FQ18" s="23" t="n"/>
      <c r="FR18" s="23" t="n"/>
      <c r="FS18" s="23" t="n"/>
      <c r="FT18" s="23" t="n"/>
      <c r="FU18" s="23" t="n"/>
      <c r="FV18" s="23" t="n"/>
      <c r="FW18" s="23" t="n"/>
      <c r="FX18" s="23" t="n"/>
      <c r="FY18" s="23" t="n">
        <v>15</v>
      </c>
      <c r="FZ18" s="23" t="n"/>
      <c r="GA18" s="23" t="n"/>
      <c r="GB18" s="23" t="n">
        <v>15</v>
      </c>
      <c r="GC18" s="23" t="n"/>
      <c r="GD18" s="23" t="n"/>
      <c r="GF18" s="66" t="inlineStr">
        <is>
          <t>SACOLA G</t>
        </is>
      </c>
      <c r="GG18" s="208" t="n">
        <v>100</v>
      </c>
      <c r="GH18" s="699">
        <f>FS18</f>
        <v/>
      </c>
      <c r="GI18" s="699" t="n">
        <v>0</v>
      </c>
      <c r="GJ18" s="699" t="n">
        <v>0</v>
      </c>
      <c r="GK18" s="699" t="n">
        <v>0</v>
      </c>
      <c r="GL18" s="699" t="n">
        <v>0</v>
      </c>
      <c r="GM18" s="699" t="n">
        <v>0</v>
      </c>
      <c r="GN18" s="699" t="n">
        <v>0</v>
      </c>
      <c r="GO18" s="699" t="n">
        <v>0</v>
      </c>
      <c r="GP18" s="699" t="n">
        <v>0</v>
      </c>
      <c r="GQ18" s="699" t="n">
        <v>0</v>
      </c>
      <c r="GR18" s="699" t="n">
        <v>0</v>
      </c>
      <c r="GS18" s="303" t="n">
        <v>0</v>
      </c>
      <c r="GU18" s="66" t="inlineStr">
        <is>
          <t>SACOLA G</t>
        </is>
      </c>
      <c r="GV18" s="208" t="n">
        <v>100</v>
      </c>
      <c r="GW18" s="699">
        <f>0+10</f>
        <v/>
      </c>
      <c r="GX18" s="699" t="n">
        <v>10</v>
      </c>
      <c r="GY18" s="699" t="n">
        <v>0</v>
      </c>
      <c r="GZ18" s="699" t="n">
        <v>0</v>
      </c>
      <c r="HA18" s="699" t="n">
        <v>0</v>
      </c>
      <c r="HB18" s="699" t="n">
        <v>0</v>
      </c>
      <c r="HC18" s="699" t="n">
        <v>0</v>
      </c>
      <c r="HD18" s="369" t="n">
        <v>0</v>
      </c>
      <c r="HF18" s="35" t="n"/>
      <c r="HR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4" t="n"/>
      <c r="BZ19" s="16" t="n"/>
      <c r="CA19" s="5" t="n"/>
      <c r="CB19" s="16" t="n"/>
      <c r="CC19" s="16" t="n"/>
      <c r="CD19" s="5" t="n"/>
      <c r="CE19" s="4" t="n"/>
      <c r="CF19" s="5" t="n"/>
      <c r="CG19" s="20" t="n"/>
      <c r="CH19" s="20" t="n"/>
      <c r="CI19" s="20" t="n"/>
      <c r="CJ19" s="20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20" t="n"/>
      <c r="DA19" s="308" t="n"/>
      <c r="DB19" s="20" t="n"/>
      <c r="DC19" s="20" t="n"/>
      <c r="DD19" s="20" t="n"/>
      <c r="DE19" s="20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20" t="n"/>
      <c r="FL19" s="308" t="n"/>
      <c r="FM19" s="20" t="n"/>
      <c r="FN19" s="20" t="n"/>
      <c r="FO19" s="308" t="n"/>
      <c r="FP19" s="20" t="n"/>
      <c r="FQ19" s="20" t="n"/>
      <c r="FR19" s="20" t="n"/>
      <c r="FS19" s="20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D19" s="20" t="n"/>
      <c r="GU19" s="35" t="n"/>
      <c r="HF19" s="35" t="n"/>
      <c r="HR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6" t="n"/>
      <c r="F20" s="746" t="n">
        <v>45656</v>
      </c>
      <c r="G20" s="746" t="n">
        <v>45663</v>
      </c>
      <c r="H20" s="746" t="n">
        <v>45670</v>
      </c>
      <c r="I20" s="746" t="n">
        <v>45677</v>
      </c>
      <c r="J20" s="746" t="n">
        <v>45684</v>
      </c>
      <c r="K20" s="746" t="n">
        <v>45691</v>
      </c>
      <c r="L20" s="746" t="n">
        <v>45698</v>
      </c>
      <c r="M20" s="746" t="n">
        <v>45705</v>
      </c>
      <c r="N20" s="746" t="n">
        <v>45712</v>
      </c>
      <c r="O20" s="746" t="n">
        <v>45719</v>
      </c>
      <c r="P20" s="746" t="n">
        <v>45726</v>
      </c>
      <c r="Q20" s="746" t="n">
        <v>45733</v>
      </c>
      <c r="R20" s="746" t="n">
        <v>45740</v>
      </c>
      <c r="S20" s="746" t="n">
        <v>45747</v>
      </c>
      <c r="T20" s="746" t="n">
        <v>45754</v>
      </c>
      <c r="U20" s="746" t="n">
        <v>45761</v>
      </c>
      <c r="V20" s="746" t="n">
        <v>45768</v>
      </c>
      <c r="W20" s="746" t="n">
        <v>45775</v>
      </c>
      <c r="X20" s="746" t="n">
        <v>45782</v>
      </c>
      <c r="Y20" s="746" t="n">
        <v>45789</v>
      </c>
      <c r="Z20" s="746" t="n">
        <v>45796</v>
      </c>
      <c r="AA20" s="746" t="n">
        <v>45803</v>
      </c>
      <c r="AB20" s="746" t="n">
        <v>45810</v>
      </c>
      <c r="AC20" s="746" t="n">
        <v>45817</v>
      </c>
      <c r="AD20" s="746" t="n">
        <v>45824</v>
      </c>
      <c r="AE20" s="746" t="n">
        <v>45831</v>
      </c>
      <c r="AF20" s="746" t="n">
        <v>45838</v>
      </c>
      <c r="AG20" s="746" t="n">
        <v>45845</v>
      </c>
      <c r="AH20" s="746" t="n">
        <v>45852</v>
      </c>
      <c r="AI20" s="746" t="n">
        <v>45859</v>
      </c>
      <c r="AJ20" s="746" t="n">
        <v>45866</v>
      </c>
      <c r="AK20" s="746" t="n">
        <v>45873</v>
      </c>
      <c r="AL20" s="746" t="n">
        <v>45880</v>
      </c>
      <c r="AM20" s="746" t="n">
        <v>45887</v>
      </c>
      <c r="AN20" s="746" t="n">
        <v>45894</v>
      </c>
      <c r="AO20" s="746" t="n">
        <v>45901</v>
      </c>
      <c r="AP20" s="746" t="n">
        <v>45908</v>
      </c>
      <c r="AQ20" s="746" t="n">
        <v>45915</v>
      </c>
      <c r="AR20" s="746" t="n">
        <v>45922</v>
      </c>
      <c r="AS20" s="746" t="n">
        <v>45929</v>
      </c>
      <c r="AT20" s="746" t="n">
        <v>45936</v>
      </c>
      <c r="AU20" s="746" t="n">
        <v>45943</v>
      </c>
      <c r="AV20" s="746" t="n">
        <v>45950</v>
      </c>
      <c r="AW20" s="746" t="n">
        <v>45957</v>
      </c>
      <c r="AX20" s="746" t="n">
        <v>45964</v>
      </c>
      <c r="AY20" s="746" t="n">
        <v>45971</v>
      </c>
      <c r="AZ20" s="746" t="n">
        <v>45978</v>
      </c>
      <c r="BA20" s="746" t="n">
        <v>45985</v>
      </c>
      <c r="BB20" s="746" t="n">
        <v>45992</v>
      </c>
      <c r="BC20" s="746" t="n">
        <v>45999</v>
      </c>
      <c r="BD20" s="746" t="n">
        <v>46006</v>
      </c>
      <c r="BE20" s="746" t="n">
        <v>46013</v>
      </c>
      <c r="BF20" s="746" t="n">
        <v>46020</v>
      </c>
      <c r="BG20" s="746" t="n">
        <v>46027</v>
      </c>
      <c r="BH20" s="746" t="n">
        <v>46034</v>
      </c>
      <c r="BI20" s="746" t="n">
        <v>46041</v>
      </c>
      <c r="BJ20" s="746" t="n">
        <v>46048</v>
      </c>
      <c r="BK20" s="746" t="n">
        <v>46055</v>
      </c>
      <c r="BL20" s="746" t="n">
        <v>46062</v>
      </c>
      <c r="BM20" s="746" t="n">
        <v>46069</v>
      </c>
      <c r="BN20" s="746" t="n">
        <v>46076</v>
      </c>
      <c r="BO20" s="746" t="n">
        <v>46083</v>
      </c>
      <c r="BP20" s="746" t="n">
        <v>46090</v>
      </c>
      <c r="BQ20" s="746" t="n">
        <v>46097</v>
      </c>
      <c r="BR20" s="746" t="n">
        <v>46104</v>
      </c>
      <c r="BS20" s="746" t="n">
        <v>46111</v>
      </c>
      <c r="BT20" s="746" t="n">
        <v>46118</v>
      </c>
      <c r="BU20" s="746" t="n">
        <v>46125</v>
      </c>
      <c r="BV20" s="746" t="n">
        <v>46132</v>
      </c>
      <c r="BW20" s="746" t="n">
        <v>46139</v>
      </c>
      <c r="BX20" s="746" t="n">
        <v>46146</v>
      </c>
      <c r="BY20" s="746" t="n">
        <v>46154</v>
      </c>
      <c r="BZ20" s="748" t="inlineStr">
        <is>
          <t>USOU</t>
        </is>
      </c>
      <c r="CA20" s="5" t="n"/>
      <c r="CB20" s="44" t="inlineStr">
        <is>
          <t>Pendências</t>
        </is>
      </c>
      <c r="CC20" s="44" t="inlineStr">
        <is>
          <t>Pendências</t>
        </is>
      </c>
      <c r="CD20" s="5" t="n"/>
      <c r="CE20" s="12" t="inlineStr">
        <is>
          <t>Novo Pedido</t>
        </is>
      </c>
      <c r="CF20" s="726" t="n"/>
      <c r="CG20" s="794" t="n">
        <v>46149</v>
      </c>
      <c r="CH20" s="794" t="n">
        <v>46142</v>
      </c>
      <c r="CI20" s="794" t="n">
        <v>46114</v>
      </c>
      <c r="CJ20" s="794" t="n">
        <v>46107</v>
      </c>
      <c r="CK20" s="795" t="n">
        <v>46065</v>
      </c>
      <c r="CL20" s="794" t="n">
        <v>46099</v>
      </c>
      <c r="CM20" s="794" t="n">
        <v>46092</v>
      </c>
      <c r="CN20" s="796" t="n">
        <v>46045</v>
      </c>
      <c r="CO20" s="794" t="n">
        <v>46077</v>
      </c>
      <c r="CP20" s="794" t="n">
        <v>46048</v>
      </c>
      <c r="CQ20" s="794" t="n">
        <v>46043</v>
      </c>
      <c r="CR20" s="794" t="n">
        <v>46024</v>
      </c>
      <c r="CS20" s="794" t="n">
        <v>46017</v>
      </c>
      <c r="CT20" s="794" t="n">
        <v>46007</v>
      </c>
      <c r="CU20" s="794" t="n">
        <v>46001</v>
      </c>
      <c r="CV20" s="794" t="n">
        <v>46001</v>
      </c>
      <c r="CW20" s="794" t="n">
        <v>45994</v>
      </c>
      <c r="CX20" s="794" t="n">
        <v>45986</v>
      </c>
      <c r="CY20" s="794" t="n">
        <v>45980</v>
      </c>
      <c r="CZ20" s="794" t="n">
        <v>45980</v>
      </c>
      <c r="DA20" s="797" t="n">
        <v>45982</v>
      </c>
      <c r="DB20" s="794" t="n">
        <v>45973</v>
      </c>
      <c r="DC20" s="794" t="n">
        <v>45965</v>
      </c>
      <c r="DD20" s="794" t="n">
        <v>45960</v>
      </c>
      <c r="DE20" s="794" t="n">
        <v>45951</v>
      </c>
      <c r="DF20" s="737" t="n">
        <v>45903</v>
      </c>
      <c r="DG20" s="794" t="n">
        <v>45945</v>
      </c>
      <c r="DH20" s="794" t="n">
        <v>45937</v>
      </c>
      <c r="DI20" s="794" t="n">
        <v>45931</v>
      </c>
      <c r="DJ20" s="794" t="n">
        <v>45931</v>
      </c>
      <c r="DK20" s="794" t="n">
        <v>45915</v>
      </c>
      <c r="DL20" s="794" t="n">
        <v>45923</v>
      </c>
      <c r="DM20" s="794" t="n">
        <v>45903</v>
      </c>
      <c r="DN20" s="794" t="n">
        <v>45915</v>
      </c>
      <c r="DO20" s="797" t="n">
        <v>45918</v>
      </c>
      <c r="DP20" s="794" t="n">
        <v>45909</v>
      </c>
      <c r="DQ20" s="738" t="n">
        <v>45903</v>
      </c>
      <c r="DR20" s="794" t="n">
        <v>45895</v>
      </c>
      <c r="DS20" s="797" t="n">
        <v>45896</v>
      </c>
      <c r="DT20" s="794" t="n">
        <v>45881</v>
      </c>
      <c r="DU20" s="738" t="n">
        <v>45839</v>
      </c>
      <c r="DV20" s="794" t="n">
        <v>45888</v>
      </c>
      <c r="DW20" s="794" t="n">
        <v>45881</v>
      </c>
      <c r="DX20" s="797" t="n">
        <v>45881</v>
      </c>
      <c r="DY20" s="794" t="n">
        <v>45874</v>
      </c>
      <c r="DZ20" s="797" t="n">
        <v>45876</v>
      </c>
      <c r="EA20" s="794" t="n">
        <v>45867</v>
      </c>
      <c r="EB20" s="794" t="n">
        <v>45867</v>
      </c>
      <c r="EC20" s="794" t="n">
        <v>45860</v>
      </c>
      <c r="ED20" s="797" t="n">
        <v>45861</v>
      </c>
      <c r="EE20" s="797" t="n">
        <v>45860</v>
      </c>
      <c r="EF20" s="794" t="n">
        <v>45853</v>
      </c>
      <c r="EG20" s="739" t="n">
        <v>45855</v>
      </c>
      <c r="EH20" s="794" t="n">
        <v>45848</v>
      </c>
      <c r="EI20" s="794" t="n">
        <v>45839</v>
      </c>
      <c r="EJ20" s="794" t="n">
        <v>45839</v>
      </c>
      <c r="EK20" s="797" t="n">
        <v>45835</v>
      </c>
      <c r="EL20" s="794" t="n">
        <v>45790</v>
      </c>
      <c r="EM20" s="794" t="n">
        <v>45825</v>
      </c>
      <c r="EN20" s="794" t="n">
        <v>45819</v>
      </c>
      <c r="EO20" s="794" t="n">
        <v>45813</v>
      </c>
      <c r="EP20" s="794" t="n">
        <v>45797</v>
      </c>
      <c r="EQ20" s="797" t="n">
        <v>45811</v>
      </c>
      <c r="ER20" s="797" t="n">
        <v>45810</v>
      </c>
      <c r="ES20" s="797" t="n">
        <v>45806</v>
      </c>
      <c r="ET20" s="797" t="n">
        <v>45803</v>
      </c>
      <c r="EU20" s="755" t="n">
        <v>45803</v>
      </c>
      <c r="EV20" s="794" t="n">
        <v>45784</v>
      </c>
      <c r="EW20" s="797" t="n">
        <v>45796</v>
      </c>
      <c r="EX20" s="794" t="n">
        <v>45784</v>
      </c>
      <c r="EY20" s="794" t="n">
        <v>45764</v>
      </c>
      <c r="EZ20" s="797" t="n">
        <v>45791</v>
      </c>
      <c r="FA20" s="794" t="n">
        <v>45783</v>
      </c>
      <c r="FB20" s="794" t="n">
        <v>45770</v>
      </c>
      <c r="FC20" s="794" t="n">
        <v>45775</v>
      </c>
      <c r="FD20" s="794" t="n">
        <v>45770</v>
      </c>
      <c r="FE20" s="794" t="n">
        <v>45770</v>
      </c>
      <c r="FF20" s="797" t="n">
        <v>45775</v>
      </c>
      <c r="FG20" s="797" t="n">
        <v>45770</v>
      </c>
      <c r="FH20" s="794" t="n">
        <v>45756</v>
      </c>
      <c r="FI20" s="794" t="n">
        <v>45735</v>
      </c>
      <c r="FJ20" s="797" t="n">
        <v>45751</v>
      </c>
      <c r="FK20" s="794" t="n">
        <v>45743</v>
      </c>
      <c r="FL20" s="746" t="n">
        <v>45729</v>
      </c>
      <c r="FM20" s="794" t="n">
        <v>45722</v>
      </c>
      <c r="FN20" s="794" t="n">
        <v>45722</v>
      </c>
      <c r="FO20" s="746" t="n">
        <v>45700</v>
      </c>
      <c r="FP20" s="797" t="n">
        <v>45722</v>
      </c>
      <c r="FQ20" s="794" t="n">
        <v>45714</v>
      </c>
      <c r="FR20" s="794" t="n">
        <v>45706</v>
      </c>
      <c r="FS20" s="794" t="n">
        <v>45684</v>
      </c>
      <c r="FT20" s="794" t="n">
        <v>45699</v>
      </c>
      <c r="FU20" s="794" t="n">
        <v>45693</v>
      </c>
      <c r="FV20" s="797" t="n">
        <v>45687</v>
      </c>
      <c r="FW20" s="794" t="n">
        <v>45685</v>
      </c>
      <c r="FX20" s="797" t="n">
        <v>45684</v>
      </c>
      <c r="FY20" s="794" t="n">
        <v>45674</v>
      </c>
      <c r="FZ20" s="794" t="n">
        <v>45664</v>
      </c>
      <c r="GA20" s="794" t="n">
        <v>45660</v>
      </c>
      <c r="GB20" s="794" t="n">
        <v>45660</v>
      </c>
      <c r="GC20" s="794" t="n">
        <v>45652</v>
      </c>
      <c r="GD20" s="794" t="n">
        <v>45643</v>
      </c>
      <c r="GF20" s="304" t="inlineStr">
        <is>
          <t>DIVERSOS VENDA</t>
        </is>
      </c>
      <c r="GG20" s="544" t="inlineStr">
        <is>
          <t>PCT</t>
        </is>
      </c>
      <c r="GH20" s="536" t="n">
        <v>45726</v>
      </c>
      <c r="GI20" s="536" t="n">
        <v>45733</v>
      </c>
      <c r="GJ20" s="536" t="n">
        <v>45740</v>
      </c>
      <c r="GK20" s="322" t="n">
        <v>45747</v>
      </c>
      <c r="GL20" s="536" t="n">
        <v>45754</v>
      </c>
      <c r="GM20" s="536" t="n">
        <v>45761</v>
      </c>
      <c r="GN20" s="536" t="n">
        <v>45768</v>
      </c>
      <c r="GO20" s="536" t="n">
        <v>45775</v>
      </c>
      <c r="GP20" s="536" t="n">
        <v>45782</v>
      </c>
      <c r="GQ20" s="536" t="n">
        <v>45789</v>
      </c>
      <c r="GR20" s="536" t="n">
        <v>45796</v>
      </c>
      <c r="GS20" s="235" t="inlineStr">
        <is>
          <t>USOU</t>
        </is>
      </c>
      <c r="GU20" s="366" t="inlineStr">
        <is>
          <t>DIVERSOS VENDA</t>
        </is>
      </c>
      <c r="GV20" s="524" t="inlineStr">
        <is>
          <t>PCT</t>
        </is>
      </c>
      <c r="GW20" s="511" t="n">
        <v>45796</v>
      </c>
      <c r="GX20" s="511" t="n">
        <v>45803</v>
      </c>
      <c r="GY20" s="511" t="n">
        <v>45810</v>
      </c>
      <c r="GZ20" s="511" t="n">
        <v>45817</v>
      </c>
      <c r="HA20" s="511" t="n">
        <v>45824</v>
      </c>
      <c r="HB20" s="511" t="n">
        <v>45831</v>
      </c>
      <c r="HC20" s="511" t="n">
        <v>45838</v>
      </c>
      <c r="HD20" s="368" t="inlineStr">
        <is>
          <t>USOU</t>
        </is>
      </c>
      <c r="HF20" s="222" t="inlineStr">
        <is>
          <t>DIVERSOS VENDA</t>
        </is>
      </c>
      <c r="HG20" s="519" t="inlineStr">
        <is>
          <t>PCT</t>
        </is>
      </c>
      <c r="HH20" s="513" t="n">
        <v>45845</v>
      </c>
      <c r="HI20" s="513" t="n">
        <v>45852</v>
      </c>
      <c r="HJ20" s="513" t="n">
        <v>45859</v>
      </c>
      <c r="HK20" s="513" t="n">
        <v>45866</v>
      </c>
      <c r="HL20" s="513" t="n">
        <v>45873</v>
      </c>
      <c r="HM20" s="513" t="n">
        <v>45880</v>
      </c>
      <c r="HN20" s="513" t="n">
        <v>45887</v>
      </c>
      <c r="HO20" s="513" t="n">
        <v>45894</v>
      </c>
      <c r="HP20" s="411" t="inlineStr">
        <is>
          <t>USOU</t>
        </is>
      </c>
      <c r="HR20" s="438" t="inlineStr">
        <is>
          <t>DIVERSOS VENDA</t>
        </is>
      </c>
      <c r="HS20" s="571" t="inlineStr">
        <is>
          <t>PCT</t>
        </is>
      </c>
      <c r="HT20" s="513" t="n">
        <v>45950</v>
      </c>
      <c r="HU20" s="513" t="n">
        <v>45957</v>
      </c>
      <c r="HV20" s="513" t="n">
        <v>45964</v>
      </c>
      <c r="HW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699" t="n">
        <v>500</v>
      </c>
      <c r="C21" s="762" t="n">
        <v>95.90000000000001</v>
      </c>
      <c r="D21" s="382" t="n">
        <v>15</v>
      </c>
      <c r="E21" s="726" t="n"/>
      <c r="F21" s="697" t="n">
        <v>76</v>
      </c>
      <c r="G21" s="697" t="n">
        <v>75</v>
      </c>
      <c r="H21" s="697" t="n">
        <v>75</v>
      </c>
      <c r="I21" s="697" t="n">
        <v>74</v>
      </c>
      <c r="J21" s="697" t="n">
        <v>74</v>
      </c>
      <c r="K21" s="697" t="n">
        <v>73</v>
      </c>
      <c r="L21" s="697" t="n">
        <v>71</v>
      </c>
      <c r="M21" s="697" t="n">
        <v>71</v>
      </c>
      <c r="N21" s="697" t="n">
        <v>71</v>
      </c>
      <c r="O21" s="697" t="n">
        <v>70</v>
      </c>
      <c r="P21" s="697" t="n">
        <v>68</v>
      </c>
      <c r="Q21" s="697" t="n">
        <v>68</v>
      </c>
      <c r="R21" s="697" t="n">
        <v>68</v>
      </c>
      <c r="S21" s="697" t="n">
        <v>61</v>
      </c>
      <c r="T21" s="697" t="n">
        <v>60</v>
      </c>
      <c r="U21" s="697" t="n">
        <v>58</v>
      </c>
      <c r="V21" s="697" t="n">
        <v>58</v>
      </c>
      <c r="W21" s="697" t="n">
        <v>58</v>
      </c>
      <c r="X21" s="697" t="n">
        <v>56</v>
      </c>
      <c r="Y21" s="697" t="n">
        <v>56</v>
      </c>
      <c r="Z21" s="697" t="n">
        <v>56</v>
      </c>
      <c r="AA21" s="697" t="n">
        <v>54</v>
      </c>
      <c r="AB21" s="697" t="n">
        <v>52</v>
      </c>
      <c r="AC21" s="697" t="n">
        <v>52</v>
      </c>
      <c r="AD21" s="697" t="n">
        <v>46</v>
      </c>
      <c r="AE21" s="697" t="n">
        <v>42</v>
      </c>
      <c r="AF21" s="697" t="n">
        <v>40</v>
      </c>
      <c r="AG21" s="697" t="n">
        <v>40</v>
      </c>
      <c r="AH21" s="697" t="n">
        <v>38</v>
      </c>
      <c r="AI21" s="697" t="n">
        <v>36</v>
      </c>
      <c r="AJ21" s="697" t="n">
        <v>34</v>
      </c>
      <c r="AK21" s="697" t="n">
        <v>34</v>
      </c>
      <c r="AL21" s="697" t="n">
        <v>22</v>
      </c>
      <c r="AM21" s="697" t="n">
        <v>18</v>
      </c>
      <c r="AN21" s="697" t="n">
        <v>17</v>
      </c>
      <c r="AO21" s="697" t="n">
        <v>16</v>
      </c>
      <c r="AP21" s="697" t="n">
        <v>15</v>
      </c>
      <c r="AQ21" s="697" t="n">
        <v>5</v>
      </c>
      <c r="AR21" s="697" t="n">
        <v>22</v>
      </c>
      <c r="AS21" s="697" t="n">
        <v>22</v>
      </c>
      <c r="AT21" s="697" t="n">
        <v>20</v>
      </c>
      <c r="AU21" s="697" t="n">
        <v>20</v>
      </c>
      <c r="AV21" s="697" t="n">
        <v>20</v>
      </c>
      <c r="AW21" s="697" t="n">
        <v>20</v>
      </c>
      <c r="AX21" s="697" t="n">
        <v>20</v>
      </c>
      <c r="AY21" s="697" t="n">
        <v>20</v>
      </c>
      <c r="AZ21" s="697" t="n">
        <v>20</v>
      </c>
      <c r="BA21" s="697" t="n">
        <v>0</v>
      </c>
      <c r="BB21" s="697" t="n">
        <v>0</v>
      </c>
      <c r="BC21" s="697">
        <f>0+CW21</f>
        <v/>
      </c>
      <c r="BD21" s="697" t="n">
        <v>200</v>
      </c>
      <c r="BE21" s="697" t="n">
        <v>144</v>
      </c>
      <c r="BF21" s="697" t="n">
        <v>143</v>
      </c>
      <c r="BG21" s="697" t="n">
        <v>143</v>
      </c>
      <c r="BH21" s="697" t="n">
        <v>127</v>
      </c>
      <c r="BI21" s="697" t="n">
        <v>99</v>
      </c>
      <c r="BJ21" s="697" t="n">
        <v>89</v>
      </c>
      <c r="BK21" s="697" t="n">
        <v>289</v>
      </c>
      <c r="BL21" s="697" t="n">
        <v>285</v>
      </c>
      <c r="BM21" s="697" t="n">
        <v>285</v>
      </c>
      <c r="BN21" s="697" t="n">
        <v>275</v>
      </c>
      <c r="BO21" s="697" t="n">
        <v>233</v>
      </c>
      <c r="BP21" s="697" t="n">
        <v>233</v>
      </c>
      <c r="BQ21" s="697" t="n">
        <v>223</v>
      </c>
      <c r="BR21" s="697" t="n">
        <v>195</v>
      </c>
      <c r="BS21" s="697" t="n">
        <v>162</v>
      </c>
      <c r="BT21" s="697" t="n"/>
      <c r="BU21" s="697" t="n"/>
      <c r="BV21" s="697" t="n"/>
      <c r="BW21" s="697" t="n"/>
      <c r="BX21" s="697" t="n"/>
      <c r="BY21" s="697" t="n">
        <v>9</v>
      </c>
      <c r="BZ21" s="192">
        <f>BX21+IF(NOT(ISBLANK(OFFSET(BZ21,0,6))),N(OFFSET(BZ21,0,6)),N(OFFSET(BZ21,0,7)))-BY21</f>
        <v/>
      </c>
      <c r="CA21" s="5" t="n"/>
      <c r="CB21" s="22" t="n"/>
      <c r="CC21" s="22" t="n"/>
      <c r="CD21" s="5" t="n"/>
      <c r="CE21" s="27" t="n">
        <v>200</v>
      </c>
      <c r="CF21" s="726" t="n"/>
      <c r="CG21" s="40" t="n">
        <v>0</v>
      </c>
      <c r="CH21" s="40" t="n">
        <v>0</v>
      </c>
      <c r="CI21" s="40" t="n"/>
      <c r="CJ21" s="40" t="n"/>
      <c r="CK21" s="419" t="n">
        <v>20</v>
      </c>
      <c r="CL21" s="40" t="n"/>
      <c r="CM21" s="40" t="n"/>
      <c r="CN21" s="467" t="n">
        <v>200</v>
      </c>
      <c r="CO21" s="40" t="n"/>
      <c r="CP21" s="40" t="n"/>
      <c r="CQ21" s="40" t="n">
        <v>200</v>
      </c>
      <c r="CR21" s="40" t="n"/>
      <c r="CS21" s="40" t="n"/>
      <c r="CT21" s="40" t="n"/>
      <c r="CU21" s="40" t="n"/>
      <c r="CV21" s="40" t="n"/>
      <c r="CW21" s="40" t="n">
        <v>200</v>
      </c>
      <c r="CX21" s="40" t="n"/>
      <c r="CY21" s="40" t="n"/>
      <c r="CZ21" s="40" t="n"/>
      <c r="DA21" s="219" t="n"/>
      <c r="DB21" s="40" t="n"/>
      <c r="DC21" s="40" t="n"/>
      <c r="DD21" s="40" t="n"/>
      <c r="DE21" s="40" t="n"/>
      <c r="DF21" s="219" t="n">
        <v>20</v>
      </c>
      <c r="DG21" s="40" t="n"/>
      <c r="DH21" s="40" t="n"/>
      <c r="DI21" s="40" t="n"/>
      <c r="DJ21" s="40" t="n"/>
      <c r="DK21" s="40" t="n"/>
      <c r="DL21" s="40" t="n"/>
      <c r="DM21" s="40" t="n"/>
      <c r="DN21" s="40" t="n">
        <v>20</v>
      </c>
      <c r="DO21" s="40" t="n"/>
      <c r="DP21" s="40" t="n"/>
      <c r="DQ21" s="23" t="n"/>
      <c r="DR21" s="40" t="n"/>
      <c r="DS21" s="40" t="n"/>
      <c r="DT21" s="40" t="n"/>
      <c r="DU21" s="23" t="n"/>
      <c r="DV21" s="40" t="n"/>
      <c r="DW21" s="40" t="n"/>
      <c r="DX21" s="40" t="n"/>
      <c r="DY21" s="40" t="n"/>
      <c r="DZ21" s="40" t="n"/>
      <c r="EA21" s="40" t="n"/>
      <c r="EB21" s="40" t="n"/>
      <c r="EC21" s="40" t="n"/>
      <c r="ED21" s="40" t="n"/>
      <c r="EE21" s="40" t="n"/>
      <c r="EF21" s="40" t="n"/>
      <c r="EG21" s="292" t="inlineStr">
        <is>
          <t>10 DE ER</t>
        </is>
      </c>
      <c r="EH21" s="40" t="n"/>
      <c r="EI21" s="40" t="n"/>
      <c r="EJ21" s="40" t="n"/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40" t="n"/>
      <c r="FL21" s="219" t="n"/>
      <c r="FM21" s="40" t="n"/>
      <c r="FN21" s="40" t="n"/>
      <c r="FO21" s="219" t="n">
        <v>30</v>
      </c>
      <c r="FP21" s="40" t="n"/>
      <c r="FQ21" s="40" t="n"/>
      <c r="FR21" s="40" t="n"/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D21" s="40" t="n"/>
      <c r="GF21" s="37" t="inlineStr">
        <is>
          <t>KIT PAPEL SEDA 10 PC C/ 20</t>
        </is>
      </c>
      <c r="GG21" s="208" t="n">
        <v>200</v>
      </c>
      <c r="GH21" s="699">
        <f>FO21</f>
        <v/>
      </c>
      <c r="GI21" s="699" t="n">
        <v>30</v>
      </c>
      <c r="GJ21" s="699" t="n">
        <v>29</v>
      </c>
      <c r="GK21" s="699" t="n">
        <v>17</v>
      </c>
      <c r="GL21" s="699" t="n">
        <v>15</v>
      </c>
      <c r="GM21" s="699" t="n">
        <v>9</v>
      </c>
      <c r="GN21" s="699" t="n">
        <v>6</v>
      </c>
      <c r="GO21" s="699" t="n">
        <v>2</v>
      </c>
      <c r="GP21" s="699" t="n">
        <v>2</v>
      </c>
      <c r="GQ21" s="699" t="n">
        <v>2</v>
      </c>
      <c r="GR21" s="699" t="n">
        <v>0</v>
      </c>
      <c r="GS21" s="303">
        <f>GQ21-GR21</f>
        <v/>
      </c>
      <c r="GU21" s="37" t="inlineStr">
        <is>
          <t>KIT PAPEL SEDA 10 PC C/ 20</t>
        </is>
      </c>
      <c r="GV21" s="208" t="n">
        <v>200</v>
      </c>
      <c r="GW21" s="699" t="n">
        <v>0</v>
      </c>
      <c r="GX21" s="699" t="n">
        <v>0</v>
      </c>
      <c r="GY21" s="699" t="n">
        <v>0</v>
      </c>
      <c r="GZ21" s="699" t="n">
        <v>0</v>
      </c>
      <c r="HA21" s="699" t="n">
        <v>0</v>
      </c>
      <c r="HB21" s="699" t="n">
        <v>0</v>
      </c>
      <c r="HC21" s="699" t="n">
        <v>0</v>
      </c>
      <c r="HD21" s="369">
        <f>GW21-GX21</f>
        <v/>
      </c>
      <c r="HF21" s="37" t="inlineStr">
        <is>
          <t>KIT PAPEL SEDA 10 PC C/ 20</t>
        </is>
      </c>
      <c r="HG21" s="208" t="n">
        <v>200</v>
      </c>
      <c r="HH21" s="699" t="n">
        <v>0</v>
      </c>
      <c r="HI21" s="699">
        <f>0+10</f>
        <v/>
      </c>
      <c r="HJ21" s="699" t="n">
        <v>10</v>
      </c>
      <c r="HK21" s="699" t="n">
        <v>3</v>
      </c>
      <c r="HL21" s="699" t="n">
        <v>1</v>
      </c>
      <c r="HM21" s="699" t="n">
        <v>0</v>
      </c>
      <c r="HN21" s="699" t="n">
        <v>0</v>
      </c>
      <c r="HO21" s="699" t="n">
        <v>0</v>
      </c>
      <c r="HP21" s="412" t="n">
        <v>0</v>
      </c>
      <c r="HR21" s="37" t="inlineStr">
        <is>
          <t>KIT PAPEL SEDA 10 PC C/ 20</t>
        </is>
      </c>
      <c r="HS21" s="208" t="n">
        <v>200</v>
      </c>
      <c r="HT21" s="699" t="n">
        <v>0</v>
      </c>
      <c r="HU21" s="699">
        <f>DF21</f>
        <v/>
      </c>
      <c r="HV21" s="699" t="n">
        <v>20</v>
      </c>
      <c r="HW21" s="235">
        <f>HU21-HV21</f>
        <v/>
      </c>
    </row>
    <row r="22" customFormat="1" s="3">
      <c r="A22" s="37" t="inlineStr">
        <is>
          <t>KIT ETIQUETAS (50 c/50un)</t>
        </is>
      </c>
      <c r="B22" s="699" t="n">
        <v>2500</v>
      </c>
      <c r="C22" s="762" t="n">
        <v>66.87</v>
      </c>
      <c r="D22" s="382" t="n">
        <v>15</v>
      </c>
      <c r="E22" s="726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19+FH22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31" t="n">
        <v>0</v>
      </c>
      <c r="BZ22" s="192">
        <f>BX22+IF(NOT(ISBLANK(OFFSET(BZ22,0,6))),N(OFFSET(BZ22,0,6)),N(OFFSET(BZ22,0,7)))-BY22</f>
        <v/>
      </c>
      <c r="CA22" s="5" t="n"/>
      <c r="CB22" s="22" t="n"/>
      <c r="CC22" s="22" t="n"/>
      <c r="CD22" s="5" t="n"/>
      <c r="CE22" s="27" t="n">
        <v>2</v>
      </c>
      <c r="CF22" s="726" t="n"/>
      <c r="CG22" s="40" t="n">
        <v>0</v>
      </c>
      <c r="CH22" s="40" t="n">
        <v>0</v>
      </c>
      <c r="CI22" s="40" t="n"/>
      <c r="CJ22" s="40" t="n"/>
      <c r="CK22" s="40" t="n"/>
      <c r="CL22" s="40" t="n"/>
      <c r="CM22" s="40" t="n"/>
      <c r="CN22" s="467" t="n">
        <v>2</v>
      </c>
      <c r="CO22" s="40" t="n"/>
      <c r="CP22" s="40" t="n"/>
      <c r="CQ22" s="40" t="n"/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40" t="n"/>
      <c r="DA22" s="198" t="inlineStr">
        <is>
          <t>05 P/ ERB</t>
        </is>
      </c>
      <c r="DB22" s="40" t="n"/>
      <c r="DC22" s="40" t="n"/>
      <c r="DD22" s="40" t="n"/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40" t="n"/>
      <c r="DQ22" s="23" t="n"/>
      <c r="DR22" s="40" t="n"/>
      <c r="DS22" s="40" t="n"/>
      <c r="DT22" s="40" t="n"/>
      <c r="DU22" s="23" t="n"/>
      <c r="DV22" s="40" t="n"/>
      <c r="DW22" s="40" t="n">
        <v>50</v>
      </c>
      <c r="DX22" s="40" t="n"/>
      <c r="DY22" s="40" t="n"/>
      <c r="DZ22" s="40" t="n"/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/>
      <c r="FH22" s="40" t="n">
        <v>50</v>
      </c>
      <c r="FI22" s="40" t="n"/>
      <c r="FJ22" s="40" t="n"/>
      <c r="FK22" s="40" t="n"/>
      <c r="FL22" s="219" t="n"/>
      <c r="FM22" s="40" t="n"/>
      <c r="FN22" s="40" t="n"/>
      <c r="FO22" s="219" t="n">
        <v>15</v>
      </c>
      <c r="FP22" s="40" t="n"/>
      <c r="FQ22" s="40" t="n"/>
      <c r="FR22" s="40" t="n"/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D22" s="40" t="n"/>
      <c r="GF22" s="37" t="inlineStr">
        <is>
          <t>KIT TAGS 15 PC C/ 10</t>
        </is>
      </c>
      <c r="GG22" s="208" t="n">
        <v>150</v>
      </c>
      <c r="GH22" s="699">
        <f>FO22</f>
        <v/>
      </c>
      <c r="GI22" s="699" t="n">
        <v>15</v>
      </c>
      <c r="GJ22" s="699" t="n">
        <v>12</v>
      </c>
      <c r="GK22" s="699" t="n">
        <v>0</v>
      </c>
      <c r="GL22" s="699" t="n">
        <v>0</v>
      </c>
      <c r="GM22" s="699" t="n">
        <v>0</v>
      </c>
      <c r="GN22" s="699" t="n">
        <v>0</v>
      </c>
      <c r="GO22" s="699" t="n">
        <v>0</v>
      </c>
      <c r="GP22" s="699" t="n">
        <v>0</v>
      </c>
      <c r="GQ22" s="699" t="n">
        <v>0</v>
      </c>
      <c r="GR22" s="699" t="n">
        <v>0</v>
      </c>
      <c r="GS22" s="303">
        <f>GQ22-GR22</f>
        <v/>
      </c>
      <c r="GU22" s="37" t="inlineStr">
        <is>
          <t>KIT TAGS 15 PC C/ 10</t>
        </is>
      </c>
      <c r="GV22" s="208" t="n">
        <v>150</v>
      </c>
      <c r="GW22" s="699" t="n">
        <v>0</v>
      </c>
      <c r="GX22" s="699" t="n">
        <v>0</v>
      </c>
      <c r="GY22" s="699" t="n">
        <v>0</v>
      </c>
      <c r="GZ22" s="699" t="n">
        <v>0</v>
      </c>
      <c r="HA22" s="699" t="n">
        <v>0</v>
      </c>
      <c r="HB22" s="699" t="n">
        <v>0</v>
      </c>
      <c r="HC22" s="699" t="n">
        <v>0</v>
      </c>
      <c r="HD22" s="369">
        <f>GW22-GX22</f>
        <v/>
      </c>
    </row>
    <row r="23" ht="20.25" customFormat="1" customHeight="1" s="3">
      <c r="A23" s="37" t="inlineStr">
        <is>
          <t>KIT TAGS  (21 c/ 50 un)</t>
        </is>
      </c>
      <c r="B23" s="699" t="n">
        <v>1050</v>
      </c>
      <c r="C23" s="762" t="n">
        <v>52.14</v>
      </c>
      <c r="D23" s="382" t="n">
        <v>10</v>
      </c>
      <c r="E23" s="2" t="n"/>
      <c r="F23" s="697" t="n">
        <v>46</v>
      </c>
      <c r="G23" s="697" t="n">
        <v>45</v>
      </c>
      <c r="H23" s="697" t="n">
        <v>45</v>
      </c>
      <c r="I23" s="697" t="n">
        <v>45</v>
      </c>
      <c r="J23" s="697" t="n">
        <v>45</v>
      </c>
      <c r="K23" s="697" t="n">
        <v>45</v>
      </c>
      <c r="L23" s="697" t="n">
        <v>45</v>
      </c>
      <c r="M23" s="697" t="n">
        <v>43</v>
      </c>
      <c r="N23" s="697" t="n">
        <v>43</v>
      </c>
      <c r="O23" s="697" t="n">
        <v>42</v>
      </c>
      <c r="P23" s="697" t="n">
        <v>42</v>
      </c>
      <c r="Q23" s="697" t="n">
        <v>42</v>
      </c>
      <c r="R23" s="697" t="n">
        <v>42</v>
      </c>
      <c r="S23" s="697" t="n">
        <v>42</v>
      </c>
      <c r="T23" s="697" t="n">
        <v>42</v>
      </c>
      <c r="U23" s="697" t="n">
        <v>42</v>
      </c>
      <c r="V23" s="697" t="n">
        <v>42</v>
      </c>
      <c r="W23" s="697" t="n">
        <v>39</v>
      </c>
      <c r="X23" s="697" t="n">
        <v>38</v>
      </c>
      <c r="Y23" s="697" t="n">
        <v>37</v>
      </c>
      <c r="Z23" s="697" t="n">
        <v>37</v>
      </c>
      <c r="AA23" s="697" t="n">
        <v>37</v>
      </c>
      <c r="AB23" s="697" t="n">
        <v>35</v>
      </c>
      <c r="AC23" s="697" t="n">
        <v>35</v>
      </c>
      <c r="AD23" s="697" t="n">
        <v>34</v>
      </c>
      <c r="AE23" s="697" t="n">
        <v>33</v>
      </c>
      <c r="AF23" s="697" t="n">
        <v>32</v>
      </c>
      <c r="AG23" s="697" t="n">
        <v>32</v>
      </c>
      <c r="AH23" s="697" t="n">
        <v>30</v>
      </c>
      <c r="AI23" s="697" t="n">
        <v>30</v>
      </c>
      <c r="AJ23" s="697" t="n">
        <v>30</v>
      </c>
      <c r="AK23" s="697" t="n">
        <v>29</v>
      </c>
      <c r="AL23" s="697" t="n">
        <v>24</v>
      </c>
      <c r="AM23" s="697" t="n">
        <v>24</v>
      </c>
      <c r="AN23" s="697" t="n">
        <v>24</v>
      </c>
      <c r="AO23" s="697" t="n">
        <v>23</v>
      </c>
      <c r="AP23" s="697" t="n">
        <v>23</v>
      </c>
      <c r="AQ23" s="697" t="n">
        <v>21</v>
      </c>
      <c r="AR23" s="697" t="n">
        <v>20</v>
      </c>
      <c r="AS23" s="697" t="n">
        <v>20</v>
      </c>
      <c r="AT23" s="697" t="n">
        <v>19</v>
      </c>
      <c r="AU23" s="697" t="n">
        <v>19</v>
      </c>
      <c r="AV23" s="697" t="n">
        <v>19</v>
      </c>
      <c r="AW23" s="697" t="n">
        <v>19</v>
      </c>
      <c r="AX23" s="697" t="n">
        <v>18</v>
      </c>
      <c r="AY23" s="697" t="n">
        <v>18</v>
      </c>
      <c r="AZ23" s="697" t="n">
        <v>18</v>
      </c>
      <c r="BA23" s="697" t="n">
        <v>18</v>
      </c>
      <c r="BB23" s="697" t="n">
        <v>18</v>
      </c>
      <c r="BC23" s="697" t="n">
        <v>17</v>
      </c>
      <c r="BD23" s="697" t="n">
        <v>17</v>
      </c>
      <c r="BE23" s="697" t="n">
        <v>17</v>
      </c>
      <c r="BF23" s="697" t="n">
        <v>17</v>
      </c>
      <c r="BG23" s="697" t="n">
        <v>17</v>
      </c>
      <c r="BH23" s="697" t="n">
        <v>17</v>
      </c>
      <c r="BI23" s="697" t="n">
        <v>17</v>
      </c>
      <c r="BJ23" s="697" t="n">
        <v>17</v>
      </c>
      <c r="BK23" s="697" t="n">
        <v>17</v>
      </c>
      <c r="BL23" s="697" t="n">
        <v>17</v>
      </c>
      <c r="BM23" s="697" t="n">
        <v>17</v>
      </c>
      <c r="BN23" s="697" t="n">
        <v>17</v>
      </c>
      <c r="BO23" s="697" t="n">
        <v>16</v>
      </c>
      <c r="BP23" s="697" t="n">
        <v>16</v>
      </c>
      <c r="BQ23" s="697" t="n">
        <v>16</v>
      </c>
      <c r="BR23" s="697" t="n">
        <v>13</v>
      </c>
      <c r="BS23" s="697" t="n">
        <v>12</v>
      </c>
      <c r="BT23" s="697" t="n"/>
      <c r="BU23" s="697" t="n"/>
      <c r="BV23" s="697" t="n"/>
      <c r="BW23" s="697" t="n"/>
      <c r="BX23" s="697" t="n"/>
      <c r="BY23" s="697" t="n">
        <v>10</v>
      </c>
      <c r="BZ23" s="192">
        <f>BX23+IF(NOT(ISBLANK(OFFSET(BZ23,0,6))),N(OFFSET(BZ23,0,6)),N(OFFSET(BZ23,0,7)))-BY23</f>
        <v/>
      </c>
      <c r="CA23" s="5" t="n"/>
      <c r="CB23" s="22" t="n"/>
      <c r="CC23" s="22" t="n"/>
      <c r="CD23" s="5" t="n"/>
      <c r="CE23" s="27" t="n"/>
      <c r="CF23" s="726" t="n"/>
      <c r="CG23" s="40" t="n">
        <v>0</v>
      </c>
      <c r="CH23" s="40" t="n">
        <v>0</v>
      </c>
      <c r="CI23" s="40" t="n"/>
      <c r="CJ23" s="40" t="n"/>
      <c r="CK23" s="40" t="n"/>
      <c r="CL23" s="40" t="n"/>
      <c r="CM23" s="40" t="n"/>
      <c r="CN23" s="467" t="n">
        <v>10</v>
      </c>
      <c r="CO23" s="40" t="n"/>
      <c r="CP23" s="40" t="n"/>
      <c r="CQ23" s="40" t="n"/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40" t="n"/>
      <c r="DA23" s="219" t="n"/>
      <c r="DB23" s="40" t="n"/>
      <c r="DC23" s="40" t="n"/>
      <c r="DD23" s="40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40" t="n"/>
      <c r="DQ23" s="23" t="n"/>
      <c r="DR23" s="40" t="n"/>
      <c r="DS23" s="40" t="n"/>
      <c r="DT23" s="40" t="n"/>
      <c r="DU23" s="23" t="n"/>
      <c r="DV23" s="40" t="n"/>
      <c r="DW23" s="40" t="n"/>
      <c r="DX23" s="40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40" t="n"/>
      <c r="FL23" s="219" t="n"/>
      <c r="FM23" s="40" t="n"/>
      <c r="FN23" s="40" t="n"/>
      <c r="FO23" s="219" t="n"/>
      <c r="FP23" s="40" t="n"/>
      <c r="FQ23" s="40" t="n"/>
      <c r="FR23" s="40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D23" s="40" t="n"/>
      <c r="GF23" s="35" t="n"/>
      <c r="GU23" s="35" t="n"/>
      <c r="HF23" s="35" t="n"/>
      <c r="HR23" s="35" t="n"/>
    </row>
    <row r="24" ht="20.45" customFormat="1" customHeight="1" s="3">
      <c r="A24" s="35" t="n"/>
      <c r="BZ24" s="573" t="n"/>
      <c r="CA24" s="5" t="n"/>
      <c r="CB24" s="11" t="n"/>
      <c r="CC24" s="11" t="n"/>
      <c r="CD24" s="5" t="n"/>
      <c r="CG24" s="21" t="n"/>
      <c r="CH24" s="21" t="n"/>
      <c r="CI24" s="21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21" t="n"/>
      <c r="DA24" s="11" t="n"/>
      <c r="DB24" s="21" t="n"/>
      <c r="DC24" s="21" t="n"/>
      <c r="DD24" s="2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21" t="n"/>
      <c r="FL24" s="11" t="n"/>
      <c r="FM24" s="21" t="n"/>
      <c r="FN24" s="21" t="n"/>
      <c r="FO24" s="11" t="n"/>
      <c r="FP24" s="21" t="n"/>
      <c r="FQ24" s="21" t="n"/>
      <c r="FR24" s="21" t="n"/>
      <c r="FS24" s="2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D24" s="21" t="n"/>
      <c r="GT24" s="5" t="n"/>
      <c r="GU24" s="35" t="n"/>
      <c r="HF24" s="35" t="n"/>
      <c r="HR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8" t="inlineStr">
        <is>
          <t>USOU</t>
        </is>
      </c>
      <c r="CB25" s="44" t="inlineStr">
        <is>
          <t>Pendências</t>
        </is>
      </c>
      <c r="CC25" s="44" t="inlineStr">
        <is>
          <t>Pendências</t>
        </is>
      </c>
      <c r="CD25" s="5" t="n"/>
      <c r="CE25" s="12" t="inlineStr">
        <is>
          <t>Novo Pedido</t>
        </is>
      </c>
      <c r="CF25" s="2" t="n"/>
      <c r="CG25" s="794" t="n">
        <v>46149</v>
      </c>
      <c r="CH25" s="794" t="n">
        <v>46142</v>
      </c>
      <c r="CI25" s="794" t="n">
        <v>46114</v>
      </c>
      <c r="CJ25" s="794" t="n">
        <v>46107</v>
      </c>
      <c r="CK25" s="795" t="n">
        <v>46065</v>
      </c>
      <c r="CL25" s="794" t="n">
        <v>46099</v>
      </c>
      <c r="CM25" s="794" t="n">
        <v>46092</v>
      </c>
      <c r="CN25" s="796" t="n">
        <v>46045</v>
      </c>
      <c r="CO25" s="794" t="n">
        <v>46077</v>
      </c>
      <c r="CP25" s="794" t="n">
        <v>46048</v>
      </c>
      <c r="CQ25" s="794" t="n">
        <v>46043</v>
      </c>
      <c r="CR25" s="794" t="n">
        <v>46024</v>
      </c>
      <c r="CS25" s="794" t="n">
        <v>46017</v>
      </c>
      <c r="CT25" s="794" t="n">
        <v>46007</v>
      </c>
      <c r="CU25" s="794" t="n">
        <v>46001</v>
      </c>
      <c r="CV25" s="794" t="n">
        <v>46001</v>
      </c>
      <c r="CW25" s="794" t="n">
        <v>45994</v>
      </c>
      <c r="CX25" s="794" t="n">
        <v>45986</v>
      </c>
      <c r="CY25" s="794" t="n">
        <v>45980</v>
      </c>
      <c r="CZ25" s="794" t="n">
        <v>45980</v>
      </c>
      <c r="DA25" s="797" t="n">
        <v>45982</v>
      </c>
      <c r="DB25" s="794" t="n">
        <v>45973</v>
      </c>
      <c r="DC25" s="794" t="n">
        <v>45965</v>
      </c>
      <c r="DD25" s="794" t="n">
        <v>45960</v>
      </c>
      <c r="DE25" s="794" t="n">
        <v>45951</v>
      </c>
      <c r="DF25" s="737" t="n">
        <v>45903</v>
      </c>
      <c r="DG25" s="794" t="n">
        <v>45945</v>
      </c>
      <c r="DH25" s="794" t="n">
        <v>45937</v>
      </c>
      <c r="DI25" s="794" t="n">
        <v>45931</v>
      </c>
      <c r="DJ25" s="794" t="n">
        <v>45931</v>
      </c>
      <c r="DK25" s="794" t="n">
        <v>45915</v>
      </c>
      <c r="DL25" s="794" t="n">
        <v>45923</v>
      </c>
      <c r="DM25" s="794" t="n">
        <v>45903</v>
      </c>
      <c r="DN25" s="794" t="n">
        <v>45915</v>
      </c>
      <c r="DO25" s="797" t="n">
        <v>45918</v>
      </c>
      <c r="DP25" s="794" t="n">
        <v>45909</v>
      </c>
      <c r="DQ25" s="738" t="n">
        <v>45903</v>
      </c>
      <c r="DR25" s="794" t="n">
        <v>45895</v>
      </c>
      <c r="DS25" s="797" t="n">
        <v>45896</v>
      </c>
      <c r="DT25" s="794" t="n">
        <v>45881</v>
      </c>
      <c r="DU25" s="738" t="n">
        <v>45839</v>
      </c>
      <c r="DV25" s="794" t="n">
        <v>45888</v>
      </c>
      <c r="DW25" s="794" t="n">
        <v>45881</v>
      </c>
      <c r="DX25" s="797" t="n">
        <v>45881</v>
      </c>
      <c r="DY25" s="794" t="n">
        <v>45874</v>
      </c>
      <c r="DZ25" s="797" t="n">
        <v>45876</v>
      </c>
      <c r="EA25" s="794" t="n">
        <v>45867</v>
      </c>
      <c r="EB25" s="794" t="n">
        <v>45867</v>
      </c>
      <c r="EC25" s="794" t="n">
        <v>45860</v>
      </c>
      <c r="ED25" s="797" t="n">
        <v>45861</v>
      </c>
      <c r="EE25" s="797" t="n">
        <v>45860</v>
      </c>
      <c r="EF25" s="794" t="n">
        <v>45853</v>
      </c>
      <c r="EG25" s="739" t="n">
        <v>45855</v>
      </c>
      <c r="EH25" s="794" t="n">
        <v>45848</v>
      </c>
      <c r="EI25" s="794" t="n">
        <v>45839</v>
      </c>
      <c r="EJ25" s="794" t="n">
        <v>45839</v>
      </c>
      <c r="EK25" s="797" t="n">
        <v>45835</v>
      </c>
      <c r="EL25" s="794" t="n">
        <v>45790</v>
      </c>
      <c r="EM25" s="794" t="n">
        <v>45825</v>
      </c>
      <c r="EN25" s="794" t="n">
        <v>45819</v>
      </c>
      <c r="EO25" s="794" t="n">
        <v>45813</v>
      </c>
      <c r="EP25" s="794" t="n">
        <v>45797</v>
      </c>
      <c r="EQ25" s="797" t="n">
        <v>45811</v>
      </c>
      <c r="ER25" s="797" t="n">
        <v>45810</v>
      </c>
      <c r="ES25" s="797" t="n">
        <v>45806</v>
      </c>
      <c r="ET25" s="797" t="n">
        <v>45803</v>
      </c>
      <c r="EU25" s="755" t="n">
        <v>45803</v>
      </c>
      <c r="EV25" s="794" t="n">
        <v>45784</v>
      </c>
      <c r="EW25" s="797" t="n">
        <v>45796</v>
      </c>
      <c r="EX25" s="794" t="n">
        <v>45784</v>
      </c>
      <c r="EY25" s="794" t="n">
        <v>45764</v>
      </c>
      <c r="EZ25" s="797" t="n">
        <v>45791</v>
      </c>
      <c r="FA25" s="794" t="n">
        <v>45783</v>
      </c>
      <c r="FB25" s="794" t="n">
        <v>45770</v>
      </c>
      <c r="FC25" s="794" t="n">
        <v>45775</v>
      </c>
      <c r="FD25" s="794" t="n">
        <v>45770</v>
      </c>
      <c r="FE25" s="794" t="n">
        <v>45770</v>
      </c>
      <c r="FF25" s="797" t="n">
        <v>45775</v>
      </c>
      <c r="FG25" s="797" t="n">
        <v>45770</v>
      </c>
      <c r="FH25" s="794" t="n">
        <v>45756</v>
      </c>
      <c r="FI25" s="794" t="n">
        <v>45735</v>
      </c>
      <c r="FJ25" s="797" t="n">
        <v>45751</v>
      </c>
      <c r="FK25" s="794" t="n">
        <v>45743</v>
      </c>
      <c r="FL25" s="746" t="n">
        <v>45729</v>
      </c>
      <c r="FM25" s="794" t="n">
        <v>45722</v>
      </c>
      <c r="FN25" s="794" t="n">
        <v>45722</v>
      </c>
      <c r="FO25" s="746" t="n">
        <v>45700</v>
      </c>
      <c r="FP25" s="797" t="n">
        <v>45722</v>
      </c>
      <c r="FQ25" s="794" t="n">
        <v>45714</v>
      </c>
      <c r="FR25" s="794" t="n">
        <v>45706</v>
      </c>
      <c r="FS25" s="794" t="n">
        <v>45684</v>
      </c>
      <c r="FT25" s="794" t="n">
        <v>45699</v>
      </c>
      <c r="FU25" s="794" t="n">
        <v>45693</v>
      </c>
      <c r="FV25" s="797" t="n">
        <v>45687</v>
      </c>
      <c r="FW25" s="794" t="n">
        <v>45685</v>
      </c>
      <c r="FX25" s="797" t="n">
        <v>45684</v>
      </c>
      <c r="FY25" s="794" t="n">
        <v>45674</v>
      </c>
      <c r="FZ25" s="794" t="n">
        <v>45664</v>
      </c>
      <c r="GA25" s="794" t="n">
        <v>45660</v>
      </c>
      <c r="GB25" s="794" t="n">
        <v>45660</v>
      </c>
      <c r="GC25" s="794" t="n">
        <v>45652</v>
      </c>
      <c r="GD25" s="794" t="n">
        <v>45643</v>
      </c>
      <c r="GF25" s="304" t="inlineStr">
        <is>
          <t>CAIXAS</t>
        </is>
      </c>
      <c r="GG25" s="544" t="inlineStr">
        <is>
          <t>PCT</t>
        </is>
      </c>
      <c r="GH25" s="536" t="n">
        <v>45726</v>
      </c>
      <c r="GI25" s="536" t="n">
        <v>45733</v>
      </c>
      <c r="GJ25" s="536" t="n">
        <v>45740</v>
      </c>
      <c r="GK25" s="322" t="n">
        <v>45747</v>
      </c>
      <c r="GL25" s="536" t="n">
        <v>45754</v>
      </c>
      <c r="GM25" s="536" t="n">
        <v>45761</v>
      </c>
      <c r="GN25" s="536" t="n">
        <v>45768</v>
      </c>
      <c r="GO25" s="536" t="n">
        <v>45775</v>
      </c>
      <c r="GP25" s="536" t="n">
        <v>45782</v>
      </c>
      <c r="GQ25" s="536" t="n">
        <v>45789</v>
      </c>
      <c r="GR25" s="536" t="n">
        <v>45796</v>
      </c>
      <c r="GS25" s="235" t="inlineStr">
        <is>
          <t>USOU</t>
        </is>
      </c>
      <c r="GT25" s="5" t="n"/>
      <c r="GU25" s="369" t="inlineStr">
        <is>
          <t>CAIXAS</t>
        </is>
      </c>
      <c r="GV25" s="805" t="inlineStr">
        <is>
          <t>PCT</t>
        </is>
      </c>
      <c r="GW25" s="398" t="n">
        <v>45796</v>
      </c>
      <c r="GX25" s="398" t="n">
        <v>45803</v>
      </c>
      <c r="GY25" s="398" t="n">
        <v>45810</v>
      </c>
      <c r="GZ25" s="398" t="n">
        <v>45817</v>
      </c>
      <c r="HA25" s="398" t="n">
        <v>45824</v>
      </c>
      <c r="HB25" s="398" t="n">
        <v>45831</v>
      </c>
      <c r="HC25" s="398" t="n">
        <v>45838</v>
      </c>
      <c r="HD25" s="368" t="inlineStr">
        <is>
          <t>USOU</t>
        </is>
      </c>
      <c r="HF25" s="412" t="inlineStr">
        <is>
          <t>CAIXAS</t>
        </is>
      </c>
      <c r="HG25" s="810" t="inlineStr">
        <is>
          <t>PCT</t>
        </is>
      </c>
      <c r="HH25" s="811" t="n">
        <v>45845</v>
      </c>
      <c r="HI25" s="811" t="n">
        <v>45852</v>
      </c>
      <c r="HJ25" s="811" t="n">
        <v>45859</v>
      </c>
      <c r="HK25" s="811" t="n">
        <v>45866</v>
      </c>
      <c r="HL25" s="811" t="n">
        <v>45873</v>
      </c>
      <c r="HM25" s="811" t="n">
        <v>45880</v>
      </c>
      <c r="HN25" s="811" t="n">
        <v>45887</v>
      </c>
      <c r="HO25" s="811" t="n">
        <v>45894</v>
      </c>
      <c r="HP25" s="411" t="inlineStr">
        <is>
          <t>USOU</t>
        </is>
      </c>
      <c r="HR25" s="438" t="inlineStr">
        <is>
          <t>CAIXAS</t>
        </is>
      </c>
      <c r="HS25" s="829" t="inlineStr">
        <is>
          <t>PCT</t>
        </is>
      </c>
      <c r="HT25" s="513" t="n">
        <v>45950</v>
      </c>
      <c r="HU25" s="513" t="n">
        <v>45957</v>
      </c>
      <c r="HV25" s="513" t="n">
        <v>45964</v>
      </c>
      <c r="HW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65" t="n">
        <v>239.21</v>
      </c>
      <c r="D26" s="382" t="n">
        <v>15</v>
      </c>
      <c r="E26" s="2" t="n"/>
      <c r="F26" s="697" t="n">
        <v>32</v>
      </c>
      <c r="G26" s="697" t="n">
        <v>31</v>
      </c>
      <c r="H26" s="697" t="n">
        <v>28</v>
      </c>
      <c r="I26" s="697" t="n">
        <v>27</v>
      </c>
      <c r="J26" s="697" t="n">
        <v>27</v>
      </c>
      <c r="K26" s="697" t="n">
        <v>27</v>
      </c>
      <c r="L26" s="697" t="n">
        <v>24</v>
      </c>
      <c r="M26" s="697">
        <f>23+FT26</f>
        <v/>
      </c>
      <c r="N26" s="697" t="n">
        <v>98</v>
      </c>
      <c r="O26" s="697" t="n">
        <v>95</v>
      </c>
      <c r="P26" s="697" t="n">
        <v>94</v>
      </c>
      <c r="Q26" s="697" t="n">
        <v>90</v>
      </c>
      <c r="R26" s="697" t="n">
        <v>85</v>
      </c>
      <c r="S26" s="697" t="n">
        <v>82</v>
      </c>
      <c r="T26" s="697" t="n">
        <v>82</v>
      </c>
      <c r="U26" s="697" t="n">
        <v>80</v>
      </c>
      <c r="V26" s="697" t="n">
        <v>79</v>
      </c>
      <c r="W26" s="697" t="n">
        <v>79</v>
      </c>
      <c r="X26" s="697" t="n">
        <v>78</v>
      </c>
      <c r="Y26" s="697" t="n">
        <v>72</v>
      </c>
      <c r="Z26" s="697" t="n">
        <v>68</v>
      </c>
      <c r="AA26" s="697" t="n">
        <v>64</v>
      </c>
      <c r="AB26" s="697">
        <f>57-20</f>
        <v/>
      </c>
      <c r="AC26" s="697" t="n">
        <v>35</v>
      </c>
      <c r="AD26" s="697" t="n">
        <v>25</v>
      </c>
      <c r="AE26" s="697" t="n">
        <v>99</v>
      </c>
      <c r="AF26" s="697" t="n">
        <v>89</v>
      </c>
      <c r="AG26" s="697" t="n">
        <v>89</v>
      </c>
      <c r="AH26" s="697" t="n">
        <v>82</v>
      </c>
      <c r="AI26" s="697">
        <f>80-10</f>
        <v/>
      </c>
      <c r="AJ26" s="697" t="n">
        <v>69</v>
      </c>
      <c r="AK26" s="697">
        <f>69-20</f>
        <v/>
      </c>
      <c r="AL26" s="697" t="n">
        <v>40</v>
      </c>
      <c r="AM26" s="697" t="n">
        <v>37</v>
      </c>
      <c r="AN26" s="697" t="n">
        <v>35</v>
      </c>
      <c r="AO26" s="697" t="n">
        <v>32</v>
      </c>
      <c r="AP26" s="697" t="n">
        <v>30</v>
      </c>
      <c r="AQ26" s="697" t="n">
        <v>27</v>
      </c>
      <c r="AR26" s="697" t="n">
        <v>22</v>
      </c>
      <c r="AS26" s="697" t="n">
        <v>22</v>
      </c>
      <c r="AT26" s="697" t="n">
        <v>19</v>
      </c>
      <c r="AU26" s="697" t="n">
        <v>17</v>
      </c>
      <c r="AV26" s="697" t="n">
        <v>4</v>
      </c>
      <c r="AW26" s="697" t="n">
        <v>2</v>
      </c>
      <c r="AX26" s="697" t="n">
        <v>1</v>
      </c>
      <c r="AY26" s="697" t="n">
        <v>0</v>
      </c>
      <c r="AZ26" s="697">
        <f>0+20</f>
        <v/>
      </c>
      <c r="BA26" s="697" t="n">
        <v>20</v>
      </c>
      <c r="BB26" s="697" t="n">
        <v>13</v>
      </c>
      <c r="BC26" s="697" t="n">
        <v>2</v>
      </c>
      <c r="BD26" s="697" t="n">
        <v>1</v>
      </c>
      <c r="BE26" s="697" t="n">
        <v>0</v>
      </c>
      <c r="BF26" s="697" t="n">
        <v>0</v>
      </c>
      <c r="BG26" s="697" t="n">
        <v>0</v>
      </c>
      <c r="BH26" s="697" t="n">
        <v>0</v>
      </c>
      <c r="BI26" s="697" t="n">
        <v>0</v>
      </c>
      <c r="BJ26" s="697" t="n">
        <v>0</v>
      </c>
      <c r="BK26" s="697" t="n">
        <v>150</v>
      </c>
      <c r="BL26" s="697" t="n">
        <v>149</v>
      </c>
      <c r="BM26" s="697" t="n">
        <v>149</v>
      </c>
      <c r="BN26" s="697" t="n">
        <v>149</v>
      </c>
      <c r="BO26" s="697" t="n">
        <v>148</v>
      </c>
      <c r="BP26" s="697" t="n">
        <v>144</v>
      </c>
      <c r="BQ26" s="697" t="n">
        <v>144</v>
      </c>
      <c r="BR26" s="697" t="n">
        <v>140</v>
      </c>
      <c r="BS26" s="697" t="n">
        <v>140</v>
      </c>
      <c r="BT26" s="697" t="n">
        <v>140</v>
      </c>
      <c r="BU26" s="697" t="n">
        <v>140</v>
      </c>
      <c r="BV26" s="697" t="n">
        <v>140</v>
      </c>
      <c r="BW26" s="697" t="n">
        <v>140</v>
      </c>
      <c r="BX26" s="697" t="n">
        <v>140</v>
      </c>
      <c r="BY26" s="697" t="n">
        <v>126</v>
      </c>
      <c r="BZ26" s="192">
        <f>BX26+IF(NOT(ISBLANK(OFFSET(BZ26,0,6))),N(OFFSET(BZ26,0,6)),N(OFFSET(BZ26,0,7)))-BY26</f>
        <v/>
      </c>
      <c r="CB26" s="22" t="n"/>
      <c r="CC26" s="22" t="n"/>
      <c r="CD26" s="5" t="n"/>
      <c r="CE26" s="27" t="n"/>
      <c r="CF26" s="2" t="n"/>
      <c r="CG26" s="40" t="n">
        <v>0</v>
      </c>
      <c r="CH26" s="40" t="n">
        <v>0</v>
      </c>
      <c r="CI26" s="40" t="n"/>
      <c r="CJ26" s="40" t="n"/>
      <c r="CK26" s="419" t="n">
        <v>150</v>
      </c>
      <c r="CL26" s="40" t="n"/>
      <c r="CM26" s="40" t="n"/>
      <c r="CN26" s="467" t="n">
        <v>200</v>
      </c>
      <c r="CO26" s="40" t="n"/>
      <c r="CP26" s="40" t="n"/>
      <c r="CQ26" s="40" t="n">
        <v>150</v>
      </c>
      <c r="CR26" s="40" t="n"/>
      <c r="CS26" s="40" t="n"/>
      <c r="CT26" s="40" t="n"/>
      <c r="CU26" s="40" t="n"/>
      <c r="CV26" s="40" t="n"/>
      <c r="CW26" s="40" t="n"/>
      <c r="CX26" s="40" t="n"/>
      <c r="CY26" s="40" t="n"/>
      <c r="CZ26" s="40" t="n"/>
      <c r="DA26" s="192" t="inlineStr">
        <is>
          <t>20 DE ERB</t>
        </is>
      </c>
      <c r="DB26" s="40" t="n"/>
      <c r="DC26" s="40" t="n"/>
      <c r="DD26" s="40" t="n"/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40" t="n"/>
      <c r="DZ26" s="192" t="inlineStr">
        <is>
          <t>20 P/ ER</t>
        </is>
      </c>
      <c r="EA26" s="40" t="n"/>
      <c r="EB26" s="40" t="n"/>
      <c r="EC26" s="40" t="n"/>
      <c r="ED26" s="40" t="n"/>
      <c r="EE26" s="282" t="inlineStr">
        <is>
          <t>10 P/ ER</t>
        </is>
      </c>
      <c r="EF26" s="40" t="n"/>
      <c r="EG26" s="40" t="n"/>
      <c r="EH26" s="40" t="n"/>
      <c r="EI26" s="40" t="n"/>
      <c r="EJ26" s="40" t="n"/>
      <c r="EK26" s="40" t="n"/>
      <c r="EL26" s="40" t="n"/>
      <c r="EM26" s="40" t="n">
        <v>75</v>
      </c>
      <c r="EN26" s="40" t="n"/>
      <c r="EO26" s="40" t="n"/>
      <c r="EP26" s="40" t="n"/>
      <c r="EQ26" s="282" t="inlineStr">
        <is>
          <t>20 P/ ER</t>
        </is>
      </c>
      <c r="ER26" s="40" t="n"/>
      <c r="ES26" s="40" t="n"/>
      <c r="ET26" s="40" t="n"/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40" t="n"/>
      <c r="FL26" s="292" t="inlineStr">
        <is>
          <t>50 P/ ER</t>
        </is>
      </c>
      <c r="FM26" s="40" t="n"/>
      <c r="FN26" s="40" t="n"/>
      <c r="FO26" s="219" t="n">
        <v>150</v>
      </c>
      <c r="FP26" s="40" t="n"/>
      <c r="FQ26" s="40" t="n"/>
      <c r="FR26" s="40" t="n"/>
      <c r="FS26" s="40" t="n"/>
      <c r="FT26" s="40" t="n">
        <v>75</v>
      </c>
      <c r="FU26" s="40" t="n"/>
      <c r="FV26" s="40" t="n"/>
      <c r="FW26" s="40" t="n"/>
      <c r="FX26" s="40" t="n"/>
      <c r="FY26" s="40" t="n"/>
      <c r="FZ26" s="40" t="n"/>
      <c r="GA26" s="40" t="n"/>
      <c r="GB26" s="40" t="n"/>
      <c r="GC26" s="40" t="n"/>
      <c r="GD26" s="40" t="n"/>
      <c r="GF26" s="37" t="inlineStr">
        <is>
          <t>KIT CAIXA P</t>
        </is>
      </c>
      <c r="GG26" s="208" t="n">
        <v>150</v>
      </c>
      <c r="GH26" s="699">
        <f>FO26</f>
        <v/>
      </c>
      <c r="GI26" s="699">
        <f>150-50</f>
        <v/>
      </c>
      <c r="GJ26" s="699" t="n">
        <v>100</v>
      </c>
      <c r="GK26" s="699" t="n">
        <v>95</v>
      </c>
      <c r="GL26" s="699" t="n">
        <v>95</v>
      </c>
      <c r="GM26" s="699" t="n">
        <v>91</v>
      </c>
      <c r="GN26" s="699" t="n">
        <v>49</v>
      </c>
      <c r="GO26" s="699" t="n">
        <v>45</v>
      </c>
      <c r="GP26" s="699" t="n">
        <v>40</v>
      </c>
      <c r="GQ26" s="699" t="n">
        <v>0</v>
      </c>
      <c r="GR26" s="699" t="n">
        <v>0</v>
      </c>
      <c r="GS26" s="303">
        <f>GQ26-GR26</f>
        <v/>
      </c>
      <c r="GT26" s="5" t="n"/>
      <c r="GU26" s="745" t="n"/>
      <c r="GV26" s="745" t="n"/>
      <c r="GW26" s="745" t="n"/>
      <c r="GX26" s="745" t="n"/>
      <c r="GY26" s="745" t="n"/>
      <c r="GZ26" s="745" t="n"/>
      <c r="HA26" s="745" t="n"/>
      <c r="HB26" s="745" t="n"/>
      <c r="HC26" s="745" t="n"/>
      <c r="HD26" s="745" t="n"/>
      <c r="HF26" s="745" t="n"/>
      <c r="HG26" s="745" t="n"/>
      <c r="HH26" s="745" t="n"/>
      <c r="HI26" s="745" t="n"/>
      <c r="HJ26" s="745" t="n"/>
      <c r="HK26" s="745" t="n"/>
      <c r="HL26" s="745" t="n"/>
      <c r="HM26" s="745" t="n"/>
      <c r="HN26" s="745" t="n"/>
      <c r="HO26" s="745" t="n"/>
      <c r="HP26" s="745" t="n"/>
      <c r="HR26" s="37" t="inlineStr">
        <is>
          <t xml:space="preserve">CAIXA P </t>
        </is>
      </c>
      <c r="HS26" s="208" t="n">
        <v>150</v>
      </c>
      <c r="HT26" s="699" t="n">
        <v>0</v>
      </c>
      <c r="HU26" s="699" t="n">
        <v>0</v>
      </c>
      <c r="HV26" s="162" t="n">
        <v>0</v>
      </c>
      <c r="HW26" s="545">
        <f>HU26-HV26</f>
        <v/>
      </c>
      <c r="HY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62" t="n">
        <v>312.27</v>
      </c>
      <c r="D27" s="382" t="n">
        <v>15</v>
      </c>
      <c r="E27" s="2" t="n"/>
      <c r="F27" s="697" t="n">
        <v>36</v>
      </c>
      <c r="G27" s="697" t="n">
        <v>34</v>
      </c>
      <c r="H27" s="697" t="n">
        <v>31</v>
      </c>
      <c r="I27" s="697" t="n">
        <v>28</v>
      </c>
      <c r="J27" s="697" t="n">
        <v>28</v>
      </c>
      <c r="K27" s="697" t="n">
        <v>23</v>
      </c>
      <c r="L27" s="697" t="n">
        <v>19</v>
      </c>
      <c r="M27" s="697">
        <f>17+FT27</f>
        <v/>
      </c>
      <c r="N27" s="697" t="n">
        <v>91</v>
      </c>
      <c r="O27" s="697" t="n">
        <v>89</v>
      </c>
      <c r="P27" s="697" t="n">
        <v>87</v>
      </c>
      <c r="Q27" s="697" t="n">
        <v>86</v>
      </c>
      <c r="R27" s="697" t="n">
        <v>85</v>
      </c>
      <c r="S27" s="697" t="n">
        <v>84</v>
      </c>
      <c r="T27" s="697" t="n">
        <v>84</v>
      </c>
      <c r="U27" s="697" t="n">
        <v>79</v>
      </c>
      <c r="V27" s="697" t="n">
        <v>78</v>
      </c>
      <c r="W27" s="697" t="n">
        <v>78</v>
      </c>
      <c r="X27" s="697" t="n">
        <v>78</v>
      </c>
      <c r="Y27" s="697" t="n">
        <v>70</v>
      </c>
      <c r="Z27" s="697" t="n">
        <v>67</v>
      </c>
      <c r="AA27" s="697" t="n">
        <v>65</v>
      </c>
      <c r="AB27" s="697" t="n">
        <v>59</v>
      </c>
      <c r="AC27" s="697" t="n">
        <v>53</v>
      </c>
      <c r="AD27" s="697" t="n">
        <v>46</v>
      </c>
      <c r="AE27" s="697" t="n">
        <v>46</v>
      </c>
      <c r="AF27" s="697" t="n">
        <v>40</v>
      </c>
      <c r="AG27" s="697" t="n">
        <v>40</v>
      </c>
      <c r="AH27" s="697" t="n">
        <v>36</v>
      </c>
      <c r="AI27" s="697" t="n">
        <v>31</v>
      </c>
      <c r="AJ27" s="697" t="n">
        <v>23</v>
      </c>
      <c r="AK27" s="697" t="n">
        <v>22</v>
      </c>
      <c r="AL27" s="697" t="n">
        <v>16</v>
      </c>
      <c r="AM27" s="697" t="n">
        <v>12</v>
      </c>
      <c r="AN27" s="697" t="n">
        <v>9</v>
      </c>
      <c r="AO27" s="697" t="n">
        <v>6</v>
      </c>
      <c r="AP27" s="697" t="n">
        <v>5</v>
      </c>
      <c r="AQ27" s="697" t="n">
        <v>4</v>
      </c>
      <c r="AR27" s="697" t="n">
        <v>3</v>
      </c>
      <c r="AS27" s="697" t="n">
        <v>2</v>
      </c>
      <c r="AT27" s="697" t="n">
        <v>1</v>
      </c>
      <c r="AU27" s="697" t="n">
        <v>0</v>
      </c>
      <c r="AV27" s="697" t="n">
        <v>0</v>
      </c>
      <c r="AW27" s="697" t="n">
        <v>0</v>
      </c>
      <c r="AX27" s="697" t="n">
        <v>0</v>
      </c>
      <c r="AY27" s="697" t="n">
        <v>0</v>
      </c>
      <c r="AZ27" s="697" t="n">
        <v>0</v>
      </c>
      <c r="BA27" s="697">
        <f>0+CZ27</f>
        <v/>
      </c>
      <c r="BB27" s="697" t="n">
        <v>100</v>
      </c>
      <c r="BC27" s="697" t="n">
        <v>94</v>
      </c>
      <c r="BD27" s="697" t="n">
        <v>94</v>
      </c>
      <c r="BE27" s="697" t="n">
        <v>84</v>
      </c>
      <c r="BF27" s="697" t="n">
        <v>83</v>
      </c>
      <c r="BG27" s="697" t="n">
        <v>83</v>
      </c>
      <c r="BH27" s="697" t="n">
        <v>80</v>
      </c>
      <c r="BI27" s="697" t="n">
        <v>80</v>
      </c>
      <c r="BJ27" s="697" t="n">
        <v>79</v>
      </c>
      <c r="BK27" s="697" t="n">
        <v>77</v>
      </c>
      <c r="BL27" s="697" t="n">
        <v>76</v>
      </c>
      <c r="BM27" s="697" t="n">
        <v>76</v>
      </c>
      <c r="BN27" s="697" t="n">
        <v>76</v>
      </c>
      <c r="BO27" s="697" t="n">
        <v>76</v>
      </c>
      <c r="BP27" s="697" t="n">
        <v>75</v>
      </c>
      <c r="BQ27" s="697" t="n">
        <v>73</v>
      </c>
      <c r="BR27" s="697" t="n">
        <v>71</v>
      </c>
      <c r="BS27" s="697" t="n">
        <v>70</v>
      </c>
      <c r="BT27" s="697" t="n">
        <v>70</v>
      </c>
      <c r="BU27" s="697" t="n">
        <v>70</v>
      </c>
      <c r="BV27" s="697" t="n">
        <v>70</v>
      </c>
      <c r="BW27" s="697" t="n">
        <v>70</v>
      </c>
      <c r="BX27" s="697" t="n">
        <v>70</v>
      </c>
      <c r="BY27" s="697" t="n">
        <v>46</v>
      </c>
      <c r="BZ27" s="192">
        <f>BX27+IF(NOT(ISBLANK(OFFSET(BZ27,0,6))),N(OFFSET(BZ27,0,6)),N(OFFSET(BZ27,0,7)))-BY27</f>
        <v/>
      </c>
      <c r="CB27" s="22" t="inlineStr">
        <is>
          <t>50 P/ ER</t>
        </is>
      </c>
      <c r="CC27" s="22" t="n"/>
      <c r="CD27" s="5" t="n"/>
      <c r="CE27" s="27" t="n"/>
      <c r="CF27" s="2" t="n"/>
      <c r="CG27" s="40" t="n">
        <v>0</v>
      </c>
      <c r="CH27" s="40" t="n">
        <v>0</v>
      </c>
      <c r="CI27" s="40" t="n"/>
      <c r="CJ27" s="40" t="n"/>
      <c r="CK27" s="419" t="n">
        <v>100</v>
      </c>
      <c r="CL27" s="40" t="n"/>
      <c r="CM27" s="40" t="n"/>
      <c r="CN27" s="467" t="n">
        <v>100</v>
      </c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/>
      <c r="CZ27" s="40" t="n">
        <v>100</v>
      </c>
      <c r="DA27" s="219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40" t="n"/>
      <c r="DQ27" s="23" t="n"/>
      <c r="DR27" s="40" t="n"/>
      <c r="DS27" s="40" t="n"/>
      <c r="DT27" s="40" t="n"/>
      <c r="DU27" s="23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376" t="inlineStr">
        <is>
          <t>50 DE ERB</t>
        </is>
      </c>
      <c r="EV27" s="40" t="n"/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292" t="inlineStr">
        <is>
          <t>50 P/ ER</t>
        </is>
      </c>
      <c r="FM27" s="40" t="n"/>
      <c r="FN27" s="40" t="n"/>
      <c r="FO27" s="219" t="n">
        <v>100</v>
      </c>
      <c r="FP27" s="40" t="n"/>
      <c r="FQ27" s="40" t="n"/>
      <c r="FR27" s="40" t="n"/>
      <c r="FS27" s="40" t="n"/>
      <c r="FT27" s="40" t="n">
        <v>75</v>
      </c>
      <c r="FU27" s="40" t="n"/>
      <c r="FV27" s="40" t="n"/>
      <c r="FW27" s="40" t="n"/>
      <c r="FX27" s="40" t="n"/>
      <c r="FY27" s="40" t="n"/>
      <c r="FZ27" s="40" t="n"/>
      <c r="GA27" s="40" t="n"/>
      <c r="GB27" s="40" t="n"/>
      <c r="GC27" s="40" t="n"/>
      <c r="GD27" s="40" t="n"/>
      <c r="GF27" s="37" t="inlineStr">
        <is>
          <t>KIT CAIXA M</t>
        </is>
      </c>
      <c r="GG27" s="208" t="n">
        <v>100</v>
      </c>
      <c r="GH27" s="699">
        <f>FO27</f>
        <v/>
      </c>
      <c r="GI27" s="699">
        <f>100-50</f>
        <v/>
      </c>
      <c r="GJ27" s="699" t="n">
        <v>50</v>
      </c>
      <c r="GK27" s="699" t="n">
        <v>48</v>
      </c>
      <c r="GL27" s="699" t="n">
        <v>48</v>
      </c>
      <c r="GM27" s="699" t="n">
        <v>48</v>
      </c>
      <c r="GN27" s="699" t="n">
        <v>25</v>
      </c>
      <c r="GO27" s="699" t="n">
        <v>16</v>
      </c>
      <c r="GP27" s="699" t="n">
        <v>5</v>
      </c>
      <c r="GQ27" s="699" t="n">
        <v>1</v>
      </c>
      <c r="GR27" s="699" t="n">
        <v>0</v>
      </c>
      <c r="GS27" s="303">
        <f>GQ27-GR27</f>
        <v/>
      </c>
      <c r="GT27" s="5" t="n"/>
      <c r="GU27" s="37" t="inlineStr">
        <is>
          <t>CAIXA M</t>
        </is>
      </c>
      <c r="GV27" s="208" t="n">
        <v>100</v>
      </c>
      <c r="GW27" s="699">
        <f>0+50</f>
        <v/>
      </c>
      <c r="GX27" s="699" t="n">
        <v>50</v>
      </c>
      <c r="GY27" s="699" t="n">
        <v>31</v>
      </c>
      <c r="GZ27" s="699" t="n">
        <v>19</v>
      </c>
      <c r="HA27" s="699" t="n">
        <v>6</v>
      </c>
      <c r="HB27" s="699" t="n">
        <v>3</v>
      </c>
      <c r="HC27" s="699" t="n">
        <v>3</v>
      </c>
      <c r="HD27" s="369">
        <f>HB27-HC27</f>
        <v/>
      </c>
      <c r="HF27" s="37" t="inlineStr">
        <is>
          <t>CAIXA M/24</t>
        </is>
      </c>
      <c r="HG27" s="208" t="n">
        <v>100</v>
      </c>
      <c r="HH27" s="699" t="n">
        <v>21</v>
      </c>
      <c r="HI27" s="699" t="n">
        <v>14</v>
      </c>
      <c r="HJ27" s="699" t="n">
        <v>13</v>
      </c>
      <c r="HK27" s="699" t="n">
        <v>11</v>
      </c>
      <c r="HL27" s="699" t="n">
        <v>11</v>
      </c>
      <c r="HM27" s="699" t="n">
        <v>0</v>
      </c>
      <c r="HN27" s="699" t="n">
        <v>0</v>
      </c>
      <c r="HO27" s="699" t="n">
        <v>0</v>
      </c>
      <c r="HP27" s="412">
        <f>HN27-HO27</f>
        <v/>
      </c>
      <c r="HR27" s="37" t="inlineStr">
        <is>
          <t>CAIXA M</t>
        </is>
      </c>
      <c r="HS27" s="208" t="n">
        <v>100</v>
      </c>
      <c r="HT27" s="699" t="n">
        <v>0</v>
      </c>
      <c r="HU27" s="699" t="n">
        <v>0</v>
      </c>
      <c r="HV27" s="699" t="n">
        <v>0</v>
      </c>
      <c r="HW27" s="545">
        <f>HU27-HV27</f>
        <v/>
      </c>
      <c r="HY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62" t="n">
        <v>367.65</v>
      </c>
      <c r="D28" s="382" t="n">
        <v>5</v>
      </c>
      <c r="F28" s="697" t="n">
        <v>23</v>
      </c>
      <c r="G28" s="697" t="n">
        <v>23</v>
      </c>
      <c r="H28" s="697" t="n">
        <v>22</v>
      </c>
      <c r="I28" s="697" t="n">
        <v>21</v>
      </c>
      <c r="J28" s="697" t="n">
        <v>20</v>
      </c>
      <c r="K28" s="697" t="n">
        <v>20</v>
      </c>
      <c r="L28" s="697" t="n">
        <v>20</v>
      </c>
      <c r="M28" s="697" t="n">
        <v>20</v>
      </c>
      <c r="N28" s="697" t="n">
        <v>20</v>
      </c>
      <c r="O28" s="697" t="n">
        <v>20</v>
      </c>
      <c r="P28" s="697" t="n">
        <v>20</v>
      </c>
      <c r="Q28" s="697" t="n">
        <v>20</v>
      </c>
      <c r="R28" s="697" t="n">
        <v>20</v>
      </c>
      <c r="S28" s="697" t="n">
        <v>19</v>
      </c>
      <c r="T28" s="697" t="n">
        <v>19</v>
      </c>
      <c r="U28" s="697" t="n">
        <v>19</v>
      </c>
      <c r="V28" s="697" t="n">
        <v>19</v>
      </c>
      <c r="W28" s="697" t="n">
        <v>19</v>
      </c>
      <c r="X28" s="697" t="n">
        <v>19</v>
      </c>
      <c r="Y28" s="697" t="n">
        <v>18</v>
      </c>
      <c r="Z28" s="697" t="n">
        <v>17</v>
      </c>
      <c r="AA28" s="697" t="n">
        <v>17</v>
      </c>
      <c r="AB28" s="697" t="n">
        <v>17</v>
      </c>
      <c r="AC28" s="697" t="n">
        <v>17</v>
      </c>
      <c r="AD28" s="697" t="n">
        <v>17</v>
      </c>
      <c r="AE28" s="697" t="n">
        <v>17</v>
      </c>
      <c r="AF28" s="697" t="n">
        <v>17</v>
      </c>
      <c r="AG28" s="697" t="n">
        <v>17</v>
      </c>
      <c r="AH28" s="697" t="n">
        <v>17</v>
      </c>
      <c r="AI28" s="697" t="n">
        <v>17</v>
      </c>
      <c r="AJ28" s="697" t="n">
        <v>16</v>
      </c>
      <c r="AK28" s="697" t="n">
        <v>16</v>
      </c>
      <c r="AL28" s="697" t="n">
        <v>16</v>
      </c>
      <c r="AM28" s="697" t="n">
        <v>16</v>
      </c>
      <c r="AN28" s="697" t="n">
        <v>16</v>
      </c>
      <c r="AO28" s="697" t="n">
        <v>12</v>
      </c>
      <c r="AP28" s="697" t="n">
        <v>10</v>
      </c>
      <c r="AQ28" s="697" t="n">
        <v>10</v>
      </c>
      <c r="AR28" s="697" t="n">
        <v>10</v>
      </c>
      <c r="AS28" s="697" t="n">
        <v>10</v>
      </c>
      <c r="AT28" s="697" t="n">
        <v>10</v>
      </c>
      <c r="AU28" s="697" t="n">
        <v>10</v>
      </c>
      <c r="AV28" s="697" t="n">
        <v>10</v>
      </c>
      <c r="AW28" s="697" t="n">
        <v>5</v>
      </c>
      <c r="AX28" s="697" t="n">
        <v>4</v>
      </c>
      <c r="AY28" s="697" t="n">
        <v>0</v>
      </c>
      <c r="AZ28" s="697" t="n">
        <v>0</v>
      </c>
      <c r="BA28" s="697" t="n">
        <v>0</v>
      </c>
      <c r="BB28" s="697" t="n">
        <v>0</v>
      </c>
      <c r="BC28" s="697" t="n">
        <v>0</v>
      </c>
      <c r="BD28" s="697" t="n">
        <v>0</v>
      </c>
      <c r="BE28" s="697" t="n">
        <v>0</v>
      </c>
      <c r="BF28" s="697" t="n">
        <v>0</v>
      </c>
      <c r="BG28" s="697" t="n">
        <v>0</v>
      </c>
      <c r="BH28" s="697" t="n">
        <v>0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>
        <v>0</v>
      </c>
      <c r="BT28" s="697" t="n">
        <v>0</v>
      </c>
      <c r="BU28" s="697" t="n">
        <v>0</v>
      </c>
      <c r="BV28" s="697" t="n">
        <v>0</v>
      </c>
      <c r="BW28" s="697" t="n">
        <v>0</v>
      </c>
      <c r="BX28" s="697" t="n">
        <v>0</v>
      </c>
      <c r="BY28" s="697" t="n">
        <v>0</v>
      </c>
      <c r="BZ28" s="192">
        <f>BX28+IF(NOT(ISBLANK(OFFSET(BZ28,0,6))),N(OFFSET(BZ28,0,6)),N(OFFSET(BZ28,0,7)))-BY28</f>
        <v/>
      </c>
      <c r="CB28" s="22" t="n"/>
      <c r="CC28" s="161" t="n"/>
      <c r="CE28" s="27" t="n"/>
      <c r="CF28" s="2" t="n"/>
      <c r="CG28" s="40" t="n">
        <v>0</v>
      </c>
      <c r="CH28" s="40" t="n">
        <v>0</v>
      </c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219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40" t="n"/>
      <c r="DQ28" s="23" t="n"/>
      <c r="DR28" s="40" t="n"/>
      <c r="DS28" s="40" t="n"/>
      <c r="DT28" s="40" t="n"/>
      <c r="DU28" s="23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292" t="inlineStr">
        <is>
          <t>75 DE ER</t>
        </is>
      </c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376" t="inlineStr">
        <is>
          <t>50 DE ERB</t>
        </is>
      </c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292" t="inlineStr">
        <is>
          <t>80 P/ ER</t>
        </is>
      </c>
      <c r="FM28" s="40" t="n"/>
      <c r="FN28" s="40" t="n"/>
      <c r="FO28" s="219" t="n">
        <v>200</v>
      </c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D28" s="40" t="n"/>
      <c r="GF28" s="37" t="inlineStr">
        <is>
          <t>ENVELOPE C/ VISOR P</t>
        </is>
      </c>
      <c r="GG28" s="208" t="n">
        <v>200</v>
      </c>
      <c r="GH28" s="699">
        <f>FO28</f>
        <v/>
      </c>
      <c r="GI28" s="699">
        <f>200-80</f>
        <v/>
      </c>
      <c r="GJ28" s="699" t="n">
        <v>120</v>
      </c>
      <c r="GK28" s="699" t="n">
        <v>106</v>
      </c>
      <c r="GL28" s="699" t="n">
        <v>100</v>
      </c>
      <c r="GM28" s="699" t="n">
        <v>85</v>
      </c>
      <c r="GN28" s="699" t="n">
        <v>45</v>
      </c>
      <c r="GO28" s="699" t="n">
        <v>45</v>
      </c>
      <c r="GP28" s="699" t="n">
        <v>42</v>
      </c>
      <c r="GQ28" s="699" t="n">
        <v>0</v>
      </c>
      <c r="GR28" s="699" t="n">
        <v>0</v>
      </c>
      <c r="GS28" s="303">
        <f>GQ28-GR28</f>
        <v/>
      </c>
      <c r="GU28" s="37" t="inlineStr">
        <is>
          <t>ENVELOPE C/ VISOR M</t>
        </is>
      </c>
      <c r="GV28" s="208" t="n">
        <v>100</v>
      </c>
      <c r="GW28" s="699">
        <f>0+50</f>
        <v/>
      </c>
      <c r="GX28" s="699" t="n">
        <v>50</v>
      </c>
      <c r="GY28" s="699" t="n">
        <v>48</v>
      </c>
      <c r="GZ28" s="699" t="n">
        <v>31</v>
      </c>
      <c r="HA28" s="699" t="n">
        <v>0</v>
      </c>
      <c r="HB28" s="699" t="n">
        <v>0</v>
      </c>
      <c r="HC28" s="699" t="n">
        <v>0</v>
      </c>
      <c r="HD28" s="369">
        <f>HB28-HC28</f>
        <v/>
      </c>
      <c r="HF28" s="37" t="inlineStr">
        <is>
          <t>ENVELOPE C/ VISOR M</t>
        </is>
      </c>
      <c r="HG28" s="208" t="n">
        <v>150</v>
      </c>
      <c r="HH28" s="699" t="n">
        <v>0</v>
      </c>
      <c r="HI28" s="699">
        <f>0+75</f>
        <v/>
      </c>
      <c r="HJ28" s="699" t="n">
        <v>75</v>
      </c>
      <c r="HK28" s="699" t="n">
        <v>75</v>
      </c>
      <c r="HL28" s="699" t="n">
        <v>70</v>
      </c>
      <c r="HM28" s="699" t="n">
        <v>22</v>
      </c>
      <c r="HN28" s="699" t="n">
        <v>22</v>
      </c>
      <c r="HO28" s="699" t="n">
        <v>21</v>
      </c>
      <c r="HP28" s="412">
        <f>HN28-HO28</f>
        <v/>
      </c>
      <c r="HR28" s="37" t="inlineStr">
        <is>
          <t>CARTUCHO P</t>
        </is>
      </c>
      <c r="HS28" s="208" t="n">
        <v>200</v>
      </c>
      <c r="HT28" s="699" t="n">
        <v>0</v>
      </c>
      <c r="HU28" s="699" t="n">
        <v>0</v>
      </c>
      <c r="HV28" s="699" t="n">
        <v>0</v>
      </c>
      <c r="HW28" s="545">
        <f>HU28-HV28</f>
        <v/>
      </c>
    </row>
    <row r="29" customFormat="1" s="3">
      <c r="CD29" s="5" t="n"/>
      <c r="DA29" s="309" t="n"/>
      <c r="DQ29" s="47" t="n"/>
      <c r="DU29" s="47" t="n"/>
      <c r="FL29" s="292" t="inlineStr">
        <is>
          <t>60 P/ ER</t>
        </is>
      </c>
      <c r="FO29" s="219" t="n">
        <v>150</v>
      </c>
      <c r="GF29" s="37" t="inlineStr">
        <is>
          <t>ENVELOPE C/ VISOR M</t>
        </is>
      </c>
      <c r="GG29" s="208" t="n">
        <v>150</v>
      </c>
      <c r="GH29" s="699">
        <f>FO29</f>
        <v/>
      </c>
      <c r="GI29" s="699">
        <f>150-60</f>
        <v/>
      </c>
      <c r="GJ29" s="699" t="n">
        <v>86</v>
      </c>
      <c r="GK29" s="699" t="n">
        <v>78</v>
      </c>
      <c r="GL29" s="699" t="n">
        <v>75</v>
      </c>
      <c r="GM29" s="699" t="n">
        <v>69</v>
      </c>
      <c r="GN29" s="699" t="n">
        <v>32</v>
      </c>
      <c r="GO29" s="699" t="n">
        <v>32</v>
      </c>
      <c r="GP29" s="699" t="n">
        <v>31</v>
      </c>
      <c r="GQ29" s="699" t="n">
        <v>0</v>
      </c>
      <c r="GR29" s="699" t="n">
        <v>0</v>
      </c>
      <c r="GS29" s="303">
        <f>GQ29-GR29</f>
        <v/>
      </c>
      <c r="GT29" s="5" t="n"/>
      <c r="GU29" s="35" t="n"/>
      <c r="GW29" s="2" t="n"/>
      <c r="GX29" s="2" t="n"/>
      <c r="GY29" s="2" t="n"/>
      <c r="GZ29" s="2" t="n"/>
      <c r="HA29" s="2" t="n"/>
      <c r="HB29" s="2" t="n"/>
      <c r="HC29" s="2" t="n"/>
      <c r="HF29" s="35" t="n"/>
      <c r="HH29" s="2" t="n"/>
      <c r="HI29" s="2" t="n"/>
      <c r="HJ29" s="2" t="n"/>
      <c r="HK29" s="2" t="n"/>
      <c r="HL29" s="2" t="n"/>
      <c r="HM29" s="2" t="n"/>
      <c r="HN29" s="2" t="n"/>
      <c r="HO29" s="2" t="n"/>
      <c r="HR29" s="37" t="inlineStr">
        <is>
          <t>CARTUCHO M</t>
        </is>
      </c>
      <c r="HS29" s="208" t="n">
        <v>150</v>
      </c>
      <c r="HT29" s="699" t="n">
        <v>0</v>
      </c>
      <c r="HU29" s="699" t="n">
        <v>0</v>
      </c>
      <c r="HV29" s="699" t="n">
        <v>0</v>
      </c>
      <c r="HW29" s="545">
        <f>HU29-HV29</f>
        <v/>
      </c>
    </row>
    <row r="30" hidden="1" customFormat="1" s="3">
      <c r="CD30" s="5" t="n"/>
      <c r="DA30" s="309" t="n"/>
      <c r="FL30" s="308" t="n"/>
      <c r="FO30" s="308" t="n"/>
      <c r="GF30" s="35" t="n"/>
      <c r="GH30" s="2" t="n"/>
      <c r="GI30" s="2" t="n"/>
      <c r="GJ30" s="2" t="n"/>
      <c r="GK30" s="2" t="n"/>
      <c r="GL30" s="2" t="n"/>
      <c r="GM30" s="2" t="n"/>
      <c r="GN30" s="2" t="n"/>
      <c r="GO30" s="2" t="n"/>
      <c r="GP30" s="2" t="n"/>
      <c r="GQ30" s="2" t="n"/>
      <c r="GR30" s="2" t="n"/>
      <c r="GT30" s="5" t="n"/>
      <c r="GU30" s="5" t="n"/>
      <c r="GV30" s="5" t="n"/>
      <c r="GW30" s="5" t="n"/>
      <c r="GX30" s="5" t="n"/>
      <c r="GY30" s="5" t="n"/>
      <c r="GZ30" s="5" t="n"/>
      <c r="HA30" s="5" t="n"/>
      <c r="HB30" s="5" t="n"/>
      <c r="HC30" s="5" t="n"/>
      <c r="HD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P30" s="5" t="n"/>
      <c r="HR30" s="5" t="n"/>
      <c r="HS30" s="5" t="n"/>
      <c r="HT30" s="5" t="n"/>
      <c r="HU30" s="5" t="n"/>
      <c r="HV30" s="5" t="n"/>
      <c r="HW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73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45908</v>
      </c>
      <c r="AQ31" s="746" t="n">
        <v>45915</v>
      </c>
      <c r="AR31" s="746" t="n">
        <v>45922</v>
      </c>
      <c r="AS31" s="746" t="n">
        <v>45929</v>
      </c>
      <c r="AT31" s="746" t="n">
        <v>45936</v>
      </c>
      <c r="AU31" s="746" t="n">
        <v>45943</v>
      </c>
      <c r="AV31" s="746" t="n">
        <v>45950</v>
      </c>
      <c r="AW31" s="746" t="n">
        <v>45957</v>
      </c>
      <c r="AX31" s="746" t="n">
        <v>45964</v>
      </c>
      <c r="AY31" s="746" t="n">
        <v>45971</v>
      </c>
      <c r="AZ31" s="746" t="n">
        <v>45978</v>
      </c>
      <c r="BA31" s="746" t="n">
        <v>45985</v>
      </c>
      <c r="BB31" s="746" t="n">
        <v>45992</v>
      </c>
      <c r="BC31" s="746" t="n">
        <v>45999</v>
      </c>
      <c r="BD31" s="746" t="n">
        <v>46006</v>
      </c>
      <c r="BE31" s="746" t="n">
        <v>46013</v>
      </c>
      <c r="BF31" s="746" t="n">
        <v>46020</v>
      </c>
      <c r="BG31" s="746" t="n">
        <v>46027</v>
      </c>
      <c r="BH31" s="746" t="n">
        <v>46034</v>
      </c>
      <c r="BI31" s="746" t="n">
        <v>46041</v>
      </c>
      <c r="BJ31" s="746" t="n">
        <v>46048</v>
      </c>
      <c r="BK31" s="746" t="n">
        <v>46055</v>
      </c>
      <c r="BL31" s="746" t="n">
        <v>46062</v>
      </c>
      <c r="BM31" s="746" t="n">
        <v>46069</v>
      </c>
      <c r="BN31" s="746" t="n">
        <v>46076</v>
      </c>
      <c r="BO31" s="746" t="n">
        <v>46083</v>
      </c>
      <c r="BP31" s="746" t="n">
        <v>46090</v>
      </c>
      <c r="BQ31" s="746" t="n">
        <v>46097</v>
      </c>
      <c r="BR31" s="746" t="n">
        <v>46104</v>
      </c>
      <c r="BS31" s="746" t="n">
        <v>46111</v>
      </c>
      <c r="BT31" s="746" t="n">
        <v>46118</v>
      </c>
      <c r="BU31" s="746" t="n">
        <v>46125</v>
      </c>
      <c r="BV31" s="746" t="n">
        <v>46132</v>
      </c>
      <c r="BW31" s="746" t="n">
        <v>46139</v>
      </c>
      <c r="BX31" s="746" t="n">
        <v>46146</v>
      </c>
      <c r="BY31" s="746" t="n">
        <v>46154</v>
      </c>
      <c r="BZ31" s="748" t="inlineStr">
        <is>
          <t>USOU</t>
        </is>
      </c>
      <c r="CB31" s="44" t="inlineStr">
        <is>
          <t>Pendências</t>
        </is>
      </c>
      <c r="CC31" s="44" t="inlineStr">
        <is>
          <t>Pendências</t>
        </is>
      </c>
      <c r="CE31" s="12" t="inlineStr">
        <is>
          <t>Novo Pedido</t>
        </is>
      </c>
      <c r="CF31" s="573" t="n"/>
      <c r="CG31" s="794" t="n">
        <v>46149</v>
      </c>
      <c r="CH31" s="794" t="n">
        <v>46142</v>
      </c>
      <c r="CI31" s="794" t="n">
        <v>46114</v>
      </c>
      <c r="CJ31" s="794" t="n">
        <v>46107</v>
      </c>
      <c r="CK31" s="795" t="n">
        <v>46065</v>
      </c>
      <c r="CL31" s="794" t="n">
        <v>46099</v>
      </c>
      <c r="CM31" s="794" t="n">
        <v>46092</v>
      </c>
      <c r="CN31" s="796" t="n">
        <v>46045</v>
      </c>
      <c r="CO31" s="794" t="n">
        <v>46077</v>
      </c>
      <c r="CP31" s="794" t="n">
        <v>46048</v>
      </c>
      <c r="CQ31" s="794" t="n">
        <v>46043</v>
      </c>
      <c r="CR31" s="794" t="n">
        <v>46024</v>
      </c>
      <c r="CS31" s="794" t="n">
        <v>46017</v>
      </c>
      <c r="CT31" s="794" t="n">
        <v>46007</v>
      </c>
      <c r="CU31" s="794" t="n">
        <v>46001</v>
      </c>
      <c r="CV31" s="794" t="n">
        <v>46001</v>
      </c>
      <c r="CW31" s="794" t="n">
        <v>45994</v>
      </c>
      <c r="CX31" s="794" t="n">
        <v>45986</v>
      </c>
      <c r="CY31" s="794" t="n">
        <v>45980</v>
      </c>
      <c r="CZ31" s="794" t="n">
        <v>45980</v>
      </c>
      <c r="DA31" s="797" t="n">
        <v>45982</v>
      </c>
      <c r="DB31" s="794" t="n">
        <v>45973</v>
      </c>
      <c r="DC31" s="794" t="n">
        <v>45965</v>
      </c>
      <c r="DD31" s="794" t="n">
        <v>45960</v>
      </c>
      <c r="DE31" s="794" t="n">
        <v>45951</v>
      </c>
      <c r="DF31" s="737" t="n">
        <v>45903</v>
      </c>
      <c r="DG31" s="794" t="n">
        <v>45945</v>
      </c>
      <c r="DH31" s="794" t="n">
        <v>45937</v>
      </c>
      <c r="DI31" s="794" t="n">
        <v>45931</v>
      </c>
      <c r="DJ31" s="794" t="n">
        <v>45931</v>
      </c>
      <c r="DK31" s="794" t="n">
        <v>45915</v>
      </c>
      <c r="DL31" s="794" t="n">
        <v>45923</v>
      </c>
      <c r="DM31" s="794" t="n">
        <v>45903</v>
      </c>
      <c r="DN31" s="794" t="n">
        <v>45915</v>
      </c>
      <c r="DO31" s="797" t="n">
        <v>45918</v>
      </c>
      <c r="DP31" s="794" t="n">
        <v>45909</v>
      </c>
      <c r="DQ31" s="738" t="n">
        <v>45903</v>
      </c>
      <c r="DR31" s="794" t="n">
        <v>45895</v>
      </c>
      <c r="DS31" s="797" t="n">
        <v>45896</v>
      </c>
      <c r="DT31" s="794" t="n">
        <v>45881</v>
      </c>
      <c r="DU31" s="738" t="n">
        <v>45839</v>
      </c>
      <c r="DV31" s="794" t="n">
        <v>45888</v>
      </c>
      <c r="DW31" s="794" t="n">
        <v>45881</v>
      </c>
      <c r="DX31" s="797" t="n">
        <v>45881</v>
      </c>
      <c r="DY31" s="794" t="n">
        <v>45874</v>
      </c>
      <c r="DZ31" s="797" t="n">
        <v>45876</v>
      </c>
      <c r="EA31" s="794" t="n">
        <v>45867</v>
      </c>
      <c r="EB31" s="794" t="n">
        <v>45867</v>
      </c>
      <c r="EC31" s="794" t="n">
        <v>45860</v>
      </c>
      <c r="ED31" s="797" t="n">
        <v>45861</v>
      </c>
      <c r="EE31" s="797" t="n">
        <v>45860</v>
      </c>
      <c r="EF31" s="794" t="n">
        <v>45853</v>
      </c>
      <c r="EG31" s="739" t="n">
        <v>45855</v>
      </c>
      <c r="EH31" s="794" t="n">
        <v>45848</v>
      </c>
      <c r="EI31" s="794" t="n">
        <v>45839</v>
      </c>
      <c r="EJ31" s="794" t="n">
        <v>45839</v>
      </c>
      <c r="EK31" s="797" t="n">
        <v>45835</v>
      </c>
      <c r="EL31" s="794" t="n">
        <v>45790</v>
      </c>
      <c r="EM31" s="794" t="n">
        <v>45825</v>
      </c>
      <c r="EN31" s="794" t="n">
        <v>45819</v>
      </c>
      <c r="EO31" s="794" t="n">
        <v>45813</v>
      </c>
      <c r="EP31" s="794" t="n">
        <v>45797</v>
      </c>
      <c r="EQ31" s="797" t="n">
        <v>45811</v>
      </c>
      <c r="ER31" s="797" t="n">
        <v>45810</v>
      </c>
      <c r="ES31" s="797" t="n">
        <v>45806</v>
      </c>
      <c r="ET31" s="797" t="n">
        <v>45803</v>
      </c>
      <c r="EU31" s="755" t="n">
        <v>45803</v>
      </c>
      <c r="EV31" s="794" t="n">
        <v>45784</v>
      </c>
      <c r="EW31" s="797" t="n">
        <v>45796</v>
      </c>
      <c r="EX31" s="794" t="n">
        <v>45784</v>
      </c>
      <c r="EY31" s="794" t="n">
        <v>45764</v>
      </c>
      <c r="EZ31" s="797" t="n">
        <v>45791</v>
      </c>
      <c r="FA31" s="794" t="n">
        <v>45783</v>
      </c>
      <c r="FB31" s="794" t="n">
        <v>45770</v>
      </c>
      <c r="FC31" s="794" t="n">
        <v>45775</v>
      </c>
      <c r="FD31" s="794" t="n">
        <v>45770</v>
      </c>
      <c r="FE31" s="794" t="n">
        <v>45770</v>
      </c>
      <c r="FF31" s="797" t="n">
        <v>45775</v>
      </c>
      <c r="FG31" s="797" t="n">
        <v>45770</v>
      </c>
      <c r="FH31" s="794" t="n">
        <v>45756</v>
      </c>
      <c r="FI31" s="794" t="n">
        <v>45735</v>
      </c>
      <c r="FJ31" s="797" t="n">
        <v>45751</v>
      </c>
      <c r="FK31" s="794" t="n">
        <v>45743</v>
      </c>
      <c r="FL31" s="746" t="n">
        <v>45729</v>
      </c>
      <c r="FM31" s="794" t="n">
        <v>45722</v>
      </c>
      <c r="FN31" s="794" t="n">
        <v>45722</v>
      </c>
      <c r="FO31" s="746" t="n">
        <v>45700</v>
      </c>
      <c r="FP31" s="797" t="n">
        <v>45722</v>
      </c>
      <c r="FQ31" s="794" t="n">
        <v>45714</v>
      </c>
      <c r="FR31" s="794" t="n">
        <v>45706</v>
      </c>
      <c r="FS31" s="794" t="n">
        <v>45684</v>
      </c>
      <c r="FT31" s="794" t="n">
        <v>45699</v>
      </c>
      <c r="FU31" s="794" t="n">
        <v>45693</v>
      </c>
      <c r="FV31" s="797" t="n">
        <v>45687</v>
      </c>
      <c r="FW31" s="794" t="n">
        <v>45685</v>
      </c>
      <c r="FX31" s="797" t="n">
        <v>45684</v>
      </c>
      <c r="FY31" s="794" t="n">
        <v>45674</v>
      </c>
      <c r="FZ31" s="794" t="n">
        <v>45664</v>
      </c>
      <c r="GA31" s="794" t="n">
        <v>45660</v>
      </c>
      <c r="GB31" s="794" t="n">
        <v>45660</v>
      </c>
      <c r="GC31" s="794" t="n">
        <v>45652</v>
      </c>
      <c r="GD31" s="794" t="n">
        <v>45643</v>
      </c>
      <c r="GU31" s="573" t="inlineStr">
        <is>
          <t>VER COM A ELEN SE PODEMOS TRANSF. P/ BSH - CAIXA</t>
        </is>
      </c>
    </row>
    <row r="32">
      <c r="A32" s="37" t="inlineStr">
        <is>
          <t>KIT OVERBAG OMNI P</t>
        </is>
      </c>
      <c r="B32" s="699" t="n">
        <v>25</v>
      </c>
      <c r="C32" s="762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92+FQ32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>
        <v>0</v>
      </c>
      <c r="BY32" s="154" t="n">
        <v>0</v>
      </c>
      <c r="BZ32" s="198">
        <f>BX32+IF(NOT(ISBLANK(OFFSET(BZ32,0,6))),N(OFFSET(BZ32,0,6)),N(OFFSET(BZ32,0,7)))-BY32</f>
        <v/>
      </c>
      <c r="CB32" s="22" t="n"/>
      <c r="CC32" s="22" t="n"/>
      <c r="CE32" s="252" t="n"/>
      <c r="CF32" s="573" t="n"/>
      <c r="CG32" s="135" t="n">
        <v>0</v>
      </c>
      <c r="CH32" s="135" t="n">
        <v>0</v>
      </c>
      <c r="CI32" s="135" t="n"/>
      <c r="CJ32" s="135" t="n"/>
      <c r="CK32" s="135" t="n"/>
      <c r="CL32" s="135" t="n"/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35" t="n"/>
      <c r="DA32" s="198" t="inlineStr">
        <is>
          <t>05 DE ERB</t>
        </is>
      </c>
      <c r="DB32" s="135" t="n"/>
      <c r="DC32" s="135" t="n"/>
      <c r="DD32" s="135" t="n"/>
      <c r="DE32" s="135" t="n"/>
      <c r="DF32" s="135" t="n"/>
      <c r="DG32" s="135" t="n"/>
      <c r="DH32" s="135" t="n"/>
      <c r="DI32" s="135" t="n"/>
      <c r="DJ32" s="135" t="n"/>
      <c r="DK32" s="135" t="n"/>
      <c r="DL32" s="135" t="n"/>
      <c r="DM32" s="135" t="n"/>
      <c r="DN32" s="135" t="n">
        <v>25</v>
      </c>
      <c r="DO32" s="135" t="n"/>
      <c r="DP32" s="135" t="n"/>
      <c r="DQ32" s="23" t="n"/>
      <c r="DR32" s="135" t="n"/>
      <c r="DS32" s="135" t="n"/>
      <c r="DT32" s="135" t="n"/>
      <c r="DU32" s="23" t="n"/>
      <c r="DV32" s="135" t="n"/>
      <c r="DW32" s="135" t="n"/>
      <c r="DX32" s="135" t="n"/>
      <c r="DY32" s="135" t="n"/>
      <c r="DZ32" s="135" t="n"/>
      <c r="EA32" s="135" t="n"/>
      <c r="EB32" s="135" t="n"/>
      <c r="EC32" s="135" t="n"/>
      <c r="ED32" s="406" t="inlineStr">
        <is>
          <t>10 DE ER</t>
        </is>
      </c>
      <c r="EE32" s="135" t="n"/>
      <c r="EF32" s="135" t="n"/>
      <c r="EG32" s="135" t="n"/>
      <c r="EH32" s="135" t="n"/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135" t="n"/>
      <c r="FL32" s="219" t="n"/>
      <c r="FM32" s="135" t="n"/>
      <c r="FN32" s="135" t="n"/>
      <c r="FO32" s="219" t="n"/>
      <c r="FP32" s="135" t="n"/>
      <c r="FQ32" s="135" t="n">
        <v>25</v>
      </c>
      <c r="FR32" s="135" t="n"/>
      <c r="FS32" s="135" t="n"/>
      <c r="FT32" s="135" t="n"/>
      <c r="FU32" s="135" t="n"/>
      <c r="FV32" s="135" t="n"/>
      <c r="FW32" s="135" t="n"/>
      <c r="FX32" s="135" t="n"/>
      <c r="FY32" s="135" t="n"/>
      <c r="FZ32" s="135" t="n">
        <v>25</v>
      </c>
      <c r="GA32" s="135" t="n"/>
      <c r="GB32" s="135" t="n"/>
      <c r="GC32" s="135" t="n"/>
      <c r="GD32" s="135" t="n"/>
    </row>
    <row r="33">
      <c r="A33" s="37" t="inlineStr">
        <is>
          <t>KIT OVERBAG OMNI M</t>
        </is>
      </c>
      <c r="B33" s="699" t="n">
        <v>25</v>
      </c>
      <c r="C33" s="762" t="n">
        <v>57</v>
      </c>
      <c r="D33" s="382" t="n">
        <v>15</v>
      </c>
      <c r="E33" s="573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>
        <v>29</v>
      </c>
      <c r="BU33" s="153" t="n">
        <v>29</v>
      </c>
      <c r="BV33" s="153" t="n">
        <v>29</v>
      </c>
      <c r="BW33" s="153" t="n">
        <v>29</v>
      </c>
      <c r="BX33" s="153" t="n">
        <v>29</v>
      </c>
      <c r="BY33" s="153" t="n">
        <v>23</v>
      </c>
      <c r="BZ33" s="198">
        <f>BX33+IF(NOT(ISBLANK(OFFSET(BZ33,0,6))),N(OFFSET(BZ33,0,6)),N(OFFSET(BZ33,0,7)))-BY33</f>
        <v/>
      </c>
      <c r="CB33" s="22" t="n"/>
      <c r="CC33" s="22" t="n"/>
      <c r="CE33" s="252" t="n"/>
      <c r="CF33" s="573" t="n"/>
      <c r="CG33" s="135" t="n">
        <v>0</v>
      </c>
      <c r="CH33" s="135" t="n">
        <v>0</v>
      </c>
      <c r="CI33" s="135" t="n"/>
      <c r="CJ33" s="135" t="n"/>
      <c r="CK33" s="135" t="n"/>
      <c r="CL33" s="135" t="n"/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35" t="n"/>
      <c r="DA33" s="198" t="inlineStr">
        <is>
          <t>10 P/ ERB</t>
        </is>
      </c>
      <c r="DB33" s="135" t="n"/>
      <c r="DC33" s="135" t="n"/>
      <c r="DD33" s="135" t="n"/>
      <c r="DE33" s="135" t="n"/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135" t="n"/>
      <c r="DQ33" s="23" t="n"/>
      <c r="DR33" s="135" t="n"/>
      <c r="DS33" s="135" t="n"/>
      <c r="DT33" s="135" t="n"/>
      <c r="DU33" s="23" t="n"/>
      <c r="DV33" s="135" t="n"/>
      <c r="DW33" s="135" t="n"/>
      <c r="DX33" s="135" t="n"/>
      <c r="DY33" s="135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135" t="n"/>
      <c r="FL33" s="219" t="n"/>
      <c r="FM33" s="135" t="n"/>
      <c r="FN33" s="135" t="n"/>
      <c r="FO33" s="219" t="n"/>
      <c r="FP33" s="135" t="n"/>
      <c r="FQ33" s="135" t="n"/>
      <c r="FR33" s="135" t="n"/>
      <c r="FS33" s="135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D33" s="135" t="n"/>
      <c r="GT33" s="573" t="n"/>
      <c r="GU33" s="573" t="n"/>
      <c r="GV33" s="573" t="n"/>
      <c r="GW33" s="573" t="n"/>
      <c r="GX33" s="573" t="n"/>
      <c r="GY33" s="573" t="n"/>
      <c r="GZ33" s="573" t="n"/>
      <c r="HA33" s="573" t="n"/>
      <c r="HB33" s="573" t="n"/>
      <c r="HC33" s="573" t="n"/>
      <c r="HD33" s="573" t="n"/>
      <c r="HF33" s="573" t="n"/>
      <c r="HG33" s="573" t="n"/>
      <c r="HH33" s="573" t="n"/>
      <c r="HI33" s="573" t="n"/>
      <c r="HJ33" s="573" t="n"/>
      <c r="HK33" s="573" t="n"/>
      <c r="HL33" s="573" t="n"/>
      <c r="HM33" s="573" t="n"/>
      <c r="HN33" s="573" t="n"/>
      <c r="HO33" s="573" t="n"/>
      <c r="HP33" s="573" t="n"/>
      <c r="HR33" s="573" t="n"/>
      <c r="HS33" s="573" t="n"/>
      <c r="HT33" s="573" t="n"/>
      <c r="HU33" s="573" t="n"/>
      <c r="HV33" s="573" t="n"/>
      <c r="HW33" s="573" t="n"/>
    </row>
    <row r="34" ht="17.25" customHeight="1">
      <c r="B34" s="573" t="n"/>
      <c r="E34" s="573" t="n"/>
      <c r="F34" s="573" t="n"/>
      <c r="G34" s="573" t="n"/>
      <c r="H34" s="573" t="n"/>
      <c r="I34" s="573" t="n"/>
      <c r="J34" s="573" t="n"/>
      <c r="K34" s="573" t="n"/>
      <c r="L34" s="573" t="n"/>
      <c r="M34" s="573" t="n"/>
      <c r="N34" s="573" t="n"/>
      <c r="O34" s="573" t="n"/>
      <c r="P34" s="573" t="n"/>
      <c r="Q34" s="573" t="n"/>
      <c r="R34" s="573" t="n"/>
      <c r="S34" s="573" t="n"/>
      <c r="T34" s="573" t="n"/>
      <c r="U34" s="573" t="n"/>
      <c r="V34" s="573" t="n"/>
      <c r="W34" s="573" t="n"/>
      <c r="X34" s="573" t="n"/>
      <c r="Y34" s="573" t="n"/>
      <c r="Z34" s="573" t="n"/>
      <c r="AA34" s="573" t="n"/>
      <c r="AB34" s="573" t="n"/>
      <c r="AC34" s="573" t="n"/>
      <c r="AD34" s="573" t="n"/>
      <c r="AE34" s="573" t="n"/>
      <c r="AF34" s="573" t="n"/>
      <c r="AG34" s="573" t="n"/>
      <c r="AH34" s="573" t="n"/>
      <c r="AI34" s="573" t="n"/>
      <c r="AJ34" s="573" t="n"/>
      <c r="AK34" s="573" t="n"/>
      <c r="AL34" s="573" t="n"/>
      <c r="AM34" s="573" t="n"/>
      <c r="AN34" s="573" t="n"/>
      <c r="AO34" s="573" t="n"/>
      <c r="AP34" s="573" t="n"/>
      <c r="AQ34" s="573" t="n"/>
      <c r="AR34" s="573" t="n"/>
      <c r="AS34" s="573" t="n"/>
      <c r="AT34" s="573" t="n"/>
      <c r="AU34" s="573" t="n"/>
      <c r="AV34" s="573" t="n"/>
      <c r="AW34" s="573" t="n"/>
      <c r="AX34" s="573" t="n"/>
      <c r="AY34" s="573" t="n"/>
      <c r="AZ34" s="573" t="n"/>
      <c r="BA34" s="573" t="n"/>
      <c r="BB34" s="573" t="n"/>
      <c r="BC34" s="573" t="n"/>
      <c r="BD34" s="573" t="n"/>
      <c r="BE34" s="573" t="n"/>
      <c r="BF34" s="573" t="n"/>
      <c r="BG34" s="573" t="n"/>
      <c r="BH34" s="573" t="n"/>
      <c r="BI34" s="573" t="n"/>
      <c r="BJ34" s="573" t="n"/>
      <c r="BK34" s="573" t="n"/>
      <c r="BL34" s="573" t="n"/>
      <c r="BM34" s="573" t="n"/>
      <c r="BN34" s="573" t="n"/>
      <c r="BO34" s="573" t="n"/>
      <c r="BP34" s="573" t="n"/>
      <c r="BQ34" s="573" t="n"/>
      <c r="BR34" s="573" t="n"/>
      <c r="BS34" s="573" t="n"/>
      <c r="BT34" s="573" t="n"/>
      <c r="BU34" s="573" t="n"/>
      <c r="BV34" s="573" t="n"/>
      <c r="BW34" s="573" t="n"/>
      <c r="BX34" s="573" t="n"/>
      <c r="BY34" s="573" t="n"/>
      <c r="BZ34" s="573" t="n"/>
      <c r="CF34" s="573" t="n"/>
      <c r="CG34" s="749" t="n"/>
      <c r="CH34" s="749" t="n"/>
      <c r="CI34" s="749" t="n"/>
      <c r="CJ34" s="749" t="n"/>
      <c r="CK34" s="749" t="n"/>
      <c r="CL34" s="749" t="n"/>
      <c r="CM34" s="749" t="n"/>
      <c r="CN34" s="749" t="n"/>
      <c r="CO34" s="749" t="n"/>
      <c r="CP34" s="749" t="n"/>
      <c r="CQ34" s="749" t="n"/>
      <c r="CR34" s="749" t="n"/>
      <c r="CS34" s="749" t="n"/>
      <c r="CT34" s="749" t="n"/>
      <c r="CU34" s="749" t="n"/>
      <c r="CV34" s="749" t="n"/>
      <c r="CW34" s="749" t="n"/>
      <c r="CX34" s="749" t="n"/>
      <c r="CY34" s="749" t="n"/>
      <c r="CZ34" s="749" t="n"/>
      <c r="DA34" s="749" t="n"/>
      <c r="DB34" s="749" t="n"/>
      <c r="DC34" s="749" t="n"/>
      <c r="DD34" s="749" t="n"/>
      <c r="DE34" s="749" t="n"/>
      <c r="DF34" s="749" t="n"/>
      <c r="DG34" s="749" t="n"/>
      <c r="DH34" s="749" t="n"/>
      <c r="DI34" s="749" t="n"/>
      <c r="DJ34" s="749" t="n"/>
      <c r="DK34" s="749" t="n"/>
      <c r="DL34" s="749" t="n"/>
      <c r="DM34" s="749" t="n"/>
      <c r="DN34" s="749" t="n"/>
      <c r="DO34" s="749" t="n"/>
      <c r="DP34" s="749" t="n"/>
      <c r="DR34" s="749" t="n"/>
      <c r="DS34" s="749" t="n"/>
      <c r="DT34" s="749" t="n"/>
      <c r="DV34" s="749" t="n"/>
      <c r="DW34" s="749" t="n"/>
      <c r="DX34" s="749" t="n"/>
      <c r="DY34" s="749" t="n"/>
      <c r="DZ34" s="749" t="n"/>
      <c r="EA34" s="749" t="n"/>
      <c r="EB34" s="749" t="n"/>
      <c r="EC34" s="749" t="n"/>
      <c r="ED34" s="749" t="n"/>
      <c r="EE34" s="749" t="n"/>
      <c r="EF34" s="749" t="n"/>
      <c r="EG34" s="749" t="n"/>
      <c r="EH34" s="749" t="n"/>
      <c r="EI34" s="749" t="n"/>
      <c r="EJ34" s="749" t="n"/>
      <c r="EK34" s="749" t="n"/>
      <c r="EL34" s="749" t="n"/>
      <c r="EM34" s="749" t="n"/>
      <c r="EN34" s="749" t="n"/>
      <c r="EO34" s="749" t="n"/>
      <c r="EP34" s="749" t="n"/>
      <c r="EQ34" s="749" t="n"/>
      <c r="ER34" s="749" t="n"/>
      <c r="ES34" s="749" t="n"/>
      <c r="ET34" s="749" t="n"/>
      <c r="EU34" s="749" t="n"/>
      <c r="EV34" s="749" t="n"/>
      <c r="EW34" s="749" t="n"/>
      <c r="EX34" s="749" t="n"/>
      <c r="EY34" s="749" t="n"/>
      <c r="EZ34" s="749" t="n"/>
      <c r="FA34" s="749" t="n"/>
      <c r="FB34" s="749" t="n"/>
      <c r="FC34" s="749" t="n"/>
      <c r="FD34" s="749" t="n"/>
      <c r="FE34" s="749" t="n"/>
      <c r="FF34" s="749" t="n"/>
      <c r="FG34" s="749" t="n"/>
      <c r="FH34" s="749" t="n"/>
      <c r="FI34" s="749" t="n"/>
      <c r="FJ34" s="749" t="n"/>
      <c r="FK34" s="749" t="n"/>
      <c r="FM34" s="749" t="n"/>
      <c r="FN34" s="749" t="n"/>
      <c r="FP34" s="135" t="n"/>
      <c r="FQ34" s="749" t="n"/>
      <c r="FR34" s="749" t="n"/>
      <c r="FS34" s="749" t="n"/>
      <c r="FT34" s="749" t="n"/>
      <c r="FU34" s="749" t="n"/>
      <c r="FV34" s="749" t="n"/>
      <c r="FW34" s="749" t="n"/>
      <c r="FX34" s="749" t="n"/>
      <c r="FY34" s="749" t="n"/>
      <c r="FZ34" s="749" t="n"/>
      <c r="GA34" s="749" t="n"/>
      <c r="GB34" s="749" t="n"/>
      <c r="GC34" s="749" t="n"/>
      <c r="GD34" s="749" t="n"/>
      <c r="GF34" s="573" t="n"/>
      <c r="GG34" s="573" t="n"/>
      <c r="GH34" s="573" t="n"/>
      <c r="GI34" s="573" t="n"/>
      <c r="GJ34" s="573" t="n"/>
      <c r="GK34" s="573" t="n"/>
      <c r="GL34" s="573" t="n"/>
      <c r="GM34" s="573" t="n"/>
      <c r="GN34" s="573" t="n"/>
      <c r="GO34" s="573" t="n"/>
      <c r="GP34" s="573" t="n"/>
      <c r="GQ34" s="573" t="n"/>
      <c r="GR34" s="573" t="n"/>
      <c r="GS34" s="573" t="n"/>
      <c r="GT34" s="573" t="n"/>
      <c r="GU34" s="573" t="n"/>
      <c r="GV34" s="573" t="n"/>
      <c r="GW34" s="573" t="n"/>
      <c r="GX34" s="573" t="n"/>
      <c r="GY34" s="573" t="n"/>
      <c r="GZ34" s="573" t="n"/>
      <c r="HA34" s="573" t="n"/>
      <c r="HB34" s="573" t="n"/>
      <c r="HC34" s="573" t="n"/>
      <c r="HD34" s="573" t="n"/>
      <c r="HF34" s="573" t="n"/>
      <c r="HG34" s="573" t="n"/>
      <c r="HH34" s="573" t="n"/>
      <c r="HI34" s="573" t="n"/>
      <c r="HJ34" s="573" t="n"/>
      <c r="HK34" s="573" t="n"/>
      <c r="HL34" s="573" t="n"/>
      <c r="HM34" s="573" t="n"/>
      <c r="HN34" s="573" t="n"/>
      <c r="HO34" s="573" t="n"/>
      <c r="HP34" s="573" t="n"/>
      <c r="HR34" s="573" t="n"/>
      <c r="HS34" s="573" t="n"/>
      <c r="HT34" s="573" t="n"/>
      <c r="HU34" s="573" t="n"/>
      <c r="HV34" s="573" t="n"/>
      <c r="HW34" s="573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6" t="n">
        <v>45656</v>
      </c>
      <c r="G35" s="746" t="n">
        <v>45663</v>
      </c>
      <c r="H35" s="746" t="n">
        <v>45670</v>
      </c>
      <c r="I35" s="746" t="n">
        <v>45677</v>
      </c>
      <c r="J35" s="746" t="n">
        <v>45684</v>
      </c>
      <c r="K35" s="746" t="n">
        <v>45691</v>
      </c>
      <c r="L35" s="746" t="n">
        <v>45698</v>
      </c>
      <c r="M35" s="746" t="n">
        <v>45705</v>
      </c>
      <c r="N35" s="746" t="n">
        <v>45712</v>
      </c>
      <c r="O35" s="746" t="n">
        <v>45719</v>
      </c>
      <c r="P35" s="746" t="n">
        <v>45726</v>
      </c>
      <c r="Q35" s="746" t="n">
        <v>45733</v>
      </c>
      <c r="R35" s="746" t="n">
        <v>45740</v>
      </c>
      <c r="S35" s="746" t="n">
        <v>45747</v>
      </c>
      <c r="T35" s="746" t="n">
        <v>45754</v>
      </c>
      <c r="U35" s="746" t="n">
        <v>45761</v>
      </c>
      <c r="V35" s="746" t="n">
        <v>45768</v>
      </c>
      <c r="W35" s="746" t="n">
        <v>45775</v>
      </c>
      <c r="X35" s="746" t="n">
        <v>45782</v>
      </c>
      <c r="Y35" s="746" t="n">
        <v>45789</v>
      </c>
      <c r="Z35" s="746" t="n">
        <v>45796</v>
      </c>
      <c r="AA35" s="746" t="n">
        <v>45803</v>
      </c>
      <c r="AB35" s="746" t="n">
        <v>45810</v>
      </c>
      <c r="AC35" s="746" t="n">
        <v>45817</v>
      </c>
      <c r="AD35" s="746" t="n">
        <v>45824</v>
      </c>
      <c r="AE35" s="746" t="n">
        <v>45831</v>
      </c>
      <c r="AF35" s="746" t="n">
        <v>45838</v>
      </c>
      <c r="AG35" s="746" t="n">
        <v>45845</v>
      </c>
      <c r="AH35" s="746" t="n">
        <v>45852</v>
      </c>
      <c r="AI35" s="746" t="n">
        <v>45859</v>
      </c>
      <c r="AJ35" s="746" t="n">
        <v>45866</v>
      </c>
      <c r="AK35" s="746" t="n">
        <v>45873</v>
      </c>
      <c r="AL35" s="746" t="n">
        <v>45880</v>
      </c>
      <c r="AM35" s="746" t="n">
        <v>45887</v>
      </c>
      <c r="AN35" s="746" t="n">
        <v>45894</v>
      </c>
      <c r="AO35" s="746" t="n">
        <v>45901</v>
      </c>
      <c r="AP35" s="746" t="n">
        <v>45908</v>
      </c>
      <c r="AQ35" s="746" t="n">
        <v>45915</v>
      </c>
      <c r="AR35" s="746" t="n">
        <v>45922</v>
      </c>
      <c r="AS35" s="746" t="n">
        <v>45929</v>
      </c>
      <c r="AT35" s="746" t="n">
        <v>45936</v>
      </c>
      <c r="AU35" s="746" t="n">
        <v>45943</v>
      </c>
      <c r="AV35" s="746" t="n">
        <v>45950</v>
      </c>
      <c r="AW35" s="746" t="n">
        <v>45957</v>
      </c>
      <c r="AX35" s="746" t="n">
        <v>45964</v>
      </c>
      <c r="AY35" s="746" t="n">
        <v>45971</v>
      </c>
      <c r="AZ35" s="746" t="n">
        <v>45978</v>
      </c>
      <c r="BA35" s="746" t="n">
        <v>45985</v>
      </c>
      <c r="BB35" s="746" t="n">
        <v>45992</v>
      </c>
      <c r="BC35" s="746" t="n">
        <v>45999</v>
      </c>
      <c r="BD35" s="746" t="n">
        <v>46006</v>
      </c>
      <c r="BE35" s="746" t="n">
        <v>46013</v>
      </c>
      <c r="BF35" s="746" t="n">
        <v>46020</v>
      </c>
      <c r="BG35" s="746" t="n">
        <v>46027</v>
      </c>
      <c r="BH35" s="746" t="n">
        <v>46034</v>
      </c>
      <c r="BI35" s="746" t="n">
        <v>46041</v>
      </c>
      <c r="BJ35" s="746" t="n">
        <v>46048</v>
      </c>
      <c r="BK35" s="746" t="n">
        <v>46055</v>
      </c>
      <c r="BL35" s="746" t="n">
        <v>46062</v>
      </c>
      <c r="BM35" s="746" t="n">
        <v>46069</v>
      </c>
      <c r="BN35" s="746" t="n">
        <v>46076</v>
      </c>
      <c r="BO35" s="746" t="n">
        <v>46083</v>
      </c>
      <c r="BP35" s="746" t="n">
        <v>46090</v>
      </c>
      <c r="BQ35" s="746" t="n">
        <v>46097</v>
      </c>
      <c r="BR35" s="746" t="n">
        <v>46104</v>
      </c>
      <c r="BS35" s="746" t="n">
        <v>46111</v>
      </c>
      <c r="BT35" s="746" t="n">
        <v>46118</v>
      </c>
      <c r="BU35" s="746" t="n">
        <v>46125</v>
      </c>
      <c r="BV35" s="746" t="n">
        <v>46132</v>
      </c>
      <c r="BW35" s="746" t="n">
        <v>46139</v>
      </c>
      <c r="BX35" s="746" t="n">
        <v>46146</v>
      </c>
      <c r="BY35" s="746" t="n">
        <v>46154</v>
      </c>
      <c r="BZ35" s="748" t="inlineStr">
        <is>
          <t>USOU</t>
        </is>
      </c>
      <c r="CB35" s="44" t="inlineStr">
        <is>
          <t>Pendências</t>
        </is>
      </c>
      <c r="CC35" s="44" t="inlineStr">
        <is>
          <t>Pendências</t>
        </is>
      </c>
      <c r="CE35" s="12" t="inlineStr">
        <is>
          <t>Novo Pedido</t>
        </is>
      </c>
      <c r="CF35" s="573" t="n"/>
      <c r="CG35" s="794" t="n">
        <v>46149</v>
      </c>
      <c r="CH35" s="794" t="n">
        <v>46142</v>
      </c>
      <c r="CI35" s="794" t="n">
        <v>46114</v>
      </c>
      <c r="CJ35" s="794" t="n">
        <v>46107</v>
      </c>
      <c r="CK35" s="795" t="n">
        <v>46065</v>
      </c>
      <c r="CL35" s="794" t="n">
        <v>46099</v>
      </c>
      <c r="CM35" s="794" t="n">
        <v>46092</v>
      </c>
      <c r="CN35" s="796" t="n">
        <v>46045</v>
      </c>
      <c r="CO35" s="794" t="n">
        <v>46077</v>
      </c>
      <c r="CP35" s="794" t="n">
        <v>46048</v>
      </c>
      <c r="CQ35" s="794" t="n">
        <v>46043</v>
      </c>
      <c r="CR35" s="794" t="n">
        <v>46024</v>
      </c>
      <c r="CS35" s="794" t="n">
        <v>46017</v>
      </c>
      <c r="CT35" s="794" t="n">
        <v>46007</v>
      </c>
      <c r="CU35" s="794" t="n">
        <v>46001</v>
      </c>
      <c r="CV35" s="794" t="n">
        <v>46001</v>
      </c>
      <c r="CW35" s="794" t="n">
        <v>45994</v>
      </c>
      <c r="CX35" s="794" t="n">
        <v>45986</v>
      </c>
      <c r="CY35" s="794" t="n">
        <v>45980</v>
      </c>
      <c r="CZ35" s="794" t="n">
        <v>45980</v>
      </c>
      <c r="DA35" s="797" t="n">
        <v>45982</v>
      </c>
      <c r="DB35" s="794" t="n">
        <v>45973</v>
      </c>
      <c r="DC35" s="794" t="n">
        <v>45965</v>
      </c>
      <c r="DD35" s="794" t="n">
        <v>45960</v>
      </c>
      <c r="DE35" s="794" t="n">
        <v>45951</v>
      </c>
      <c r="DF35" s="737" t="n">
        <v>45903</v>
      </c>
      <c r="DG35" s="794" t="n">
        <v>45945</v>
      </c>
      <c r="DH35" s="794" t="n">
        <v>45937</v>
      </c>
      <c r="DI35" s="794" t="n">
        <v>45931</v>
      </c>
      <c r="DJ35" s="794" t="n">
        <v>45931</v>
      </c>
      <c r="DK35" s="794" t="n">
        <v>45915</v>
      </c>
      <c r="DL35" s="794" t="n">
        <v>45923</v>
      </c>
      <c r="DM35" s="794" t="n">
        <v>45903</v>
      </c>
      <c r="DN35" s="794" t="n">
        <v>45915</v>
      </c>
      <c r="DO35" s="797" t="n">
        <v>45918</v>
      </c>
      <c r="DP35" s="794" t="n">
        <v>45909</v>
      </c>
      <c r="DQ35" s="738" t="n">
        <v>45903</v>
      </c>
      <c r="DR35" s="794" t="n">
        <v>45895</v>
      </c>
      <c r="DS35" s="797" t="n">
        <v>45896</v>
      </c>
      <c r="DT35" s="794" t="n">
        <v>45881</v>
      </c>
      <c r="DU35" s="738" t="n">
        <v>45839</v>
      </c>
      <c r="DV35" s="794" t="n">
        <v>45888</v>
      </c>
      <c r="DW35" s="794" t="n">
        <v>45881</v>
      </c>
      <c r="DX35" s="797" t="n">
        <v>45881</v>
      </c>
      <c r="DY35" s="794" t="n">
        <v>45874</v>
      </c>
      <c r="DZ35" s="797" t="n">
        <v>45876</v>
      </c>
      <c r="EA35" s="794" t="n">
        <v>45867</v>
      </c>
      <c r="EB35" s="794" t="n">
        <v>45867</v>
      </c>
      <c r="EC35" s="794" t="n">
        <v>45860</v>
      </c>
      <c r="ED35" s="797" t="n">
        <v>45861</v>
      </c>
      <c r="EE35" s="797" t="n">
        <v>45860</v>
      </c>
      <c r="EF35" s="794" t="n">
        <v>45853</v>
      </c>
      <c r="EG35" s="739" t="n">
        <v>45855</v>
      </c>
      <c r="EH35" s="794" t="n">
        <v>45848</v>
      </c>
      <c r="EI35" s="794" t="n">
        <v>45839</v>
      </c>
      <c r="EJ35" s="794" t="n">
        <v>45839</v>
      </c>
      <c r="EK35" s="797" t="n">
        <v>45835</v>
      </c>
      <c r="EL35" s="794" t="n">
        <v>45790</v>
      </c>
      <c r="EM35" s="794" t="n">
        <v>45825</v>
      </c>
      <c r="EN35" s="794" t="n">
        <v>45819</v>
      </c>
      <c r="EO35" s="794" t="n">
        <v>45813</v>
      </c>
      <c r="EP35" s="794" t="n">
        <v>45797</v>
      </c>
      <c r="EQ35" s="797" t="n">
        <v>45811</v>
      </c>
      <c r="ER35" s="797" t="n">
        <v>45810</v>
      </c>
      <c r="ES35" s="797" t="n">
        <v>45806</v>
      </c>
      <c r="ET35" s="797" t="n">
        <v>45803</v>
      </c>
      <c r="EU35" s="755" t="n">
        <v>45803</v>
      </c>
      <c r="EV35" s="794" t="n">
        <v>45784</v>
      </c>
      <c r="EW35" s="797" t="n">
        <v>45791</v>
      </c>
      <c r="EX35" s="794" t="n">
        <v>45784</v>
      </c>
      <c r="EY35" s="794" t="n">
        <v>45764</v>
      </c>
      <c r="EZ35" s="797" t="n">
        <v>45791</v>
      </c>
      <c r="FA35" s="794" t="n">
        <v>45783</v>
      </c>
      <c r="FB35" s="794" t="n">
        <v>45770</v>
      </c>
      <c r="FC35" s="794" t="n">
        <v>45775</v>
      </c>
      <c r="FD35" s="794" t="n">
        <v>45770</v>
      </c>
      <c r="FE35" s="794" t="n">
        <v>45770</v>
      </c>
      <c r="FF35" s="797" t="n">
        <v>45775</v>
      </c>
      <c r="FG35" s="797" t="n">
        <v>45770</v>
      </c>
      <c r="FH35" s="794" t="n">
        <v>45756</v>
      </c>
      <c r="FI35" s="794" t="n">
        <v>45735</v>
      </c>
      <c r="FJ35" s="797" t="n">
        <v>45751</v>
      </c>
      <c r="FK35" s="794" t="n">
        <v>45743</v>
      </c>
      <c r="FL35" s="746" t="n">
        <v>45729</v>
      </c>
      <c r="FM35" s="794" t="n">
        <v>45722</v>
      </c>
      <c r="FN35" s="794" t="n">
        <v>45722</v>
      </c>
      <c r="FO35" s="746" t="n">
        <v>45700</v>
      </c>
      <c r="FP35" s="797" t="n">
        <v>45722</v>
      </c>
      <c r="FQ35" s="794" t="n">
        <v>45714</v>
      </c>
      <c r="FR35" s="794" t="n">
        <v>45706</v>
      </c>
      <c r="FS35" s="794" t="n">
        <v>45684</v>
      </c>
      <c r="FT35" s="794" t="n">
        <v>45699</v>
      </c>
      <c r="FU35" s="794" t="n">
        <v>45693</v>
      </c>
      <c r="FV35" s="797" t="n">
        <v>45687</v>
      </c>
      <c r="FW35" s="794" t="n">
        <v>45685</v>
      </c>
      <c r="FX35" s="797" t="n">
        <v>45684</v>
      </c>
      <c r="FY35" s="794" t="n">
        <v>45674</v>
      </c>
      <c r="FZ35" s="794" t="n">
        <v>45664</v>
      </c>
      <c r="GA35" s="794" t="n">
        <v>45660</v>
      </c>
      <c r="GB35" s="794" t="n">
        <v>45660</v>
      </c>
      <c r="GC35" s="794" t="n">
        <v>45652</v>
      </c>
      <c r="GD35" s="794" t="n">
        <v>45643</v>
      </c>
      <c r="GF35" s="573" t="n"/>
      <c r="GG35" s="573" t="n"/>
      <c r="GH35" s="573" t="n"/>
      <c r="GI35" s="573" t="n"/>
      <c r="GJ35" s="573" t="n"/>
      <c r="GK35" s="573" t="n"/>
      <c r="GL35" s="573" t="n"/>
      <c r="GM35" s="573" t="n"/>
      <c r="GN35" s="573" t="n"/>
      <c r="GO35" s="573" t="n"/>
      <c r="GP35" s="573" t="n"/>
      <c r="GQ35" s="573" t="n"/>
      <c r="GR35" s="573" t="n"/>
      <c r="GS35" s="573" t="n"/>
      <c r="GT35" s="573" t="n"/>
      <c r="GU35" s="573" t="n"/>
      <c r="GV35" s="573" t="n"/>
      <c r="GW35" s="573" t="n"/>
      <c r="GX35" s="573" t="n"/>
      <c r="GY35" s="573" t="n"/>
      <c r="GZ35" s="573" t="n"/>
      <c r="HA35" s="573" t="n"/>
      <c r="HB35" s="573" t="n"/>
      <c r="HC35" s="573" t="n"/>
      <c r="HD35" s="573" t="n"/>
      <c r="HF35" s="573" t="n"/>
      <c r="HG35" s="573" t="n"/>
      <c r="HH35" s="573" t="n"/>
      <c r="HI35" s="573" t="n"/>
      <c r="HJ35" s="573" t="n"/>
      <c r="HK35" s="573" t="n"/>
      <c r="HL35" s="573" t="n"/>
      <c r="HM35" s="573" t="n"/>
      <c r="HN35" s="573" t="n"/>
      <c r="HO35" s="573" t="n"/>
      <c r="HP35" s="573" t="n"/>
      <c r="HR35" s="573" t="n"/>
      <c r="HS35" s="573" t="n"/>
      <c r="HT35" s="573" t="n"/>
      <c r="HU35" s="573" t="n"/>
      <c r="HV35" s="573" t="n"/>
      <c r="HW35" s="573" t="n"/>
    </row>
    <row r="36">
      <c r="A36" s="37" t="inlineStr">
        <is>
          <t>SACOLA P OUI</t>
        </is>
      </c>
      <c r="B36" s="32" t="n">
        <v>150</v>
      </c>
      <c r="C36" s="773" t="n">
        <v>469.25</v>
      </c>
      <c r="D36" s="382" t="n">
        <v>10</v>
      </c>
      <c r="E36" s="573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>
        <v>39</v>
      </c>
      <c r="BU36" s="32" t="n">
        <v>39</v>
      </c>
      <c r="BV36" s="32" t="n">
        <v>39</v>
      </c>
      <c r="BW36" s="32" t="n">
        <v>39</v>
      </c>
      <c r="BX36" s="32" t="n">
        <v>39</v>
      </c>
      <c r="BY36" s="32" t="n">
        <v>38</v>
      </c>
      <c r="BZ36" s="192">
        <f>BX36+IF(NOT(ISBLANK(OFFSET(BZ36,0,6))),N(OFFSET(BZ36,0,6)),N(OFFSET(BZ36,0,7)))-BY36</f>
        <v/>
      </c>
      <c r="CB36" s="22" t="n"/>
      <c r="CC36" s="22" t="n"/>
      <c r="CE36" s="27" t="n"/>
      <c r="CF36" s="573" t="n"/>
      <c r="CG36" s="40" t="n">
        <v>0</v>
      </c>
      <c r="CH36" s="40" t="n">
        <v>0</v>
      </c>
      <c r="CI36" s="40" t="n"/>
      <c r="CJ36" s="40" t="n"/>
      <c r="CK36" s="40" t="n"/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40" t="n"/>
      <c r="DA36" s="219" t="n"/>
      <c r="DB36" s="40" t="n"/>
      <c r="DC36" s="40" t="n"/>
      <c r="DD36" s="40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40" t="n"/>
      <c r="DQ36" s="23" t="n"/>
      <c r="DR36" s="40" t="n"/>
      <c r="DS36" s="40" t="n"/>
      <c r="DT36" s="40" t="n"/>
      <c r="DU36" s="23" t="n"/>
      <c r="DV36" s="40" t="n"/>
      <c r="DW36" s="40" t="n"/>
      <c r="DX36" s="40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40" t="n"/>
      <c r="FL36" s="219" t="n"/>
      <c r="FM36" s="40" t="n"/>
      <c r="FN36" s="40" t="n"/>
      <c r="FO36" s="219" t="n"/>
      <c r="FP36" s="135" t="n"/>
      <c r="FQ36" s="40" t="n"/>
      <c r="FR36" s="40" t="n"/>
      <c r="FS36" s="40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D36" s="40" t="n"/>
      <c r="GF36" s="573" t="n"/>
      <c r="GG36" s="573" t="n"/>
      <c r="GH36" s="573" t="n"/>
      <c r="GI36" s="573" t="n"/>
      <c r="GJ36" s="573" t="n"/>
      <c r="GK36" s="573" t="n"/>
      <c r="GL36" s="573" t="n"/>
      <c r="GM36" s="573" t="n"/>
      <c r="GN36" s="573" t="n"/>
      <c r="GO36" s="573" t="n"/>
      <c r="GP36" s="573" t="n"/>
      <c r="GQ36" s="573" t="n"/>
      <c r="GR36" s="573" t="n"/>
      <c r="GS36" s="573" t="n"/>
      <c r="GT36" s="573" t="n"/>
      <c r="GU36" s="573" t="n"/>
      <c r="GV36" s="573" t="n"/>
      <c r="GW36" s="573" t="n"/>
      <c r="GX36" s="573" t="n"/>
      <c r="GY36" s="573" t="n"/>
      <c r="GZ36" s="573" t="n"/>
      <c r="HA36" s="573" t="n"/>
      <c r="HB36" s="573" t="n"/>
      <c r="HC36" s="573" t="n"/>
      <c r="HD36" s="573" t="n"/>
      <c r="HF36" s="573" t="n"/>
      <c r="HG36" s="573" t="n"/>
      <c r="HH36" s="573" t="n"/>
      <c r="HI36" s="573" t="n"/>
      <c r="HJ36" s="573" t="n"/>
      <c r="HK36" s="573" t="n"/>
      <c r="HL36" s="573" t="n"/>
      <c r="HM36" s="573" t="n"/>
      <c r="HN36" s="573" t="n"/>
      <c r="HO36" s="573" t="n"/>
      <c r="HP36" s="573" t="n"/>
      <c r="HR36" s="573" t="n"/>
      <c r="HS36" s="573" t="n"/>
      <c r="HT36" s="573" t="n"/>
      <c r="HU36" s="573" t="n"/>
      <c r="HV36" s="573" t="n"/>
      <c r="HW36" s="573" t="n"/>
    </row>
    <row r="37">
      <c r="A37" s="37" t="inlineStr">
        <is>
          <t>SACOLA M OUI</t>
        </is>
      </c>
      <c r="B37" s="32" t="n">
        <v>100</v>
      </c>
      <c r="C37" s="773" t="n">
        <v>368.23</v>
      </c>
      <c r="D37" s="382" t="n">
        <v>10</v>
      </c>
      <c r="E37" s="573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>
        <v>42</v>
      </c>
      <c r="BU37" s="32" t="n">
        <v>42</v>
      </c>
      <c r="BV37" s="32" t="n">
        <v>42</v>
      </c>
      <c r="BW37" s="32" t="n">
        <v>42</v>
      </c>
      <c r="BX37" s="32" t="n">
        <v>42</v>
      </c>
      <c r="BY37" s="32" t="n">
        <v>18</v>
      </c>
      <c r="BZ37" s="192">
        <f>BX37+IF(NOT(ISBLANK(OFFSET(BZ37,0,6))),N(OFFSET(BZ37,0,6)),N(OFFSET(BZ37,0,7)))-BY37</f>
        <v/>
      </c>
      <c r="CB37" s="22" t="n"/>
      <c r="CC37" s="22" t="n"/>
      <c r="CE37" s="27" t="n"/>
      <c r="CF37" s="573" t="n"/>
      <c r="CG37" s="40" t="n">
        <v>0</v>
      </c>
      <c r="CH37" s="40" t="n">
        <v>0</v>
      </c>
      <c r="CI37" s="40" t="n"/>
      <c r="CJ37" s="40" t="n"/>
      <c r="CK37" s="40" t="n"/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40" t="n"/>
      <c r="DA37" s="219" t="n"/>
      <c r="DB37" s="40" t="n"/>
      <c r="DC37" s="40" t="n"/>
      <c r="DD37" s="40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40" t="n"/>
      <c r="DQ37" s="23" t="n"/>
      <c r="DR37" s="40" t="n"/>
      <c r="DS37" s="40" t="n"/>
      <c r="DT37" s="40" t="n"/>
      <c r="DU37" s="23" t="n"/>
      <c r="DV37" s="40" t="n"/>
      <c r="DW37" s="40" t="n"/>
      <c r="DX37" s="40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40" t="n"/>
      <c r="EQ37" s="219" t="n"/>
      <c r="ER37" s="219" t="n"/>
      <c r="ES37" s="219" t="n"/>
      <c r="ET37" s="219" t="n"/>
      <c r="EU37" s="40" t="n"/>
      <c r="EV37" s="40" t="n"/>
      <c r="EW37" s="219" t="n"/>
      <c r="EX37" s="40" t="n"/>
      <c r="EY37" s="40" t="n"/>
      <c r="EZ37" s="282" t="inlineStr">
        <is>
          <t>50 P/ ER</t>
        </is>
      </c>
      <c r="FA37" s="40" t="n"/>
      <c r="FB37" s="40" t="n">
        <v>100</v>
      </c>
      <c r="FC37" s="40" t="n"/>
      <c r="FD37" s="40" t="n"/>
      <c r="FE37" s="40" t="n"/>
      <c r="FF37" s="40" t="n"/>
      <c r="FG37" s="40" t="n"/>
      <c r="FH37" s="40" t="n"/>
      <c r="FI37" s="40" t="n"/>
      <c r="FJ37" s="40" t="n"/>
      <c r="FK37" s="40" t="n"/>
      <c r="FL37" s="219" t="n"/>
      <c r="FM37" s="40" t="n"/>
      <c r="FN37" s="40" t="n"/>
      <c r="FO37" s="219" t="n"/>
      <c r="FP37" s="40" t="n"/>
      <c r="FQ37" s="40" t="n"/>
      <c r="FR37" s="40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D37" s="40" t="n"/>
      <c r="GF37" s="573" t="n"/>
      <c r="GG37" s="573" t="n"/>
      <c r="GH37" s="573" t="n"/>
      <c r="GI37" s="573" t="n"/>
      <c r="GJ37" s="573" t="n"/>
      <c r="GK37" s="573" t="n"/>
      <c r="GL37" s="573" t="n"/>
      <c r="GM37" s="573" t="n"/>
      <c r="GN37" s="573" t="n"/>
      <c r="GO37" s="573" t="n"/>
      <c r="GP37" s="573" t="n"/>
      <c r="GQ37" s="573" t="n"/>
      <c r="GR37" s="573" t="n"/>
      <c r="GS37" s="573" t="n"/>
      <c r="GT37" s="573" t="n"/>
      <c r="GU37" s="41" t="n"/>
      <c r="GV37" s="41" t="n"/>
      <c r="GW37" s="41" t="n"/>
      <c r="GX37" s="41" t="n"/>
      <c r="GY37" s="41" t="n"/>
      <c r="GZ37" s="41" t="n"/>
      <c r="HA37" s="41" t="n"/>
      <c r="HB37" s="41" t="n"/>
      <c r="HC37" s="41" t="n"/>
      <c r="HD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P37" s="41" t="n"/>
      <c r="HR37" s="41" t="n"/>
      <c r="HS37" s="41" t="n"/>
      <c r="HT37" s="41" t="n"/>
      <c r="HU37" s="41" t="n"/>
      <c r="HV37" s="41" t="n"/>
      <c r="HW37" s="41" t="n"/>
    </row>
    <row r="38">
      <c r="A38" s="37" t="inlineStr">
        <is>
          <t>SACOLA G OUI</t>
        </is>
      </c>
      <c r="B38" s="32" t="n">
        <v>50</v>
      </c>
      <c r="C38" s="773" t="n">
        <v>257.98</v>
      </c>
      <c r="D38" s="382" t="n">
        <v>5</v>
      </c>
      <c r="E38" s="573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>
        <v>4</v>
      </c>
      <c r="BU38" s="32" t="n">
        <v>4</v>
      </c>
      <c r="BV38" s="32" t="n">
        <v>4</v>
      </c>
      <c r="BW38" s="32" t="n">
        <v>4</v>
      </c>
      <c r="BX38" s="32" t="n">
        <v>4</v>
      </c>
      <c r="BY38" s="32" t="n">
        <v>2</v>
      </c>
      <c r="BZ38" s="192">
        <f>BX38+IF(NOT(ISBLANK(OFFSET(BZ38,0,6))),N(OFFSET(BZ38,0,6)),N(OFFSET(BZ38,0,7)))-BY38</f>
        <v/>
      </c>
      <c r="CB38" s="22" t="n"/>
      <c r="CC38" s="22" t="n"/>
      <c r="CE38" s="27" t="n"/>
      <c r="CF38" s="573" t="n"/>
      <c r="CG38" s="40" t="n">
        <v>0</v>
      </c>
      <c r="CH38" s="40" t="n">
        <v>0</v>
      </c>
      <c r="CI38" s="40" t="n"/>
      <c r="CJ38" s="40" t="n"/>
      <c r="CK38" s="40" t="n"/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40" t="n"/>
      <c r="DA38" s="219" t="n"/>
      <c r="DB38" s="40" t="n"/>
      <c r="DC38" s="40" t="n"/>
      <c r="DD38" s="40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40" t="n"/>
      <c r="DQ38" s="23" t="n"/>
      <c r="DR38" s="40" t="n"/>
      <c r="DS38" s="40" t="n"/>
      <c r="DT38" s="40" t="n"/>
      <c r="DU38" s="23" t="n"/>
      <c r="DV38" s="40" t="n"/>
      <c r="DW38" s="40" t="n"/>
      <c r="DX38" s="40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40" t="n"/>
      <c r="EQ38" s="219" t="n"/>
      <c r="ER38" s="219" t="n"/>
      <c r="ES38" s="219" t="n"/>
      <c r="ET38" s="219" t="n"/>
      <c r="EU38" s="40" t="n"/>
      <c r="EV38" s="40" t="n"/>
      <c r="EW38" s="219" t="n"/>
      <c r="EX38" s="40" t="n"/>
      <c r="EY38" s="40" t="n"/>
      <c r="EZ38" s="282" t="inlineStr">
        <is>
          <t>20 P/ ER</t>
        </is>
      </c>
      <c r="FA38" s="40" t="n"/>
      <c r="FB38" s="40" t="n"/>
      <c r="FC38" s="40" t="n"/>
      <c r="FD38" s="40" t="n">
        <v>50</v>
      </c>
      <c r="FE38" s="40" t="n"/>
      <c r="FF38" s="40" t="n"/>
      <c r="FG38" s="40" t="n"/>
      <c r="FH38" s="40" t="n"/>
      <c r="FI38" s="40" t="n"/>
      <c r="FJ38" s="40" t="n"/>
      <c r="FK38" s="40" t="n"/>
      <c r="FL38" s="219" t="n"/>
      <c r="FM38" s="40" t="n"/>
      <c r="FN38" s="40" t="n"/>
      <c r="FO38" s="219" t="n"/>
      <c r="FP38" s="40" t="n"/>
      <c r="FQ38" s="40" t="n"/>
      <c r="FR38" s="40" t="n"/>
      <c r="FS38" s="40" t="n"/>
      <c r="FT38" s="40" t="n"/>
      <c r="FU38" s="40" t="n"/>
      <c r="FV38" s="40" t="n"/>
      <c r="FW38" s="40" t="n"/>
      <c r="FX38" s="282" t="inlineStr">
        <is>
          <t>10 P/ ER</t>
        </is>
      </c>
      <c r="FY38" s="40" t="n"/>
      <c r="FZ38" s="40" t="n"/>
      <c r="GA38" s="40" t="n"/>
      <c r="GB38" s="40" t="n"/>
      <c r="GC38" s="40" t="n"/>
      <c r="GD38" s="40" t="n"/>
      <c r="GF38" s="573" t="n"/>
      <c r="GG38" s="573" t="n"/>
      <c r="GH38" s="573" t="n"/>
      <c r="GI38" s="573" t="n"/>
      <c r="GJ38" s="573" t="n"/>
      <c r="GK38" s="573" t="n"/>
      <c r="GL38" s="573" t="n"/>
      <c r="GM38" s="573" t="n"/>
      <c r="GN38" s="573" t="n"/>
      <c r="GO38" s="573" t="n"/>
      <c r="GP38" s="573" t="n"/>
      <c r="GQ38" s="573" t="n"/>
      <c r="GR38" s="573" t="n"/>
      <c r="GS38" s="573" t="n"/>
      <c r="GT38" s="573" t="n"/>
      <c r="GU38" s="41" t="n"/>
      <c r="GV38" s="41" t="n"/>
      <c r="GW38" s="41" t="n"/>
      <c r="GX38" s="41" t="n"/>
      <c r="GY38" s="41" t="n"/>
      <c r="GZ38" s="41" t="n"/>
      <c r="HA38" s="41" t="n"/>
      <c r="HB38" s="41" t="n"/>
      <c r="HC38" s="41" t="n"/>
      <c r="HD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P38" s="41" t="n"/>
      <c r="HR38" s="41" t="n"/>
      <c r="HS38" s="41" t="n"/>
      <c r="HT38" s="41" t="n"/>
      <c r="HU38" s="41" t="n"/>
      <c r="HV38" s="41" t="n"/>
      <c r="HW38" s="41" t="n"/>
    </row>
    <row r="39" customFormat="1" s="3">
      <c r="A39" s="37" t="inlineStr">
        <is>
          <t>SACO M OUI (BRINDE)</t>
        </is>
      </c>
      <c r="B39" s="699" t="n">
        <v>200</v>
      </c>
      <c r="C39" s="762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0+CX39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0+CJ39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32">
        <f>0+CG39</f>
        <v/>
      </c>
      <c r="BZ39" s="192">
        <f>BX39+IF(NOT(ISBLANK(OFFSET(BZ39,0,6))),N(OFFSET(BZ39,0,6)),N(OFFSET(BZ39,0,7)))-BY39</f>
        <v/>
      </c>
      <c r="CA39" s="5" t="n"/>
      <c r="CB39" s="22" t="n"/>
      <c r="CC39" s="22" t="n"/>
      <c r="CD39" s="5" t="n"/>
      <c r="CE39" s="27" t="n"/>
      <c r="CF39" s="573" t="n"/>
      <c r="CG39" s="40" t="n">
        <v>200</v>
      </c>
      <c r="CH39" s="40" t="n">
        <v>0</v>
      </c>
      <c r="CI39" s="40" t="n"/>
      <c r="CJ39" s="40" t="n">
        <v>200</v>
      </c>
      <c r="CK39" s="40" t="n"/>
      <c r="CL39" s="40" t="n"/>
      <c r="CM39" s="40" t="n"/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/>
      <c r="CX39" s="40" t="n">
        <v>400</v>
      </c>
      <c r="CY39" s="40" t="n"/>
      <c r="CZ39" s="40" t="n"/>
      <c r="DA39" s="219" t="n"/>
      <c r="DB39" s="40" t="n"/>
      <c r="DC39" s="40" t="n"/>
      <c r="DD39" s="40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40" t="n"/>
      <c r="DO39" s="192" t="inlineStr">
        <is>
          <t>200 P/ ER</t>
        </is>
      </c>
      <c r="DP39" s="40" t="n"/>
      <c r="DQ39" s="23" t="n"/>
      <c r="DR39" s="40" t="n"/>
      <c r="DS39" s="40" t="n"/>
      <c r="DT39" s="40" t="n"/>
      <c r="DU39" s="23" t="n"/>
      <c r="DV39" s="40" t="n"/>
      <c r="DW39" s="40" t="n"/>
      <c r="DX39" s="40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/>
      <c r="EL39" s="40" t="n">
        <v>200</v>
      </c>
      <c r="EM39" s="40" t="n"/>
      <c r="EN39" s="40" t="n">
        <v>200</v>
      </c>
      <c r="EO39" s="40" t="n"/>
      <c r="EP39" s="40" t="n"/>
      <c r="EQ39" s="219" t="n"/>
      <c r="ER39" s="282" t="inlineStr">
        <is>
          <t>200 DE ER</t>
        </is>
      </c>
      <c r="ES39" s="219" t="n"/>
      <c r="ET39" s="219" t="n"/>
      <c r="EU39" s="40" t="n"/>
      <c r="EV39" s="40" t="n"/>
      <c r="EW39" s="282" t="inlineStr">
        <is>
          <t>200 DE ER</t>
        </is>
      </c>
      <c r="EX39" s="40" t="n"/>
      <c r="EY39" s="40" t="n"/>
      <c r="EZ39" s="40" t="n"/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40" t="n"/>
      <c r="FL39" s="219" t="n"/>
      <c r="FM39" s="40" t="n"/>
      <c r="FN39" s="40" t="n"/>
      <c r="FO39" s="219" t="n"/>
      <c r="FP39" s="40" t="n"/>
      <c r="FQ39" s="40" t="n"/>
      <c r="FR39" s="40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D39" s="40" t="n"/>
      <c r="GF39" s="573" t="n"/>
      <c r="GG39" s="573" t="n"/>
      <c r="GH39" s="573" t="n"/>
      <c r="GI39" s="573" t="n"/>
      <c r="GJ39" s="573" t="n"/>
      <c r="GK39" s="573" t="n"/>
      <c r="GL39" s="573" t="n"/>
      <c r="GM39" s="573" t="n"/>
      <c r="GN39" s="573" t="n"/>
      <c r="GO39" s="573" t="n"/>
      <c r="GP39" s="573" t="n"/>
      <c r="GQ39" s="573" t="n"/>
      <c r="GR39" s="573" t="n"/>
      <c r="GS39" s="573" t="n"/>
      <c r="GT39" s="5" t="n"/>
      <c r="GU39" s="5" t="n"/>
      <c r="GV39" s="5" t="n"/>
      <c r="GW39" s="5" t="n"/>
      <c r="GX39" s="5" t="n"/>
      <c r="GY39" s="5" t="n"/>
      <c r="GZ39" s="5" t="n"/>
      <c r="HA39" s="5" t="n"/>
      <c r="HB39" s="5" t="n"/>
      <c r="HC39" s="5" t="n"/>
      <c r="HD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P39" s="5" t="n"/>
      <c r="HR39" s="5" t="n"/>
      <c r="HS39" s="5" t="n"/>
      <c r="HT39" s="5" t="n"/>
      <c r="HU39" s="5" t="n"/>
      <c r="HV39" s="5" t="n"/>
      <c r="HW39" s="5" t="n"/>
    </row>
    <row r="40">
      <c r="B40" s="573" t="n"/>
      <c r="E40" s="573" t="n"/>
      <c r="F40" s="573" t="n"/>
      <c r="G40" s="573" t="n"/>
      <c r="H40" s="573" t="n"/>
      <c r="I40" s="573" t="n"/>
      <c r="J40" s="573" t="n"/>
      <c r="K40" s="573" t="n"/>
      <c r="L40" s="573" t="n"/>
      <c r="M40" s="573" t="n"/>
      <c r="N40" s="573" t="n"/>
      <c r="O40" s="573" t="n"/>
      <c r="P40" s="573" t="n"/>
      <c r="Q40" s="573" t="n"/>
      <c r="R40" s="573" t="n"/>
      <c r="S40" s="573" t="n"/>
      <c r="T40" s="573" t="n"/>
      <c r="U40" s="573" t="n"/>
      <c r="V40" s="573" t="n"/>
      <c r="W40" s="573" t="n"/>
      <c r="X40" s="573" t="n"/>
      <c r="Y40" s="573" t="n"/>
      <c r="Z40" s="573" t="n"/>
      <c r="AA40" s="573" t="n"/>
      <c r="AB40" s="573" t="n"/>
      <c r="AC40" s="573" t="n"/>
      <c r="AD40" s="573" t="n"/>
      <c r="AE40" s="573" t="n"/>
      <c r="AF40" s="573" t="n"/>
      <c r="AG40" s="573" t="n"/>
      <c r="AH40" s="573" t="n"/>
      <c r="AI40" s="573" t="n"/>
      <c r="AJ40" s="573" t="n"/>
      <c r="AK40" s="573" t="n"/>
      <c r="AL40" s="573" t="n"/>
      <c r="AM40" s="573" t="n"/>
      <c r="AN40" s="573" t="n"/>
      <c r="AO40" s="573" t="n"/>
      <c r="AP40" s="573" t="n"/>
      <c r="AQ40" s="573" t="n"/>
      <c r="AR40" s="573" t="n"/>
      <c r="AS40" s="573" t="n"/>
      <c r="AT40" s="573" t="n"/>
      <c r="AU40" s="573" t="n"/>
      <c r="AV40" s="573" t="n"/>
      <c r="AW40" s="573" t="n"/>
      <c r="AX40" s="573" t="n"/>
      <c r="AY40" s="573" t="n"/>
      <c r="AZ40" s="573" t="n"/>
      <c r="BA40" s="573" t="n"/>
      <c r="BB40" s="573" t="n"/>
      <c r="BC40" s="573" t="n"/>
      <c r="BD40" s="573" t="n"/>
      <c r="BE40" s="573" t="n"/>
      <c r="BF40" s="573" t="n"/>
      <c r="BG40" s="573" t="n"/>
      <c r="BH40" s="573" t="n"/>
      <c r="BI40" s="573" t="n"/>
      <c r="BJ40" s="573" t="n"/>
      <c r="BK40" s="573" t="n"/>
      <c r="BL40" s="573" t="n"/>
      <c r="BM40" s="573" t="n"/>
      <c r="BN40" s="573" t="n"/>
      <c r="BO40" s="573" t="n"/>
      <c r="BP40" s="573" t="n"/>
      <c r="BQ40" s="573" t="n"/>
      <c r="BR40" s="573" t="n"/>
      <c r="BS40" s="573" t="n"/>
      <c r="BT40" s="573" t="n"/>
      <c r="BU40" s="573" t="n"/>
      <c r="BV40" s="573" t="n"/>
      <c r="BW40" s="573" t="n"/>
      <c r="BX40" s="573" t="n"/>
      <c r="BY40" s="573" t="n"/>
      <c r="CF40" s="573" t="n"/>
      <c r="CG40" s="68" t="n"/>
      <c r="CH40" s="68" t="n"/>
      <c r="CI40" s="68" t="n"/>
      <c r="CJ40" s="68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CZ40" s="68" t="n"/>
      <c r="DB40" s="68" t="n"/>
      <c r="DC40" s="68" t="n"/>
      <c r="DD40" s="68" t="n"/>
      <c r="DE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P40" s="68" t="n"/>
      <c r="DR40" s="68" t="n"/>
      <c r="DS40" s="68" t="n"/>
      <c r="DT40" s="68" t="n"/>
      <c r="DV40" s="68" t="n"/>
      <c r="DW40" s="68" t="n"/>
      <c r="DX40" s="68" t="n"/>
      <c r="DY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K40" s="68" t="n"/>
      <c r="FM40" s="68" t="n"/>
      <c r="FN40" s="68" t="n"/>
      <c r="FQ40" s="68" t="n"/>
      <c r="FR40" s="68" t="n"/>
      <c r="FS40" s="68" t="n"/>
      <c r="FT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D40" s="68" t="n"/>
      <c r="GF40" s="41" t="n"/>
      <c r="GG40" s="41" t="n"/>
      <c r="GH40" s="41" t="n"/>
      <c r="GI40" s="41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  <c r="GT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6" t="n">
        <v>45656</v>
      </c>
      <c r="G41" s="746" t="n">
        <v>45663</v>
      </c>
      <c r="H41" s="746" t="n">
        <v>45670</v>
      </c>
      <c r="I41" s="746" t="n">
        <v>45677</v>
      </c>
      <c r="J41" s="746" t="n">
        <v>45684</v>
      </c>
      <c r="K41" s="746" t="n">
        <v>45691</v>
      </c>
      <c r="L41" s="746" t="n">
        <v>45698</v>
      </c>
      <c r="M41" s="746" t="n">
        <v>45705</v>
      </c>
      <c r="N41" s="746" t="n">
        <v>45712</v>
      </c>
      <c r="O41" s="746" t="n">
        <v>45719</v>
      </c>
      <c r="P41" s="746" t="n">
        <v>45726</v>
      </c>
      <c r="Q41" s="746" t="n">
        <v>45733</v>
      </c>
      <c r="R41" s="746" t="n">
        <v>45740</v>
      </c>
      <c r="S41" s="746" t="n">
        <v>45747</v>
      </c>
      <c r="T41" s="746" t="n">
        <v>45754</v>
      </c>
      <c r="U41" s="746" t="n">
        <v>45761</v>
      </c>
      <c r="V41" s="746" t="n">
        <v>45768</v>
      </c>
      <c r="W41" s="746" t="n">
        <v>45775</v>
      </c>
      <c r="X41" s="746" t="n">
        <v>45782</v>
      </c>
      <c r="Y41" s="746" t="n">
        <v>45789</v>
      </c>
      <c r="Z41" s="746" t="n">
        <v>45796</v>
      </c>
      <c r="AA41" s="746" t="n">
        <v>45803</v>
      </c>
      <c r="AB41" s="746" t="n">
        <v>45810</v>
      </c>
      <c r="AC41" s="746" t="n">
        <v>45817</v>
      </c>
      <c r="AD41" s="746" t="n">
        <v>45824</v>
      </c>
      <c r="AE41" s="746" t="n">
        <v>45831</v>
      </c>
      <c r="AF41" s="746" t="n">
        <v>45838</v>
      </c>
      <c r="AG41" s="746" t="n">
        <v>45845</v>
      </c>
      <c r="AH41" s="746" t="n">
        <v>45852</v>
      </c>
      <c r="AI41" s="746" t="n">
        <v>45859</v>
      </c>
      <c r="AJ41" s="746" t="n">
        <v>45866</v>
      </c>
      <c r="AK41" s="746" t="n">
        <v>45873</v>
      </c>
      <c r="AL41" s="746" t="n">
        <v>45880</v>
      </c>
      <c r="AM41" s="746" t="n">
        <v>45887</v>
      </c>
      <c r="AN41" s="746" t="n">
        <v>45894</v>
      </c>
      <c r="AO41" s="746" t="n">
        <v>45901</v>
      </c>
      <c r="AP41" s="746" t="n">
        <v>45908</v>
      </c>
      <c r="AQ41" s="746" t="n">
        <v>45915</v>
      </c>
      <c r="AR41" s="746" t="n">
        <v>45922</v>
      </c>
      <c r="AS41" s="746" t="n">
        <v>45929</v>
      </c>
      <c r="AT41" s="746" t="n">
        <v>45936</v>
      </c>
      <c r="AU41" s="746" t="n">
        <v>45943</v>
      </c>
      <c r="AV41" s="746" t="n">
        <v>45950</v>
      </c>
      <c r="AW41" s="746" t="n">
        <v>45957</v>
      </c>
      <c r="AX41" s="746" t="n">
        <v>45964</v>
      </c>
      <c r="AY41" s="746" t="n">
        <v>45971</v>
      </c>
      <c r="AZ41" s="746" t="n">
        <v>45978</v>
      </c>
      <c r="BA41" s="746" t="n">
        <v>45985</v>
      </c>
      <c r="BB41" s="746" t="n">
        <v>45992</v>
      </c>
      <c r="BC41" s="746" t="n">
        <v>45999</v>
      </c>
      <c r="BD41" s="746" t="n">
        <v>46006</v>
      </c>
      <c r="BE41" s="746" t="n">
        <v>46013</v>
      </c>
      <c r="BF41" s="746" t="n">
        <v>46020</v>
      </c>
      <c r="BG41" s="746" t="n">
        <v>46027</v>
      </c>
      <c r="BH41" s="746" t="n">
        <v>46034</v>
      </c>
      <c r="BI41" s="746" t="n">
        <v>46041</v>
      </c>
      <c r="BJ41" s="746" t="n">
        <v>46048</v>
      </c>
      <c r="BK41" s="746" t="n">
        <v>46055</v>
      </c>
      <c r="BL41" s="746" t="n">
        <v>46062</v>
      </c>
      <c r="BM41" s="746" t="n">
        <v>46069</v>
      </c>
      <c r="BN41" s="746" t="n">
        <v>46076</v>
      </c>
      <c r="BO41" s="746" t="n">
        <v>46083</v>
      </c>
      <c r="BP41" s="746" t="n">
        <v>46090</v>
      </c>
      <c r="BQ41" s="746" t="n">
        <v>46097</v>
      </c>
      <c r="BR41" s="746" t="n">
        <v>46104</v>
      </c>
      <c r="BS41" s="746" t="n">
        <v>46111</v>
      </c>
      <c r="BT41" s="746" t="n">
        <v>46118</v>
      </c>
      <c r="BU41" s="746" t="n">
        <v>46125</v>
      </c>
      <c r="BV41" s="746" t="n">
        <v>46132</v>
      </c>
      <c r="BW41" s="746" t="n">
        <v>46139</v>
      </c>
      <c r="BX41" s="746" t="n">
        <v>46146</v>
      </c>
      <c r="BY41" s="746" t="n">
        <v>46154</v>
      </c>
      <c r="BZ41" s="748" t="inlineStr">
        <is>
          <t>USOU</t>
        </is>
      </c>
      <c r="CB41" s="44" t="inlineStr">
        <is>
          <t>Pendências</t>
        </is>
      </c>
      <c r="CC41" s="44" t="inlineStr">
        <is>
          <t>Pendências</t>
        </is>
      </c>
      <c r="CE41" s="12" t="inlineStr">
        <is>
          <t>Novo Pedido</t>
        </is>
      </c>
      <c r="CF41" s="573" t="n"/>
      <c r="CG41" s="794" t="n">
        <v>46149</v>
      </c>
      <c r="CH41" s="794" t="n">
        <v>46142</v>
      </c>
      <c r="CI41" s="794" t="n">
        <v>46114</v>
      </c>
      <c r="CJ41" s="794" t="n">
        <v>46107</v>
      </c>
      <c r="CK41" s="795" t="n">
        <v>46065</v>
      </c>
      <c r="CL41" s="794" t="n">
        <v>46099</v>
      </c>
      <c r="CM41" s="794" t="n">
        <v>46092</v>
      </c>
      <c r="CN41" s="796" t="n">
        <v>46045</v>
      </c>
      <c r="CO41" s="794" t="n">
        <v>46077</v>
      </c>
      <c r="CP41" s="794" t="n">
        <v>46048</v>
      </c>
      <c r="CQ41" s="794" t="n">
        <v>46043</v>
      </c>
      <c r="CR41" s="794" t="n">
        <v>46024</v>
      </c>
      <c r="CS41" s="794" t="n">
        <v>46017</v>
      </c>
      <c r="CT41" s="794" t="n">
        <v>46007</v>
      </c>
      <c r="CU41" s="794" t="n">
        <v>46001</v>
      </c>
      <c r="CV41" s="794" t="n">
        <v>46001</v>
      </c>
      <c r="CW41" s="794" t="n">
        <v>45994</v>
      </c>
      <c r="CX41" s="794" t="n">
        <v>45986</v>
      </c>
      <c r="CY41" s="794" t="n">
        <v>45980</v>
      </c>
      <c r="CZ41" s="794" t="n">
        <v>45980</v>
      </c>
      <c r="DA41" s="797" t="n">
        <v>45982</v>
      </c>
      <c r="DB41" s="794" t="n">
        <v>45973</v>
      </c>
      <c r="DC41" s="794" t="n">
        <v>45965</v>
      </c>
      <c r="DD41" s="794" t="n">
        <v>45960</v>
      </c>
      <c r="DE41" s="794" t="n">
        <v>45951</v>
      </c>
      <c r="DF41" s="737" t="n">
        <v>45903</v>
      </c>
      <c r="DG41" s="794" t="n">
        <v>45945</v>
      </c>
      <c r="DH41" s="794" t="n">
        <v>45937</v>
      </c>
      <c r="DI41" s="794" t="n">
        <v>45931</v>
      </c>
      <c r="DJ41" s="794" t="n">
        <v>45931</v>
      </c>
      <c r="DK41" s="794" t="n">
        <v>45915</v>
      </c>
      <c r="DL41" s="794" t="n">
        <v>45923</v>
      </c>
      <c r="DM41" s="794" t="n">
        <v>45903</v>
      </c>
      <c r="DN41" s="794" t="n">
        <v>45915</v>
      </c>
      <c r="DO41" s="797" t="n">
        <v>45918</v>
      </c>
      <c r="DP41" s="794" t="n">
        <v>45909</v>
      </c>
      <c r="DQ41" s="738" t="n">
        <v>45903</v>
      </c>
      <c r="DR41" s="794" t="n">
        <v>45895</v>
      </c>
      <c r="DS41" s="797" t="n">
        <v>45896</v>
      </c>
      <c r="DT41" s="794" t="n">
        <v>45881</v>
      </c>
      <c r="DU41" s="738" t="n">
        <v>45839</v>
      </c>
      <c r="DV41" s="794" t="n">
        <v>45888</v>
      </c>
      <c r="DW41" s="794" t="n">
        <v>45881</v>
      </c>
      <c r="DX41" s="797" t="n">
        <v>45881</v>
      </c>
      <c r="DY41" s="794" t="n">
        <v>45874</v>
      </c>
      <c r="DZ41" s="797" t="n">
        <v>45876</v>
      </c>
      <c r="EA41" s="794" t="n">
        <v>45867</v>
      </c>
      <c r="EB41" s="794" t="n">
        <v>45867</v>
      </c>
      <c r="EC41" s="794" t="n">
        <v>45860</v>
      </c>
      <c r="ED41" s="797" t="n">
        <v>45861</v>
      </c>
      <c r="EE41" s="797" t="n">
        <v>45860</v>
      </c>
      <c r="EF41" s="794" t="n">
        <v>45853</v>
      </c>
      <c r="EG41" s="739" t="n">
        <v>45855</v>
      </c>
      <c r="EH41" s="794" t="n">
        <v>45848</v>
      </c>
      <c r="EI41" s="794" t="n">
        <v>45839</v>
      </c>
      <c r="EJ41" s="794" t="n">
        <v>45839</v>
      </c>
      <c r="EK41" s="797" t="n">
        <v>45835</v>
      </c>
      <c r="EL41" s="794" t="n">
        <v>45790</v>
      </c>
      <c r="EM41" s="794" t="n">
        <v>45825</v>
      </c>
      <c r="EN41" s="794" t="n">
        <v>45819</v>
      </c>
      <c r="EO41" s="794" t="n">
        <v>45813</v>
      </c>
      <c r="EP41" s="794" t="n">
        <v>45797</v>
      </c>
      <c r="EQ41" s="797" t="n">
        <v>45811</v>
      </c>
      <c r="ER41" s="797" t="n">
        <v>45810</v>
      </c>
      <c r="ES41" s="797" t="n">
        <v>45806</v>
      </c>
      <c r="ET41" s="797" t="n">
        <v>45803</v>
      </c>
      <c r="EU41" s="755" t="n">
        <v>45803</v>
      </c>
      <c r="EV41" s="794" t="n">
        <v>45784</v>
      </c>
      <c r="EW41" s="797" t="n">
        <v>45796</v>
      </c>
      <c r="EX41" s="794" t="n">
        <v>45784</v>
      </c>
      <c r="EY41" s="794" t="n">
        <v>45764</v>
      </c>
      <c r="EZ41" s="797" t="n">
        <v>45791</v>
      </c>
      <c r="FA41" s="794" t="n">
        <v>45783</v>
      </c>
      <c r="FB41" s="794" t="n">
        <v>45770</v>
      </c>
      <c r="FC41" s="794" t="n">
        <v>45775</v>
      </c>
      <c r="FD41" s="794" t="n">
        <v>45770</v>
      </c>
      <c r="FE41" s="794" t="n">
        <v>45770</v>
      </c>
      <c r="FF41" s="797" t="n">
        <v>45775</v>
      </c>
      <c r="FG41" s="797" t="n">
        <v>45770</v>
      </c>
      <c r="FH41" s="794" t="n">
        <v>45756</v>
      </c>
      <c r="FI41" s="794" t="n">
        <v>45735</v>
      </c>
      <c r="FJ41" s="797" t="n">
        <v>45751</v>
      </c>
      <c r="FK41" s="794" t="n">
        <v>45743</v>
      </c>
      <c r="FL41" s="746" t="n">
        <v>45729</v>
      </c>
      <c r="FM41" s="794" t="n">
        <v>45722</v>
      </c>
      <c r="FN41" s="794" t="n">
        <v>45722</v>
      </c>
      <c r="FO41" s="746" t="n">
        <v>45700</v>
      </c>
      <c r="FP41" s="797" t="n">
        <v>45722</v>
      </c>
      <c r="FQ41" s="794" t="n">
        <v>45714</v>
      </c>
      <c r="FR41" s="794" t="n">
        <v>45706</v>
      </c>
      <c r="FS41" s="794" t="n">
        <v>45684</v>
      </c>
      <c r="FT41" s="794" t="n">
        <v>45699</v>
      </c>
      <c r="FU41" s="794" t="n">
        <v>45693</v>
      </c>
      <c r="FV41" s="797" t="n">
        <v>45687</v>
      </c>
      <c r="FW41" s="794" t="n">
        <v>45685</v>
      </c>
      <c r="FX41" s="797" t="n">
        <v>45684</v>
      </c>
      <c r="FY41" s="794" t="n">
        <v>45674</v>
      </c>
      <c r="FZ41" s="794" t="n">
        <v>45664</v>
      </c>
      <c r="GA41" s="794" t="n">
        <v>45660</v>
      </c>
      <c r="GB41" s="794" t="n">
        <v>45660</v>
      </c>
      <c r="GC41" s="794" t="n">
        <v>45652</v>
      </c>
      <c r="GD41" s="794" t="n">
        <v>45643</v>
      </c>
      <c r="GF41" s="41" t="n"/>
      <c r="GG41" s="41" t="n"/>
      <c r="GH41" s="41" t="n"/>
      <c r="GI41" s="41" t="n"/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  <c r="GS41" s="41" t="n"/>
    </row>
    <row r="42">
      <c r="A42" s="37" t="inlineStr">
        <is>
          <t>KIT CAIXA P OUI</t>
        </is>
      </c>
      <c r="B42" s="32" t="n">
        <v>100</v>
      </c>
      <c r="C42" s="773" t="n">
        <v>539.7</v>
      </c>
      <c r="D42" s="382" t="n">
        <v>15</v>
      </c>
      <c r="E42" s="573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>
        <v>46</v>
      </c>
      <c r="BU42" s="32" t="n">
        <v>46</v>
      </c>
      <c r="BV42" s="32" t="n">
        <v>46</v>
      </c>
      <c r="BW42" s="32" t="n">
        <v>46</v>
      </c>
      <c r="BX42" s="32" t="n">
        <v>46</v>
      </c>
      <c r="BY42" s="32" t="n">
        <v>46</v>
      </c>
      <c r="BZ42" s="192">
        <f>BX42+IF(NOT(ISBLANK(OFFSET(BZ42,0,6))),N(OFFSET(BZ42,0,6)),N(OFFSET(BZ42,0,7)))-BY42</f>
        <v/>
      </c>
      <c r="CB42" s="38" t="n"/>
      <c r="CC42" s="38" t="n"/>
      <c r="CE42" s="73" t="n"/>
      <c r="CF42" s="573" t="n"/>
      <c r="CG42" s="40" t="n">
        <v>0</v>
      </c>
      <c r="CH42" s="40" t="n">
        <v>0</v>
      </c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219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40" t="n"/>
      <c r="DQ42" s="23" t="n"/>
      <c r="DR42" s="40" t="n"/>
      <c r="DS42" s="40" t="n"/>
      <c r="DT42" s="40" t="n"/>
      <c r="DU42" s="23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282" t="inlineStr">
        <is>
          <t>49 P/ ERB</t>
        </is>
      </c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>
        <v>100</v>
      </c>
      <c r="FE42" s="40" t="n"/>
      <c r="FF42" s="40" t="n"/>
      <c r="FG42" s="40" t="n"/>
      <c r="FH42" s="40" t="n"/>
      <c r="FI42" s="40" t="n"/>
      <c r="FJ42" s="40" t="n"/>
      <c r="FK42" s="40" t="n"/>
      <c r="FL42" s="219" t="n"/>
      <c r="FM42" s="40" t="n"/>
      <c r="FN42" s="40" t="n"/>
      <c r="FO42" s="219" t="n"/>
      <c r="FP42" s="135" t="n"/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  <c r="GD42" s="40" t="n"/>
    </row>
    <row r="43">
      <c r="A43" s="37" t="inlineStr">
        <is>
          <t>KIT CAIXA M OUI</t>
        </is>
      </c>
      <c r="B43" s="32" t="n">
        <v>100</v>
      </c>
      <c r="C43" s="773" t="n">
        <v>652.05</v>
      </c>
      <c r="D43" s="382" t="n">
        <v>20</v>
      </c>
      <c r="E43" s="573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0+FK43-50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>
        <v>8</v>
      </c>
      <c r="BU43" s="32" t="n">
        <v>8</v>
      </c>
      <c r="BV43" s="32" t="n">
        <v>8</v>
      </c>
      <c r="BW43" s="32" t="n">
        <v>8</v>
      </c>
      <c r="BX43" s="32" t="n">
        <v>8</v>
      </c>
      <c r="BY43" s="32" t="n">
        <v>4</v>
      </c>
      <c r="BZ43" s="192">
        <f>BX43+IF(NOT(ISBLANK(OFFSET(BZ43,0,6))),N(OFFSET(BZ43,0,6)),N(OFFSET(BZ43,0,7)))-BY43</f>
        <v/>
      </c>
      <c r="CB43" s="38" t="inlineStr">
        <is>
          <t>50 DE ERB</t>
        </is>
      </c>
      <c r="CC43" s="38" t="n"/>
      <c r="CE43" s="27" t="n"/>
      <c r="CF43" s="573" t="n"/>
      <c r="CG43" s="40" t="n">
        <v>0</v>
      </c>
      <c r="CH43" s="40" t="n">
        <v>0</v>
      </c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219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192" t="inlineStr">
        <is>
          <t>10 P/ ER</t>
        </is>
      </c>
      <c r="DP43" s="40" t="n"/>
      <c r="DQ43" s="23" t="n"/>
      <c r="DR43" s="40" t="n"/>
      <c r="DS43" s="40" t="n"/>
      <c r="DT43" s="40" t="n"/>
      <c r="DU43" s="23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282" t="inlineStr">
        <is>
          <t>10 P/ ER</t>
        </is>
      </c>
      <c r="EF43" s="40" t="n"/>
      <c r="EG43" s="40" t="n"/>
      <c r="EH43" s="40" t="n"/>
      <c r="EI43" s="40" t="n"/>
      <c r="EJ43" s="40" t="n">
        <v>100</v>
      </c>
      <c r="EK43" s="282" t="inlineStr">
        <is>
          <t>05 DE ERB</t>
        </is>
      </c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40" t="n"/>
      <c r="FJ43" s="282" t="inlineStr">
        <is>
          <t>50 P/ ER</t>
        </is>
      </c>
      <c r="FK43" s="40" t="n">
        <v>100</v>
      </c>
      <c r="FL43" s="219" t="n"/>
      <c r="FM43" s="40" t="n"/>
      <c r="FN43" s="40" t="n"/>
      <c r="FO43" s="219" t="n"/>
      <c r="FP43" s="282" t="inlineStr">
        <is>
          <t>10 P/ ER</t>
        </is>
      </c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  <c r="GD43" s="40" t="n"/>
    </row>
    <row r="44">
      <c r="A44" s="37" t="inlineStr">
        <is>
          <t>KIT CAIXA G OUI</t>
        </is>
      </c>
      <c r="B44" s="32" t="n">
        <v>50</v>
      </c>
      <c r="C44" s="773" t="n">
        <v>567.53</v>
      </c>
      <c r="D44" s="382" t="n">
        <v>5</v>
      </c>
      <c r="E44" s="573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>
        <v>44</v>
      </c>
      <c r="BU44" s="32" t="n">
        <v>44</v>
      </c>
      <c r="BV44" s="32" t="n">
        <v>44</v>
      </c>
      <c r="BW44" s="32" t="n">
        <v>44</v>
      </c>
      <c r="BX44" s="32" t="n">
        <v>44</v>
      </c>
      <c r="BY44" s="32" t="n">
        <v>44</v>
      </c>
      <c r="BZ44" s="192">
        <f>BX44+IF(NOT(ISBLANK(OFFSET(BZ44,0,6))),N(OFFSET(BZ44,0,6)),N(OFFSET(BZ44,0,7)))-BY44</f>
        <v/>
      </c>
      <c r="CB44" s="38" t="n"/>
      <c r="CC44" s="38" t="n"/>
      <c r="CE44" s="73" t="n"/>
      <c r="CF44" s="573" t="n"/>
      <c r="CG44" s="40" t="n">
        <v>0</v>
      </c>
      <c r="CH44" s="40" t="n">
        <v>0</v>
      </c>
      <c r="CI44" s="40" t="n"/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/>
      <c r="DA44" s="219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40" t="n"/>
      <c r="DQ44" s="23" t="n"/>
      <c r="DR44" s="40" t="n"/>
      <c r="DS44" s="40" t="n"/>
      <c r="DT44" s="40" t="n"/>
      <c r="DU44" s="23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282" t="inlineStr">
        <is>
          <t>30 P/ ERB</t>
        </is>
      </c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>
        <v>50</v>
      </c>
      <c r="FE44" s="40" t="n"/>
      <c r="FF44" s="40" t="n"/>
      <c r="FG44" s="40" t="n"/>
      <c r="FH44" s="40" t="n"/>
      <c r="FI44" s="40" t="n"/>
      <c r="FJ44" s="40" t="n"/>
      <c r="FK44" s="40" t="n"/>
      <c r="FL44" s="219" t="n"/>
      <c r="FM44" s="40" t="n"/>
      <c r="FN44" s="40" t="n"/>
      <c r="FO44" s="219" t="n"/>
      <c r="FP44" s="40" t="n"/>
      <c r="FQ44" s="40" t="n"/>
      <c r="FR44" s="40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  <c r="GD44" s="40" t="n"/>
    </row>
    <row r="45" ht="18.75" customHeight="1">
      <c r="B45" s="573" t="n"/>
      <c r="C45" s="573" t="n"/>
      <c r="D45" s="573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573" t="n"/>
      <c r="BE45" s="573" t="n"/>
      <c r="BF45" s="573" t="n"/>
      <c r="BG45" s="573" t="n"/>
      <c r="BH45" s="573" t="n"/>
      <c r="BI45" s="573" t="n"/>
      <c r="BJ45" s="573" t="n"/>
      <c r="BK45" s="573" t="n"/>
      <c r="BL45" s="573" t="n"/>
      <c r="BM45" s="573" t="n"/>
      <c r="BN45" s="573" t="n"/>
      <c r="BO45" s="573" t="n"/>
      <c r="BP45" s="573" t="n"/>
      <c r="BQ45" s="573" t="n"/>
      <c r="BR45" s="573" t="n"/>
      <c r="BS45" s="573" t="n"/>
      <c r="BT45" s="573" t="n"/>
      <c r="BU45" s="573" t="n"/>
      <c r="BV45" s="573" t="n"/>
      <c r="BW45" s="573" t="n"/>
      <c r="BX45" s="573" t="n"/>
      <c r="BY45" s="573" t="n"/>
      <c r="CB45" s="5" t="n"/>
      <c r="CC45" s="5" t="n"/>
      <c r="CE45" s="5" t="n"/>
      <c r="CG45" s="5" t="n"/>
      <c r="CH45" s="5" t="n"/>
      <c r="CI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5" t="n"/>
      <c r="DA45" s="306" t="n"/>
      <c r="DB45" s="5" t="n"/>
      <c r="DC45" s="5" t="n"/>
      <c r="DD45" s="5" t="n"/>
      <c r="DE45" s="5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5" t="n"/>
      <c r="DQ45" s="47" t="n"/>
      <c r="DR45" s="5" t="n"/>
      <c r="DS45" s="5" t="n"/>
      <c r="DT45" s="5" t="n"/>
      <c r="DU45" s="47" t="n"/>
      <c r="DV45" s="5" t="n"/>
      <c r="DW45" s="5" t="n"/>
      <c r="DX45" s="5" t="n"/>
      <c r="DY45" s="5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5" t="n"/>
      <c r="FL45" s="308" t="n"/>
      <c r="FM45" s="5" t="n"/>
      <c r="FN45" s="5" t="n"/>
      <c r="FO45" s="308" t="n"/>
      <c r="FQ45" s="5" t="n"/>
      <c r="FR45" s="5" t="n"/>
      <c r="FS45" s="5" t="n"/>
      <c r="FT45" s="20" t="n"/>
      <c r="FU45" s="20" t="n"/>
      <c r="FV45" s="20" t="n"/>
      <c r="FW45" s="20" t="n"/>
      <c r="FX45" s="20" t="n"/>
      <c r="FY45" s="20" t="n"/>
      <c r="FZ45" s="20" t="n"/>
      <c r="GA45" s="20" t="n"/>
      <c r="GB45" s="20" t="n"/>
      <c r="GC45" s="20" t="n"/>
      <c r="GD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6" t="n">
        <v>45656</v>
      </c>
      <c r="G46" s="746" t="n">
        <v>45663</v>
      </c>
      <c r="H46" s="746" t="n">
        <v>45670</v>
      </c>
      <c r="I46" s="746" t="n">
        <v>45677</v>
      </c>
      <c r="J46" s="746" t="n">
        <v>45684</v>
      </c>
      <c r="K46" s="746" t="n">
        <v>45691</v>
      </c>
      <c r="L46" s="746" t="n">
        <v>45698</v>
      </c>
      <c r="M46" s="746" t="n">
        <v>45705</v>
      </c>
      <c r="N46" s="746" t="n">
        <v>45712</v>
      </c>
      <c r="O46" s="746" t="n">
        <v>45719</v>
      </c>
      <c r="P46" s="746" t="n">
        <v>45726</v>
      </c>
      <c r="Q46" s="746" t="n">
        <v>45733</v>
      </c>
      <c r="R46" s="746" t="n">
        <v>45740</v>
      </c>
      <c r="S46" s="746" t="n">
        <v>45747</v>
      </c>
      <c r="T46" s="746" t="n">
        <v>45754</v>
      </c>
      <c r="U46" s="746" t="n">
        <v>45761</v>
      </c>
      <c r="V46" s="746" t="n">
        <v>45768</v>
      </c>
      <c r="W46" s="746" t="n">
        <v>45775</v>
      </c>
      <c r="X46" s="746" t="n">
        <v>45782</v>
      </c>
      <c r="Y46" s="746" t="n">
        <v>45789</v>
      </c>
      <c r="Z46" s="746" t="n">
        <v>45796</v>
      </c>
      <c r="AA46" s="746" t="n">
        <v>45803</v>
      </c>
      <c r="AB46" s="746" t="n">
        <v>45810</v>
      </c>
      <c r="AC46" s="746" t="n">
        <v>45817</v>
      </c>
      <c r="AD46" s="746" t="n">
        <v>45824</v>
      </c>
      <c r="AE46" s="746" t="n">
        <v>45831</v>
      </c>
      <c r="AF46" s="746" t="n">
        <v>45838</v>
      </c>
      <c r="AG46" s="746" t="n">
        <v>45845</v>
      </c>
      <c r="AH46" s="746" t="n">
        <v>45852</v>
      </c>
      <c r="AI46" s="746" t="n">
        <v>45859</v>
      </c>
      <c r="AJ46" s="746" t="n">
        <v>45866</v>
      </c>
      <c r="AK46" s="746" t="n">
        <v>45873</v>
      </c>
      <c r="AL46" s="746" t="n">
        <v>45880</v>
      </c>
      <c r="AM46" s="746" t="n">
        <v>45887</v>
      </c>
      <c r="AN46" s="746" t="n">
        <v>45894</v>
      </c>
      <c r="AO46" s="746" t="n">
        <v>45901</v>
      </c>
      <c r="AP46" s="746" t="n">
        <v>45908</v>
      </c>
      <c r="AQ46" s="746" t="n">
        <v>45915</v>
      </c>
      <c r="AR46" s="746" t="n">
        <v>45922</v>
      </c>
      <c r="AS46" s="746" t="n">
        <v>45929</v>
      </c>
      <c r="AT46" s="746" t="n">
        <v>45936</v>
      </c>
      <c r="AU46" s="746" t="n">
        <v>45943</v>
      </c>
      <c r="AV46" s="746" t="n">
        <v>45950</v>
      </c>
      <c r="AW46" s="746" t="n">
        <v>45957</v>
      </c>
      <c r="AX46" s="746" t="n">
        <v>45964</v>
      </c>
      <c r="AY46" s="746" t="n">
        <v>45971</v>
      </c>
      <c r="AZ46" s="746" t="n">
        <v>45978</v>
      </c>
      <c r="BA46" s="746" t="n">
        <v>45985</v>
      </c>
      <c r="BB46" s="746" t="n">
        <v>45992</v>
      </c>
      <c r="BC46" s="746" t="n">
        <v>45999</v>
      </c>
      <c r="BD46" s="746" t="n">
        <v>46006</v>
      </c>
      <c r="BE46" s="746" t="n">
        <v>46013</v>
      </c>
      <c r="BF46" s="746" t="n">
        <v>46020</v>
      </c>
      <c r="BG46" s="746" t="n">
        <v>46027</v>
      </c>
      <c r="BH46" s="746" t="n">
        <v>46034</v>
      </c>
      <c r="BI46" s="746" t="n">
        <v>46041</v>
      </c>
      <c r="BJ46" s="746" t="n">
        <v>46048</v>
      </c>
      <c r="BK46" s="746" t="n">
        <v>46055</v>
      </c>
      <c r="BL46" s="746" t="n">
        <v>46062</v>
      </c>
      <c r="BM46" s="746" t="n">
        <v>46069</v>
      </c>
      <c r="BN46" s="746" t="n">
        <v>46076</v>
      </c>
      <c r="BO46" s="746" t="n">
        <v>46083</v>
      </c>
      <c r="BP46" s="746" t="n">
        <v>46090</v>
      </c>
      <c r="BQ46" s="746" t="n">
        <v>46097</v>
      </c>
      <c r="BR46" s="746" t="n">
        <v>46104</v>
      </c>
      <c r="BS46" s="746" t="n">
        <v>46111</v>
      </c>
      <c r="BT46" s="746" t="n">
        <v>46118</v>
      </c>
      <c r="BU46" s="746" t="n">
        <v>46125</v>
      </c>
      <c r="BV46" s="746" t="n">
        <v>46132</v>
      </c>
      <c r="BW46" s="746" t="n">
        <v>46139</v>
      </c>
      <c r="BX46" s="746" t="n">
        <v>46146</v>
      </c>
      <c r="BY46" s="746" t="n">
        <v>46154</v>
      </c>
      <c r="BZ46" s="748" t="inlineStr">
        <is>
          <t>USOU</t>
        </is>
      </c>
      <c r="CB46" s="44" t="inlineStr">
        <is>
          <t>Pendências</t>
        </is>
      </c>
      <c r="CC46" s="44" t="inlineStr">
        <is>
          <t>Pendências</t>
        </is>
      </c>
      <c r="CE46" s="12" t="inlineStr">
        <is>
          <t>Novo Pedido</t>
        </is>
      </c>
      <c r="CG46" s="794" t="n">
        <v>46149</v>
      </c>
      <c r="CH46" s="794" t="n">
        <v>46142</v>
      </c>
      <c r="CI46" s="794" t="n">
        <v>46114</v>
      </c>
      <c r="CJ46" s="794" t="n">
        <v>46107</v>
      </c>
      <c r="CK46" s="795" t="n">
        <v>46065</v>
      </c>
      <c r="CL46" s="794" t="n">
        <v>46099</v>
      </c>
      <c r="CM46" s="794" t="n">
        <v>46092</v>
      </c>
      <c r="CN46" s="796" t="n">
        <v>46045</v>
      </c>
      <c r="CO46" s="794" t="n">
        <v>46077</v>
      </c>
      <c r="CP46" s="794" t="n">
        <v>46048</v>
      </c>
      <c r="CQ46" s="794" t="n">
        <v>46043</v>
      </c>
      <c r="CR46" s="794" t="n">
        <v>46024</v>
      </c>
      <c r="CS46" s="794" t="n">
        <v>46017</v>
      </c>
      <c r="CT46" s="794" t="n">
        <v>46007</v>
      </c>
      <c r="CU46" s="794" t="n">
        <v>46001</v>
      </c>
      <c r="CV46" s="794" t="n">
        <v>46001</v>
      </c>
      <c r="CW46" s="794" t="n">
        <v>45994</v>
      </c>
      <c r="CX46" s="794" t="n">
        <v>45986</v>
      </c>
      <c r="CY46" s="794" t="n">
        <v>45980</v>
      </c>
      <c r="CZ46" s="794" t="n">
        <v>45980</v>
      </c>
      <c r="DA46" s="797" t="n">
        <v>45982</v>
      </c>
      <c r="DB46" s="794" t="n">
        <v>45973</v>
      </c>
      <c r="DC46" s="794" t="n">
        <v>45965</v>
      </c>
      <c r="DD46" s="794" t="n">
        <v>45960</v>
      </c>
      <c r="DE46" s="794" t="n">
        <v>45951</v>
      </c>
      <c r="DF46" s="737" t="n">
        <v>45903</v>
      </c>
      <c r="DG46" s="794" t="n">
        <v>45945</v>
      </c>
      <c r="DH46" s="794" t="n">
        <v>45937</v>
      </c>
      <c r="DI46" s="794" t="n">
        <v>45931</v>
      </c>
      <c r="DJ46" s="794" t="n">
        <v>45931</v>
      </c>
      <c r="DK46" s="794" t="n">
        <v>45915</v>
      </c>
      <c r="DL46" s="794" t="n">
        <v>45923</v>
      </c>
      <c r="DM46" s="794" t="n">
        <v>45903</v>
      </c>
      <c r="DN46" s="794" t="n">
        <v>45915</v>
      </c>
      <c r="DO46" s="797" t="n">
        <v>45918</v>
      </c>
      <c r="DP46" s="794" t="n">
        <v>45909</v>
      </c>
      <c r="DQ46" s="738" t="n">
        <v>45903</v>
      </c>
      <c r="DR46" s="794" t="n">
        <v>45895</v>
      </c>
      <c r="DS46" s="797" t="n">
        <v>45896</v>
      </c>
      <c r="DT46" s="794" t="n">
        <v>45881</v>
      </c>
      <c r="DU46" s="738" t="n">
        <v>45839</v>
      </c>
      <c r="DV46" s="794" t="n">
        <v>45888</v>
      </c>
      <c r="DW46" s="794" t="n">
        <v>45881</v>
      </c>
      <c r="DX46" s="797" t="n">
        <v>45881</v>
      </c>
      <c r="DY46" s="794" t="n">
        <v>45874</v>
      </c>
      <c r="DZ46" s="797" t="n">
        <v>45876</v>
      </c>
      <c r="EA46" s="794" t="n">
        <v>45867</v>
      </c>
      <c r="EB46" s="794" t="n">
        <v>45867</v>
      </c>
      <c r="EC46" s="794" t="n">
        <v>45860</v>
      </c>
      <c r="ED46" s="797" t="n">
        <v>45861</v>
      </c>
      <c r="EE46" s="797" t="n">
        <v>45860</v>
      </c>
      <c r="EF46" s="794" t="n">
        <v>45853</v>
      </c>
      <c r="EG46" s="739" t="n">
        <v>45855</v>
      </c>
      <c r="EH46" s="794" t="n">
        <v>45848</v>
      </c>
      <c r="EI46" s="794" t="n">
        <v>45839</v>
      </c>
      <c r="EJ46" s="794" t="n">
        <v>45839</v>
      </c>
      <c r="EK46" s="797" t="n">
        <v>45835</v>
      </c>
      <c r="EL46" s="794" t="n">
        <v>45790</v>
      </c>
      <c r="EM46" s="794" t="n">
        <v>45825</v>
      </c>
      <c r="EN46" s="794" t="n">
        <v>45819</v>
      </c>
      <c r="EO46" s="794" t="n">
        <v>45813</v>
      </c>
      <c r="EP46" s="794" t="n">
        <v>45797</v>
      </c>
      <c r="EQ46" s="797" t="n">
        <v>45811</v>
      </c>
      <c r="ER46" s="797" t="n">
        <v>45810</v>
      </c>
      <c r="ES46" s="797" t="n">
        <v>45806</v>
      </c>
      <c r="ET46" s="797" t="n">
        <v>45803</v>
      </c>
      <c r="EU46" s="755" t="n">
        <v>45803</v>
      </c>
      <c r="EV46" s="794" t="n">
        <v>45784</v>
      </c>
      <c r="EW46" s="797" t="n">
        <v>45796</v>
      </c>
      <c r="EX46" s="794" t="n">
        <v>45784</v>
      </c>
      <c r="EY46" s="794" t="n">
        <v>45764</v>
      </c>
      <c r="EZ46" s="797" t="n">
        <v>45791</v>
      </c>
      <c r="FA46" s="794" t="n">
        <v>45783</v>
      </c>
      <c r="FB46" s="794" t="n">
        <v>45770</v>
      </c>
      <c r="FC46" s="794" t="n">
        <v>45775</v>
      </c>
      <c r="FD46" s="794" t="n">
        <v>45770</v>
      </c>
      <c r="FE46" s="794" t="n">
        <v>45770</v>
      </c>
      <c r="FF46" s="797" t="n">
        <v>45775</v>
      </c>
      <c r="FG46" s="797" t="n">
        <v>45770</v>
      </c>
      <c r="FH46" s="794" t="n">
        <v>45756</v>
      </c>
      <c r="FI46" s="794" t="n">
        <v>45735</v>
      </c>
      <c r="FJ46" s="797" t="n">
        <v>45751</v>
      </c>
      <c r="FK46" s="794" t="n">
        <v>45743</v>
      </c>
      <c r="FL46" s="746" t="n">
        <v>45729</v>
      </c>
      <c r="FM46" s="794" t="n">
        <v>45722</v>
      </c>
      <c r="FN46" s="794" t="n">
        <v>45722</v>
      </c>
      <c r="FO46" s="746" t="n">
        <v>45700</v>
      </c>
      <c r="FP46" s="797" t="n">
        <v>45722</v>
      </c>
      <c r="FQ46" s="794" t="n">
        <v>45714</v>
      </c>
      <c r="FR46" s="794" t="n">
        <v>45706</v>
      </c>
      <c r="FS46" s="794" t="n">
        <v>45684</v>
      </c>
      <c r="FT46" s="794" t="n">
        <v>45699</v>
      </c>
      <c r="FU46" s="794" t="n">
        <v>45693</v>
      </c>
      <c r="FV46" s="797" t="n">
        <v>45687</v>
      </c>
      <c r="FW46" s="794" t="n">
        <v>45685</v>
      </c>
      <c r="FX46" s="797" t="n">
        <v>45684</v>
      </c>
      <c r="FY46" s="794" t="n">
        <v>45674</v>
      </c>
      <c r="FZ46" s="794" t="n">
        <v>45664</v>
      </c>
      <c r="GA46" s="794" t="n">
        <v>45660</v>
      </c>
      <c r="GB46" s="794" t="n">
        <v>45660</v>
      </c>
      <c r="GC46" s="794" t="n">
        <v>45652</v>
      </c>
      <c r="GD46" s="794" t="n">
        <v>45643</v>
      </c>
    </row>
    <row r="47">
      <c r="A47" s="37" t="inlineStr">
        <is>
          <t>SACOLA P - QDB</t>
        </is>
      </c>
      <c r="B47" s="699" t="n">
        <v>300</v>
      </c>
      <c r="C47" s="762" t="n">
        <v>169.8</v>
      </c>
      <c r="D47" s="382" t="n">
        <v>0</v>
      </c>
      <c r="F47" s="153">
        <f>300+GC47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53" t="n">
        <v>0</v>
      </c>
      <c r="BZ47" s="198">
        <f>BX47+IF(NOT(ISBLANK(OFFSET(BZ47,0,6))),N(OFFSET(BZ47,0,6)),N(OFFSET(BZ47,0,7)))-BY47</f>
        <v/>
      </c>
      <c r="CB47" s="161" t="n"/>
      <c r="CC47" s="161" t="n"/>
      <c r="CE47" s="27" t="n"/>
      <c r="CG47" s="135" t="n">
        <v>0</v>
      </c>
      <c r="CH47" s="135" t="n">
        <v>0</v>
      </c>
      <c r="CI47" s="135" t="n"/>
      <c r="CJ47" s="135" t="n"/>
      <c r="CK47" s="135" t="n"/>
      <c r="CL47" s="135" t="n"/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135" t="n"/>
      <c r="DA47" s="374" t="n"/>
      <c r="DB47" s="135" t="n"/>
      <c r="DC47" s="135" t="n"/>
      <c r="DD47" s="135" t="n"/>
      <c r="DE47" s="135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135" t="n"/>
      <c r="DQ47" s="23" t="n"/>
      <c r="DR47" s="135" t="n"/>
      <c r="DS47" s="135" t="n"/>
      <c r="DT47" s="135" t="n"/>
      <c r="DU47" s="23" t="n"/>
      <c r="DV47" s="135" t="n"/>
      <c r="DW47" s="135" t="n"/>
      <c r="DX47" s="135" t="n"/>
      <c r="DY47" s="135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135" t="n"/>
      <c r="FL47" s="219" t="n"/>
      <c r="FM47" s="135" t="n"/>
      <c r="FN47" s="135" t="n"/>
      <c r="FO47" s="219" t="n"/>
      <c r="FP47" s="135" t="n"/>
      <c r="FQ47" s="135" t="n"/>
      <c r="FR47" s="135" t="n"/>
      <c r="FS47" s="135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/>
      <c r="GC47" s="135" t="n">
        <v>600</v>
      </c>
      <c r="GD47" s="135" t="n"/>
    </row>
    <row r="48">
      <c r="A48" s="37" t="inlineStr">
        <is>
          <t>SACOLA M - QDB</t>
        </is>
      </c>
      <c r="B48" s="699" t="n">
        <v>200</v>
      </c>
      <c r="C48" s="762" t="n">
        <v>175.22</v>
      </c>
      <c r="D48" s="382" t="n">
        <v>0</v>
      </c>
      <c r="F48" s="153">
        <f>0+GC48</f>
        <v/>
      </c>
      <c r="G48" s="153" t="n">
        <v>200</v>
      </c>
      <c r="H48" s="153" t="n">
        <v>600</v>
      </c>
      <c r="I48" s="153">
        <f>600+FY48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53" t="n">
        <v>0</v>
      </c>
      <c r="BZ48" s="198">
        <f>BX48+IF(NOT(ISBLANK(OFFSET(BZ48,0,6))),N(OFFSET(BZ48,0,6)),N(OFFSET(BZ48,0,7)))-BY48</f>
        <v/>
      </c>
      <c r="CB48" s="161" t="n"/>
      <c r="CC48" s="161" t="n"/>
      <c r="CE48" s="27" t="n"/>
      <c r="CG48" s="135" t="n">
        <v>0</v>
      </c>
      <c r="CH48" s="135" t="n">
        <v>0</v>
      </c>
      <c r="CI48" s="135" t="n"/>
      <c r="CJ48" s="135" t="n"/>
      <c r="CK48" s="135" t="n"/>
      <c r="CL48" s="135" t="n"/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135" t="n"/>
      <c r="DA48" s="374" t="n"/>
      <c r="DB48" s="135" t="n"/>
      <c r="DC48" s="135" t="n"/>
      <c r="DD48" s="135" t="n"/>
      <c r="DE48" s="135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135" t="n"/>
      <c r="DQ48" s="23" t="n"/>
      <c r="DR48" s="135" t="n"/>
      <c r="DS48" s="135" t="n"/>
      <c r="DT48" s="135" t="n"/>
      <c r="DU48" s="23" t="n"/>
      <c r="DV48" s="135" t="n"/>
      <c r="DW48" s="135" t="n"/>
      <c r="DX48" s="135" t="n"/>
      <c r="DY48" s="135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135" t="n"/>
      <c r="FL48" s="219" t="n"/>
      <c r="FM48" s="135" t="n"/>
      <c r="FN48" s="135" t="n"/>
      <c r="FO48" s="219" t="n"/>
      <c r="FP48" s="135" t="n"/>
      <c r="FQ48" s="135" t="n"/>
      <c r="FR48" s="135" t="n"/>
      <c r="FS48" s="135" t="n"/>
      <c r="FT48" s="135" t="n"/>
      <c r="FU48" s="135" t="n"/>
      <c r="FV48" s="135" t="n"/>
      <c r="FW48" s="135" t="n"/>
      <c r="FX48" s="135" t="n"/>
      <c r="FY48" s="135" t="n">
        <v>400</v>
      </c>
      <c r="FZ48" s="135" t="n"/>
      <c r="GA48" s="135" t="n">
        <v>600</v>
      </c>
      <c r="GB48" s="135" t="n"/>
      <c r="GC48" s="135" t="n">
        <v>200</v>
      </c>
      <c r="GD48" s="135" t="n">
        <v>400</v>
      </c>
    </row>
    <row r="49">
      <c r="A49" s="37" t="inlineStr">
        <is>
          <t>SACOLA G - QDB</t>
        </is>
      </c>
      <c r="B49" s="699" t="n">
        <v>200</v>
      </c>
      <c r="C49" s="762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53" t="n">
        <v>0</v>
      </c>
      <c r="BZ49" s="198">
        <f>BX49+IF(NOT(ISBLANK(OFFSET(BZ49,0,6))),N(OFFSET(BZ49,0,6)),N(OFFSET(BZ49,0,7)))-BY49</f>
        <v/>
      </c>
      <c r="CB49" s="161" t="n"/>
      <c r="CC49" s="161" t="n"/>
      <c r="CE49" s="27" t="n"/>
      <c r="CG49" s="135" t="n">
        <v>0</v>
      </c>
      <c r="CH49" s="135" t="n">
        <v>0</v>
      </c>
      <c r="CI49" s="135" t="n"/>
      <c r="CJ49" s="135" t="n"/>
      <c r="CK49" s="135" t="n"/>
      <c r="CL49" s="135" t="n"/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135" t="n"/>
      <c r="DA49" s="374" t="n"/>
      <c r="DB49" s="135" t="n"/>
      <c r="DC49" s="135" t="n"/>
      <c r="DD49" s="135" t="n"/>
      <c r="DE49" s="135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135" t="n"/>
      <c r="DQ49" s="23" t="n"/>
      <c r="DR49" s="135" t="n"/>
      <c r="DS49" s="135" t="n"/>
      <c r="DT49" s="135" t="n"/>
      <c r="DU49" s="23" t="n"/>
      <c r="DV49" s="135" t="n"/>
      <c r="DW49" s="135" t="n"/>
      <c r="DX49" s="135" t="n"/>
      <c r="DY49" s="135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135" t="n"/>
      <c r="FL49" s="219" t="n"/>
      <c r="FM49" s="135" t="n"/>
      <c r="FN49" s="135" t="n"/>
      <c r="FO49" s="219" t="n"/>
      <c r="FP49" s="135" t="n"/>
      <c r="FQ49" s="135" t="n"/>
      <c r="FR49" s="135" t="n"/>
      <c r="FS49" s="135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  <c r="GD49" s="135" t="n"/>
    </row>
    <row r="50">
      <c r="A50" s="37" t="inlineStr">
        <is>
          <t>CAIXA P QDB</t>
        </is>
      </c>
      <c r="B50" s="699" t="n">
        <v>150</v>
      </c>
      <c r="C50" s="762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>
        <v>102</v>
      </c>
      <c r="BU50" s="153" t="n">
        <v>102</v>
      </c>
      <c r="BV50" s="153" t="n">
        <v>102</v>
      </c>
      <c r="BW50" s="153" t="n">
        <v>102</v>
      </c>
      <c r="BX50" s="153" t="n">
        <v>102</v>
      </c>
      <c r="BY50" s="153" t="n">
        <v>102</v>
      </c>
      <c r="BZ50" s="198">
        <f>BX50+IF(NOT(ISBLANK(OFFSET(BZ50,0,6))),N(OFFSET(BZ50,0,6)),N(OFFSET(BZ50,0,7)))-BY50</f>
        <v/>
      </c>
      <c r="CB50" s="38" t="n"/>
      <c r="CC50" s="38" t="n"/>
      <c r="CE50" s="27" t="n"/>
      <c r="CG50" s="135" t="n">
        <v>0</v>
      </c>
      <c r="CH50" s="135" t="n">
        <v>0</v>
      </c>
      <c r="CI50" s="135" t="n"/>
      <c r="CJ50" s="135" t="n"/>
      <c r="CK50" s="135" t="n"/>
      <c r="CL50" s="135" t="n"/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135" t="n"/>
      <c r="DA50" s="374" t="n"/>
      <c r="DB50" s="135" t="n"/>
      <c r="DC50" s="135" t="n"/>
      <c r="DD50" s="135" t="n"/>
      <c r="DE50" s="135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135" t="n"/>
      <c r="DQ50" s="290" t="n"/>
      <c r="DR50" s="135" t="n"/>
      <c r="DS50" s="135" t="n"/>
      <c r="DT50" s="135" t="n"/>
      <c r="DU50" s="290" t="n"/>
      <c r="DV50" s="135" t="n"/>
      <c r="DW50" s="135" t="n"/>
      <c r="DX50" s="135" t="n"/>
      <c r="DY50" s="135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135" t="n"/>
      <c r="EK50" s="406" t="inlineStr">
        <is>
          <t>57 P/ ERB</t>
        </is>
      </c>
      <c r="EL50" s="135" t="n"/>
      <c r="EM50" s="135" t="n"/>
      <c r="EN50" s="135" t="n"/>
      <c r="EO50" s="135" t="n"/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135" t="n"/>
      <c r="FL50" s="290" t="n"/>
      <c r="FM50" s="135" t="n"/>
      <c r="FN50" s="135" t="n"/>
      <c r="FO50" s="290" t="n"/>
      <c r="FP50" s="135" t="n"/>
      <c r="FQ50" s="135" t="n"/>
      <c r="FR50" s="135" t="n"/>
      <c r="FS50" s="135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/>
      <c r="GC50" s="135" t="n">
        <v>150</v>
      </c>
      <c r="GD50" s="135" t="n"/>
    </row>
    <row r="51">
      <c r="A51" s="37" t="inlineStr">
        <is>
          <t>CAIXA M QDB</t>
        </is>
      </c>
      <c r="B51" s="699" t="n">
        <v>100</v>
      </c>
      <c r="C51" s="762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>
        <v>40</v>
      </c>
      <c r="BU51" s="32" t="n">
        <v>40</v>
      </c>
      <c r="BV51" s="32" t="n">
        <v>40</v>
      </c>
      <c r="BW51" s="32" t="n">
        <v>40</v>
      </c>
      <c r="BX51" s="32" t="n">
        <v>40</v>
      </c>
      <c r="BY51" s="32" t="n">
        <v>40</v>
      </c>
      <c r="BZ51" s="198">
        <f>BX51+IF(NOT(ISBLANK(OFFSET(BZ51,0,6))),N(OFFSET(BZ51,0,6)),N(OFFSET(BZ51,0,7)))-BY51</f>
        <v/>
      </c>
      <c r="CB51" s="38" t="n"/>
      <c r="CC51" s="38" t="n"/>
      <c r="CE51" s="27" t="n"/>
      <c r="CG51" s="135" t="n">
        <v>0</v>
      </c>
      <c r="CH51" s="135" t="n">
        <v>0</v>
      </c>
      <c r="CI51" s="135" t="n"/>
      <c r="CJ51" s="135" t="n"/>
      <c r="CK51" s="135" t="n"/>
      <c r="CL51" s="135" t="n"/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135" t="n"/>
      <c r="DA51" s="374" t="n"/>
      <c r="DB51" s="135" t="n"/>
      <c r="DC51" s="135" t="n"/>
      <c r="DD51" s="135" t="n"/>
      <c r="DE51" s="135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135" t="n"/>
      <c r="DQ51" s="290" t="n"/>
      <c r="DR51" s="135" t="n"/>
      <c r="DS51" s="135" t="n"/>
      <c r="DT51" s="135" t="n"/>
      <c r="DU51" s="290" t="n"/>
      <c r="DV51" s="135" t="n"/>
      <c r="DW51" s="135" t="n"/>
      <c r="DX51" s="135" t="n"/>
      <c r="DY51" s="135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135" t="n"/>
      <c r="FL51" s="290" t="n"/>
      <c r="FM51" s="135" t="n"/>
      <c r="FN51" s="135" t="n"/>
      <c r="FO51" s="290" t="n"/>
      <c r="FP51" s="135" t="n"/>
      <c r="FQ51" s="135" t="n"/>
      <c r="FR51" s="135" t="n"/>
      <c r="FS51" s="135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  <c r="GD51" s="135" t="n"/>
    </row>
    <row r="52">
      <c r="A52" s="37" t="inlineStr">
        <is>
          <t>CAIXA G QDB</t>
        </is>
      </c>
      <c r="B52" s="699" t="n">
        <v>100</v>
      </c>
      <c r="C52" s="762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>
        <v>94</v>
      </c>
      <c r="BU52" s="32" t="n">
        <v>94</v>
      </c>
      <c r="BV52" s="32" t="n">
        <v>94</v>
      </c>
      <c r="BW52" s="32" t="n">
        <v>94</v>
      </c>
      <c r="BX52" s="32" t="n">
        <v>94</v>
      </c>
      <c r="BY52" s="32" t="n">
        <v>94</v>
      </c>
      <c r="BZ52" s="198">
        <f>BX52+IF(NOT(ISBLANK(OFFSET(BZ52,0,6))),N(OFFSET(BZ52,0,6)),N(OFFSET(BZ52,0,7)))-BY52</f>
        <v/>
      </c>
      <c r="CB52" s="38" t="n"/>
      <c r="CC52" s="38" t="n"/>
      <c r="CE52" s="27" t="n"/>
      <c r="CG52" s="135" t="n">
        <v>0</v>
      </c>
      <c r="CH52" s="135" t="n">
        <v>0</v>
      </c>
      <c r="CI52" s="135" t="n"/>
      <c r="CJ52" s="135" t="n"/>
      <c r="CK52" s="135" t="n"/>
      <c r="CL52" s="135" t="n"/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135" t="n"/>
      <c r="DA52" s="374" t="n"/>
      <c r="DB52" s="135" t="n"/>
      <c r="DC52" s="135" t="n"/>
      <c r="DD52" s="135" t="n"/>
      <c r="DE52" s="135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135" t="n"/>
      <c r="DQ52" s="290" t="n"/>
      <c r="DR52" s="135" t="n"/>
      <c r="DS52" s="135" t="n"/>
      <c r="DT52" s="135" t="n"/>
      <c r="DU52" s="290" t="n"/>
      <c r="DV52" s="135" t="n"/>
      <c r="DW52" s="135" t="n"/>
      <c r="DX52" s="135" t="n"/>
      <c r="DY52" s="135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135" t="n"/>
      <c r="FL52" s="290" t="n"/>
      <c r="FM52" s="135" t="n"/>
      <c r="FN52" s="135" t="n"/>
      <c r="FO52" s="290" t="n"/>
      <c r="FP52" s="135" t="n"/>
      <c r="FQ52" s="135" t="n"/>
      <c r="FR52" s="135" t="n"/>
      <c r="FS52" s="135" t="n"/>
      <c r="FT52" s="135" t="n"/>
      <c r="FU52" s="135" t="n"/>
      <c r="FV52" s="135" t="n"/>
      <c r="FW52" s="135" t="n"/>
      <c r="FX52" s="135" t="n"/>
      <c r="FY52" s="135" t="n"/>
      <c r="FZ52" s="135" t="n"/>
      <c r="GA52" s="135" t="n">
        <v>100</v>
      </c>
      <c r="GB52" s="135" t="n"/>
      <c r="GC52" s="135" t="n"/>
      <c r="GD52" s="135" t="n"/>
    </row>
    <row r="53">
      <c r="A53" s="35" t="n"/>
      <c r="B53" s="2" t="n"/>
      <c r="C53" s="759" t="n"/>
      <c r="D53" s="759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CB53" s="340" t="n"/>
      <c r="CC53" s="340" t="n"/>
      <c r="CE53" s="18" t="n"/>
      <c r="CG53" s="341" t="n"/>
      <c r="CH53" s="341" t="n"/>
      <c r="CI53" s="341" t="n"/>
      <c r="CJ53" s="341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341" t="n"/>
      <c r="DA53" s="453" t="n"/>
      <c r="DB53" s="341" t="n"/>
      <c r="DC53" s="341" t="n"/>
      <c r="DD53" s="341" t="n"/>
      <c r="DE53" s="341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341" t="n"/>
      <c r="DQ53" s="19" t="n"/>
      <c r="DR53" s="341" t="n"/>
      <c r="DS53" s="341" t="n"/>
      <c r="DT53" s="341" t="n"/>
      <c r="DU53" s="19" t="n"/>
      <c r="DV53" s="341" t="n"/>
      <c r="DW53" s="341" t="n"/>
      <c r="DX53" s="341" t="n"/>
      <c r="DY53" s="341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341" t="n"/>
      <c r="FL53" s="19" t="n"/>
      <c r="FM53" s="341" t="n"/>
      <c r="FN53" s="341" t="n"/>
      <c r="FO53" s="19" t="n"/>
      <c r="FP53" s="341" t="n"/>
      <c r="FQ53" s="341" t="n"/>
      <c r="FR53" s="341" t="n"/>
      <c r="FS53" s="341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  <c r="GD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45908</v>
      </c>
      <c r="AQ54" s="746" t="n">
        <v>45915</v>
      </c>
      <c r="AR54" s="746" t="n">
        <v>45922</v>
      </c>
      <c r="AS54" s="746" t="n">
        <v>45929</v>
      </c>
      <c r="AT54" s="746" t="n">
        <v>45936</v>
      </c>
      <c r="AU54" s="746" t="n">
        <v>45943</v>
      </c>
      <c r="AV54" s="746" t="n">
        <v>45950</v>
      </c>
      <c r="AW54" s="746" t="n">
        <v>45957</v>
      </c>
      <c r="AX54" s="746" t="n">
        <v>45964</v>
      </c>
      <c r="AY54" s="746" t="n">
        <v>45971</v>
      </c>
      <c r="AZ54" s="746" t="n">
        <v>45978</v>
      </c>
      <c r="BA54" s="746" t="n">
        <v>45985</v>
      </c>
      <c r="BB54" s="746" t="n">
        <v>45992</v>
      </c>
      <c r="BC54" s="746" t="n">
        <v>45999</v>
      </c>
      <c r="BD54" s="746" t="n">
        <v>46006</v>
      </c>
      <c r="BE54" s="746" t="n">
        <v>46013</v>
      </c>
      <c r="BF54" s="746" t="n">
        <v>46020</v>
      </c>
      <c r="BG54" s="746" t="n">
        <v>46027</v>
      </c>
      <c r="BH54" s="746" t="n">
        <v>46034</v>
      </c>
      <c r="BI54" s="746" t="n">
        <v>46041</v>
      </c>
      <c r="BJ54" s="746" t="n">
        <v>46048</v>
      </c>
      <c r="BK54" s="746" t="n">
        <v>46055</v>
      </c>
      <c r="BL54" s="746" t="n">
        <v>46062</v>
      </c>
      <c r="BM54" s="746" t="n">
        <v>46069</v>
      </c>
      <c r="BN54" s="746" t="n">
        <v>46076</v>
      </c>
      <c r="BO54" s="746" t="n">
        <v>46083</v>
      </c>
      <c r="BP54" s="746" t="n">
        <v>46090</v>
      </c>
      <c r="BQ54" s="746" t="n">
        <v>46097</v>
      </c>
      <c r="BR54" s="746" t="n">
        <v>46104</v>
      </c>
      <c r="BS54" s="746" t="n">
        <v>46111</v>
      </c>
      <c r="BT54" s="746" t="n">
        <v>46118</v>
      </c>
      <c r="BU54" s="746" t="n">
        <v>46125</v>
      </c>
      <c r="BV54" s="746" t="n">
        <v>46132</v>
      </c>
      <c r="BW54" s="746" t="n">
        <v>46139</v>
      </c>
      <c r="BX54" s="746" t="n">
        <v>46146</v>
      </c>
      <c r="BY54" s="746" t="n">
        <v>46154</v>
      </c>
      <c r="BZ54" s="758" t="inlineStr">
        <is>
          <t>USOU</t>
        </is>
      </c>
      <c r="CB54" s="44" t="inlineStr">
        <is>
          <t>Pendências</t>
        </is>
      </c>
      <c r="CC54" s="44" t="inlineStr">
        <is>
          <t>Pendências</t>
        </is>
      </c>
      <c r="CE54" s="12" t="inlineStr">
        <is>
          <t>Novo Pedido</t>
        </is>
      </c>
      <c r="CG54" s="794" t="n">
        <v>46149</v>
      </c>
      <c r="CH54" s="794" t="n">
        <v>46142</v>
      </c>
      <c r="CI54" s="794" t="n">
        <v>46114</v>
      </c>
      <c r="CJ54" s="794" t="n">
        <v>46107</v>
      </c>
      <c r="CK54" s="795" t="n">
        <v>46065</v>
      </c>
      <c r="CL54" s="794" t="n">
        <v>46099</v>
      </c>
      <c r="CM54" s="794" t="n">
        <v>46092</v>
      </c>
      <c r="CN54" s="796" t="n">
        <v>46045</v>
      </c>
      <c r="CO54" s="794" t="n">
        <v>46077</v>
      </c>
      <c r="CP54" s="794" t="n">
        <v>46048</v>
      </c>
      <c r="CQ54" s="794" t="n">
        <v>46043</v>
      </c>
      <c r="CR54" s="794" t="n">
        <v>46024</v>
      </c>
      <c r="CS54" s="794" t="n">
        <v>46017</v>
      </c>
      <c r="CT54" s="794" t="n">
        <v>46007</v>
      </c>
      <c r="CU54" s="794" t="n">
        <v>46001</v>
      </c>
      <c r="CV54" s="794" t="n">
        <v>46001</v>
      </c>
      <c r="CW54" s="794" t="n">
        <v>45994</v>
      </c>
      <c r="CX54" s="794" t="n">
        <v>45986</v>
      </c>
      <c r="CY54" s="794" t="n">
        <v>45980</v>
      </c>
      <c r="CZ54" s="794" t="n">
        <v>45980</v>
      </c>
      <c r="DA54" s="797" t="n">
        <v>45982</v>
      </c>
      <c r="DB54" s="794" t="n">
        <v>45973</v>
      </c>
      <c r="DC54" s="794" t="n">
        <v>45965</v>
      </c>
      <c r="DD54" s="794" t="n">
        <v>45960</v>
      </c>
      <c r="DE54" s="794" t="n">
        <v>45951</v>
      </c>
      <c r="DF54" s="737" t="n">
        <v>45903</v>
      </c>
      <c r="DG54" s="794" t="n">
        <v>45945</v>
      </c>
      <c r="DH54" s="794" t="n">
        <v>45937</v>
      </c>
      <c r="DI54" s="794" t="n">
        <v>45931</v>
      </c>
      <c r="DJ54" s="794" t="n">
        <v>45931</v>
      </c>
      <c r="DK54" s="794" t="n">
        <v>45915</v>
      </c>
      <c r="DL54" s="794" t="n">
        <v>45923</v>
      </c>
      <c r="DM54" s="794" t="n">
        <v>45903</v>
      </c>
      <c r="DN54" s="794" t="n">
        <v>45915</v>
      </c>
      <c r="DO54" s="797" t="n">
        <v>45918</v>
      </c>
      <c r="DP54" s="794" t="n">
        <v>45909</v>
      </c>
      <c r="DQ54" s="738" t="n">
        <v>45903</v>
      </c>
      <c r="DR54" s="794" t="n">
        <v>45895</v>
      </c>
      <c r="DS54" s="797" t="n">
        <v>45896</v>
      </c>
      <c r="DT54" s="794" t="n">
        <v>45881</v>
      </c>
      <c r="DU54" s="738" t="n">
        <v>45839</v>
      </c>
      <c r="DV54" s="794" t="n">
        <v>45888</v>
      </c>
      <c r="DW54" s="794" t="n">
        <v>45881</v>
      </c>
      <c r="DX54" s="797" t="n">
        <v>45881</v>
      </c>
      <c r="DY54" s="794" t="n">
        <v>45874</v>
      </c>
      <c r="DZ54" s="797" t="n">
        <v>45876</v>
      </c>
      <c r="EA54" s="794" t="n">
        <v>45867</v>
      </c>
      <c r="EB54" s="794" t="n">
        <v>45867</v>
      </c>
      <c r="EC54" s="794" t="n">
        <v>45860</v>
      </c>
      <c r="ED54" s="797" t="n">
        <v>45861</v>
      </c>
      <c r="EE54" s="797" t="n">
        <v>45860</v>
      </c>
      <c r="EF54" s="794" t="n">
        <v>45853</v>
      </c>
      <c r="EG54" s="739" t="n">
        <v>45855</v>
      </c>
      <c r="EH54" s="794" t="n">
        <v>45848</v>
      </c>
      <c r="EI54" s="794" t="n">
        <v>45839</v>
      </c>
      <c r="EJ54" s="794" t="n">
        <v>45839</v>
      </c>
      <c r="EK54" s="797" t="n">
        <v>45835</v>
      </c>
      <c r="EL54" s="794" t="n">
        <v>45790</v>
      </c>
      <c r="EM54" s="794" t="n">
        <v>45825</v>
      </c>
      <c r="EN54" s="794" t="n">
        <v>45819</v>
      </c>
      <c r="EO54" s="794" t="n">
        <v>45813</v>
      </c>
      <c r="EP54" s="794" t="n">
        <v>45797</v>
      </c>
      <c r="EQ54" s="797" t="n">
        <v>45811</v>
      </c>
      <c r="ER54" s="797" t="n">
        <v>45810</v>
      </c>
      <c r="ES54" s="797" t="n">
        <v>45806</v>
      </c>
      <c r="ET54" s="797" t="n">
        <v>45803</v>
      </c>
      <c r="EU54" s="755" t="n">
        <v>45803</v>
      </c>
      <c r="EV54" s="794" t="n">
        <v>45784</v>
      </c>
      <c r="EW54" s="797" t="n">
        <v>45796</v>
      </c>
      <c r="EX54" s="794" t="n">
        <v>45784</v>
      </c>
      <c r="EY54" s="794" t="n">
        <v>45764</v>
      </c>
      <c r="EZ54" s="797" t="n">
        <v>45791</v>
      </c>
      <c r="FA54" s="794" t="n">
        <v>45783</v>
      </c>
      <c r="FB54" s="794" t="n">
        <v>45770</v>
      </c>
      <c r="FC54" s="794" t="n">
        <v>45775</v>
      </c>
      <c r="FD54" s="794" t="n">
        <v>45770</v>
      </c>
      <c r="FE54" s="794" t="n">
        <v>45770</v>
      </c>
      <c r="FF54" s="797" t="n">
        <v>45775</v>
      </c>
      <c r="FG54" s="797" t="n">
        <v>45770</v>
      </c>
      <c r="FH54" s="794" t="n">
        <v>45756</v>
      </c>
      <c r="FI54" s="794" t="n">
        <v>45735</v>
      </c>
      <c r="FJ54" s="797" t="n">
        <v>45751</v>
      </c>
      <c r="FK54" s="794" t="n">
        <v>45743</v>
      </c>
      <c r="FL54" s="746" t="n">
        <v>45729</v>
      </c>
      <c r="FM54" s="794" t="n">
        <v>45722</v>
      </c>
      <c r="FN54" s="794" t="n">
        <v>45722</v>
      </c>
      <c r="FO54" s="746" t="n">
        <v>45700</v>
      </c>
      <c r="FP54" s="797" t="n">
        <v>45722</v>
      </c>
      <c r="FQ54" s="794" t="n">
        <v>45714</v>
      </c>
      <c r="FR54" s="794" t="n">
        <v>45706</v>
      </c>
      <c r="FS54" s="794" t="n">
        <v>45684</v>
      </c>
      <c r="FT54" s="794" t="n">
        <v>45699</v>
      </c>
      <c r="FU54" s="794" t="n">
        <v>45693</v>
      </c>
      <c r="FV54" s="797" t="n">
        <v>45687</v>
      </c>
      <c r="FW54" s="794" t="n">
        <v>45685</v>
      </c>
      <c r="FX54" s="797" t="n">
        <v>45684</v>
      </c>
      <c r="FY54" s="794" t="n">
        <v>45674</v>
      </c>
      <c r="FZ54" s="794" t="n">
        <v>45664</v>
      </c>
      <c r="GA54" s="794" t="n">
        <v>45660</v>
      </c>
      <c r="GB54" s="794" t="n">
        <v>45660</v>
      </c>
      <c r="GC54" s="794" t="n">
        <v>45652</v>
      </c>
      <c r="GD54" s="794" t="n">
        <v>45643</v>
      </c>
    </row>
    <row r="55">
      <c r="A55" s="37" t="inlineStr">
        <is>
          <t>SACOLA P EUDORA</t>
        </is>
      </c>
      <c r="B55" s="699" t="n">
        <v>200</v>
      </c>
      <c r="C55" s="762" t="n">
        <v>174.51</v>
      </c>
      <c r="D55" s="382" t="inlineStr">
        <is>
          <t>?</t>
        </is>
      </c>
      <c r="F55" s="697" t="n"/>
      <c r="G55" s="697" t="n"/>
      <c r="H55" s="697" t="n"/>
      <c r="I55" s="697" t="n"/>
      <c r="J55" s="697" t="n"/>
      <c r="K55" s="697" t="n"/>
      <c r="L55" s="697" t="n"/>
      <c r="M55" s="697" t="n"/>
      <c r="N55" s="697" t="n"/>
      <c r="O55" s="697" t="n"/>
      <c r="P55" s="697" t="n"/>
      <c r="Q55" s="697" t="n"/>
      <c r="R55" s="697" t="n"/>
      <c r="S55" s="697" t="n"/>
      <c r="T55" s="697" t="n"/>
      <c r="U55" s="697" t="n"/>
      <c r="V55" s="697" t="n"/>
      <c r="W55" s="697" t="n"/>
      <c r="X55" s="697" t="n">
        <v>0</v>
      </c>
      <c r="Y55" s="697" t="n">
        <v>0</v>
      </c>
      <c r="Z55" s="697" t="n">
        <v>800</v>
      </c>
      <c r="AA55" s="697" t="n">
        <v>800</v>
      </c>
      <c r="AB55" s="697" t="n">
        <v>800</v>
      </c>
      <c r="AC55" s="697" t="n">
        <v>0</v>
      </c>
      <c r="AD55" s="697" t="n">
        <v>1000</v>
      </c>
      <c r="AE55" s="237">
        <f>800+EL55</f>
        <v/>
      </c>
      <c r="AF55" s="237" t="n">
        <v>0</v>
      </c>
      <c r="AG55" s="237">
        <f>0+EJ55</f>
        <v/>
      </c>
      <c r="AH55" s="237" t="n">
        <v>800</v>
      </c>
      <c r="AI55" s="237">
        <f>200+EF55</f>
        <v/>
      </c>
      <c r="AJ55" s="237" t="n">
        <v>800</v>
      </c>
      <c r="AK55" s="237" t="n">
        <v>200</v>
      </c>
      <c r="AL55" s="237">
        <f>600+DY55</f>
        <v/>
      </c>
      <c r="AM55" s="237" t="n">
        <v>600</v>
      </c>
      <c r="AN55" s="237">
        <f>600+DV55</f>
        <v/>
      </c>
      <c r="AO55" s="237">
        <f>1600+DM55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800+DJ55</f>
        <v/>
      </c>
      <c r="AU55" s="237" t="n">
        <v>1200</v>
      </c>
      <c r="AV55" s="237">
        <f>1200+DG55</f>
        <v/>
      </c>
      <c r="AW55" s="237" t="n">
        <v>2200</v>
      </c>
      <c r="AX55" s="237" t="n">
        <v>1200</v>
      </c>
      <c r="AY55" s="237" t="n">
        <v>1800</v>
      </c>
      <c r="AZ55" s="237">
        <f>900+DB55</f>
        <v/>
      </c>
      <c r="BA55" s="237" t="n">
        <v>0</v>
      </c>
      <c r="BB55" s="237">
        <f>0+CY55+CX55</f>
        <v/>
      </c>
      <c r="BC55" s="237" t="n">
        <v>3800</v>
      </c>
      <c r="BD55" s="237" t="n">
        <v>3600</v>
      </c>
      <c r="BE55" s="237">
        <f>3600+CU55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237" t="n">
        <v>400</v>
      </c>
      <c r="BZ55" s="198">
        <f>BX55+IF(NOT(ISBLANK(OFFSET(BZ55,0,6))),N(OFFSET(BZ55,0,6)),N(OFFSET(BZ55,0,7)))-BY55</f>
        <v/>
      </c>
      <c r="CB55" s="161" t="n"/>
      <c r="CC55" s="161" t="n"/>
      <c r="CE55" s="27" t="n">
        <v>800</v>
      </c>
      <c r="CG55" s="135" t="n">
        <v>0</v>
      </c>
      <c r="CH55" s="135" t="n">
        <v>0</v>
      </c>
      <c r="CI55" s="135" t="n">
        <v>1000</v>
      </c>
      <c r="CJ55" s="135" t="n"/>
      <c r="CK55" s="135" t="n"/>
      <c r="CL55" s="135" t="n"/>
      <c r="CM55" s="135" t="n"/>
      <c r="CN55" s="135" t="n"/>
      <c r="CO55" s="135" t="n">
        <v>2000</v>
      </c>
      <c r="CP55" s="135" t="n"/>
      <c r="CQ55" s="135" t="n"/>
      <c r="CR55" s="135" t="n"/>
      <c r="CS55" s="135" t="n"/>
      <c r="CT55" s="135" t="n"/>
      <c r="CU55" s="135" t="n">
        <v>800</v>
      </c>
      <c r="CV55" s="135" t="n"/>
      <c r="CW55" s="135" t="n"/>
      <c r="CX55" s="135" t="n">
        <v>2000</v>
      </c>
      <c r="CY55" s="135" t="n">
        <v>1000</v>
      </c>
      <c r="CZ55" s="135" t="n"/>
      <c r="DA55" s="374" t="n"/>
      <c r="DB55" s="135" t="n">
        <v>1000</v>
      </c>
      <c r="DC55" s="135" t="n">
        <v>1400</v>
      </c>
      <c r="DD55" s="135" t="n"/>
      <c r="DE55" s="135" t="n"/>
      <c r="DF55" s="135" t="n"/>
      <c r="DG55" s="135" t="n">
        <v>2000</v>
      </c>
      <c r="DH55" s="135" t="n"/>
      <c r="DI55" s="135" t="n"/>
      <c r="DJ55" s="135" t="n">
        <v>1600</v>
      </c>
      <c r="DK55" s="135" t="n"/>
      <c r="DL55" s="135" t="n"/>
      <c r="DM55" s="135" t="n">
        <v>2000</v>
      </c>
      <c r="DN55" s="135" t="n"/>
      <c r="DO55" s="135" t="n"/>
      <c r="DP55" s="135" t="n"/>
      <c r="DQ55" s="23" t="n"/>
      <c r="DR55" s="135" t="n"/>
      <c r="DS55" s="135" t="n"/>
      <c r="DT55" s="135" t="n">
        <v>400</v>
      </c>
      <c r="DU55" s="23" t="n"/>
      <c r="DV55" s="135" t="n">
        <v>1000</v>
      </c>
      <c r="DW55" s="135" t="n"/>
      <c r="DX55" s="135" t="n"/>
      <c r="DY55" s="135" t="n">
        <v>600</v>
      </c>
      <c r="DZ55" s="135" t="n"/>
      <c r="EA55" s="135" t="n">
        <v>800</v>
      </c>
      <c r="EB55" s="135" t="n"/>
      <c r="EC55" s="135" t="n">
        <v>800</v>
      </c>
      <c r="ED55" s="135" t="n"/>
      <c r="EE55" s="135" t="n"/>
      <c r="EF55" s="135" t="n">
        <v>600</v>
      </c>
      <c r="EG55" s="135" t="n"/>
      <c r="EH55" s="135" t="n"/>
      <c r="EI55" s="135" t="n"/>
      <c r="EJ55" s="135" t="n">
        <v>1400</v>
      </c>
      <c r="EK55" s="135" t="n"/>
      <c r="EL55" s="135" t="n">
        <v>200</v>
      </c>
      <c r="EM55" s="135" t="n"/>
      <c r="EN55" s="135" t="n">
        <v>1000</v>
      </c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>
        <v>800</v>
      </c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135" t="n"/>
      <c r="FL55" s="219" t="n"/>
      <c r="FM55" s="135" t="n"/>
      <c r="FN55" s="135" t="n"/>
      <c r="FO55" s="219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  <c r="GD55" s="135" t="n"/>
    </row>
    <row r="56" ht="18" customHeight="1">
      <c r="A56" s="37" t="inlineStr">
        <is>
          <t>SACOLA M EUDORA</t>
        </is>
      </c>
      <c r="B56" s="699" t="n">
        <v>200</v>
      </c>
      <c r="C56" s="762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697" t="n"/>
      <c r="N56" s="697" t="n"/>
      <c r="O56" s="697" t="n"/>
      <c r="P56" s="697" t="n"/>
      <c r="Q56" s="697" t="n"/>
      <c r="R56" s="697" t="n"/>
      <c r="S56" s="697" t="n"/>
      <c r="T56" s="697" t="n"/>
      <c r="U56" s="697" t="n"/>
      <c r="V56" s="697" t="n"/>
      <c r="W56" s="697" t="n"/>
      <c r="X56" s="697" t="n">
        <v>0</v>
      </c>
      <c r="Y56" s="697" t="n">
        <v>0</v>
      </c>
      <c r="Z56" s="697" t="n">
        <v>600</v>
      </c>
      <c r="AA56" s="697" t="n">
        <v>600</v>
      </c>
      <c r="AB56" s="697" t="n">
        <v>600</v>
      </c>
      <c r="AC56" s="697" t="n">
        <v>0</v>
      </c>
      <c r="AD56" s="697" t="n">
        <v>600</v>
      </c>
      <c r="AE56" s="697" t="n">
        <v>400</v>
      </c>
      <c r="AF56" s="697" t="n">
        <v>0</v>
      </c>
      <c r="AG56" s="237">
        <f>0+EJ56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200+DG56</f>
        <v/>
      </c>
      <c r="AW56" s="237" t="n">
        <v>600</v>
      </c>
      <c r="AX56" s="237" t="n">
        <v>200</v>
      </c>
      <c r="AY56" s="237">
        <f>600+DC56</f>
        <v/>
      </c>
      <c r="AZ56" s="237">
        <f>1000+DB56</f>
        <v/>
      </c>
      <c r="BA56" s="237" t="n">
        <v>0</v>
      </c>
      <c r="BB56" s="237">
        <f>600+CX56</f>
        <v/>
      </c>
      <c r="BC56" s="237" t="n">
        <v>2000</v>
      </c>
      <c r="BD56" s="237" t="n">
        <v>1800</v>
      </c>
      <c r="BE56" s="237">
        <f>1800+CU56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2200+CL56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237" t="n">
        <v>5000</v>
      </c>
      <c r="BZ56" s="198">
        <f>BX56+IF(NOT(ISBLANK(OFFSET(BZ56,0,6))),N(OFFSET(BZ56,0,6)),N(OFFSET(BZ56,0,7)))-BY56</f>
        <v/>
      </c>
      <c r="CB56" s="161" t="n"/>
      <c r="CC56" s="469" t="inlineStr">
        <is>
          <t>1000 P/ ERB</t>
        </is>
      </c>
      <c r="CE56" s="27" t="n"/>
      <c r="CG56" s="135" t="n">
        <v>0</v>
      </c>
      <c r="CH56" s="135" t="n">
        <v>0</v>
      </c>
      <c r="CI56" s="135" t="n"/>
      <c r="CJ56" s="135" t="n"/>
      <c r="CK56" s="135" t="n"/>
      <c r="CL56" s="135" t="n">
        <v>2000</v>
      </c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>
        <v>1600</v>
      </c>
      <c r="CV56" s="135" t="n"/>
      <c r="CW56" s="135" t="n"/>
      <c r="CX56" s="135" t="n">
        <v>1600</v>
      </c>
      <c r="CY56" s="135" t="n"/>
      <c r="CZ56" s="135" t="n"/>
      <c r="DA56" s="374" t="n"/>
      <c r="DB56" s="135" t="n">
        <v>400</v>
      </c>
      <c r="DC56" s="135" t="n">
        <v>400</v>
      </c>
      <c r="DD56" s="135" t="n"/>
      <c r="DE56" s="135" t="n"/>
      <c r="DF56" s="135" t="n"/>
      <c r="DG56" s="135" t="n">
        <v>400</v>
      </c>
      <c r="DH56" s="135" t="n"/>
      <c r="DI56" s="135" t="n"/>
      <c r="DJ56" s="135" t="n"/>
      <c r="DK56" s="135" t="n"/>
      <c r="DL56" s="135" t="n"/>
      <c r="DM56" s="135" t="n"/>
      <c r="DN56" s="135" t="n"/>
      <c r="DO56" s="135" t="n"/>
      <c r="DP56" s="135" t="n"/>
      <c r="DQ56" s="23" t="n"/>
      <c r="DR56" s="135" t="n"/>
      <c r="DS56" s="135" t="n"/>
      <c r="DT56" s="135" t="n"/>
      <c r="DU56" s="23" t="n"/>
      <c r="DV56" s="135" t="n">
        <v>800</v>
      </c>
      <c r="DW56" s="135" t="n">
        <v>600</v>
      </c>
      <c r="DX56" s="135" t="n"/>
      <c r="DY56" s="135" t="n"/>
      <c r="DZ56" s="135" t="n"/>
      <c r="EA56" s="135" t="n">
        <v>200</v>
      </c>
      <c r="EB56" s="135" t="n"/>
      <c r="EC56" s="135" t="n">
        <v>200</v>
      </c>
      <c r="ED56" s="135" t="n"/>
      <c r="EE56" s="135" t="n"/>
      <c r="EF56" s="135" t="n"/>
      <c r="EG56" s="135" t="n"/>
      <c r="EH56" s="135" t="n"/>
      <c r="EI56" s="135" t="n"/>
      <c r="EJ56" s="135" t="n">
        <v>600</v>
      </c>
      <c r="EK56" s="135" t="n"/>
      <c r="EL56" s="135" t="n"/>
      <c r="EM56" s="135" t="n"/>
      <c r="EN56" s="135" t="n">
        <v>600</v>
      </c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>
        <v>600</v>
      </c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135" t="n"/>
      <c r="FL56" s="219" t="n"/>
      <c r="FM56" s="135" t="n"/>
      <c r="FN56" s="135" t="n"/>
      <c r="FO56" s="219" t="n"/>
      <c r="FP56" s="135" t="n"/>
      <c r="FQ56" s="135" t="n"/>
      <c r="FR56" s="135" t="n"/>
      <c r="FS56" s="135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  <c r="GD56" s="135" t="n"/>
    </row>
    <row r="57">
      <c r="A57" s="37" t="inlineStr">
        <is>
          <t>SACOLA G EUDORA</t>
        </is>
      </c>
      <c r="B57" s="699" t="n">
        <v>100</v>
      </c>
      <c r="C57" s="762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697" t="n"/>
      <c r="N57" s="697" t="n"/>
      <c r="O57" s="697" t="n"/>
      <c r="P57" s="697" t="n"/>
      <c r="Q57" s="697" t="n"/>
      <c r="R57" s="697" t="n"/>
      <c r="S57" s="697" t="n"/>
      <c r="T57" s="697" t="n"/>
      <c r="U57" s="697" t="n"/>
      <c r="V57" s="697" t="n"/>
      <c r="W57" s="697" t="n"/>
      <c r="X57" s="697" t="n">
        <v>0</v>
      </c>
      <c r="Y57" s="697" t="n">
        <v>0</v>
      </c>
      <c r="Z57" s="697" t="n">
        <v>100</v>
      </c>
      <c r="AA57" s="697" t="n">
        <v>100</v>
      </c>
      <c r="AB57" s="697" t="n">
        <v>100</v>
      </c>
      <c r="AC57" s="697" t="n">
        <v>0</v>
      </c>
      <c r="AD57" s="697" t="n">
        <v>100</v>
      </c>
      <c r="AE57" s="697" t="n">
        <v>100</v>
      </c>
      <c r="AF57" s="697" t="n">
        <v>0</v>
      </c>
      <c r="AG57" s="237">
        <f>0+EJ57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100+DJ57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0+CZ57</f>
        <v/>
      </c>
      <c r="BB57" s="237">
        <f>1600+CX57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237" t="n">
        <v>2900</v>
      </c>
      <c r="BZ57" s="198">
        <f>BX57+IF(NOT(ISBLANK(OFFSET(BZ57,0,6))),N(OFFSET(BZ57,0,6)),N(OFFSET(BZ57,0,7)))-BY57</f>
        <v/>
      </c>
      <c r="CB57" s="161" t="n"/>
      <c r="CC57" s="161" t="n"/>
      <c r="CE57" s="27" t="n"/>
      <c r="CG57" s="135" t="n">
        <v>0</v>
      </c>
      <c r="CH57" s="135" t="n">
        <v>0</v>
      </c>
      <c r="CI57" s="135" t="n"/>
      <c r="CJ57" s="135" t="n"/>
      <c r="CK57" s="135" t="n"/>
      <c r="CL57" s="135" t="n"/>
      <c r="CM57" s="135" t="n"/>
      <c r="CN57" s="135" t="n"/>
      <c r="CO57" s="135" t="n">
        <v>800</v>
      </c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>
        <v>600</v>
      </c>
      <c r="CY57" s="135" t="n"/>
      <c r="CZ57" s="135" t="n">
        <v>600</v>
      </c>
      <c r="DA57" s="374" t="n"/>
      <c r="DB57" s="135" t="n"/>
      <c r="DC57" s="135" t="n">
        <v>100</v>
      </c>
      <c r="DD57" s="135" t="n"/>
      <c r="DE57" s="135" t="n"/>
      <c r="DF57" s="135" t="n"/>
      <c r="DG57" s="135" t="n"/>
      <c r="DH57" s="135" t="n"/>
      <c r="DI57" s="135" t="n"/>
      <c r="DJ57" s="135" t="n">
        <v>500</v>
      </c>
      <c r="DK57" s="135" t="n"/>
      <c r="DL57" s="135" t="n"/>
      <c r="DM57" s="135" t="n"/>
      <c r="DN57" s="135" t="n">
        <v>200</v>
      </c>
      <c r="DO57" s="135" t="n"/>
      <c r="DP57" s="135" t="n"/>
      <c r="DQ57" s="23" t="n"/>
      <c r="DR57" s="135" t="n"/>
      <c r="DS57" s="135" t="n"/>
      <c r="DT57" s="135" t="n"/>
      <c r="DU57" s="23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>
        <v>200</v>
      </c>
      <c r="EK57" s="135" t="n"/>
      <c r="EL57" s="135" t="n"/>
      <c r="EM57" s="135" t="n"/>
      <c r="EN57" s="135" t="n">
        <v>100</v>
      </c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>
        <v>100</v>
      </c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135" t="n"/>
      <c r="FL57" s="219" t="n"/>
      <c r="FM57" s="135" t="n"/>
      <c r="FN57" s="135" t="n"/>
      <c r="FO57" s="219" t="n"/>
      <c r="FP57" s="135" t="n"/>
      <c r="FQ57" s="135" t="n"/>
      <c r="FR57" s="135" t="n"/>
      <c r="FS57" s="135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  <c r="GD57" s="135" t="n"/>
    </row>
    <row r="58">
      <c r="A58" s="626" t="inlineStr">
        <is>
          <t>KIT SACOLA P EUDORA (C/ 10)</t>
        </is>
      </c>
      <c r="B58" s="345" t="n">
        <v>200</v>
      </c>
      <c r="C58" s="834" t="n">
        <v>175.36</v>
      </c>
      <c r="D58" s="382" t="n">
        <v>15</v>
      </c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697" t="n"/>
      <c r="S58" s="697" t="n"/>
      <c r="T58" s="697" t="n"/>
      <c r="U58" s="697" t="n"/>
      <c r="V58" s="697" t="n"/>
      <c r="W58" s="697" t="n"/>
      <c r="X58" s="697" t="n">
        <v>0</v>
      </c>
      <c r="Y58" s="697" t="n">
        <v>0</v>
      </c>
      <c r="Z58" s="697" t="n">
        <v>40</v>
      </c>
      <c r="AA58" s="697" t="n">
        <v>40</v>
      </c>
      <c r="AB58" s="697" t="n">
        <v>40</v>
      </c>
      <c r="AC58" s="697" t="n">
        <v>37</v>
      </c>
      <c r="AD58" s="697" t="n">
        <v>37</v>
      </c>
      <c r="AE58" s="697">
        <f>31-9</f>
        <v/>
      </c>
      <c r="AF58" s="697" t="n">
        <v>21</v>
      </c>
      <c r="AG58" s="697" t="n">
        <v>17</v>
      </c>
      <c r="AH58" s="697" t="n">
        <v>15</v>
      </c>
      <c r="AI58" s="697" t="n">
        <v>6</v>
      </c>
      <c r="AJ58" s="697" t="n">
        <v>3</v>
      </c>
      <c r="AK58" s="697" t="n">
        <v>3</v>
      </c>
      <c r="AL58" s="697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7+CX58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>
        <v>20</v>
      </c>
      <c r="BU58" s="237" t="n">
        <v>20</v>
      </c>
      <c r="BV58" s="237" t="n">
        <v>20</v>
      </c>
      <c r="BW58" s="237" t="n">
        <v>20</v>
      </c>
      <c r="BX58" s="237" t="n">
        <v>20</v>
      </c>
      <c r="BY58" s="237" t="n">
        <v>19</v>
      </c>
      <c r="BZ58" s="198">
        <f>BX58+IF(NOT(ISBLANK(OFFSET(BZ58,0,6))),N(OFFSET(BZ58,0,6)),N(OFFSET(BZ58,0,7)))-BY58</f>
        <v/>
      </c>
      <c r="CB58" s="38" t="n"/>
      <c r="CC58" s="38" t="n"/>
      <c r="CE58" s="27" t="n"/>
      <c r="CG58" s="135" t="n">
        <v>0</v>
      </c>
      <c r="CH58" s="135" t="n">
        <v>0</v>
      </c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>
        <v>40</v>
      </c>
      <c r="CY58" s="135" t="n"/>
      <c r="CZ58" s="135" t="n"/>
      <c r="DA58" s="374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135" t="n"/>
      <c r="DQ58" s="23" t="n"/>
      <c r="DR58" s="135" t="n"/>
      <c r="DS58" s="135" t="n"/>
      <c r="DT58" s="135" t="n"/>
      <c r="DU58" s="23" t="n"/>
      <c r="DV58" s="135" t="n"/>
      <c r="DW58" s="135" t="n">
        <v>20</v>
      </c>
      <c r="DX58" s="135" t="n"/>
      <c r="DY58" s="135" t="n"/>
      <c r="DZ58" s="135" t="n"/>
      <c r="EA58" s="135" t="n">
        <v>20</v>
      </c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406" t="inlineStr">
        <is>
          <t>09 P/ ERB</t>
        </is>
      </c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>
        <v>40</v>
      </c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135" t="n"/>
      <c r="FL58" s="290" t="n"/>
      <c r="FM58" s="135" t="n"/>
      <c r="FN58" s="135" t="n"/>
      <c r="FO58" s="290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  <c r="GD58" s="135" t="n"/>
    </row>
    <row r="59">
      <c r="A59" s="626" t="inlineStr">
        <is>
          <t>KIT SACOLA M EUDORA (C/ 10)</t>
        </is>
      </c>
      <c r="B59" s="345" t="n">
        <v>150</v>
      </c>
      <c r="C59" s="834" t="n">
        <v>172.76</v>
      </c>
      <c r="D59" s="382" t="n">
        <v>15</v>
      </c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697" t="n"/>
      <c r="S59" s="697" t="n"/>
      <c r="T59" s="697" t="n"/>
      <c r="U59" s="697" t="n"/>
      <c r="V59" s="697" t="n"/>
      <c r="W59" s="697" t="n"/>
      <c r="X59" s="697" t="n">
        <v>0</v>
      </c>
      <c r="Y59" s="697" t="n">
        <v>0</v>
      </c>
      <c r="Z59" s="697" t="n">
        <v>15</v>
      </c>
      <c r="AA59" s="697" t="n">
        <v>15</v>
      </c>
      <c r="AB59" s="697" t="n">
        <v>15</v>
      </c>
      <c r="AC59" s="697" t="n">
        <v>11</v>
      </c>
      <c r="AD59" s="697" t="n">
        <v>1</v>
      </c>
      <c r="AE59" s="237">
        <f>1+EL59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0+DY59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>
        <v>3</v>
      </c>
      <c r="BU59" s="237" t="n">
        <v>3</v>
      </c>
      <c r="BV59" s="237" t="n">
        <v>3</v>
      </c>
      <c r="BW59" s="237" t="n">
        <v>3</v>
      </c>
      <c r="BX59" s="237" t="n">
        <v>3</v>
      </c>
      <c r="BY59" s="237" t="n">
        <v>0</v>
      </c>
      <c r="BZ59" s="198">
        <f>BX59+IF(NOT(ISBLANK(OFFSET(BZ59,0,6))),N(OFFSET(BZ59,0,6)),N(OFFSET(BZ59,0,7)))-BY59</f>
        <v/>
      </c>
      <c r="CB59" s="38" t="n"/>
      <c r="CC59" s="38" t="n"/>
      <c r="CE59" s="27" t="n"/>
      <c r="CG59" s="135" t="n">
        <v>0</v>
      </c>
      <c r="CH59" s="135" t="n">
        <v>0</v>
      </c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98" t="inlineStr">
        <is>
          <t>10 DE ERB</t>
        </is>
      </c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135" t="n"/>
      <c r="DQ59" s="23" t="n"/>
      <c r="DR59" s="135" t="n"/>
      <c r="DS59" s="135" t="n"/>
      <c r="DT59" s="135" t="n"/>
      <c r="DU59" s="23" t="n"/>
      <c r="DV59" s="135" t="n"/>
      <c r="DW59" s="135" t="n"/>
      <c r="DX59" s="135" t="n"/>
      <c r="DY59" s="135" t="n">
        <v>15</v>
      </c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374" t="n"/>
      <c r="EL59" s="135" t="n">
        <v>15</v>
      </c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>
        <v>15</v>
      </c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135" t="n"/>
      <c r="FL59" s="290" t="n"/>
      <c r="FM59" s="135" t="n"/>
      <c r="FN59" s="135" t="n"/>
      <c r="FO59" s="290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  <c r="GD59" s="135" t="n"/>
    </row>
    <row r="60">
      <c r="A60" s="626" t="inlineStr">
        <is>
          <t>KIT SACOLA G EUDORA (C/ 10)</t>
        </is>
      </c>
      <c r="B60" s="345" t="inlineStr">
        <is>
          <t>-</t>
        </is>
      </c>
      <c r="C60" s="834" t="inlineStr">
        <is>
          <t>-</t>
        </is>
      </c>
      <c r="D60" s="382" t="n">
        <v>10</v>
      </c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697" t="n"/>
      <c r="S60" s="697" t="n"/>
      <c r="T60" s="697" t="n"/>
      <c r="U60" s="697" t="n"/>
      <c r="V60" s="697" t="n"/>
      <c r="W60" s="697" t="n"/>
      <c r="X60" s="697" t="n">
        <v>0</v>
      </c>
      <c r="Y60" s="697" t="n">
        <v>0</v>
      </c>
      <c r="Z60" s="697" t="n">
        <v>0</v>
      </c>
      <c r="AA60" s="697" t="n">
        <v>0</v>
      </c>
      <c r="AB60" s="697" t="n">
        <v>0</v>
      </c>
      <c r="AC60" s="697" t="n">
        <v>0</v>
      </c>
      <c r="AD60" s="697" t="n">
        <v>0</v>
      </c>
      <c r="AE60" s="697" t="n">
        <v>0</v>
      </c>
      <c r="AF60" s="697" t="n">
        <v>0</v>
      </c>
      <c r="AG60" s="697" t="n">
        <v>0</v>
      </c>
      <c r="AH60" s="697" t="n">
        <v>0</v>
      </c>
      <c r="AI60" s="697" t="n">
        <v>0</v>
      </c>
      <c r="AJ60" s="697" t="n">
        <v>0</v>
      </c>
      <c r="AK60" s="697" t="n">
        <v>0</v>
      </c>
      <c r="AL60" s="697" t="n">
        <v>0</v>
      </c>
      <c r="AM60" s="697" t="n">
        <v>0</v>
      </c>
      <c r="AN60" s="697" t="n">
        <v>0</v>
      </c>
      <c r="AO60" s="697" t="n">
        <v>0</v>
      </c>
      <c r="AP60" s="697" t="n">
        <v>0</v>
      </c>
      <c r="AQ60" s="697" t="n">
        <v>0</v>
      </c>
      <c r="AR60" s="697" t="n">
        <v>0</v>
      </c>
      <c r="AS60" s="697" t="n">
        <v>0</v>
      </c>
      <c r="AT60" s="697" t="n">
        <v>0</v>
      </c>
      <c r="AU60" s="697" t="n">
        <v>0</v>
      </c>
      <c r="AV60" s="697" t="n">
        <v>0</v>
      </c>
      <c r="AW60" s="697" t="n">
        <v>0</v>
      </c>
      <c r="AX60" s="697" t="n">
        <v>0</v>
      </c>
      <c r="AY60" s="697" t="n">
        <v>0</v>
      </c>
      <c r="AZ60" s="697" t="n">
        <v>0</v>
      </c>
      <c r="BA60" s="697" t="n">
        <v>0</v>
      </c>
      <c r="BB60" s="697" t="n">
        <v>0</v>
      </c>
      <c r="BC60" s="697" t="n">
        <v>0</v>
      </c>
      <c r="BD60" s="697" t="n">
        <v>0</v>
      </c>
      <c r="BE60" s="697" t="n">
        <v>0</v>
      </c>
      <c r="BF60" s="697" t="n">
        <v>0</v>
      </c>
      <c r="BG60" s="697" t="n">
        <v>0</v>
      </c>
      <c r="BH60" s="697" t="n">
        <v>0</v>
      </c>
      <c r="BI60" s="697" t="n">
        <v>0</v>
      </c>
      <c r="BJ60" s="697" t="n">
        <v>0</v>
      </c>
      <c r="BK60" s="697" t="n">
        <v>0</v>
      </c>
      <c r="BL60" s="697" t="n">
        <v>0</v>
      </c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0</v>
      </c>
      <c r="BS60" s="697" t="n">
        <v>0</v>
      </c>
      <c r="BT60" s="697" t="n">
        <v>0</v>
      </c>
      <c r="BU60" s="697" t="n">
        <v>0</v>
      </c>
      <c r="BV60" s="697" t="n">
        <v>0</v>
      </c>
      <c r="BW60" s="697" t="n">
        <v>0</v>
      </c>
      <c r="BX60" s="697" t="n">
        <v>0</v>
      </c>
      <c r="BY60" s="697" t="n">
        <v>0</v>
      </c>
      <c r="BZ60" s="198">
        <f>BX60+IF(NOT(ISBLANK(OFFSET(BZ60,0,6))),N(OFFSET(BZ60,0,6)),N(OFFSET(BZ60,0,7)))-BY60</f>
        <v/>
      </c>
      <c r="CB60" s="38" t="n"/>
      <c r="CC60" s="38" t="n"/>
      <c r="CE60" s="27" t="n"/>
      <c r="CG60" s="135" t="n">
        <v>0</v>
      </c>
      <c r="CH60" s="135" t="n">
        <v>0</v>
      </c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374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135" t="n"/>
      <c r="DQ60" s="290" t="n"/>
      <c r="DR60" s="135" t="n"/>
      <c r="DS60" s="135" t="n"/>
      <c r="DT60" s="135" t="n"/>
      <c r="DU60" s="290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374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290" t="n"/>
      <c r="FM60" s="135" t="n"/>
      <c r="FN60" s="135" t="n"/>
      <c r="FO60" s="290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  <c r="GD60" s="135" t="n"/>
    </row>
    <row r="61">
      <c r="A61" s="626" t="inlineStr">
        <is>
          <t>CAIXA P EUDORA</t>
        </is>
      </c>
      <c r="B61" s="345" t="n">
        <v>150</v>
      </c>
      <c r="C61" s="834" t="n">
        <v>400.5</v>
      </c>
      <c r="D61" s="382" t="n">
        <v>15</v>
      </c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697" t="n"/>
      <c r="S61" s="697" t="n"/>
      <c r="T61" s="697" t="n"/>
      <c r="U61" s="697" t="n"/>
      <c r="V61" s="697" t="n"/>
      <c r="W61" s="697" t="n"/>
      <c r="X61" s="697" t="n">
        <v>0</v>
      </c>
      <c r="Y61" s="697" t="n">
        <v>0</v>
      </c>
      <c r="Z61" s="697">
        <f>150-75</f>
        <v/>
      </c>
      <c r="AA61" s="697" t="n">
        <v>75</v>
      </c>
      <c r="AB61" s="697" t="n">
        <v>75</v>
      </c>
      <c r="AC61" s="697" t="n">
        <v>75</v>
      </c>
      <c r="AD61" s="697" t="n">
        <v>75</v>
      </c>
      <c r="AE61" s="697" t="n">
        <v>75</v>
      </c>
      <c r="AF61" s="697" t="n">
        <v>74</v>
      </c>
      <c r="AG61" s="697" t="n">
        <v>74</v>
      </c>
      <c r="AH61" s="697" t="n">
        <v>71</v>
      </c>
      <c r="AI61" s="697" t="n">
        <v>71</v>
      </c>
      <c r="AJ61" s="697" t="n">
        <v>71</v>
      </c>
      <c r="AK61" s="697" t="n">
        <v>71</v>
      </c>
      <c r="AL61" s="697" t="n">
        <v>69</v>
      </c>
      <c r="AM61" s="697" t="n">
        <v>0</v>
      </c>
      <c r="AN61" s="697">
        <f>150-75</f>
        <v/>
      </c>
      <c r="AO61" s="697" t="n">
        <v>0</v>
      </c>
      <c r="AP61" s="697" t="n">
        <v>0</v>
      </c>
      <c r="AQ61" s="697" t="n">
        <v>0</v>
      </c>
      <c r="AR61" s="697" t="n">
        <v>0</v>
      </c>
      <c r="AS61" s="237">
        <f>0+DK61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>
        <v>78</v>
      </c>
      <c r="BU61" s="237" t="n">
        <v>78</v>
      </c>
      <c r="BV61" s="237" t="n">
        <v>78</v>
      </c>
      <c r="BW61" s="237" t="n">
        <v>78</v>
      </c>
      <c r="BX61" s="237" t="n">
        <v>78</v>
      </c>
      <c r="BY61" s="237" t="n">
        <v>77</v>
      </c>
      <c r="BZ61" s="198">
        <f>BX61+IF(NOT(ISBLANK(OFFSET(BZ61,0,6))),N(OFFSET(BZ61,0,6)),N(OFFSET(BZ61,0,7)))-BY61</f>
        <v/>
      </c>
      <c r="CB61" s="38" t="n"/>
      <c r="CC61" s="38" t="n"/>
      <c r="CE61" s="27" t="n"/>
      <c r="CG61" s="135" t="n">
        <v>0</v>
      </c>
      <c r="CH61" s="135" t="n">
        <v>0</v>
      </c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>
        <v>150</v>
      </c>
      <c r="CV61" s="135" t="n"/>
      <c r="CW61" s="135" t="n"/>
      <c r="CX61" s="135" t="n"/>
      <c r="CY61" s="135" t="n"/>
      <c r="CZ61" s="135" t="n"/>
      <c r="DA61" s="374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135" t="n">
        <v>150</v>
      </c>
      <c r="DL61" s="135" t="n"/>
      <c r="DM61" s="135" t="n"/>
      <c r="DN61" s="135" t="n"/>
      <c r="DO61" s="135" t="n"/>
      <c r="DP61" s="135" t="n"/>
      <c r="DQ61" s="290" t="n"/>
      <c r="DR61" s="135" t="n"/>
      <c r="DS61" s="192" t="inlineStr">
        <is>
          <t>75 P/ ER</t>
        </is>
      </c>
      <c r="DT61" s="135" t="n"/>
      <c r="DU61" s="290" t="n"/>
      <c r="DV61" s="135" t="n">
        <v>150</v>
      </c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374" t="n"/>
      <c r="EL61" s="135" t="n"/>
      <c r="EM61" s="135" t="n"/>
      <c r="EN61" s="135" t="n"/>
      <c r="EO61" s="135" t="n"/>
      <c r="EP61" s="135" t="n"/>
      <c r="EQ61" s="219" t="n"/>
      <c r="ER61" s="219" t="n"/>
      <c r="ES61" s="219" t="n"/>
      <c r="ET61" s="282" t="inlineStr">
        <is>
          <t>75 P/ ERB</t>
        </is>
      </c>
      <c r="EU61" s="135" t="n"/>
      <c r="EV61" s="135" t="n"/>
      <c r="EW61" s="135" t="n"/>
      <c r="EX61" s="135" t="n">
        <v>150</v>
      </c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135" t="n"/>
      <c r="FL61" s="290" t="n"/>
      <c r="FM61" s="135" t="n"/>
      <c r="FN61" s="135" t="n"/>
      <c r="FO61" s="290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  <c r="GD61" s="135" t="n"/>
    </row>
    <row r="62">
      <c r="A62" s="626" t="inlineStr">
        <is>
          <t>CAIXA M EUDORA</t>
        </is>
      </c>
      <c r="B62" s="345" t="n">
        <v>100</v>
      </c>
      <c r="C62" s="834" t="n">
        <v>365</v>
      </c>
      <c r="D62" s="382" t="n">
        <v>15</v>
      </c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697" t="n"/>
      <c r="S62" s="697" t="n"/>
      <c r="T62" s="697" t="n"/>
      <c r="U62" s="697" t="n"/>
      <c r="V62" s="697" t="n"/>
      <c r="W62" s="697" t="n"/>
      <c r="X62" s="697" t="n">
        <v>0</v>
      </c>
      <c r="Y62" s="697" t="n">
        <v>0</v>
      </c>
      <c r="Z62" s="237">
        <f>0+EV62-50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>
        <v>29</v>
      </c>
      <c r="BU62" s="237" t="n">
        <v>29</v>
      </c>
      <c r="BV62" s="237" t="n">
        <v>29</v>
      </c>
      <c r="BW62" s="237" t="n">
        <v>29</v>
      </c>
      <c r="BX62" s="237" t="n">
        <v>29</v>
      </c>
      <c r="BY62" s="237" t="n">
        <v>27</v>
      </c>
      <c r="BZ62" s="198">
        <f>BX62+IF(NOT(ISBLANK(OFFSET(BZ62,0,6))),N(OFFSET(BZ62,0,6)),N(OFFSET(BZ62,0,7)))-BY62</f>
        <v/>
      </c>
      <c r="CB62" s="38" t="n"/>
      <c r="CC62" s="38" t="n"/>
      <c r="CE62" s="27" t="n"/>
      <c r="CG62" s="135" t="n">
        <v>0</v>
      </c>
      <c r="CH62" s="135" t="n">
        <v>0</v>
      </c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374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135" t="n"/>
      <c r="DQ62" s="23" t="n"/>
      <c r="DR62" s="135" t="n"/>
      <c r="DS62" s="135" t="n"/>
      <c r="DT62" s="135" t="n"/>
      <c r="DU62" s="23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374" t="n"/>
      <c r="EL62" s="135" t="n"/>
      <c r="EM62" s="135" t="n"/>
      <c r="EN62" s="135" t="n"/>
      <c r="EO62" s="135" t="n"/>
      <c r="EP62" s="135" t="n"/>
      <c r="EQ62" s="219" t="n"/>
      <c r="ER62" s="219" t="n"/>
      <c r="ES62" s="219" t="n"/>
      <c r="ET62" s="282" t="inlineStr">
        <is>
          <t>50 P/ ERB</t>
        </is>
      </c>
      <c r="EU62" s="135" t="n"/>
      <c r="EV62" s="135" t="n">
        <v>100</v>
      </c>
      <c r="EW62" s="135" t="n"/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290" t="n"/>
      <c r="FM62" s="135" t="n"/>
      <c r="FN62" s="135" t="n"/>
      <c r="FO62" s="290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  <c r="GD62" s="135" t="n"/>
    </row>
    <row r="63">
      <c r="A63" s="626" t="inlineStr">
        <is>
          <t>CAIXA G EUDORA</t>
        </is>
      </c>
      <c r="B63" s="345" t="n">
        <v>75</v>
      </c>
      <c r="C63" s="834" t="n">
        <v>438.75</v>
      </c>
      <c r="D63" s="382" t="n">
        <v>10</v>
      </c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>
        <v>0</v>
      </c>
      <c r="Y63" s="697" t="n">
        <v>0</v>
      </c>
      <c r="Z63" s="697">
        <f>75-25</f>
        <v/>
      </c>
      <c r="AA63" s="697" t="n">
        <v>50</v>
      </c>
      <c r="AB63" s="697" t="n">
        <v>50</v>
      </c>
      <c r="AC63" s="697" t="n">
        <v>50</v>
      </c>
      <c r="AD63" s="697" t="n">
        <v>50</v>
      </c>
      <c r="AE63" s="697">
        <f>50-15</f>
        <v/>
      </c>
      <c r="AF63" s="697" t="n">
        <v>35</v>
      </c>
      <c r="AG63" s="697" t="n">
        <v>35</v>
      </c>
      <c r="AH63" s="697" t="n">
        <v>35</v>
      </c>
      <c r="AI63" s="697" t="n">
        <v>35</v>
      </c>
      <c r="AJ63" s="697" t="n">
        <v>35</v>
      </c>
      <c r="AK63" s="697" t="n">
        <v>35</v>
      </c>
      <c r="AL63" s="697" t="n">
        <v>32</v>
      </c>
      <c r="AM63" s="697" t="n">
        <v>32</v>
      </c>
      <c r="AN63" s="697" t="n">
        <v>32</v>
      </c>
      <c r="AO63" s="697" t="n">
        <v>32</v>
      </c>
      <c r="AP63" s="697" t="n">
        <v>31</v>
      </c>
      <c r="AQ63" s="697" t="n">
        <v>31</v>
      </c>
      <c r="AR63" s="697" t="n">
        <v>30</v>
      </c>
      <c r="AS63" s="697" t="n">
        <v>30</v>
      </c>
      <c r="AT63" s="697" t="n">
        <v>30</v>
      </c>
      <c r="AU63" s="697" t="n">
        <v>30</v>
      </c>
      <c r="AV63" s="697" t="n">
        <v>30</v>
      </c>
      <c r="AW63" s="697" t="n">
        <v>30</v>
      </c>
      <c r="AX63" s="697" t="n">
        <v>30</v>
      </c>
      <c r="AY63" s="697" t="n">
        <v>30</v>
      </c>
      <c r="AZ63" s="697" t="n">
        <v>30</v>
      </c>
      <c r="BA63" s="697" t="n">
        <v>30</v>
      </c>
      <c r="BB63" s="697" t="n">
        <v>30</v>
      </c>
      <c r="BC63" s="697" t="n">
        <v>29</v>
      </c>
      <c r="BD63" s="697" t="n">
        <v>29</v>
      </c>
      <c r="BE63" s="697" t="n">
        <v>29</v>
      </c>
      <c r="BF63" s="697" t="n">
        <v>29</v>
      </c>
      <c r="BG63" s="697" t="n">
        <v>29</v>
      </c>
      <c r="BH63" s="697" t="n">
        <v>29</v>
      </c>
      <c r="BI63" s="697" t="n">
        <v>29</v>
      </c>
      <c r="BJ63" s="697" t="n">
        <v>29</v>
      </c>
      <c r="BK63" s="697" t="n">
        <v>29</v>
      </c>
      <c r="BL63" s="697" t="n">
        <v>29</v>
      </c>
      <c r="BM63" s="697" t="n">
        <v>29</v>
      </c>
      <c r="BN63" s="697" t="n">
        <v>29</v>
      </c>
      <c r="BO63" s="697" t="n">
        <v>29</v>
      </c>
      <c r="BP63" s="697" t="n">
        <v>29</v>
      </c>
      <c r="BQ63" s="697" t="n">
        <v>29</v>
      </c>
      <c r="BR63" s="697" t="n">
        <v>29</v>
      </c>
      <c r="BS63" s="697" t="n">
        <v>29</v>
      </c>
      <c r="BT63" s="697" t="n">
        <v>29</v>
      </c>
      <c r="BU63" s="697" t="n">
        <v>29</v>
      </c>
      <c r="BV63" s="697" t="n">
        <v>29</v>
      </c>
      <c r="BW63" s="697" t="n">
        <v>29</v>
      </c>
      <c r="BX63" s="697" t="n">
        <v>29</v>
      </c>
      <c r="BY63" s="697" t="n">
        <v>28</v>
      </c>
      <c r="BZ63" s="198">
        <f>BX63+IF(NOT(ISBLANK(OFFSET(BZ63,0,6))),N(OFFSET(BZ63,0,6)),N(OFFSET(BZ63,0,7)))-BY63</f>
        <v/>
      </c>
      <c r="CB63" s="38" t="n"/>
      <c r="CC63" s="38" t="n"/>
      <c r="CE63" s="27" t="n"/>
      <c r="CG63" s="135" t="n">
        <v>0</v>
      </c>
      <c r="CH63" s="135" t="n">
        <v>0</v>
      </c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374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135" t="n"/>
      <c r="DQ63" s="290" t="n"/>
      <c r="DR63" s="135" t="n"/>
      <c r="DS63" s="135" t="n"/>
      <c r="DT63" s="135" t="n"/>
      <c r="DU63" s="290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406" t="inlineStr">
        <is>
          <t>15 P/ ERB</t>
        </is>
      </c>
      <c r="EL63" s="135" t="n"/>
      <c r="EM63" s="135" t="n"/>
      <c r="EN63" s="135" t="n"/>
      <c r="EO63" s="135" t="n"/>
      <c r="EP63" s="135" t="n"/>
      <c r="EQ63" s="219" t="n"/>
      <c r="ER63" s="219" t="n"/>
      <c r="ES63" s="219" t="n"/>
      <c r="ET63" s="282" t="inlineStr">
        <is>
          <t>25 P/ ERB</t>
        </is>
      </c>
      <c r="EU63" s="135" t="n"/>
      <c r="EV63" s="135" t="n"/>
      <c r="EW63" s="135" t="n"/>
      <c r="EX63" s="135" t="n">
        <v>75</v>
      </c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135" t="n"/>
      <c r="FL63" s="290" t="n"/>
      <c r="FM63" s="135" t="n"/>
      <c r="FN63" s="135" t="n"/>
      <c r="FO63" s="290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  <c r="GD63" s="135" t="n"/>
    </row>
    <row r="64">
      <c r="DQ64" s="47" t="n"/>
      <c r="DU64" s="47" t="n"/>
      <c r="FL64" s="308" t="n"/>
      <c r="FO64" s="308" t="n"/>
    </row>
    <row r="65">
      <c r="A65" s="295" t="inlineStr">
        <is>
          <t>CAIXAS KRAFTS</t>
        </is>
      </c>
      <c r="B65" s="835" t="inlineStr">
        <is>
          <t>LUAPACK</t>
        </is>
      </c>
      <c r="C65" s="775" t="n"/>
      <c r="D65" s="295" t="n"/>
      <c r="E65" s="2" t="n"/>
      <c r="F65" s="746" t="n">
        <v>45656</v>
      </c>
      <c r="G65" s="746" t="n">
        <v>45663</v>
      </c>
      <c r="H65" s="746" t="n">
        <v>45670</v>
      </c>
      <c r="I65" s="746" t="n">
        <v>45677</v>
      </c>
      <c r="J65" s="746" t="n">
        <v>45684</v>
      </c>
      <c r="K65" s="746" t="n">
        <v>45691</v>
      </c>
      <c r="L65" s="746" t="n">
        <v>45698</v>
      </c>
      <c r="M65" s="746" t="n">
        <v>45705</v>
      </c>
      <c r="N65" s="746" t="n">
        <v>45712</v>
      </c>
      <c r="O65" s="746" t="n">
        <v>45719</v>
      </c>
      <c r="P65" s="746" t="n">
        <v>45726</v>
      </c>
      <c r="Q65" s="746" t="n">
        <v>45733</v>
      </c>
      <c r="R65" s="746" t="n">
        <v>45740</v>
      </c>
      <c r="S65" s="746" t="n">
        <v>45747</v>
      </c>
      <c r="T65" s="746" t="n">
        <v>45754</v>
      </c>
      <c r="U65" s="746" t="n">
        <v>45761</v>
      </c>
      <c r="V65" s="746" t="n">
        <v>45768</v>
      </c>
      <c r="W65" s="746" t="n">
        <v>45775</v>
      </c>
      <c r="X65" s="746" t="n">
        <v>45782</v>
      </c>
      <c r="Y65" s="746" t="n">
        <v>45789</v>
      </c>
      <c r="Z65" s="746" t="n">
        <v>45796</v>
      </c>
      <c r="AA65" s="746" t="n">
        <v>45803</v>
      </c>
      <c r="AB65" s="746" t="n">
        <v>45810</v>
      </c>
      <c r="AC65" s="746" t="n">
        <v>45817</v>
      </c>
      <c r="AD65" s="746" t="n">
        <v>45824</v>
      </c>
      <c r="AE65" s="746" t="n">
        <v>45831</v>
      </c>
      <c r="AF65" s="746" t="n">
        <v>45838</v>
      </c>
      <c r="AG65" s="746" t="n">
        <v>45845</v>
      </c>
      <c r="AH65" s="746" t="n">
        <v>45852</v>
      </c>
      <c r="AI65" s="746" t="n">
        <v>45859</v>
      </c>
      <c r="AJ65" s="746" t="n">
        <v>45866</v>
      </c>
      <c r="AK65" s="746" t="n">
        <v>45873</v>
      </c>
      <c r="AL65" s="746" t="n">
        <v>45880</v>
      </c>
      <c r="AM65" s="746" t="n">
        <v>45887</v>
      </c>
      <c r="AN65" s="746" t="n">
        <v>45894</v>
      </c>
      <c r="AO65" s="746" t="n">
        <v>45901</v>
      </c>
      <c r="AP65" s="746" t="n">
        <v>45908</v>
      </c>
      <c r="AQ65" s="746" t="n">
        <v>45915</v>
      </c>
      <c r="AR65" s="746" t="n">
        <v>45922</v>
      </c>
      <c r="AS65" s="746" t="n">
        <v>45929</v>
      </c>
      <c r="AT65" s="746" t="n">
        <v>45936</v>
      </c>
      <c r="AU65" s="746" t="n">
        <v>45943</v>
      </c>
      <c r="AV65" s="746" t="n">
        <v>45950</v>
      </c>
      <c r="AW65" s="746" t="n">
        <v>45957</v>
      </c>
      <c r="AX65" s="746" t="n">
        <v>45964</v>
      </c>
      <c r="AY65" s="746" t="n">
        <v>45971</v>
      </c>
      <c r="AZ65" s="746" t="n">
        <v>45978</v>
      </c>
      <c r="BA65" s="746" t="n">
        <v>45985</v>
      </c>
      <c r="BB65" s="746" t="n">
        <v>45992</v>
      </c>
      <c r="BC65" s="746" t="n">
        <v>45999</v>
      </c>
      <c r="BD65" s="746" t="n">
        <v>46006</v>
      </c>
      <c r="BE65" s="746" t="n">
        <v>46013</v>
      </c>
      <c r="BF65" s="746" t="n">
        <v>46020</v>
      </c>
      <c r="BG65" s="746" t="n">
        <v>46027</v>
      </c>
      <c r="BH65" s="746" t="n">
        <v>46034</v>
      </c>
      <c r="BI65" s="746" t="n">
        <v>46041</v>
      </c>
      <c r="BJ65" s="746" t="n">
        <v>46048</v>
      </c>
      <c r="BK65" s="746" t="n">
        <v>46055</v>
      </c>
      <c r="BL65" s="746" t="n">
        <v>46062</v>
      </c>
      <c r="BM65" s="746" t="n">
        <v>46069</v>
      </c>
      <c r="BN65" s="746" t="n">
        <v>46076</v>
      </c>
      <c r="BO65" s="746" t="n">
        <v>46083</v>
      </c>
      <c r="BP65" s="746" t="n">
        <v>46090</v>
      </c>
      <c r="BQ65" s="746" t="n">
        <v>46097</v>
      </c>
      <c r="BR65" s="746" t="n">
        <v>46104</v>
      </c>
      <c r="BS65" s="746" t="n">
        <v>46111</v>
      </c>
      <c r="BT65" s="746" t="n">
        <v>46118</v>
      </c>
      <c r="BU65" s="746" t="n">
        <v>46125</v>
      </c>
      <c r="BV65" s="746" t="n">
        <v>46132</v>
      </c>
      <c r="BW65" s="746" t="n">
        <v>46139</v>
      </c>
      <c r="BX65" s="746" t="n">
        <v>46146</v>
      </c>
      <c r="BY65" s="746" t="n">
        <v>46154</v>
      </c>
      <c r="BZ65" s="748" t="inlineStr">
        <is>
          <t>USOU</t>
        </is>
      </c>
      <c r="CB65" s="44" t="inlineStr">
        <is>
          <t>Pendências</t>
        </is>
      </c>
      <c r="CC65" s="44" t="inlineStr">
        <is>
          <t>Pendências</t>
        </is>
      </c>
      <c r="CE65" s="12" t="inlineStr">
        <is>
          <t>Novo Pedido</t>
        </is>
      </c>
      <c r="CF65" s="573" t="n"/>
      <c r="CG65" s="794" t="n">
        <v>46149</v>
      </c>
      <c r="CH65" s="794" t="n">
        <v>46142</v>
      </c>
      <c r="CI65" s="794" t="n">
        <v>46114</v>
      </c>
      <c r="CJ65" s="794" t="n">
        <v>46107</v>
      </c>
      <c r="CK65" s="795" t="n">
        <v>46065</v>
      </c>
      <c r="CL65" s="794" t="n">
        <v>46099</v>
      </c>
      <c r="CM65" s="794" t="n">
        <v>46092</v>
      </c>
      <c r="CN65" s="796" t="n">
        <v>46045</v>
      </c>
      <c r="CO65" s="794" t="n">
        <v>46077</v>
      </c>
      <c r="CP65" s="794" t="n">
        <v>46048</v>
      </c>
      <c r="CQ65" s="794" t="n">
        <v>46043</v>
      </c>
      <c r="CR65" s="794" t="n">
        <v>46024</v>
      </c>
      <c r="CS65" s="794" t="n">
        <v>46017</v>
      </c>
      <c r="CT65" s="794" t="n">
        <v>46007</v>
      </c>
      <c r="CU65" s="794" t="n">
        <v>46001</v>
      </c>
      <c r="CV65" s="794" t="n">
        <v>46001</v>
      </c>
      <c r="CW65" s="794" t="n">
        <v>45994</v>
      </c>
      <c r="CX65" s="794" t="n">
        <v>45986</v>
      </c>
      <c r="CY65" s="794" t="n">
        <v>45980</v>
      </c>
      <c r="CZ65" s="794" t="n">
        <v>45980</v>
      </c>
      <c r="DA65" s="797" t="n">
        <v>45982</v>
      </c>
      <c r="DB65" s="794" t="n">
        <v>45973</v>
      </c>
      <c r="DC65" s="794" t="n">
        <v>45965</v>
      </c>
      <c r="DD65" s="794" t="n">
        <v>45960</v>
      </c>
      <c r="DE65" s="794" t="n">
        <v>45951</v>
      </c>
      <c r="DF65" s="737" t="n">
        <v>45903</v>
      </c>
      <c r="DG65" s="794" t="n">
        <v>45945</v>
      </c>
      <c r="DH65" s="794" t="n">
        <v>45937</v>
      </c>
      <c r="DI65" s="794" t="n">
        <v>45931</v>
      </c>
      <c r="DJ65" s="794" t="n">
        <v>45931</v>
      </c>
      <c r="DK65" s="794" t="n">
        <v>45915</v>
      </c>
      <c r="DL65" s="794" t="n">
        <v>45923</v>
      </c>
      <c r="DM65" s="794" t="n">
        <v>45903</v>
      </c>
      <c r="DN65" s="794" t="n">
        <v>45915</v>
      </c>
      <c r="DO65" s="797" t="n">
        <v>45918</v>
      </c>
      <c r="DP65" s="794" t="n">
        <v>45909</v>
      </c>
      <c r="DQ65" s="738" t="n">
        <v>45903</v>
      </c>
      <c r="DR65" s="794" t="n">
        <v>45895</v>
      </c>
      <c r="DS65" s="797" t="n">
        <v>45896</v>
      </c>
      <c r="DT65" s="794" t="n">
        <v>45881</v>
      </c>
      <c r="DU65" s="738" t="n">
        <v>45839</v>
      </c>
      <c r="DV65" s="794" t="n">
        <v>45888</v>
      </c>
      <c r="DW65" s="794" t="n">
        <v>45881</v>
      </c>
      <c r="DX65" s="797" t="n">
        <v>45881</v>
      </c>
      <c r="DY65" s="794" t="n">
        <v>45874</v>
      </c>
      <c r="DZ65" s="797" t="n">
        <v>45876</v>
      </c>
      <c r="EA65" s="794" t="n">
        <v>45867</v>
      </c>
      <c r="EB65" s="794" t="n">
        <v>45867</v>
      </c>
      <c r="EC65" s="794" t="n">
        <v>45860</v>
      </c>
      <c r="ED65" s="797" t="n">
        <v>45861</v>
      </c>
      <c r="EE65" s="797" t="n">
        <v>45860</v>
      </c>
      <c r="EF65" s="794" t="n">
        <v>45853</v>
      </c>
      <c r="EG65" s="739" t="n">
        <v>45855</v>
      </c>
      <c r="EH65" s="794" t="n">
        <v>45848</v>
      </c>
      <c r="EI65" s="794" t="n">
        <v>45839</v>
      </c>
      <c r="EJ65" s="794" t="n">
        <v>45839</v>
      </c>
      <c r="EK65" s="797" t="n">
        <v>45835</v>
      </c>
      <c r="EL65" s="794" t="n">
        <v>45790</v>
      </c>
      <c r="EM65" s="794" t="n">
        <v>45825</v>
      </c>
      <c r="EN65" s="794" t="n">
        <v>45819</v>
      </c>
      <c r="EO65" s="794" t="n">
        <v>45813</v>
      </c>
      <c r="EP65" s="794" t="n">
        <v>45797</v>
      </c>
      <c r="EQ65" s="797" t="n">
        <v>45811</v>
      </c>
      <c r="ER65" s="797" t="n">
        <v>45810</v>
      </c>
      <c r="ES65" s="797" t="n">
        <v>45806</v>
      </c>
      <c r="ET65" s="797" t="n">
        <v>45803</v>
      </c>
      <c r="EU65" s="755" t="n">
        <v>45803</v>
      </c>
      <c r="EV65" s="794" t="n">
        <v>45784</v>
      </c>
      <c r="EW65" s="797" t="n">
        <v>45796</v>
      </c>
      <c r="EX65" s="794" t="n">
        <v>45784</v>
      </c>
      <c r="EY65" s="794" t="n">
        <v>45764</v>
      </c>
      <c r="EZ65" s="797" t="n">
        <v>45791</v>
      </c>
      <c r="FA65" s="794" t="n">
        <v>45783</v>
      </c>
      <c r="FB65" s="794" t="n">
        <v>45770</v>
      </c>
      <c r="FC65" s="794" t="n">
        <v>45775</v>
      </c>
      <c r="FD65" s="794" t="n">
        <v>45770</v>
      </c>
      <c r="FE65" s="794" t="n">
        <v>45770</v>
      </c>
      <c r="FF65" s="797" t="n">
        <v>45775</v>
      </c>
      <c r="FG65" s="797" t="n">
        <v>45770</v>
      </c>
      <c r="FH65" s="794" t="n">
        <v>45756</v>
      </c>
      <c r="FI65" s="794" t="n">
        <v>45735</v>
      </c>
      <c r="FJ65" s="797" t="n">
        <v>45751</v>
      </c>
      <c r="FK65" s="794" t="n">
        <v>45743</v>
      </c>
      <c r="FL65" s="746" t="n">
        <v>45729</v>
      </c>
      <c r="FM65" s="794" t="n">
        <v>45722</v>
      </c>
      <c r="FN65" s="794" t="n">
        <v>45722</v>
      </c>
      <c r="FO65" s="746" t="n">
        <v>45700</v>
      </c>
      <c r="FP65" s="797" t="n">
        <v>45722</v>
      </c>
      <c r="FQ65" s="794" t="n">
        <v>45714</v>
      </c>
      <c r="FR65" s="794" t="n">
        <v>45706</v>
      </c>
      <c r="FS65" s="794" t="n">
        <v>45684</v>
      </c>
      <c r="FT65" s="794" t="n">
        <v>45699</v>
      </c>
      <c r="FU65" s="794" t="n">
        <v>45693</v>
      </c>
      <c r="FV65" s="797" t="n">
        <v>45687</v>
      </c>
      <c r="FW65" s="794" t="n">
        <v>45685</v>
      </c>
      <c r="FX65" s="797" t="n">
        <v>45684</v>
      </c>
      <c r="FY65" s="794" t="n">
        <v>45674</v>
      </c>
      <c r="FZ65" s="794" t="n">
        <v>45664</v>
      </c>
      <c r="GA65" s="794" t="n">
        <v>45660</v>
      </c>
      <c r="GB65" s="794" t="n">
        <v>45660</v>
      </c>
      <c r="GC65" s="794" t="n">
        <v>45652</v>
      </c>
      <c r="GD65" s="794" t="n">
        <v>45643</v>
      </c>
    </row>
    <row r="66">
      <c r="A66" s="37" t="inlineStr">
        <is>
          <t>CAIXA P</t>
        </is>
      </c>
      <c r="B66" s="32" t="n">
        <v>25</v>
      </c>
      <c r="C66" s="773" t="n">
        <v>0.99</v>
      </c>
      <c r="D66" s="217" t="n"/>
      <c r="E66" s="573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325+FU66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0+EP66</f>
        <v/>
      </c>
      <c r="AD66" s="153" t="n">
        <v>25</v>
      </c>
      <c r="AE66" s="153">
        <f>0+EL66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500+CT66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53" t="n">
        <v>0</v>
      </c>
      <c r="BZ66" s="198">
        <f>BX66+IF(NOT(ISBLANK(OFFSET(BZ66,0,6))),N(OFFSET(BZ66,0,6)),N(OFFSET(BZ66,0,7)))-BY66</f>
        <v/>
      </c>
      <c r="CB66" s="38" t="n"/>
      <c r="CC66" s="38" t="n"/>
      <c r="CE66" s="27" t="n"/>
      <c r="CF66" s="573" t="n"/>
      <c r="CG66" s="135" t="n">
        <v>0</v>
      </c>
      <c r="CH66" s="135" t="n">
        <v>100</v>
      </c>
      <c r="CI66" s="135" t="n">
        <v>1000</v>
      </c>
      <c r="CJ66" s="135" t="n"/>
      <c r="CK66" s="135" t="n"/>
      <c r="CL66" s="135" t="n"/>
      <c r="CM66" s="135" t="n"/>
      <c r="CN66" s="135" t="n"/>
      <c r="CO66" s="135" t="n">
        <v>1000</v>
      </c>
      <c r="CP66" s="135" t="n">
        <v>1000</v>
      </c>
      <c r="CQ66" s="135" t="n"/>
      <c r="CR66" s="135" t="n"/>
      <c r="CS66" s="135" t="n"/>
      <c r="CT66" s="135" t="n">
        <v>1500</v>
      </c>
      <c r="CU66" s="135" t="n"/>
      <c r="CV66" s="135" t="n"/>
      <c r="CW66" s="135" t="n">
        <v>1000</v>
      </c>
      <c r="CX66" s="135" t="n"/>
      <c r="CY66" s="135" t="n">
        <v>1000</v>
      </c>
      <c r="CZ66" s="135" t="n"/>
      <c r="DA66" s="374" t="n"/>
      <c r="DB66" s="135" t="n"/>
      <c r="DC66" s="135" t="n">
        <v>1000</v>
      </c>
      <c r="DD66" s="135" t="n"/>
      <c r="DE66" s="135" t="n">
        <v>500</v>
      </c>
      <c r="DF66" s="135" t="n"/>
      <c r="DG66" s="135" t="n"/>
      <c r="DH66" s="135" t="n">
        <v>500</v>
      </c>
      <c r="DI66" s="135" t="n"/>
      <c r="DJ66" s="135" t="n"/>
      <c r="DK66" s="135" t="n"/>
      <c r="DL66" s="135" t="n">
        <v>500</v>
      </c>
      <c r="DM66" s="135" t="n"/>
      <c r="DN66" s="135" t="n"/>
      <c r="DO66" s="135" t="n"/>
      <c r="DP66" s="135" t="n">
        <v>1000</v>
      </c>
      <c r="DQ66" s="433" t="n"/>
      <c r="DR66" s="135" t="n">
        <v>500</v>
      </c>
      <c r="DS66" s="135" t="n"/>
      <c r="DT66" s="135" t="n"/>
      <c r="DU66" s="433" t="n"/>
      <c r="DV66" s="135" t="n"/>
      <c r="DW66" s="135" t="n">
        <v>500</v>
      </c>
      <c r="DX66" s="135" t="n"/>
      <c r="DY66" s="135" t="n"/>
      <c r="DZ66" s="135" t="n"/>
      <c r="EA66" s="135" t="n"/>
      <c r="EB66" s="135" t="n">
        <v>500</v>
      </c>
      <c r="EC66" s="135" t="n">
        <v>418</v>
      </c>
      <c r="ED66" s="135" t="n"/>
      <c r="EE66" s="135" t="n"/>
      <c r="EF66" s="135" t="n"/>
      <c r="EG66" s="135" t="n"/>
      <c r="EH66" s="135" t="n"/>
      <c r="EI66" s="135" t="n"/>
      <c r="EJ66" s="135" t="n">
        <v>500</v>
      </c>
      <c r="EK66" s="135" t="n"/>
      <c r="EL66" s="135" t="n">
        <v>1000</v>
      </c>
      <c r="EM66" s="135" t="n"/>
      <c r="EN66" s="135" t="n"/>
      <c r="EO66" s="135" t="n"/>
      <c r="EP66" s="135" t="n">
        <v>500</v>
      </c>
      <c r="EQ66" s="135" t="n"/>
      <c r="ER66" s="135" t="n"/>
      <c r="ES66" s="135" t="n"/>
      <c r="ET66" s="135" t="n"/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135" t="n"/>
      <c r="FL66" s="310" t="n"/>
      <c r="FM66" s="135" t="n"/>
      <c r="FN66" s="135" t="n"/>
      <c r="FO66" s="310" t="n"/>
      <c r="FP66" s="135" t="n"/>
      <c r="FQ66" s="135" t="n"/>
      <c r="FR66" s="135" t="n"/>
      <c r="FS66" s="135" t="n">
        <v>2161</v>
      </c>
      <c r="FT66" s="135" t="n"/>
      <c r="FU66" s="135" t="n">
        <v>500</v>
      </c>
      <c r="FV66" s="135" t="n"/>
      <c r="FW66" s="135" t="n">
        <v>500</v>
      </c>
      <c r="FX66" s="135" t="n"/>
      <c r="FY66" s="135" t="n"/>
      <c r="FZ66" s="135" t="n"/>
      <c r="GA66" s="135" t="n"/>
      <c r="GB66" s="135" t="n"/>
      <c r="GC66" s="135" t="n"/>
      <c r="GD66" s="135" t="n"/>
    </row>
    <row r="67">
      <c r="A67" s="37" t="inlineStr">
        <is>
          <t>CAIXA M</t>
        </is>
      </c>
      <c r="B67" s="32" t="n">
        <v>25</v>
      </c>
      <c r="C67" s="773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0+EL67</f>
        <v/>
      </c>
      <c r="AF67" s="153" t="n">
        <v>125</v>
      </c>
      <c r="AG67" s="153" t="n">
        <v>25</v>
      </c>
      <c r="AH67" s="153">
        <f>0+EI67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75+DB67</f>
        <v/>
      </c>
      <c r="BA67" s="153" t="n">
        <v>400</v>
      </c>
      <c r="BB67" s="153" t="n">
        <v>500</v>
      </c>
      <c r="BC67" s="153" t="n">
        <v>575</v>
      </c>
      <c r="BD67" s="153">
        <f>525+CV67</f>
        <v/>
      </c>
      <c r="BE67" s="153">
        <f>1250+CT67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53" t="n">
        <v>300</v>
      </c>
      <c r="BZ67" s="198">
        <f>BX67+IF(NOT(ISBLANK(OFFSET(BZ67,0,6))),N(OFFSET(BZ67,0,6)),N(OFFSET(BZ67,0,7)))-BY67</f>
        <v/>
      </c>
      <c r="CB67" s="22" t="n"/>
      <c r="CC67" s="38" t="n"/>
      <c r="CE67" s="27" t="n">
        <v>500</v>
      </c>
      <c r="CG67" s="135" t="n">
        <v>0</v>
      </c>
      <c r="CH67" s="135" t="n">
        <v>516</v>
      </c>
      <c r="CI67" s="135" t="n">
        <v>1000</v>
      </c>
      <c r="CJ67" s="135" t="n"/>
      <c r="CK67" s="135" t="n"/>
      <c r="CL67" s="135" t="n"/>
      <c r="CM67" s="135" t="n"/>
      <c r="CN67" s="135" t="n"/>
      <c r="CO67" s="135" t="n"/>
      <c r="CP67" s="135" t="n"/>
      <c r="CQ67" s="135" t="n"/>
      <c r="CR67" s="135" t="n"/>
      <c r="CS67" s="135" t="n"/>
      <c r="CT67" s="135" t="n">
        <v>1500</v>
      </c>
      <c r="CU67" s="135" t="n"/>
      <c r="CV67" s="135" t="n">
        <v>1000</v>
      </c>
      <c r="CW67" s="135" t="n">
        <v>500</v>
      </c>
      <c r="CX67" s="135" t="n"/>
      <c r="CY67" s="135" t="n">
        <v>500</v>
      </c>
      <c r="CZ67" s="135" t="n"/>
      <c r="DA67" s="374" t="n"/>
      <c r="DB67" s="135" t="n">
        <v>500</v>
      </c>
      <c r="DC67" s="135" t="n">
        <v>450</v>
      </c>
      <c r="DD67" s="135" t="n"/>
      <c r="DE67" s="135" t="n">
        <v>500</v>
      </c>
      <c r="DF67" s="135" t="n"/>
      <c r="DG67" s="135" t="n"/>
      <c r="DH67" s="135" t="n">
        <v>500</v>
      </c>
      <c r="DI67" s="135" t="n"/>
      <c r="DJ67" s="135" t="n"/>
      <c r="DK67" s="135" t="n"/>
      <c r="DL67" s="135" t="n"/>
      <c r="DM67" s="135" t="n"/>
      <c r="DN67" s="135" t="n"/>
      <c r="DO67" s="135" t="n"/>
      <c r="DP67" s="135" t="n">
        <v>1000</v>
      </c>
      <c r="DQ67" s="433" t="n"/>
      <c r="DR67" s="135" t="n">
        <v>500</v>
      </c>
      <c r="DS67" s="135" t="n"/>
      <c r="DT67" s="135" t="n"/>
      <c r="DU67" s="433" t="n"/>
      <c r="DV67" s="135" t="n"/>
      <c r="DW67" s="135" t="n">
        <v>500</v>
      </c>
      <c r="DX67" s="135" t="n"/>
      <c r="DY67" s="135" t="n"/>
      <c r="DZ67" s="135" t="n"/>
      <c r="EA67" s="135" t="n"/>
      <c r="EB67" s="135" t="n"/>
      <c r="EC67" s="135" t="n">
        <v>500</v>
      </c>
      <c r="ED67" s="135" t="n"/>
      <c r="EE67" s="135" t="n"/>
      <c r="EF67" s="135" t="n"/>
      <c r="EG67" s="135" t="n"/>
      <c r="EH67" s="135" t="n"/>
      <c r="EI67" s="135" t="n">
        <v>1000</v>
      </c>
      <c r="EJ67" s="135" t="n"/>
      <c r="EK67" s="135" t="n"/>
      <c r="EL67" s="135" t="n">
        <v>542</v>
      </c>
      <c r="EM67" s="135" t="n"/>
      <c r="EN67" s="135" t="n"/>
      <c r="EO67" s="135" t="n"/>
      <c r="EP67" s="135" t="n"/>
      <c r="EQ67" s="135" t="n"/>
      <c r="ER67" s="135" t="n"/>
      <c r="ES67" s="135" t="n"/>
      <c r="ET67" s="135" t="n"/>
      <c r="EU67" s="135" t="n"/>
      <c r="EV67" s="135" t="n"/>
      <c r="EW67" s="135" t="n"/>
      <c r="EX67" s="135" t="n"/>
      <c r="EY67" s="135" t="n">
        <v>1375</v>
      </c>
      <c r="EZ67" s="135" t="n"/>
      <c r="FA67" s="135" t="n"/>
      <c r="FB67" s="135" t="n"/>
      <c r="FC67" s="135" t="n"/>
      <c r="FD67" s="135" t="n"/>
      <c r="FE67" s="135" t="n"/>
      <c r="FF67" s="135" t="n"/>
      <c r="FG67" s="135" t="n"/>
      <c r="FH67" s="135" t="n"/>
      <c r="FI67" s="135" t="n"/>
      <c r="FJ67" s="135" t="n"/>
      <c r="FK67" s="135" t="n"/>
      <c r="FL67" s="310" t="n"/>
      <c r="FM67" s="135" t="n"/>
      <c r="FN67" s="135" t="n"/>
      <c r="FO67" s="310" t="n"/>
      <c r="FP67" s="135" t="n"/>
      <c r="FQ67" s="135" t="n"/>
      <c r="FR67" s="135" t="n"/>
      <c r="FS67" s="135" t="n">
        <v>1516</v>
      </c>
      <c r="FT67" s="135" t="n"/>
      <c r="FU67" s="135" t="n"/>
      <c r="FV67" s="330" t="n"/>
      <c r="FW67" s="330" t="n"/>
      <c r="FX67" s="330" t="n"/>
      <c r="FY67" s="330" t="n"/>
      <c r="FZ67" s="330" t="n"/>
      <c r="GA67" s="330" t="n"/>
      <c r="GB67" s="330" t="n"/>
      <c r="GC67" s="330" t="n"/>
      <c r="GD67" s="330" t="n"/>
    </row>
    <row r="68">
      <c r="A68" s="37" t="inlineStr">
        <is>
          <t>CAIXA G</t>
        </is>
      </c>
      <c r="B68" s="32" t="n">
        <v>25</v>
      </c>
      <c r="C68" s="773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175+FI68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400+DB68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250+CT68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53" t="n">
        <v>475</v>
      </c>
      <c r="BZ68" s="198">
        <f>BX68+IF(NOT(ISBLANK(OFFSET(BZ68,0,6))),N(OFFSET(BZ68,0,6)),N(OFFSET(BZ68,0,7)))-BY68</f>
        <v/>
      </c>
      <c r="CB68" s="38" t="n"/>
      <c r="CC68" s="38" t="n"/>
      <c r="CE68" s="27" t="n"/>
      <c r="CF68" s="253" t="n"/>
      <c r="CG68" s="135" t="n">
        <v>0</v>
      </c>
      <c r="CH68" s="135" t="n">
        <v>0</v>
      </c>
      <c r="CI68" s="135" t="n">
        <v>600</v>
      </c>
      <c r="CJ68" s="135" t="n"/>
      <c r="CK68" s="135" t="n"/>
      <c r="CL68" s="135" t="n"/>
      <c r="CM68" s="135" t="n"/>
      <c r="CN68" s="135" t="n"/>
      <c r="CO68" s="135" t="n"/>
      <c r="CP68" s="135" t="n"/>
      <c r="CQ68" s="135" t="n"/>
      <c r="CR68" s="135" t="n"/>
      <c r="CS68" s="135" t="n"/>
      <c r="CT68" s="135" t="n">
        <v>500</v>
      </c>
      <c r="CU68" s="135" t="n"/>
      <c r="CV68" s="135" t="n"/>
      <c r="CW68" s="135" t="n"/>
      <c r="CX68" s="135" t="n"/>
      <c r="CY68" s="135" t="n"/>
      <c r="CZ68" s="135" t="n"/>
      <c r="DA68" s="374" t="n"/>
      <c r="DB68" s="135" t="n">
        <v>300</v>
      </c>
      <c r="DC68" s="135" t="n">
        <v>300</v>
      </c>
      <c r="DD68" s="135" t="n"/>
      <c r="DE68" s="135" t="n"/>
      <c r="DF68" s="135" t="n"/>
      <c r="DG68" s="135" t="n"/>
      <c r="DH68" s="135" t="n"/>
      <c r="DI68" s="135" t="n"/>
      <c r="DJ68" s="135" t="n"/>
      <c r="DK68" s="135" t="n"/>
      <c r="DL68" s="135" t="n">
        <v>300</v>
      </c>
      <c r="DM68" s="135" t="n"/>
      <c r="DN68" s="135" t="n"/>
      <c r="DO68" s="135" t="n"/>
      <c r="DP68" s="135" t="n"/>
      <c r="DQ68" s="433" t="n"/>
      <c r="DR68" s="135" t="n"/>
      <c r="DS68" s="135" t="n"/>
      <c r="DT68" s="135" t="n"/>
      <c r="DU68" s="433" t="n"/>
      <c r="DV68" s="135" t="n"/>
      <c r="DW68" s="135" t="n"/>
      <c r="DX68" s="135" t="n"/>
      <c r="DY68" s="135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/>
      <c r="EJ68" s="135" t="n">
        <v>500</v>
      </c>
      <c r="EK68" s="135" t="n"/>
      <c r="EL68" s="135" t="n"/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/>
      <c r="EY68" s="135" t="n">
        <v>1638</v>
      </c>
      <c r="EZ68" s="135" t="n"/>
      <c r="FA68" s="135" t="n"/>
      <c r="FB68" s="135" t="n"/>
      <c r="FC68" s="135" t="n"/>
      <c r="FD68" s="135" t="n"/>
      <c r="FE68" s="135" t="n"/>
      <c r="FF68" s="135" t="n"/>
      <c r="FG68" s="135" t="n"/>
      <c r="FH68" s="135" t="n"/>
      <c r="FI68" s="135" t="n">
        <v>500</v>
      </c>
      <c r="FJ68" s="135" t="n"/>
      <c r="FK68" s="135" t="n"/>
      <c r="FL68" s="310" t="n"/>
      <c r="FM68" s="135" t="n"/>
      <c r="FN68" s="135" t="n"/>
      <c r="FO68" s="310" t="n"/>
      <c r="FP68" s="135" t="n"/>
      <c r="FQ68" s="135" t="n"/>
      <c r="FR68" s="135" t="n"/>
      <c r="FS68" s="135" t="n">
        <v>550</v>
      </c>
      <c r="FT68" s="135" t="n"/>
      <c r="FU68" s="135" t="n"/>
      <c r="FV68" s="331" t="n"/>
      <c r="FW68" s="331" t="n"/>
      <c r="FX68" s="331" t="n"/>
      <c r="FY68" s="331" t="n"/>
      <c r="FZ68" s="331" t="n"/>
      <c r="GA68" s="331" t="n"/>
      <c r="GB68" s="331" t="n"/>
      <c r="GC68" s="331" t="n"/>
      <c r="GD68" s="331" t="n"/>
    </row>
    <row r="69">
      <c r="FL69" s="309" t="n"/>
      <c r="FO69" s="309" t="n"/>
      <c r="FP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6" t="n">
        <v>45873</v>
      </c>
      <c r="AL70" s="746" t="n">
        <v>45880</v>
      </c>
      <c r="AM70" s="746" t="n">
        <v>45887</v>
      </c>
      <c r="AN70" s="746" t="n">
        <v>45894</v>
      </c>
      <c r="AO70" s="746" t="n">
        <v>45901</v>
      </c>
      <c r="AP70" s="746" t="n">
        <v>45908</v>
      </c>
      <c r="AQ70" s="746" t="n">
        <v>45915</v>
      </c>
      <c r="AR70" s="746" t="n">
        <v>45922</v>
      </c>
      <c r="AS70" s="746" t="n">
        <v>45929</v>
      </c>
      <c r="AT70" s="746" t="n">
        <v>45936</v>
      </c>
      <c r="AU70" s="746" t="n">
        <v>45943</v>
      </c>
      <c r="AV70" s="746" t="n">
        <v>45950</v>
      </c>
      <c r="AW70" s="746" t="n">
        <v>45957</v>
      </c>
      <c r="AX70" s="746" t="n">
        <v>45964</v>
      </c>
      <c r="AY70" s="746" t="n">
        <v>45971</v>
      </c>
      <c r="AZ70" s="746" t="n">
        <v>45978</v>
      </c>
      <c r="BA70" s="746" t="n">
        <v>45985</v>
      </c>
      <c r="BB70" s="746" t="n">
        <v>45992</v>
      </c>
      <c r="BC70" s="746" t="n">
        <v>45999</v>
      </c>
      <c r="BD70" s="746" t="n">
        <v>46006</v>
      </c>
      <c r="BE70" s="746" t="n">
        <v>46013</v>
      </c>
      <c r="BF70" s="746" t="n">
        <v>46020</v>
      </c>
      <c r="BG70" s="746" t="n">
        <v>46027</v>
      </c>
      <c r="BH70" s="746" t="n">
        <v>46034</v>
      </c>
      <c r="BI70" s="746" t="n">
        <v>46041</v>
      </c>
      <c r="BJ70" s="746" t="n">
        <v>46048</v>
      </c>
      <c r="BK70" s="746" t="n">
        <v>46055</v>
      </c>
      <c r="BL70" s="746" t="n">
        <v>46062</v>
      </c>
      <c r="BM70" s="746" t="n">
        <v>46069</v>
      </c>
      <c r="BN70" s="746" t="n">
        <v>46076</v>
      </c>
      <c r="BO70" s="746" t="n">
        <v>46083</v>
      </c>
      <c r="BP70" s="746" t="n">
        <v>46090</v>
      </c>
      <c r="BQ70" s="746" t="n">
        <v>46097</v>
      </c>
      <c r="BR70" s="746" t="n">
        <v>46104</v>
      </c>
      <c r="BS70" s="746" t="n">
        <v>46111</v>
      </c>
      <c r="BT70" s="746" t="n">
        <v>46118</v>
      </c>
      <c r="BU70" s="746" t="n">
        <v>46125</v>
      </c>
      <c r="BV70" s="746" t="n">
        <v>46132</v>
      </c>
      <c r="BW70" s="746" t="n">
        <v>46139</v>
      </c>
      <c r="BX70" s="746" t="n">
        <v>46146</v>
      </c>
      <c r="BY70" s="746" t="n">
        <v>46154</v>
      </c>
      <c r="BZ70" s="758" t="inlineStr">
        <is>
          <t>USOU</t>
        </is>
      </c>
      <c r="DA70" s="309" t="n"/>
      <c r="FL70" s="309" t="n"/>
      <c r="FM70" s="309" t="n"/>
      <c r="FP70" s="309" t="n"/>
      <c r="GC70" s="309" t="n"/>
      <c r="GD70" s="309" t="n"/>
      <c r="HE70" s="5" t="n"/>
      <c r="HQ70" s="5" t="n"/>
      <c r="HX70" s="5" t="n"/>
      <c r="HY70" s="5" t="n"/>
      <c r="HZ70" s="5" t="n"/>
      <c r="IA70" s="5" t="n"/>
      <c r="IB70" s="5" t="n"/>
      <c r="IC70" s="5" t="n"/>
      <c r="ID70" s="5" t="n"/>
    </row>
    <row r="71" hidden="1">
      <c r="A71" s="37" t="inlineStr">
        <is>
          <t>SACOLA G HP/25</t>
        </is>
      </c>
      <c r="B71" s="699" t="n">
        <v>100</v>
      </c>
      <c r="C71" s="762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697" t="n">
        <v>0</v>
      </c>
      <c r="AL71" s="697" t="n">
        <v>0</v>
      </c>
      <c r="AM71" s="697" t="n">
        <v>0</v>
      </c>
      <c r="AN71" s="697">
        <f>0+DU9</f>
        <v/>
      </c>
      <c r="AO71" s="697">
        <f>100-60</f>
        <v/>
      </c>
      <c r="AP71" s="697" t="n">
        <v>31</v>
      </c>
      <c r="AQ71" s="697" t="n">
        <v>24</v>
      </c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>
        <v>2</v>
      </c>
      <c r="BB71" s="697" t="n">
        <v>2</v>
      </c>
      <c r="BC71" s="697" t="n">
        <v>1</v>
      </c>
      <c r="BD71" s="697" t="n">
        <v>0</v>
      </c>
      <c r="BE71" s="697" t="n">
        <v>0</v>
      </c>
      <c r="BF71" s="697" t="n">
        <v>0</v>
      </c>
      <c r="BG71" s="697" t="n">
        <v>0</v>
      </c>
      <c r="BH71" s="697" t="n">
        <v>0</v>
      </c>
      <c r="BI71" s="697" t="n">
        <v>0</v>
      </c>
      <c r="BJ71" s="697" t="n">
        <v>0</v>
      </c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431">
        <f>BX71+IF(NOT(ISBLANK(OFFSET(BZ71,0,6))),N(OFFSET(BZ71,0,6)),N(OFFSET(BZ71,0,7)))-BY71</f>
        <v/>
      </c>
      <c r="DA71" s="309" t="n"/>
      <c r="FL71" s="309" t="n"/>
      <c r="FM71" s="309" t="n"/>
      <c r="FP71" s="309" t="n"/>
      <c r="GC71" s="309" t="n"/>
      <c r="GD71" s="309" t="n"/>
      <c r="HE71" s="5" t="n"/>
      <c r="HQ71" s="5" t="n"/>
      <c r="HX71" s="5" t="n"/>
      <c r="HY71" s="5" t="n"/>
      <c r="HZ71" s="5" t="n"/>
      <c r="IA71" s="5" t="n"/>
      <c r="IB71" s="5" t="n"/>
      <c r="IC71" s="5" t="n"/>
      <c r="ID71" s="5" t="n"/>
    </row>
    <row r="72" hidden="1">
      <c r="A72" s="37" t="inlineStr">
        <is>
          <t>TAG HP/25</t>
        </is>
      </c>
      <c r="B72" s="699" t="n">
        <v>100</v>
      </c>
      <c r="C72" s="762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697" t="n">
        <v>0</v>
      </c>
      <c r="AL72" s="697" t="n">
        <v>0</v>
      </c>
      <c r="AM72" s="697" t="n">
        <v>0</v>
      </c>
      <c r="AN72" s="697">
        <f>0+DU10</f>
        <v/>
      </c>
      <c r="AO72" s="697">
        <f>100-60</f>
        <v/>
      </c>
      <c r="AP72" s="697" t="n">
        <v>31</v>
      </c>
      <c r="AQ72" s="314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431">
        <f>BX72+IF(NOT(ISBLANK(OFFSET(BZ72,0,6))),N(OFFSET(BZ72,0,6)),N(OFFSET(BZ72,0,7)))-BY72</f>
        <v/>
      </c>
      <c r="DA72" s="309" t="n"/>
      <c r="FL72" s="309" t="n"/>
      <c r="FM72" s="309" t="n"/>
      <c r="FP72" s="309" t="n"/>
      <c r="GC72" s="309" t="n"/>
      <c r="GD72" s="309" t="n"/>
      <c r="HE72" s="5" t="n"/>
      <c r="HQ72" s="5" t="n"/>
      <c r="HX72" s="5" t="n"/>
      <c r="HY72" s="5" t="n"/>
      <c r="HZ72" s="5" t="n"/>
      <c r="IA72" s="5" t="n"/>
      <c r="IB72" s="5" t="n"/>
      <c r="IC72" s="5" t="n"/>
      <c r="ID72" s="5" t="n"/>
    </row>
    <row r="73">
      <c r="A73" s="37" t="inlineStr">
        <is>
          <t>CARTUCHO P HP/25</t>
        </is>
      </c>
      <c r="B73" s="699" t="n">
        <v>150</v>
      </c>
      <c r="C73" s="762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697" t="n">
        <v>0</v>
      </c>
      <c r="AL73" s="697" t="n">
        <v>0</v>
      </c>
      <c r="AM73" s="697" t="n">
        <v>0</v>
      </c>
      <c r="AN73" s="697">
        <f>0+DU11</f>
        <v/>
      </c>
      <c r="AO73" s="697">
        <f>150-75</f>
        <v/>
      </c>
      <c r="AP73" s="697" t="n">
        <v>72</v>
      </c>
      <c r="AQ73" s="697" t="n">
        <v>72</v>
      </c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>
        <v>66</v>
      </c>
      <c r="BB73" s="697" t="n">
        <v>66</v>
      </c>
      <c r="BC73" s="697" t="n">
        <v>66</v>
      </c>
      <c r="BD73" s="697" t="n">
        <v>65</v>
      </c>
      <c r="BE73" s="697" t="n">
        <v>65</v>
      </c>
      <c r="BF73" s="697" t="n">
        <v>65</v>
      </c>
      <c r="BG73" s="697" t="n">
        <v>65</v>
      </c>
      <c r="BH73" s="697" t="n">
        <v>65</v>
      </c>
      <c r="BI73" s="697" t="n">
        <v>65</v>
      </c>
      <c r="BJ73" s="697" t="n">
        <v>65</v>
      </c>
      <c r="BK73" s="697" t="n">
        <v>65</v>
      </c>
      <c r="BL73" s="697" t="n">
        <v>65</v>
      </c>
      <c r="BM73" s="697" t="n">
        <v>65</v>
      </c>
      <c r="BN73" s="697" t="n">
        <v>65</v>
      </c>
      <c r="BO73" s="697" t="n">
        <v>65</v>
      </c>
      <c r="BP73" s="697" t="n">
        <v>65</v>
      </c>
      <c r="BQ73" s="697" t="n">
        <v>65</v>
      </c>
      <c r="BR73" s="697" t="n">
        <v>65</v>
      </c>
      <c r="BS73" s="697" t="n">
        <v>65</v>
      </c>
      <c r="BT73" s="697" t="n">
        <v>65</v>
      </c>
      <c r="BU73" s="697" t="n">
        <v>65</v>
      </c>
      <c r="BV73" s="697" t="n">
        <v>65</v>
      </c>
      <c r="BW73" s="697" t="n">
        <v>65</v>
      </c>
      <c r="BX73" s="697" t="n">
        <v>65</v>
      </c>
      <c r="BY73" s="697" t="n">
        <v>65</v>
      </c>
      <c r="BZ73" s="431">
        <f>BX73+IF(NOT(ISBLANK(OFFSET(BZ73,0,6))),N(OFFSET(BZ73,0,6)),N(OFFSET(BZ73,0,7)))-BY73</f>
        <v/>
      </c>
      <c r="DA73" s="309" t="n"/>
      <c r="FL73" s="309" t="n"/>
      <c r="FM73" s="309" t="n"/>
      <c r="FP73" s="309" t="n"/>
      <c r="GC73" s="309" t="n"/>
      <c r="GD73" s="309" t="n"/>
      <c r="HE73" s="5" t="n"/>
      <c r="HQ73" s="5" t="n"/>
      <c r="HX73" s="5" t="n"/>
      <c r="HY73" s="5" t="n"/>
      <c r="HZ73" s="5" t="n"/>
      <c r="IA73" s="5" t="n"/>
      <c r="IB73" s="5" t="n"/>
      <c r="IC73" s="5" t="n"/>
      <c r="ID73" s="5" t="n"/>
    </row>
    <row r="74">
      <c r="FL74" s="309" t="n"/>
      <c r="FO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6" t="n">
        <v>45985</v>
      </c>
      <c r="BB75" s="746" t="n">
        <v>45992</v>
      </c>
      <c r="BC75" s="746" t="n">
        <v>45999</v>
      </c>
      <c r="BD75" s="746" t="n">
        <v>46006</v>
      </c>
      <c r="BE75" s="746" t="n">
        <v>46013</v>
      </c>
      <c r="BF75" s="746" t="n">
        <v>46020</v>
      </c>
      <c r="BG75" s="746" t="n">
        <v>46027</v>
      </c>
      <c r="BH75" s="746" t="n">
        <v>46034</v>
      </c>
      <c r="BI75" s="746" t="n">
        <v>46041</v>
      </c>
      <c r="BJ75" s="746" t="n">
        <v>46048</v>
      </c>
      <c r="BK75" s="746" t="n">
        <v>46055</v>
      </c>
      <c r="BL75" s="746" t="n">
        <v>46062</v>
      </c>
      <c r="BM75" s="746" t="n">
        <v>46069</v>
      </c>
      <c r="BN75" s="746" t="n">
        <v>46076</v>
      </c>
      <c r="BO75" s="746" t="n">
        <v>46083</v>
      </c>
      <c r="BP75" s="746" t="n">
        <v>46090</v>
      </c>
      <c r="BQ75" s="746" t="n">
        <v>46097</v>
      </c>
      <c r="BR75" s="746" t="n">
        <v>46104</v>
      </c>
      <c r="BS75" s="746" t="n">
        <v>46111</v>
      </c>
      <c r="BT75" s="746" t="n">
        <v>46118</v>
      </c>
      <c r="BU75" s="746" t="n">
        <v>46125</v>
      </c>
      <c r="BV75" s="746" t="n">
        <v>46132</v>
      </c>
      <c r="BW75" s="746" t="n">
        <v>46139</v>
      </c>
      <c r="BX75" s="746" t="n">
        <v>46146</v>
      </c>
      <c r="BY75" s="746" t="n">
        <v>46154</v>
      </c>
      <c r="BZ75" s="758" t="inlineStr">
        <is>
          <t>USOU</t>
        </is>
      </c>
      <c r="FL75" s="309" t="n"/>
      <c r="FO75" s="309" t="n"/>
    </row>
    <row r="76">
      <c r="A76" s="37" t="inlineStr">
        <is>
          <t>SACOLA M</t>
        </is>
      </c>
      <c r="B76" s="699" t="n">
        <v>200</v>
      </c>
      <c r="C76" s="762" t="n">
        <v>479.2</v>
      </c>
      <c r="D76" s="382" t="n"/>
      <c r="BA76" s="697" t="n">
        <v>77</v>
      </c>
      <c r="BB76" s="697" t="n">
        <v>0</v>
      </c>
      <c r="BC76" s="697" t="n">
        <v>0</v>
      </c>
      <c r="BD76" s="314" t="n">
        <v>75</v>
      </c>
      <c r="BE76" s="697" t="n">
        <v>75</v>
      </c>
      <c r="BF76" s="697" t="n">
        <v>74</v>
      </c>
      <c r="BG76" s="697" t="n">
        <v>74</v>
      </c>
      <c r="BH76" s="697" t="n">
        <v>74</v>
      </c>
      <c r="BI76" s="697" t="n">
        <v>74</v>
      </c>
      <c r="BJ76" s="697" t="n">
        <v>73</v>
      </c>
      <c r="BK76" s="697" t="n">
        <v>73</v>
      </c>
      <c r="BL76" s="697" t="n">
        <v>73</v>
      </c>
      <c r="BM76" s="697" t="n">
        <v>73</v>
      </c>
      <c r="BN76" s="697" t="n">
        <v>73</v>
      </c>
      <c r="BO76" s="697" t="n">
        <v>73</v>
      </c>
      <c r="BP76" s="697" t="n">
        <v>73</v>
      </c>
      <c r="BQ76" s="697" t="n">
        <v>73</v>
      </c>
      <c r="BR76" s="697" t="n">
        <v>73</v>
      </c>
      <c r="BS76" s="697" t="n">
        <v>71</v>
      </c>
      <c r="BT76" s="697" t="n">
        <v>71</v>
      </c>
      <c r="BU76" s="697" t="n">
        <v>71</v>
      </c>
      <c r="BV76" s="697" t="n">
        <v>71</v>
      </c>
      <c r="BW76" s="697" t="n">
        <v>71</v>
      </c>
      <c r="BX76" s="697" t="n">
        <v>71</v>
      </c>
      <c r="BY76" s="697" t="n">
        <v>70</v>
      </c>
      <c r="BZ76" s="431">
        <f>BX76+IF(NOT(ISBLANK(OFFSET(BZ76,0,6))),N(OFFSET(BZ76,0,6)),N(OFFSET(BZ76,0,7)))-BY76</f>
        <v/>
      </c>
      <c r="FL76" s="309" t="n"/>
      <c r="FO76" s="309" t="n"/>
    </row>
    <row r="77" hidden="1">
      <c r="A77" s="37" t="inlineStr">
        <is>
          <t>PAPEL DE SEDA</t>
        </is>
      </c>
      <c r="B77" s="699" t="n">
        <v>200</v>
      </c>
      <c r="C77" s="762" t="n">
        <v>45.47</v>
      </c>
      <c r="D77" s="382" t="n"/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431">
        <f>BX77+IF(NOT(ISBLANK(OFFSET(BZ77,0,6))),N(OFFSET(BZ77,0,6)),N(OFFSET(BZ77,0,7)))-BY77</f>
        <v/>
      </c>
      <c r="FL77" s="309" t="n"/>
      <c r="FO77" s="309" t="n"/>
    </row>
    <row r="78">
      <c r="A78" s="37" t="inlineStr">
        <is>
          <t>CAIXA M</t>
        </is>
      </c>
      <c r="B78" s="699" t="n">
        <v>100</v>
      </c>
      <c r="C78" s="762" t="n">
        <v>1490</v>
      </c>
      <c r="D78" s="382" t="n"/>
      <c r="BA78" s="697" t="n">
        <v>50</v>
      </c>
      <c r="BB78" s="697" t="n">
        <v>50</v>
      </c>
      <c r="BC78" s="697" t="n">
        <v>50</v>
      </c>
      <c r="BD78" s="697" t="n">
        <v>50</v>
      </c>
      <c r="BE78" s="697" t="n">
        <v>50</v>
      </c>
      <c r="BF78" s="697" t="n">
        <v>50</v>
      </c>
      <c r="BG78" s="697" t="n">
        <v>50</v>
      </c>
      <c r="BH78" s="697" t="n">
        <v>50</v>
      </c>
      <c r="BI78" s="697" t="n">
        <v>50</v>
      </c>
      <c r="BJ78" s="697" t="n">
        <v>50</v>
      </c>
      <c r="BK78" s="697" t="n">
        <v>50</v>
      </c>
      <c r="BL78" s="697" t="n">
        <v>50</v>
      </c>
      <c r="BM78" s="697" t="n">
        <v>50</v>
      </c>
      <c r="BN78" s="697" t="n">
        <v>50</v>
      </c>
      <c r="BO78" s="697" t="n">
        <v>50</v>
      </c>
      <c r="BP78" s="697" t="n">
        <v>50</v>
      </c>
      <c r="BQ78" s="697" t="n">
        <v>50</v>
      </c>
      <c r="BR78" s="697" t="n">
        <v>50</v>
      </c>
      <c r="BS78" s="697" t="n">
        <v>50</v>
      </c>
      <c r="BT78" s="697" t="n">
        <v>50</v>
      </c>
      <c r="BU78" s="697" t="n">
        <v>50</v>
      </c>
      <c r="BV78" s="697" t="n">
        <v>50</v>
      </c>
      <c r="BW78" s="697" t="n">
        <v>50</v>
      </c>
      <c r="BX78" s="697" t="n">
        <v>50</v>
      </c>
      <c r="BY78" s="697" t="n">
        <v>50</v>
      </c>
      <c r="BZ78" s="431">
        <f>BX78+IF(NOT(ISBLANK(OFFSET(BZ78,0,6))),N(OFFSET(BZ78,0,6)),N(OFFSET(BZ78,0,7)))-BY78</f>
        <v/>
      </c>
      <c r="FL78" s="309" t="n"/>
      <c r="FO78" s="309" t="n"/>
    </row>
    <row r="79">
      <c r="FL79" s="309" t="n"/>
      <c r="FO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6" t="n">
        <v>45985</v>
      </c>
      <c r="BB80" s="746" t="n">
        <v>45992</v>
      </c>
      <c r="BC80" s="746" t="n">
        <v>45999</v>
      </c>
      <c r="BD80" s="746" t="n">
        <v>46006</v>
      </c>
      <c r="BE80" s="746" t="n">
        <v>46013</v>
      </c>
      <c r="BF80" s="746" t="n">
        <v>46020</v>
      </c>
      <c r="BG80" s="746" t="n">
        <v>46027</v>
      </c>
      <c r="BH80" s="746" t="n">
        <v>46034</v>
      </c>
      <c r="BI80" s="746" t="n">
        <v>46041</v>
      </c>
      <c r="BJ80" s="746" t="n">
        <v>46048</v>
      </c>
      <c r="BK80" s="746" t="n">
        <v>46055</v>
      </c>
      <c r="BL80" s="746" t="n">
        <v>46062</v>
      </c>
      <c r="BM80" s="746" t="n">
        <v>46069</v>
      </c>
      <c r="BN80" s="746" t="n">
        <v>46076</v>
      </c>
      <c r="BO80" s="746" t="n">
        <v>46083</v>
      </c>
      <c r="BP80" s="746" t="n">
        <v>46090</v>
      </c>
      <c r="BQ80" s="746" t="n">
        <v>46097</v>
      </c>
      <c r="BR80" s="746" t="n">
        <v>46104</v>
      </c>
      <c r="BS80" s="746" t="n">
        <v>46111</v>
      </c>
      <c r="BT80" s="746" t="n">
        <v>46118</v>
      </c>
      <c r="BU80" s="746" t="n">
        <v>46125</v>
      </c>
      <c r="BV80" s="746" t="n">
        <v>46132</v>
      </c>
      <c r="BW80" s="746" t="n">
        <v>46139</v>
      </c>
      <c r="BX80" s="746" t="n">
        <v>46146</v>
      </c>
      <c r="BY80" s="746" t="n">
        <v>46154</v>
      </c>
      <c r="BZ80" s="758" t="inlineStr">
        <is>
          <t>USOU</t>
        </is>
      </c>
      <c r="FL80" s="309" t="n"/>
      <c r="FO80" s="309" t="n"/>
    </row>
    <row r="81">
      <c r="A81" s="37" t="inlineStr">
        <is>
          <t xml:space="preserve">SACOLA M </t>
        </is>
      </c>
      <c r="B81" s="699" t="n">
        <v>200</v>
      </c>
      <c r="C81" s="762" t="n">
        <v>336</v>
      </c>
      <c r="D81" s="382" t="n"/>
      <c r="BA81" s="697" t="n">
        <v>337</v>
      </c>
      <c r="BB81" s="697" t="n">
        <v>256</v>
      </c>
      <c r="BC81" s="697" t="n">
        <v>187</v>
      </c>
      <c r="BD81" s="697" t="n">
        <v>50</v>
      </c>
      <c r="BE81" s="697" t="n">
        <v>6</v>
      </c>
      <c r="BF81" s="697" t="n">
        <v>6</v>
      </c>
      <c r="BG81" s="697" t="n">
        <v>6</v>
      </c>
      <c r="BH81" s="697" t="n">
        <v>6</v>
      </c>
      <c r="BI81" s="697" t="n">
        <v>5</v>
      </c>
      <c r="BJ81" s="697" t="n">
        <v>5</v>
      </c>
      <c r="BK81" s="697" t="n">
        <v>5</v>
      </c>
      <c r="BL81" s="697" t="n">
        <v>5</v>
      </c>
      <c r="BM81" s="697" t="n">
        <v>5</v>
      </c>
      <c r="BN81" s="697" t="n">
        <v>5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431">
        <f>BX81+IF(NOT(ISBLANK(OFFSET(BZ81,0,6))),N(OFFSET(BZ81,0,6)),N(OFFSET(BZ81,0,7)))-BY81</f>
        <v/>
      </c>
      <c r="FL81" s="309" t="n"/>
      <c r="FO81" s="309" t="n"/>
    </row>
    <row r="82">
      <c r="A82" s="37" t="inlineStr">
        <is>
          <t>PAPEL DE SEDA</t>
        </is>
      </c>
      <c r="B82" s="699" t="n">
        <v>200</v>
      </c>
      <c r="C82" s="762" t="n">
        <v>54</v>
      </c>
      <c r="D82" s="382" t="n"/>
      <c r="BA82" s="697" t="n">
        <v>347</v>
      </c>
      <c r="BB82" s="697" t="n">
        <v>347</v>
      </c>
      <c r="BC82" s="697" t="n">
        <v>287</v>
      </c>
      <c r="BD82" s="697" t="n">
        <v>267</v>
      </c>
      <c r="BE82" s="697" t="n">
        <v>247</v>
      </c>
      <c r="BF82" s="697" t="n">
        <v>247</v>
      </c>
      <c r="BG82" s="697" t="n">
        <v>247</v>
      </c>
      <c r="BH82" s="697" t="n">
        <v>247</v>
      </c>
      <c r="BI82" s="697" t="n">
        <v>247</v>
      </c>
      <c r="BJ82" s="697" t="n">
        <v>199</v>
      </c>
      <c r="BK82" s="697" t="n">
        <v>199</v>
      </c>
      <c r="BL82" s="697" t="n">
        <v>199</v>
      </c>
      <c r="BM82" s="697" t="n">
        <v>199</v>
      </c>
      <c r="BN82" s="697" t="n">
        <v>199</v>
      </c>
      <c r="BO82" s="697" t="n">
        <v>199</v>
      </c>
      <c r="BP82" s="697" t="n">
        <v>140</v>
      </c>
      <c r="BQ82" s="697" t="n">
        <v>140</v>
      </c>
      <c r="BR82" s="697" t="n">
        <v>125</v>
      </c>
      <c r="BS82" s="697" t="n">
        <v>125</v>
      </c>
      <c r="BT82" s="697" t="n">
        <v>125</v>
      </c>
      <c r="BU82" s="697" t="n">
        <v>125</v>
      </c>
      <c r="BV82" s="697" t="n">
        <v>125</v>
      </c>
      <c r="BW82" s="697" t="n">
        <v>125</v>
      </c>
      <c r="BX82" s="697" t="n">
        <v>125</v>
      </c>
      <c r="BY82" s="697" t="n">
        <v>111</v>
      </c>
      <c r="BZ82" s="431">
        <f>BX82+IF(NOT(ISBLANK(OFFSET(BZ82,0,6))),N(OFFSET(BZ82,0,6)),N(OFFSET(BZ82,0,7)))-BY82</f>
        <v/>
      </c>
      <c r="FL82" s="309" t="n"/>
      <c r="FO82" s="309" t="n"/>
    </row>
    <row r="83">
      <c r="A83" s="37" t="inlineStr">
        <is>
          <t>KIT TAG 10 C/ 20</t>
        </is>
      </c>
      <c r="B83" s="699" t="n">
        <v>200</v>
      </c>
      <c r="C83" s="762" t="n">
        <v>40</v>
      </c>
      <c r="D83" s="382" t="n"/>
      <c r="BA83" s="697" t="n">
        <v>5</v>
      </c>
      <c r="BB83" s="697" t="n">
        <v>4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10</v>
      </c>
      <c r="BQ83" s="697" t="n">
        <v>10</v>
      </c>
      <c r="BR83" s="697" t="n">
        <v>10</v>
      </c>
      <c r="BS83" s="697" t="n">
        <v>5</v>
      </c>
      <c r="BT83" s="697" t="n">
        <v>5</v>
      </c>
      <c r="BU83" s="697" t="n">
        <v>5</v>
      </c>
      <c r="BV83" s="697" t="n">
        <v>5</v>
      </c>
      <c r="BW83" s="697" t="n">
        <v>5</v>
      </c>
      <c r="BX83" s="697" t="n">
        <v>5</v>
      </c>
      <c r="BY83" s="697" t="n">
        <v>5</v>
      </c>
      <c r="BZ83" s="431">
        <f>BX83+IF(NOT(ISBLANK(OFFSET(BZ83,0,6))),N(OFFSET(BZ83,0,6)),N(OFFSET(BZ83,0,7)))-BY83</f>
        <v/>
      </c>
      <c r="FL83" s="309" t="n"/>
      <c r="FO83" s="309" t="n"/>
    </row>
    <row r="84">
      <c r="A84" s="347" t="inlineStr">
        <is>
          <t>CAIXA M</t>
        </is>
      </c>
      <c r="B84" s="32" t="n">
        <v>100</v>
      </c>
      <c r="C84" s="773" t="n">
        <v>904</v>
      </c>
      <c r="D84" s="32" t="n"/>
      <c r="BA84" s="697" t="n">
        <v>46</v>
      </c>
      <c r="BB84" s="697" t="n">
        <v>46</v>
      </c>
      <c r="BC84" s="697" t="n">
        <v>45</v>
      </c>
      <c r="BD84" s="697" t="n">
        <v>45</v>
      </c>
      <c r="BE84" s="697" t="n">
        <v>45</v>
      </c>
      <c r="BF84" s="697" t="n">
        <v>45</v>
      </c>
      <c r="BG84" s="697" t="n">
        <v>45</v>
      </c>
      <c r="BH84" s="697" t="n">
        <v>44</v>
      </c>
      <c r="BI84" s="697" t="n">
        <v>44</v>
      </c>
      <c r="BJ84" s="697" t="n">
        <v>44</v>
      </c>
      <c r="BK84" s="697" t="n">
        <v>44</v>
      </c>
      <c r="BL84" s="697" t="n">
        <v>44</v>
      </c>
      <c r="BM84" s="697" t="n">
        <v>44</v>
      </c>
      <c r="BN84" s="697" t="n">
        <v>44</v>
      </c>
      <c r="BO84" s="697" t="n">
        <v>44</v>
      </c>
      <c r="BP84" s="697" t="n">
        <v>44</v>
      </c>
      <c r="BQ84" s="697" t="n">
        <v>44</v>
      </c>
      <c r="BR84" s="697" t="n">
        <v>43</v>
      </c>
      <c r="BS84" s="697" t="n">
        <v>43</v>
      </c>
      <c r="BT84" s="697" t="n">
        <v>43</v>
      </c>
      <c r="BU84" s="697" t="n">
        <v>43</v>
      </c>
      <c r="BV84" s="697" t="n">
        <v>43</v>
      </c>
      <c r="BW84" s="697" t="n">
        <v>43</v>
      </c>
      <c r="BX84" s="697" t="n">
        <v>43</v>
      </c>
      <c r="BY84" s="697" t="n">
        <v>43</v>
      </c>
      <c r="BZ84" s="431">
        <f>BX84+IF(NOT(ISBLANK(OFFSET(BZ84,0,6))),N(OFFSET(BZ84,0,6)),N(OFFSET(BZ84,0,7)))-BY84</f>
        <v/>
      </c>
      <c r="FL84" s="309" t="n"/>
      <c r="FO84" s="309" t="n"/>
    </row>
    <row r="85">
      <c r="A85" s="347" t="inlineStr">
        <is>
          <t>CARTUCHO P</t>
        </is>
      </c>
      <c r="B85" s="32" t="n">
        <v>200</v>
      </c>
      <c r="C85" s="773" t="n">
        <v>464</v>
      </c>
      <c r="D85" s="32" t="n"/>
      <c r="BA85" s="697" t="n">
        <v>187</v>
      </c>
      <c r="BB85" s="697" t="n">
        <v>182</v>
      </c>
      <c r="BC85" s="697" t="n">
        <v>171</v>
      </c>
      <c r="BD85" s="697" t="n">
        <v>171</v>
      </c>
      <c r="BE85" s="697" t="n">
        <v>167</v>
      </c>
      <c r="BF85" s="697" t="n">
        <v>167</v>
      </c>
      <c r="BG85" s="697" t="n">
        <v>167</v>
      </c>
      <c r="BH85" s="697" t="n">
        <v>167</v>
      </c>
      <c r="BI85" s="697" t="n">
        <v>167</v>
      </c>
      <c r="BJ85" s="697" t="n">
        <v>167</v>
      </c>
      <c r="BK85" s="697" t="n">
        <v>167</v>
      </c>
      <c r="BL85" s="697" t="n">
        <v>167</v>
      </c>
      <c r="BM85" s="697" t="n">
        <v>167</v>
      </c>
      <c r="BN85" s="697" t="n">
        <v>167</v>
      </c>
      <c r="BO85" s="697" t="n">
        <v>167</v>
      </c>
      <c r="BP85" s="697" t="n">
        <v>167</v>
      </c>
      <c r="BQ85" s="697" t="n">
        <v>167</v>
      </c>
      <c r="BR85" s="697" t="n">
        <v>165</v>
      </c>
      <c r="BS85" s="697" t="n">
        <v>165</v>
      </c>
      <c r="BT85" s="697" t="n">
        <v>165</v>
      </c>
      <c r="BU85" s="697" t="n">
        <v>165</v>
      </c>
      <c r="BV85" s="697" t="n">
        <v>165</v>
      </c>
      <c r="BW85" s="697" t="n">
        <v>165</v>
      </c>
      <c r="BX85" s="697" t="n">
        <v>165</v>
      </c>
      <c r="BY85" s="697" t="n">
        <v>163</v>
      </c>
      <c r="BZ85" s="431">
        <f>BX85+IF(NOT(ISBLANK(OFFSET(BZ85,0,6))),N(OFFSET(BZ85,0,6)),N(OFFSET(BZ85,0,7)))-BY85</f>
        <v/>
      </c>
      <c r="FL85" s="309" t="n"/>
      <c r="FO85" s="309" t="n"/>
    </row>
    <row r="86">
      <c r="FL86" s="309" t="n"/>
      <c r="FO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6" t="n">
        <v>45985</v>
      </c>
      <c r="BB87" s="746" t="n">
        <v>45992</v>
      </c>
      <c r="BC87" s="746" t="n">
        <v>45999</v>
      </c>
      <c r="BD87" s="746" t="n">
        <v>46006</v>
      </c>
      <c r="BE87" s="746" t="n">
        <v>46013</v>
      </c>
      <c r="BF87" s="746" t="n">
        <v>46020</v>
      </c>
      <c r="BG87" s="746" t="n">
        <v>46027</v>
      </c>
      <c r="BH87" s="746" t="n">
        <v>46034</v>
      </c>
      <c r="BI87" s="746" t="n">
        <v>46041</v>
      </c>
      <c r="BJ87" s="746" t="n">
        <v>46048</v>
      </c>
      <c r="BK87" s="746" t="n">
        <v>46055</v>
      </c>
      <c r="BL87" s="746" t="n">
        <v>46062</v>
      </c>
      <c r="BM87" s="746" t="n">
        <v>46069</v>
      </c>
      <c r="BN87" s="746" t="n">
        <v>46076</v>
      </c>
      <c r="BO87" s="746" t="n">
        <v>46083</v>
      </c>
      <c r="BP87" s="746" t="n">
        <v>46090</v>
      </c>
      <c r="BQ87" s="746" t="n">
        <v>46097</v>
      </c>
      <c r="BR87" s="746" t="n">
        <v>46104</v>
      </c>
      <c r="BS87" s="746" t="n">
        <v>46111</v>
      </c>
      <c r="BT87" s="746" t="n">
        <v>46118</v>
      </c>
      <c r="BU87" s="746" t="n">
        <v>46125</v>
      </c>
      <c r="BV87" s="746" t="n">
        <v>46132</v>
      </c>
      <c r="BW87" s="746" t="n">
        <v>46139</v>
      </c>
      <c r="BX87" s="746" t="n">
        <v>46146</v>
      </c>
      <c r="BY87" s="746" t="n">
        <v>46154</v>
      </c>
      <c r="BZ87" s="758" t="inlineStr">
        <is>
          <t>USOU</t>
        </is>
      </c>
      <c r="FL87" s="309" t="n"/>
      <c r="FO87" s="309" t="n"/>
    </row>
    <row r="88">
      <c r="A88" s="37" t="inlineStr">
        <is>
          <t>SACOLA P</t>
        </is>
      </c>
      <c r="B88" s="699" t="n">
        <v>200</v>
      </c>
      <c r="C88" s="762" t="n">
        <v>274.2</v>
      </c>
      <c r="D88" s="382" t="n"/>
      <c r="BA88" s="697" t="n">
        <v>104</v>
      </c>
      <c r="BB88" s="697" t="n">
        <v>78</v>
      </c>
      <c r="BC88" s="697" t="n">
        <v>41</v>
      </c>
      <c r="BD88" s="697" t="n">
        <v>33</v>
      </c>
      <c r="BE88" s="697" t="n">
        <v>3</v>
      </c>
      <c r="BF88" s="697" t="n">
        <v>2</v>
      </c>
      <c r="BG88" s="697" t="n">
        <v>2</v>
      </c>
      <c r="BH88" s="697" t="n">
        <v>2</v>
      </c>
      <c r="BI88" s="697" t="n">
        <v>2</v>
      </c>
      <c r="BJ88" s="697" t="n">
        <v>2</v>
      </c>
      <c r="BK88" s="697" t="n">
        <v>2</v>
      </c>
      <c r="BL88" s="697" t="n">
        <v>2</v>
      </c>
      <c r="BM88" s="697" t="n">
        <v>2</v>
      </c>
      <c r="BN88" s="697" t="n">
        <v>2</v>
      </c>
      <c r="BO88" s="697" t="n">
        <v>2</v>
      </c>
      <c r="BP88" s="697" t="n">
        <v>2</v>
      </c>
      <c r="BQ88" s="697" t="n">
        <v>2</v>
      </c>
      <c r="BR88" s="697" t="n">
        <v>2</v>
      </c>
      <c r="BS88" s="697" t="n">
        <v>2</v>
      </c>
      <c r="BT88" s="697" t="n">
        <v>2</v>
      </c>
      <c r="BU88" s="697" t="n">
        <v>2</v>
      </c>
      <c r="BV88" s="697" t="n">
        <v>2</v>
      </c>
      <c r="BW88" s="697" t="n">
        <v>2</v>
      </c>
      <c r="BX88" s="697" t="n">
        <v>2</v>
      </c>
      <c r="BY88" s="697" t="n">
        <v>2</v>
      </c>
      <c r="BZ88" s="431">
        <f>BX88+IF(NOT(ISBLANK(OFFSET(BZ88,0,6))),N(OFFSET(BZ88,0,6)),N(OFFSET(BZ88,0,7)))-BY88</f>
        <v/>
      </c>
      <c r="FL88" s="309" t="n"/>
      <c r="FO88" s="309" t="n"/>
    </row>
    <row r="89">
      <c r="A89" s="37" t="inlineStr">
        <is>
          <t>SACOLA M</t>
        </is>
      </c>
      <c r="B89" s="699" t="n">
        <v>200</v>
      </c>
      <c r="C89" s="762" t="n">
        <v>347.8</v>
      </c>
      <c r="D89" s="382" t="n"/>
      <c r="BA89" s="697" t="n">
        <v>138</v>
      </c>
      <c r="BB89" s="697" t="n">
        <v>126</v>
      </c>
      <c r="BC89" s="697" t="n">
        <v>104</v>
      </c>
      <c r="BD89" s="697" t="n">
        <v>94</v>
      </c>
      <c r="BE89" s="697" t="n">
        <v>82</v>
      </c>
      <c r="BF89" s="697" t="n">
        <v>79</v>
      </c>
      <c r="BG89" s="697" t="n">
        <v>79</v>
      </c>
      <c r="BH89" s="697" t="n">
        <v>79</v>
      </c>
      <c r="BI89" s="697" t="n">
        <v>79</v>
      </c>
      <c r="BJ89" s="697" t="n">
        <v>78</v>
      </c>
      <c r="BK89" s="697" t="n">
        <v>78</v>
      </c>
      <c r="BL89" s="697" t="n">
        <v>70</v>
      </c>
      <c r="BM89" s="697" t="n">
        <v>70</v>
      </c>
      <c r="BN89" s="697" t="n">
        <v>65</v>
      </c>
      <c r="BO89" s="697" t="n">
        <v>56</v>
      </c>
      <c r="BP89" s="697" t="n">
        <v>54</v>
      </c>
      <c r="BQ89" s="697" t="n">
        <v>54</v>
      </c>
      <c r="BR89" s="697" t="n">
        <v>52</v>
      </c>
      <c r="BS89" s="697" t="n">
        <v>51</v>
      </c>
      <c r="BT89" s="697" t="n">
        <v>51</v>
      </c>
      <c r="BU89" s="697" t="n">
        <v>51</v>
      </c>
      <c r="BV89" s="697" t="n">
        <v>51</v>
      </c>
      <c r="BW89" s="697" t="n">
        <v>51</v>
      </c>
      <c r="BX89" s="697" t="n">
        <v>51</v>
      </c>
      <c r="BY89" s="697" t="n">
        <v>33</v>
      </c>
      <c r="BZ89" s="431">
        <f>BX89+IF(NOT(ISBLANK(OFFSET(BZ89,0,6))),N(OFFSET(BZ89,0,6)),N(OFFSET(BZ89,0,7)))-BY89</f>
        <v/>
      </c>
      <c r="FL89" s="309" t="n"/>
      <c r="FO89" s="309" t="n"/>
    </row>
    <row r="90">
      <c r="A90" s="37" t="inlineStr">
        <is>
          <t>SACOLA G</t>
        </is>
      </c>
      <c r="B90" s="699" t="n">
        <v>100</v>
      </c>
      <c r="C90" s="762" t="n">
        <v>267</v>
      </c>
      <c r="D90" s="382" t="n"/>
      <c r="BA90" s="697" t="n">
        <v>46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-4</v>
      </c>
      <c r="BG90" s="697" t="n">
        <v>-4</v>
      </c>
      <c r="BH90" s="697" t="n">
        <v>-4</v>
      </c>
      <c r="BI90" s="697" t="n">
        <v>0</v>
      </c>
      <c r="BJ90" s="697" t="n">
        <v>-4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431">
        <f>BX90+IF(NOT(ISBLANK(OFFSET(BZ90,0,6))),N(OFFSET(BZ90,0,6)),N(OFFSET(BZ90,0,7)))-BY90</f>
        <v/>
      </c>
      <c r="FL90" s="309" t="n"/>
      <c r="FO90" s="309" t="n"/>
    </row>
    <row r="91">
      <c r="A91" s="347" t="inlineStr">
        <is>
          <t xml:space="preserve">PAPEL DE SEDA </t>
        </is>
      </c>
      <c r="B91" s="32" t="n">
        <v>200</v>
      </c>
      <c r="C91" s="773" t="n">
        <v>44.4</v>
      </c>
      <c r="D91" s="32" t="n"/>
      <c r="BA91" s="697" t="n">
        <v>368</v>
      </c>
      <c r="BB91" s="697" t="n">
        <v>324</v>
      </c>
      <c r="BC91" s="697" t="n">
        <v>169</v>
      </c>
      <c r="BD91" s="697" t="n">
        <v>150</v>
      </c>
      <c r="BE91" s="697" t="n">
        <v>83</v>
      </c>
      <c r="BF91" s="697" t="n">
        <v>83</v>
      </c>
      <c r="BG91" s="697" t="n">
        <v>-83</v>
      </c>
      <c r="BH91" s="697" t="n">
        <v>-83</v>
      </c>
      <c r="BI91" s="697" t="n">
        <v>0</v>
      </c>
      <c r="BJ91" s="697" t="n">
        <v>-83</v>
      </c>
      <c r="BK91" s="697" t="n">
        <v>83</v>
      </c>
      <c r="BL91" s="697" t="n">
        <v>83</v>
      </c>
      <c r="BM91" s="697" t="n">
        <v>83</v>
      </c>
      <c r="BN91" s="697" t="n">
        <v>83</v>
      </c>
      <c r="BO91" s="697" t="n">
        <v>83</v>
      </c>
      <c r="BP91" s="697" t="n">
        <v>83</v>
      </c>
      <c r="BQ91" s="697" t="n">
        <v>83</v>
      </c>
      <c r="BR91" s="697" t="n">
        <v>63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  <c r="BZ91" s="431">
        <f>BX91+IF(NOT(ISBLANK(OFFSET(BZ91,0,6))),N(OFFSET(BZ91,0,6)),N(OFFSET(BZ91,0,7)))-BY91</f>
        <v/>
      </c>
      <c r="FL91" s="309" t="n"/>
      <c r="FO91" s="309" t="n"/>
    </row>
    <row r="92">
      <c r="A92" s="347" t="inlineStr">
        <is>
          <t>CAIXA P</t>
        </is>
      </c>
      <c r="B92" s="32" t="n">
        <v>150</v>
      </c>
      <c r="C92" s="773" t="n">
        <v>805.35</v>
      </c>
      <c r="D92" s="32" t="n"/>
      <c r="BA92" s="697" t="n">
        <v>29</v>
      </c>
      <c r="BB92" s="697" t="n">
        <v>29</v>
      </c>
      <c r="BC92" s="697" t="n">
        <v>24</v>
      </c>
      <c r="BD92" s="697" t="n">
        <v>18</v>
      </c>
      <c r="BE92" s="697" t="n">
        <v>11</v>
      </c>
      <c r="BF92" s="697" t="n">
        <v>11</v>
      </c>
      <c r="BG92" s="697" t="n">
        <v>11</v>
      </c>
      <c r="BH92" s="697" t="n">
        <v>11</v>
      </c>
      <c r="BI92" s="697" t="n">
        <v>11</v>
      </c>
      <c r="BJ92" s="697" t="n">
        <v>11</v>
      </c>
      <c r="BK92" s="697" t="n">
        <v>10</v>
      </c>
      <c r="BL92" s="697" t="n">
        <v>10</v>
      </c>
      <c r="BM92" s="697" t="n">
        <v>10</v>
      </c>
      <c r="BN92" s="697" t="n">
        <v>10</v>
      </c>
      <c r="BO92" s="697" t="n">
        <v>10</v>
      </c>
      <c r="BP92" s="697" t="n">
        <v>9</v>
      </c>
      <c r="BQ92" s="697" t="n">
        <v>9</v>
      </c>
      <c r="BR92" s="697" t="n">
        <v>8</v>
      </c>
      <c r="BS92" s="697" t="n">
        <v>7</v>
      </c>
      <c r="BT92" s="697" t="n">
        <v>7</v>
      </c>
      <c r="BU92" s="697" t="n">
        <v>7</v>
      </c>
      <c r="BV92" s="697" t="n">
        <v>7</v>
      </c>
      <c r="BW92" s="697" t="n">
        <v>7</v>
      </c>
      <c r="BX92" s="697" t="n">
        <v>7</v>
      </c>
      <c r="BY92" s="697" t="n">
        <v>6</v>
      </c>
      <c r="BZ92" s="431">
        <f>BX92+IF(NOT(ISBLANK(OFFSET(BZ92,0,6))),N(OFFSET(BZ92,0,6)),N(OFFSET(BZ92,0,7)))-BY92</f>
        <v/>
      </c>
      <c r="FL92" s="309" t="n"/>
      <c r="FO92" s="309" t="n"/>
    </row>
    <row r="93">
      <c r="A93" s="347" t="inlineStr">
        <is>
          <t>CAIXA M</t>
        </is>
      </c>
      <c r="B93" s="32" t="n">
        <v>100</v>
      </c>
      <c r="C93" s="773" t="n">
        <v>792.2</v>
      </c>
      <c r="D93" s="32" t="n"/>
      <c r="BA93" s="697" t="n">
        <v>48</v>
      </c>
      <c r="BB93" s="697" t="n">
        <v>43</v>
      </c>
      <c r="BC93" s="697" t="n">
        <v>35</v>
      </c>
      <c r="BD93" s="697" t="n">
        <v>23</v>
      </c>
      <c r="BE93" s="697" t="n">
        <v>2</v>
      </c>
      <c r="BF93" s="697" t="n">
        <v>2</v>
      </c>
      <c r="BG93" s="697" t="n">
        <v>2</v>
      </c>
      <c r="BH93" s="697" t="n">
        <v>2</v>
      </c>
      <c r="BI93" s="697" t="n">
        <v>2</v>
      </c>
      <c r="BJ93" s="697" t="n">
        <v>2</v>
      </c>
      <c r="BK93" s="697" t="n">
        <v>2</v>
      </c>
      <c r="BL93" s="697" t="n">
        <v>0</v>
      </c>
      <c r="BM93" s="697" t="n">
        <v>0</v>
      </c>
      <c r="BN93" s="697" t="n">
        <v>0</v>
      </c>
      <c r="BO93" s="697" t="n">
        <v>0</v>
      </c>
      <c r="BP93" s="697" t="n">
        <v>0</v>
      </c>
      <c r="BQ93" s="697" t="n">
        <v>0</v>
      </c>
      <c r="BR93" s="697" t="n">
        <v>0</v>
      </c>
      <c r="BS93" s="697" t="n">
        <v>0</v>
      </c>
      <c r="BT93" s="697" t="n">
        <v>0</v>
      </c>
      <c r="BU93" s="697" t="n">
        <v>0</v>
      </c>
      <c r="BV93" s="697" t="n">
        <v>0</v>
      </c>
      <c r="BW93" s="697" t="n">
        <v>0</v>
      </c>
      <c r="BX93" s="697" t="n">
        <v>0</v>
      </c>
      <c r="BY93" s="697" t="n">
        <v>0</v>
      </c>
      <c r="BZ93" s="431">
        <f>BX93+IF(NOT(ISBLANK(OFFSET(BZ93,0,6))),N(OFFSET(BZ93,0,6)),N(OFFSET(BZ93,0,7)))-BY93</f>
        <v/>
      </c>
      <c r="FL93" s="309" t="n"/>
      <c r="FO93" s="309" t="n"/>
    </row>
    <row r="94">
      <c r="A94" s="347" t="inlineStr">
        <is>
          <t>CARTUCHO P</t>
        </is>
      </c>
      <c r="B94" s="32" t="n">
        <v>200</v>
      </c>
      <c r="C94" s="773" t="n">
        <v>487.2</v>
      </c>
      <c r="D94" s="32" t="n"/>
      <c r="BA94" s="697" t="n">
        <v>0</v>
      </c>
      <c r="BB94" s="697" t="n">
        <v>0</v>
      </c>
      <c r="BC94" s="697" t="n">
        <v>0</v>
      </c>
      <c r="BD94" s="697" t="n">
        <v>0</v>
      </c>
      <c r="BE94" s="697" t="n">
        <v>0</v>
      </c>
      <c r="BF94" s="697" t="n">
        <v>0</v>
      </c>
      <c r="BG94" s="697" t="n">
        <v>0</v>
      </c>
      <c r="BH94" s="697" t="n">
        <v>0</v>
      </c>
      <c r="BI94" s="697" t="n">
        <v>0</v>
      </c>
      <c r="BJ94" s="697" t="n">
        <v>0</v>
      </c>
      <c r="BK94" s="697" t="n">
        <v>0</v>
      </c>
      <c r="BL94" s="697" t="n">
        <v>0</v>
      </c>
      <c r="BM94" s="697" t="n">
        <v>0</v>
      </c>
      <c r="BN94" s="697" t="n">
        <v>0</v>
      </c>
      <c r="BO94" s="697" t="n">
        <v>0</v>
      </c>
      <c r="BP94" s="697" t="n">
        <v>0</v>
      </c>
      <c r="BQ94" s="697" t="n">
        <v>0</v>
      </c>
      <c r="BR94" s="697" t="n">
        <v>0</v>
      </c>
      <c r="BS94" s="697" t="n">
        <v>0</v>
      </c>
      <c r="BT94" s="697" t="n">
        <v>0</v>
      </c>
      <c r="BU94" s="697" t="n">
        <v>0</v>
      </c>
      <c r="BV94" s="697" t="n">
        <v>0</v>
      </c>
      <c r="BW94" s="697" t="n">
        <v>0</v>
      </c>
      <c r="BX94" s="697" t="n">
        <v>0</v>
      </c>
      <c r="BY94" s="697" t="n">
        <v>0</v>
      </c>
      <c r="BZ94" s="431">
        <f>BX94+IF(NOT(ISBLANK(OFFSET(BZ94,0,6))),N(OFFSET(BZ94,0,6)),N(OFFSET(BZ94,0,7)))-BY94</f>
        <v/>
      </c>
      <c r="FL94" s="309" t="n"/>
      <c r="FO94" s="309" t="n"/>
    </row>
    <row r="95">
      <c r="A95" s="347" t="inlineStr">
        <is>
          <t>CARTUCHO M</t>
        </is>
      </c>
      <c r="B95" s="32" t="n">
        <v>150</v>
      </c>
      <c r="C95" s="773" t="n">
        <v>460.35</v>
      </c>
      <c r="D95" s="32" t="n"/>
      <c r="BA95" s="697" t="n">
        <v>0</v>
      </c>
      <c r="BB95" s="697" t="n">
        <v>0</v>
      </c>
      <c r="BC95" s="697" t="n">
        <v>0</v>
      </c>
      <c r="BD95" s="697" t="n">
        <v>0</v>
      </c>
      <c r="BE95" s="697" t="n">
        <v>0</v>
      </c>
      <c r="BF95" s="697" t="n">
        <v>0</v>
      </c>
      <c r="BG95" s="697" t="n">
        <v>0</v>
      </c>
      <c r="BH95" s="697" t="n">
        <v>0</v>
      </c>
      <c r="BI95" s="697" t="n">
        <v>0</v>
      </c>
      <c r="BJ95" s="697" t="n">
        <v>0</v>
      </c>
      <c r="BK95" s="697" t="n">
        <v>0</v>
      </c>
      <c r="BL95" s="697" t="n">
        <v>0</v>
      </c>
      <c r="BM95" s="697" t="n">
        <v>0</v>
      </c>
      <c r="BN95" s="697" t="n">
        <v>0</v>
      </c>
      <c r="BO95" s="697" t="n">
        <v>0</v>
      </c>
      <c r="BP95" s="697" t="n">
        <v>0</v>
      </c>
      <c r="BQ95" s="697" t="n">
        <v>0</v>
      </c>
      <c r="BR95" s="697" t="n">
        <v>0</v>
      </c>
      <c r="BS95" s="697" t="n">
        <v>0</v>
      </c>
      <c r="BT95" s="697" t="n">
        <v>0</v>
      </c>
      <c r="BU95" s="697" t="n">
        <v>0</v>
      </c>
      <c r="BV95" s="697" t="n">
        <v>0</v>
      </c>
      <c r="BW95" s="697" t="n">
        <v>0</v>
      </c>
      <c r="BX95" s="697" t="n">
        <v>0</v>
      </c>
      <c r="BY95" s="697" t="n">
        <v>0</v>
      </c>
      <c r="BZ95" s="431">
        <f>BX95+IF(NOT(ISBLANK(OFFSET(BZ95,0,6))),N(OFFSET(BZ95,0,6)),N(OFFSET(BZ95,0,7)))-BY95</f>
        <v/>
      </c>
      <c r="FL95" s="309" t="n"/>
      <c r="FO95" s="309" t="n"/>
    </row>
    <row r="96">
      <c r="FL96" s="309" t="n"/>
      <c r="FO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6" t="n"/>
      <c r="BB97" s="746" t="n"/>
      <c r="BC97" s="746" t="n"/>
      <c r="BD97" s="746" t="n"/>
      <c r="BE97" s="746" t="n"/>
      <c r="BF97" s="746" t="n"/>
      <c r="BG97" s="746" t="n"/>
      <c r="BH97" s="746" t="n">
        <v>46034</v>
      </c>
      <c r="BI97" s="746" t="n">
        <v>46041</v>
      </c>
      <c r="BJ97" s="746" t="n">
        <v>46048</v>
      </c>
      <c r="BK97" s="746" t="n">
        <v>46055</v>
      </c>
      <c r="BL97" s="746" t="n">
        <v>46062</v>
      </c>
      <c r="BM97" s="746" t="n">
        <v>46069</v>
      </c>
      <c r="BN97" s="746" t="n">
        <v>46076</v>
      </c>
      <c r="BO97" s="746" t="n">
        <v>46083</v>
      </c>
      <c r="BP97" s="746" t="n">
        <v>46090</v>
      </c>
      <c r="BQ97" s="746" t="n">
        <v>46097</v>
      </c>
      <c r="BR97" s="746" t="n">
        <v>46104</v>
      </c>
      <c r="BS97" s="746" t="n">
        <v>46111</v>
      </c>
      <c r="BT97" s="746" t="n">
        <v>46118</v>
      </c>
      <c r="BU97" s="746" t="n">
        <v>46125</v>
      </c>
      <c r="BV97" s="746" t="n">
        <v>46132</v>
      </c>
      <c r="BW97" s="746" t="n">
        <v>46139</v>
      </c>
      <c r="BX97" s="746" t="n">
        <v>46146</v>
      </c>
      <c r="BY97" s="746" t="n">
        <v>46154</v>
      </c>
      <c r="BZ97" s="758" t="inlineStr">
        <is>
          <t>USOU</t>
        </is>
      </c>
      <c r="FL97" s="309" t="n"/>
      <c r="FO97" s="309" t="n"/>
    </row>
    <row r="98">
      <c r="A98" s="37" t="inlineStr">
        <is>
          <t>ETIQUETA BRANCA 100X80</t>
        </is>
      </c>
      <c r="B98" s="699" t="n">
        <v>1</v>
      </c>
      <c r="C98" s="762" t="n">
        <v>25.9</v>
      </c>
      <c r="D98" s="382" t="n"/>
      <c r="BA98" s="697" t="n"/>
      <c r="BB98" s="697" t="n"/>
      <c r="BC98" s="697" t="n"/>
      <c r="BD98" s="697" t="n"/>
      <c r="BE98" s="697" t="n"/>
      <c r="BF98" s="697" t="n"/>
      <c r="BG98" s="697" t="n"/>
      <c r="BH98" s="697">
        <f>2+30</f>
        <v/>
      </c>
      <c r="BI98" s="697" t="n">
        <v>30</v>
      </c>
      <c r="BJ98" s="697" t="n">
        <v>30</v>
      </c>
      <c r="BK98" s="697" t="n">
        <v>29</v>
      </c>
      <c r="BL98" s="697" t="n">
        <v>27</v>
      </c>
      <c r="BM98" s="697" t="n"/>
      <c r="BN98" s="697" t="n"/>
      <c r="BO98" s="697" t="n">
        <v>27</v>
      </c>
      <c r="BP98" s="697" t="n">
        <v>22</v>
      </c>
      <c r="BQ98" s="697" t="n">
        <v>27</v>
      </c>
      <c r="BR98" s="697" t="n">
        <v>22</v>
      </c>
      <c r="BS98" s="697" t="n">
        <v>21</v>
      </c>
      <c r="BT98" s="697" t="n">
        <v>7</v>
      </c>
      <c r="BU98" s="697" t="n">
        <v>5</v>
      </c>
      <c r="BV98" s="697" t="n">
        <v>3</v>
      </c>
      <c r="BW98" s="697" t="n">
        <v>1</v>
      </c>
      <c r="BX98" s="314" t="n">
        <v>10</v>
      </c>
      <c r="BY98" s="697" t="n">
        <v>5</v>
      </c>
      <c r="BZ98" s="431">
        <f>BX98+IF(NOT(ISBLANK(OFFSET(BZ98,0,6))),N(OFFSET(BZ98,0,6)),N(OFFSET(BZ98,0,7)))-BY98</f>
        <v/>
      </c>
      <c r="FL98" s="309" t="n"/>
      <c r="FO98" s="309" t="n"/>
    </row>
    <row r="99">
      <c r="A99" s="37" t="inlineStr">
        <is>
          <t>RIBBON DE CERA 110X74</t>
        </is>
      </c>
      <c r="B99" s="699" t="n">
        <v>1</v>
      </c>
      <c r="C99" s="762" t="n">
        <v>7.9</v>
      </c>
      <c r="D99" s="382" t="n"/>
      <c r="BA99" s="697" t="n"/>
      <c r="BB99" s="697" t="n"/>
      <c r="BC99" s="697" t="n"/>
      <c r="BD99" s="697" t="n"/>
      <c r="BE99" s="697" t="n"/>
      <c r="BF99" s="697" t="n"/>
      <c r="BG99" s="697" t="n"/>
      <c r="BH99" s="697">
        <f>3+30</f>
        <v/>
      </c>
      <c r="BI99" s="697" t="n">
        <v>30</v>
      </c>
      <c r="BJ99" s="697" t="n">
        <v>30</v>
      </c>
      <c r="BK99" s="697" t="n">
        <v>29</v>
      </c>
      <c r="BL99" s="697" t="n">
        <v>27</v>
      </c>
      <c r="BM99" s="697" t="n"/>
      <c r="BN99" s="697" t="n"/>
      <c r="BO99" s="697" t="n">
        <v>27</v>
      </c>
      <c r="BP99" s="697" t="n">
        <v>23</v>
      </c>
      <c r="BQ99" s="697" t="n">
        <v>27</v>
      </c>
      <c r="BR99" s="697" t="n">
        <v>9</v>
      </c>
      <c r="BS99" s="697" t="n">
        <v>8</v>
      </c>
      <c r="BT99" s="697" t="n">
        <v>21</v>
      </c>
      <c r="BU99" s="697" t="n">
        <v>20</v>
      </c>
      <c r="BV99" s="697" t="n">
        <v>18</v>
      </c>
      <c r="BW99" s="697" t="n">
        <v>17</v>
      </c>
      <c r="BX99" s="697" t="n">
        <v>16</v>
      </c>
      <c r="BY99" s="697" t="n">
        <v>15</v>
      </c>
      <c r="BZ99" s="431">
        <f>BX99+IF(NOT(ISBLANK(OFFSET(BZ99,0,6))),N(OFFSET(BZ99,0,6)),N(OFFSET(BZ99,0,7)))-BY99</f>
        <v/>
      </c>
      <c r="FL99" s="309" t="n"/>
      <c r="FO99" s="309" t="n"/>
    </row>
    <row r="100" ht="19.5" customHeight="1" thickBot="1">
      <c r="FL100" s="309" t="n"/>
      <c r="FO100" s="309" t="n"/>
    </row>
    <row r="101" ht="24" customHeight="1" thickBot="1">
      <c r="A101" s="839" t="n">
        <v>2026</v>
      </c>
      <c r="B101" s="836" t="n"/>
      <c r="C101" s="836" t="n"/>
      <c r="D101" s="836" t="n"/>
      <c r="E101" s="836" t="n"/>
      <c r="F101" s="836" t="n"/>
      <c r="G101" s="836" t="n"/>
      <c r="H101" s="836" t="n"/>
      <c r="I101" s="836" t="n"/>
      <c r="J101" s="836" t="n"/>
      <c r="K101" s="836" t="n"/>
      <c r="L101" s="836" t="n"/>
      <c r="M101" s="836" t="n"/>
      <c r="N101" s="836" t="n"/>
      <c r="O101" s="836" t="n"/>
      <c r="P101" s="836" t="n"/>
      <c r="Q101" s="836" t="n"/>
      <c r="R101" s="836" t="n"/>
      <c r="S101" s="836" t="n"/>
      <c r="T101" s="836" t="n"/>
      <c r="U101" s="836" t="n"/>
      <c r="V101" s="836" t="n"/>
      <c r="W101" s="836" t="n"/>
      <c r="X101" s="836" t="n"/>
      <c r="Y101" s="836" t="n"/>
      <c r="Z101" s="836" t="n"/>
      <c r="AA101" s="836" t="n"/>
      <c r="AB101" s="836" t="n"/>
      <c r="AC101" s="836" t="n"/>
      <c r="AD101" s="836" t="n"/>
      <c r="AE101" s="836" t="n"/>
      <c r="AF101" s="836" t="n"/>
      <c r="AG101" s="836" t="n"/>
      <c r="AH101" s="836" t="n"/>
      <c r="AI101" s="836" t="n"/>
      <c r="AJ101" s="836" t="n"/>
      <c r="AK101" s="836" t="n"/>
      <c r="AL101" s="836" t="n"/>
      <c r="AM101" s="836" t="n"/>
      <c r="AN101" s="836" t="n"/>
      <c r="AO101" s="836" t="n"/>
      <c r="AP101" s="836" t="n"/>
      <c r="AQ101" s="836" t="n"/>
      <c r="AR101" s="836" t="n"/>
      <c r="AS101" s="836" t="n"/>
      <c r="AT101" s="836" t="n"/>
      <c r="AU101" s="836" t="n"/>
      <c r="AV101" s="836" t="n"/>
      <c r="AW101" s="836" t="n"/>
      <c r="AX101" s="836" t="n"/>
      <c r="AY101" s="836" t="n"/>
      <c r="AZ101" s="836" t="n"/>
      <c r="BA101" s="836" t="n"/>
      <c r="BB101" s="836" t="n"/>
      <c r="BC101" s="836" t="n"/>
      <c r="BD101" s="836" t="n"/>
      <c r="BE101" s="836" t="n"/>
      <c r="BF101" s="836" t="n"/>
      <c r="BG101" s="836" t="n"/>
      <c r="BH101" s="836" t="n"/>
      <c r="BI101" s="836" t="n"/>
      <c r="BJ101" s="836" t="n"/>
      <c r="BK101" s="836" t="n"/>
      <c r="BL101" s="836" t="n"/>
      <c r="BM101" s="836" t="n"/>
      <c r="BN101" s="836" t="n"/>
      <c r="BO101" s="836" t="n"/>
      <c r="BP101" s="836" t="n"/>
      <c r="BQ101" s="836" t="n"/>
      <c r="BR101" s="836" t="n"/>
      <c r="BS101" s="836" t="n"/>
      <c r="BT101" s="836" t="n"/>
      <c r="BU101" s="836" t="n"/>
      <c r="BV101" s="836" t="n"/>
      <c r="BW101" s="836" t="n"/>
      <c r="BX101" s="836" t="n"/>
      <c r="BY101" s="836" t="n"/>
      <c r="BZ101" s="840" t="n"/>
      <c r="FL101" s="309" t="n"/>
      <c r="FO101" s="309" t="n"/>
    </row>
    <row r="102">
      <c r="FL102" s="309" t="n"/>
      <c r="FO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6" t="n">
        <v>46069</v>
      </c>
      <c r="BN103" s="746" t="n">
        <v>46076</v>
      </c>
      <c r="BO103" s="746" t="n">
        <v>46083</v>
      </c>
      <c r="BP103" s="746" t="n">
        <v>46090</v>
      </c>
      <c r="BQ103" s="746" t="n">
        <v>46097</v>
      </c>
      <c r="BR103" s="746" t="n">
        <v>46104</v>
      </c>
      <c r="BS103" s="746" t="n">
        <v>46111</v>
      </c>
      <c r="BT103" s="746" t="n">
        <v>46118</v>
      </c>
      <c r="BU103" s="746" t="n">
        <v>46125</v>
      </c>
      <c r="BV103" s="746" t="n">
        <v>46132</v>
      </c>
      <c r="BW103" s="746" t="n">
        <v>46139</v>
      </c>
      <c r="BX103" s="746" t="n">
        <v>46146</v>
      </c>
      <c r="BY103" s="746" t="n">
        <v>46154</v>
      </c>
      <c r="BZ103" s="758" t="inlineStr">
        <is>
          <t>USOU</t>
        </is>
      </c>
      <c r="FL103" s="309" t="n"/>
      <c r="FO103" s="309" t="n"/>
    </row>
    <row r="104">
      <c r="A104" s="37" t="inlineStr">
        <is>
          <t xml:space="preserve">SACOLA M </t>
        </is>
      </c>
      <c r="B104" s="699" t="n">
        <v>150</v>
      </c>
      <c r="C104" s="762" t="n"/>
      <c r="D104" s="382" t="n"/>
      <c r="BM104" s="697" t="n">
        <v>0</v>
      </c>
      <c r="BN104" s="697" t="n">
        <v>0</v>
      </c>
      <c r="BO104" s="697" t="n">
        <v>0</v>
      </c>
      <c r="BP104" s="697">
        <f>CN10</f>
        <v/>
      </c>
      <c r="BQ104" s="697" t="n"/>
      <c r="BR104" s="697" t="n"/>
      <c r="BS104" s="697" t="n"/>
      <c r="BT104" s="697" t="n">
        <v>450</v>
      </c>
      <c r="BU104" s="697" t="n">
        <v>600</v>
      </c>
      <c r="BV104" s="697" t="n">
        <v>300</v>
      </c>
      <c r="BW104" s="697" t="n">
        <v>150</v>
      </c>
      <c r="BX104" s="697" t="n">
        <v>150</v>
      </c>
      <c r="BY104" s="697" t="n">
        <v>0</v>
      </c>
      <c r="BZ104" s="431">
        <f>BX104+IF(NOT(ISBLANK(OFFSET(BZ104,0,6))),N(OFFSET(BZ104,0,6)),N(OFFSET(BZ104,0,7)))-BY104</f>
        <v/>
      </c>
      <c r="FL104" s="309" t="n"/>
      <c r="FO104" s="309" t="n"/>
    </row>
    <row r="105">
      <c r="A105" s="37" t="inlineStr">
        <is>
          <t>ADESIVO</t>
        </is>
      </c>
      <c r="B105" s="699" t="n">
        <v>1000</v>
      </c>
      <c r="C105" s="762" t="n"/>
      <c r="D105" s="382" t="n"/>
      <c r="BM105" s="697" t="n">
        <v>0</v>
      </c>
      <c r="BN105" s="697" t="n">
        <v>0</v>
      </c>
      <c r="BO105" s="697" t="n">
        <v>0</v>
      </c>
      <c r="BP105" s="697">
        <f>CN22</f>
        <v/>
      </c>
      <c r="BQ105" s="697" t="n"/>
      <c r="BR105" s="697" t="n"/>
      <c r="BS105" s="697" t="n"/>
      <c r="BT105" s="697" t="n">
        <v>0</v>
      </c>
      <c r="BU105" s="697" t="n">
        <v>0</v>
      </c>
      <c r="BV105" s="697" t="n">
        <v>0</v>
      </c>
      <c r="BW105" s="697" t="n">
        <v>0</v>
      </c>
      <c r="BX105" s="697" t="n">
        <v>0</v>
      </c>
      <c r="BY105" s="697" t="n">
        <v>0</v>
      </c>
      <c r="BZ105" s="431">
        <f>BX105+IF(NOT(ISBLANK(OFFSET(BZ105,0,6))),N(OFFSET(BZ105,0,6)),N(OFFSET(BZ105,0,7)))-BY105</f>
        <v/>
      </c>
      <c r="FL105" s="309" t="n"/>
      <c r="FO105" s="309" t="n"/>
    </row>
    <row r="106">
      <c r="A106" s="37" t="inlineStr">
        <is>
          <t>PAPEL DE SEDA</t>
        </is>
      </c>
      <c r="B106" s="699" t="n">
        <v>200</v>
      </c>
      <c r="C106" s="762" t="n"/>
      <c r="D106" s="382" t="n"/>
      <c r="BM106" s="697" t="n">
        <v>0</v>
      </c>
      <c r="BN106" s="697" t="n">
        <v>0</v>
      </c>
      <c r="BO106" s="697" t="n">
        <v>0</v>
      </c>
      <c r="BP106" s="697">
        <f>CN21</f>
        <v/>
      </c>
      <c r="BQ106" s="697" t="n"/>
      <c r="BR106" s="697" t="n"/>
      <c r="BS106" s="697" t="n"/>
      <c r="BT106" s="697" t="n">
        <v>0</v>
      </c>
      <c r="BU106" s="697" t="n">
        <v>0</v>
      </c>
      <c r="BV106" s="697" t="n">
        <v>0</v>
      </c>
      <c r="BW106" s="697" t="n">
        <v>0</v>
      </c>
      <c r="BX106" s="697" t="n">
        <v>0</v>
      </c>
      <c r="BY106" s="697" t="n">
        <v>0</v>
      </c>
      <c r="BZ106" s="431">
        <f>BX106+IF(NOT(ISBLANK(OFFSET(BZ106,0,6))),N(OFFSET(BZ106,0,6)),N(OFFSET(BZ106,0,7)))-BY106</f>
        <v/>
      </c>
      <c r="FL106" s="309" t="n"/>
      <c r="FO106" s="309" t="n"/>
    </row>
    <row r="107">
      <c r="A107" s="37" t="inlineStr">
        <is>
          <t>SACOLA M VENDA</t>
        </is>
      </c>
      <c r="B107" s="699" t="n">
        <v>150</v>
      </c>
      <c r="C107" s="762" t="n"/>
      <c r="D107" s="382" t="n"/>
      <c r="BM107" s="697" t="n">
        <v>0</v>
      </c>
      <c r="BN107" s="697" t="n">
        <v>0</v>
      </c>
      <c r="BO107" s="697" t="n">
        <v>0</v>
      </c>
      <c r="BP107" s="697">
        <f>CN18</f>
        <v/>
      </c>
      <c r="BQ107" s="697" t="n">
        <v>138</v>
      </c>
      <c r="BR107" s="697" t="n">
        <v>0</v>
      </c>
      <c r="BS107" s="697" t="n">
        <v>0</v>
      </c>
      <c r="BT107" s="697" t="n">
        <v>0</v>
      </c>
      <c r="BU107" s="697" t="n">
        <v>0</v>
      </c>
      <c r="BV107" s="697" t="n">
        <v>0</v>
      </c>
      <c r="BW107" s="697" t="n">
        <v>0</v>
      </c>
      <c r="BX107" s="697" t="n">
        <v>0</v>
      </c>
      <c r="BY107" s="697" t="n">
        <v>0</v>
      </c>
      <c r="BZ107" s="431">
        <f>BX107+IF(NOT(ISBLANK(OFFSET(BZ107,0,6))),N(OFFSET(BZ107,0,6)),N(OFFSET(BZ107,0,7)))-BY107</f>
        <v/>
      </c>
      <c r="FL107" s="309" t="n"/>
      <c r="FO107" s="309" t="n"/>
    </row>
    <row r="108">
      <c r="A108" s="37" t="inlineStr">
        <is>
          <t>KIT TAG 10 C/ 20</t>
        </is>
      </c>
      <c r="B108" s="699" t="n">
        <v>200</v>
      </c>
      <c r="C108" s="762" t="n"/>
      <c r="D108" s="382" t="n"/>
      <c r="BM108" s="697" t="n">
        <v>0</v>
      </c>
      <c r="BN108" s="697" t="n">
        <v>0</v>
      </c>
      <c r="BO108" s="697" t="n">
        <v>0</v>
      </c>
      <c r="BP108" s="697">
        <f>CN23</f>
        <v/>
      </c>
      <c r="BQ108" s="697" t="n">
        <v>10</v>
      </c>
      <c r="BR108" s="697" t="n">
        <v>10</v>
      </c>
      <c r="BS108" s="697" t="n">
        <v>5</v>
      </c>
      <c r="BT108" s="697" t="n">
        <v>5</v>
      </c>
      <c r="BU108" s="697" t="n">
        <v>5</v>
      </c>
      <c r="BV108" s="697" t="n">
        <v>5</v>
      </c>
      <c r="BW108" s="697" t="n">
        <v>5</v>
      </c>
      <c r="BX108" s="697" t="n">
        <v>5</v>
      </c>
      <c r="BY108" s="697" t="n">
        <v>0</v>
      </c>
      <c r="BZ108" s="431">
        <f>BX108+IF(NOT(ISBLANK(OFFSET(BZ108,0,6))),N(OFFSET(BZ108,0,6)),N(OFFSET(BZ108,0,7)))-BY108</f>
        <v/>
      </c>
      <c r="FL108" s="309" t="n"/>
      <c r="FO108" s="309" t="n"/>
    </row>
    <row r="109">
      <c r="A109" s="347" t="inlineStr">
        <is>
          <t>CAIXA M</t>
        </is>
      </c>
      <c r="B109" s="32" t="n">
        <v>100</v>
      </c>
      <c r="C109" s="773" t="n"/>
      <c r="D109" s="32" t="n"/>
      <c r="BM109" s="697" t="n">
        <v>0</v>
      </c>
      <c r="BN109" s="697" t="n">
        <v>0</v>
      </c>
      <c r="BO109" s="697" t="n">
        <v>0</v>
      </c>
      <c r="BP109" s="697">
        <f>CN27</f>
        <v/>
      </c>
      <c r="BQ109" s="697" t="n">
        <v>100</v>
      </c>
      <c r="BR109" s="697" t="n">
        <v>100</v>
      </c>
      <c r="BS109" s="697" t="n">
        <v>49</v>
      </c>
      <c r="BT109" s="697" t="n">
        <v>49</v>
      </c>
      <c r="BU109" s="697" t="n">
        <v>49</v>
      </c>
      <c r="BV109" s="697" t="n">
        <v>49</v>
      </c>
      <c r="BW109" s="697" t="n">
        <v>49</v>
      </c>
      <c r="BX109" s="697" t="n">
        <v>49</v>
      </c>
      <c r="BY109" s="697" t="n">
        <v>49</v>
      </c>
      <c r="BZ109" s="431">
        <f>BX109+IF(NOT(ISBLANK(OFFSET(BZ109,0,6))),N(OFFSET(BZ109,0,6)),N(OFFSET(BZ109,0,7)))-BY109</f>
        <v/>
      </c>
      <c r="FL109" s="309" t="n"/>
      <c r="FO109" s="309" t="n"/>
    </row>
    <row r="110">
      <c r="A110" s="347" t="inlineStr">
        <is>
          <t>CARTUCHO P</t>
        </is>
      </c>
      <c r="B110" s="32" t="n">
        <v>200</v>
      </c>
      <c r="C110" s="773" t="n"/>
      <c r="D110" s="32" t="n"/>
      <c r="BM110" s="697" t="n">
        <v>0</v>
      </c>
      <c r="BN110" s="697" t="n">
        <v>0</v>
      </c>
      <c r="BO110" s="697" t="n">
        <v>0</v>
      </c>
      <c r="BP110" s="697">
        <f>CN26</f>
        <v/>
      </c>
      <c r="BQ110" s="697" t="n">
        <v>200</v>
      </c>
      <c r="BR110" s="697" t="n">
        <v>194</v>
      </c>
      <c r="BS110" s="697" t="n">
        <v>144</v>
      </c>
      <c r="BT110" s="697" t="n">
        <v>144</v>
      </c>
      <c r="BU110" s="697" t="n">
        <v>144</v>
      </c>
      <c r="BV110" s="697" t="n">
        <v>144</v>
      </c>
      <c r="BW110" s="697" t="n">
        <v>144</v>
      </c>
      <c r="BX110" s="697" t="n">
        <v>144</v>
      </c>
      <c r="BY110" s="697" t="n">
        <v>142</v>
      </c>
      <c r="BZ110" s="431">
        <f>BX110+IF(NOT(ISBLANK(OFFSET(BZ110,0,6))),N(OFFSET(BZ110,0,6)),N(OFFSET(BZ110,0,7)))-BY110</f>
        <v/>
      </c>
      <c r="FL110" s="309" t="n"/>
      <c r="FO110" s="309" t="n"/>
    </row>
    <row r="111">
      <c r="FL111" s="309" t="n"/>
      <c r="FO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6" t="n">
        <v>46069</v>
      </c>
      <c r="BN112" s="746" t="n">
        <v>46076</v>
      </c>
      <c r="BO112" s="746" t="n">
        <v>46083</v>
      </c>
      <c r="BP112" s="746" t="n">
        <v>46090</v>
      </c>
      <c r="BQ112" s="746" t="n">
        <v>46097</v>
      </c>
      <c r="BR112" s="746" t="n">
        <v>46104</v>
      </c>
      <c r="BS112" s="746" t="n">
        <v>46111</v>
      </c>
      <c r="BT112" s="746" t="n">
        <v>46118</v>
      </c>
      <c r="BU112" s="746" t="n">
        <v>46125</v>
      </c>
      <c r="BV112" s="746" t="n">
        <v>46132</v>
      </c>
      <c r="BW112" s="746" t="n">
        <v>46139</v>
      </c>
      <c r="BX112" s="746" t="n">
        <v>46146</v>
      </c>
      <c r="BY112" s="746" t="n">
        <v>46154</v>
      </c>
      <c r="BZ112" s="758" t="inlineStr">
        <is>
          <t>USOU</t>
        </is>
      </c>
      <c r="FL112" s="309" t="n"/>
      <c r="FO112" s="309" t="n"/>
    </row>
    <row r="113">
      <c r="A113" s="37" t="inlineStr">
        <is>
          <t>SACOLA P</t>
        </is>
      </c>
      <c r="B113" s="699" t="n">
        <v>200</v>
      </c>
      <c r="C113" s="762" t="n"/>
      <c r="D113" s="382" t="n"/>
      <c r="BM113" s="697" t="n">
        <v>0</v>
      </c>
      <c r="BN113" s="697" t="n">
        <v>0</v>
      </c>
      <c r="BO113" s="697" t="n">
        <v>0</v>
      </c>
      <c r="BP113" s="697" t="n">
        <v>0</v>
      </c>
      <c r="BQ113" s="697" t="n">
        <v>0</v>
      </c>
      <c r="BR113" s="697" t="n">
        <v>0</v>
      </c>
      <c r="BS113" s="697">
        <f>CK9</f>
        <v/>
      </c>
      <c r="BT113" s="697" t="n">
        <v>2600</v>
      </c>
      <c r="BU113" s="697" t="n">
        <v>1800</v>
      </c>
      <c r="BV113" s="697" t="n">
        <v>1400</v>
      </c>
      <c r="BW113" s="697" t="n">
        <v>800</v>
      </c>
      <c r="BX113" s="697" t="n">
        <v>0</v>
      </c>
      <c r="BY113" s="697" t="n">
        <v>0</v>
      </c>
      <c r="BZ113" s="431">
        <f>BX113+IF(NOT(ISBLANK(OFFSET(BZ113,0,6))),N(OFFSET(BZ113,0,6)),N(OFFSET(BZ113,0,7)))-BY113</f>
        <v/>
      </c>
      <c r="FL113" s="309" t="n"/>
      <c r="FO113" s="309" t="n"/>
    </row>
    <row r="114">
      <c r="A114" s="37" t="inlineStr">
        <is>
          <t>SACOLA M</t>
        </is>
      </c>
      <c r="B114" s="699" t="n">
        <v>200</v>
      </c>
      <c r="C114" s="762" t="n"/>
      <c r="D114" s="382" t="n"/>
      <c r="BM114" s="697" t="n">
        <v>0</v>
      </c>
      <c r="BN114" s="697" t="n">
        <v>0</v>
      </c>
      <c r="BO114" s="697" t="n">
        <v>0</v>
      </c>
      <c r="BP114" s="697" t="n">
        <v>0</v>
      </c>
      <c r="BQ114" s="697" t="n">
        <v>0</v>
      </c>
      <c r="BR114" s="697" t="n">
        <v>0</v>
      </c>
      <c r="BS114" s="697">
        <f>CK10</f>
        <v/>
      </c>
      <c r="BT114" s="697" t="n">
        <v>2400</v>
      </c>
      <c r="BU114" s="697" t="n">
        <v>2200</v>
      </c>
      <c r="BV114" s="697" t="n">
        <v>2000</v>
      </c>
      <c r="BW114" s="697" t="n">
        <v>2000</v>
      </c>
      <c r="BX114" s="697" t="n">
        <v>1600</v>
      </c>
      <c r="BY114" s="697" t="n">
        <v>0</v>
      </c>
      <c r="BZ114" s="431">
        <f>BX114+IF(NOT(ISBLANK(OFFSET(BZ114,0,6))),N(OFFSET(BZ114,0,6)),N(OFFSET(BZ114,0,7)))-BY114</f>
        <v/>
      </c>
      <c r="FL114" s="309" t="n"/>
      <c r="FO114" s="309" t="n"/>
    </row>
    <row r="115">
      <c r="A115" s="37" t="inlineStr">
        <is>
          <t>SACOLA G</t>
        </is>
      </c>
      <c r="B115" s="699" t="n">
        <v>100</v>
      </c>
      <c r="C115" s="762" t="n"/>
      <c r="D115" s="382" t="n"/>
      <c r="BM115" s="697" t="n">
        <v>0</v>
      </c>
      <c r="BN115" s="697" t="n">
        <v>0</v>
      </c>
      <c r="BO115" s="697" t="n">
        <v>0</v>
      </c>
      <c r="BP115" s="697" t="n">
        <v>0</v>
      </c>
      <c r="BQ115" s="697" t="n">
        <v>0</v>
      </c>
      <c r="BR115" s="697" t="n">
        <v>0</v>
      </c>
      <c r="BS115" s="697">
        <f>CK11</f>
        <v/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697" t="n">
        <v>0</v>
      </c>
      <c r="BZ115" s="431">
        <f>BX115+IF(NOT(ISBLANK(OFFSET(BZ115,0,6))),N(OFFSET(BZ115,0,6)),N(OFFSET(BZ115,0,7)))-BY115</f>
        <v/>
      </c>
      <c r="FL115" s="309" t="n"/>
      <c r="FO115" s="309" t="n"/>
    </row>
    <row r="116">
      <c r="A116" s="37" t="inlineStr">
        <is>
          <t>SACOLA P VENDA</t>
        </is>
      </c>
      <c r="B116" s="699" t="n">
        <v>200</v>
      </c>
      <c r="C116" s="762" t="n"/>
      <c r="D116" s="382" t="n"/>
      <c r="BM116" s="697" t="n">
        <v>0</v>
      </c>
      <c r="BN116" s="697" t="n">
        <v>0</v>
      </c>
      <c r="BO116" s="697" t="n">
        <v>0</v>
      </c>
      <c r="BP116" s="697" t="n">
        <v>0</v>
      </c>
      <c r="BQ116" s="697" t="n">
        <v>0</v>
      </c>
      <c r="BR116" s="697" t="n">
        <v>0</v>
      </c>
      <c r="BS116" s="697">
        <f>CK17</f>
        <v/>
      </c>
      <c r="BT116" s="697" t="n"/>
      <c r="BU116" s="697" t="n"/>
      <c r="BV116" s="697" t="n"/>
      <c r="BW116" s="697" t="n"/>
      <c r="BX116" s="697" t="n"/>
      <c r="BY116" s="697" t="n">
        <v>83</v>
      </c>
      <c r="BZ116" s="431">
        <f>BX116+IF(NOT(ISBLANK(OFFSET(BZ116,0,6))),N(OFFSET(BZ116,0,6)),N(OFFSET(BZ116,0,7)))-BY116</f>
        <v/>
      </c>
      <c r="FL116" s="309" t="n"/>
      <c r="FO116" s="309" t="n"/>
    </row>
    <row r="117">
      <c r="A117" s="37" t="inlineStr">
        <is>
          <t>SACOLA M VENDA</t>
        </is>
      </c>
      <c r="B117" s="699" t="n">
        <v>200</v>
      </c>
      <c r="C117" s="762" t="n"/>
      <c r="D117" s="382" t="n"/>
      <c r="BM117" s="697" t="n">
        <v>0</v>
      </c>
      <c r="BN117" s="697" t="n">
        <v>0</v>
      </c>
      <c r="BO117" s="697" t="n">
        <v>0</v>
      </c>
      <c r="BP117" s="697" t="n">
        <v>0</v>
      </c>
      <c r="BQ117" s="697" t="n">
        <v>0</v>
      </c>
      <c r="BR117" s="697" t="n">
        <v>0</v>
      </c>
      <c r="BS117" s="697">
        <f>CK18</f>
        <v/>
      </c>
      <c r="BT117" s="697" t="n"/>
      <c r="BU117" s="697" t="n"/>
      <c r="BV117" s="697" t="n"/>
      <c r="BW117" s="697" t="n"/>
      <c r="BX117" s="697" t="n"/>
      <c r="BY117" s="697" t="n">
        <v>12</v>
      </c>
      <c r="BZ117" s="431">
        <f>BX117+IF(NOT(ISBLANK(OFFSET(BZ117,0,6))),N(OFFSET(BZ117,0,6)),N(OFFSET(BZ117,0,7)))-BY117</f>
        <v/>
      </c>
      <c r="FL117" s="309" t="n"/>
      <c r="FO117" s="309" t="n"/>
    </row>
    <row r="118">
      <c r="A118" s="347" t="inlineStr">
        <is>
          <t>KIT PAPEL DE SEDA 10 C/ 20</t>
        </is>
      </c>
      <c r="B118" s="32" t="n">
        <v>200</v>
      </c>
      <c r="C118" s="773" t="n"/>
      <c r="D118" s="32" t="n"/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0</v>
      </c>
      <c r="BS118" s="697">
        <f>CK21</f>
        <v/>
      </c>
      <c r="BT118" s="697" t="n"/>
      <c r="BU118" s="697" t="n"/>
      <c r="BV118" s="697" t="n"/>
      <c r="BW118" s="697" t="n"/>
      <c r="BX118" s="697" t="n"/>
      <c r="BY118" s="697" t="n">
        <v>0</v>
      </c>
      <c r="BZ118" s="431">
        <f>BX118+IF(NOT(ISBLANK(OFFSET(BZ118,0,6))),N(OFFSET(BZ118,0,6)),N(OFFSET(BZ118,0,7)))-BY118</f>
        <v/>
      </c>
      <c r="FL118" s="309" t="n"/>
      <c r="FO118" s="309" t="n"/>
    </row>
    <row r="119">
      <c r="A119" s="347" t="inlineStr">
        <is>
          <t>CAIXA P</t>
        </is>
      </c>
      <c r="B119" s="32" t="n">
        <v>150</v>
      </c>
      <c r="C119" s="773" t="n"/>
      <c r="D119" s="32" t="n"/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0</v>
      </c>
      <c r="BS119" s="697">
        <f>CK26</f>
        <v/>
      </c>
      <c r="BT119" s="697" t="n"/>
      <c r="BU119" s="697" t="n"/>
      <c r="BV119" s="697" t="n"/>
      <c r="BW119" s="697" t="n"/>
      <c r="BX119" s="697" t="n"/>
      <c r="BY119" s="697" t="n">
        <v>31</v>
      </c>
      <c r="BZ119" s="431">
        <f>BX119+IF(NOT(ISBLANK(OFFSET(BZ119,0,6))),N(OFFSET(BZ119,0,6)),N(OFFSET(BZ119,0,7)))-BY119</f>
        <v/>
      </c>
      <c r="FL119" s="309" t="n"/>
      <c r="FO119" s="309" t="n"/>
    </row>
    <row r="120">
      <c r="A120" s="347" t="inlineStr">
        <is>
          <t>CAIXA M</t>
        </is>
      </c>
      <c r="B120" s="32" t="n">
        <v>100</v>
      </c>
      <c r="C120" s="773" t="n"/>
      <c r="D120" s="32" t="n"/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0</v>
      </c>
      <c r="BS120" s="697">
        <f>CK27</f>
        <v/>
      </c>
      <c r="BT120" s="697" t="n"/>
      <c r="BU120" s="697" t="n"/>
      <c r="BV120" s="697" t="n"/>
      <c r="BW120" s="697" t="n"/>
      <c r="BX120" s="697" t="n"/>
      <c r="BY120" s="697" t="n">
        <v>0</v>
      </c>
      <c r="BZ120" s="431">
        <f>BX120+IF(NOT(ISBLANK(OFFSET(BZ120,0,6))),N(OFFSET(BZ120,0,6)),N(OFFSET(BZ120,0,7)))-BY120</f>
        <v/>
      </c>
      <c r="FL120" s="309" t="n"/>
      <c r="FO120" s="309" t="n"/>
    </row>
    <row r="121">
      <c r="A121" s="347" t="inlineStr">
        <is>
          <t>CARTUCHO M</t>
        </is>
      </c>
      <c r="B121" s="32" t="n">
        <v>150</v>
      </c>
      <c r="C121" s="773" t="n"/>
      <c r="D121" s="32" t="n"/>
      <c r="BM121" s="697" t="n">
        <v>0</v>
      </c>
      <c r="BN121" s="697" t="n">
        <v>0</v>
      </c>
      <c r="BO121" s="697" t="n">
        <v>0</v>
      </c>
      <c r="BP121" s="697" t="n">
        <v>0</v>
      </c>
      <c r="BQ121" s="697" t="n">
        <v>0</v>
      </c>
      <c r="BR121" s="697" t="n">
        <v>0</v>
      </c>
      <c r="BS121" s="697" t="n">
        <v>0</v>
      </c>
      <c r="BT121" s="697" t="n"/>
      <c r="BU121" s="697" t="n"/>
      <c r="BV121" s="697" t="n"/>
      <c r="BW121" s="697" t="n"/>
      <c r="BX121" s="697" t="n"/>
      <c r="BY121" s="697" t="n">
        <v>0</v>
      </c>
      <c r="BZ121" s="431">
        <f>BX121+IF(NOT(ISBLANK(OFFSET(BZ121,0,6))),N(OFFSET(BZ121,0,6)),N(OFFSET(BZ121,0,7)))-BY121</f>
        <v/>
      </c>
      <c r="FL121" s="309" t="n"/>
      <c r="FO121" s="309" t="n"/>
    </row>
    <row r="122">
      <c r="FL122" s="309" t="n"/>
      <c r="FO122" s="309" t="n"/>
    </row>
    <row r="123" ht="21" customHeight="1">
      <c r="A123" s="838" t="inlineStr">
        <is>
          <t>SOBRAS DATAS COMEMORATIVAS</t>
        </is>
      </c>
      <c r="B123" s="731" t="n"/>
      <c r="C123" s="775" t="n"/>
      <c r="FL123" s="308" t="n"/>
      <c r="FO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Q124" s="47" t="n"/>
      <c r="DU124" s="47" t="n"/>
      <c r="FL124" s="308" t="n"/>
      <c r="FO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B125" s="5" t="n"/>
      <c r="CC125" s="5" t="n"/>
      <c r="CE125" s="5" t="n"/>
      <c r="CG125" s="5" t="n"/>
      <c r="CH125" s="5" t="n"/>
      <c r="CI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5" t="n"/>
      <c r="DA125" s="306" t="n"/>
      <c r="DB125" s="5" t="n"/>
      <c r="DC125" s="5" t="n"/>
      <c r="DD125" s="5" t="n"/>
      <c r="DE125" s="5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5" t="n"/>
      <c r="DQ125" s="47" t="n"/>
      <c r="DR125" s="5" t="n"/>
      <c r="DS125" s="5" t="n"/>
      <c r="DT125" s="5" t="n"/>
      <c r="DU125" s="47" t="n"/>
      <c r="DV125" s="5" t="n"/>
      <c r="DW125" s="5" t="n"/>
      <c r="DX125" s="5" t="n"/>
      <c r="DY125" s="5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K125" s="5" t="n"/>
      <c r="FM125" s="5" t="n"/>
      <c r="FN125" s="5" t="n"/>
      <c r="FQ125" s="5" t="n"/>
      <c r="FR125" s="5" t="n"/>
      <c r="FS125" s="5" t="n"/>
      <c r="FT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GD125" s="5" t="n"/>
      <c r="JE125" s="59" t="n"/>
      <c r="JF125" s="59" t="n"/>
      <c r="JG125" s="59" t="n"/>
      <c r="JH125" s="59" t="n"/>
      <c r="JI125" s="59" t="n"/>
      <c r="JJ125" s="59" t="n"/>
      <c r="JK125" s="59" t="n"/>
      <c r="JL125" s="59" t="n"/>
      <c r="JM125" s="59" t="n"/>
      <c r="JN125" s="59" t="n"/>
      <c r="JO125" s="59" t="n"/>
      <c r="JP125" s="59" t="n"/>
      <c r="JQ125" s="59" t="n"/>
      <c r="JR125" s="59" t="n"/>
      <c r="JS125" s="59" t="n"/>
      <c r="JT125" s="59" t="n"/>
      <c r="JU125" s="59" t="n"/>
      <c r="JV125" s="59" t="n"/>
      <c r="JW125" s="59" t="n"/>
      <c r="JX125" s="59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9" t="n"/>
      <c r="KL125" s="573" t="n"/>
      <c r="KM125" s="29" t="n"/>
      <c r="KN125" s="29" t="n"/>
      <c r="KO125" s="29" t="n"/>
      <c r="KP125" s="29" t="n"/>
      <c r="KQ125" s="29" t="n"/>
      <c r="KR125" s="29" t="n"/>
      <c r="KS125" s="29" t="n"/>
      <c r="KT125" s="29" t="n"/>
      <c r="KU125" s="29" t="n"/>
      <c r="KV125" s="29" t="n"/>
      <c r="KW125" s="29" t="n"/>
      <c r="KX125" s="29" t="n"/>
      <c r="KY125" s="29" t="n"/>
      <c r="KZ125" s="29" t="n"/>
      <c r="LA125" s="29" t="n"/>
      <c r="LB125" s="29" t="n"/>
      <c r="LC125" s="29" t="n"/>
      <c r="LD125" s="29" t="n"/>
      <c r="LE125" s="29" t="n"/>
      <c r="LF125" s="29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K125" s="29" t="n"/>
      <c r="NM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  <c r="RV125" s="29" t="n"/>
    </row>
    <row r="126">
      <c r="A126" s="392" t="n"/>
      <c r="B126" s="393" t="n"/>
      <c r="C126" s="393" t="n"/>
      <c r="FP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GV7:GV9"/>
    <mergeCell ref="HM25:HM26"/>
    <mergeCell ref="GX7:GX9"/>
    <mergeCell ref="GQ5:GQ6"/>
    <mergeCell ref="HF5:HG6"/>
    <mergeCell ref="HH7:HH9"/>
    <mergeCell ref="GS5:GS6"/>
    <mergeCell ref="A1:E1"/>
    <mergeCell ref="GU5:GV6"/>
    <mergeCell ref="GU25:GU26"/>
    <mergeCell ref="HR7:HR8"/>
    <mergeCell ref="GZ7:GZ9"/>
    <mergeCell ref="GK5:GK6"/>
    <mergeCell ref="GU31:HD31"/>
    <mergeCell ref="GX25:GX26"/>
    <mergeCell ref="GZ25:GZ26"/>
    <mergeCell ref="HG15:HG16"/>
    <mergeCell ref="HI15:HI16"/>
    <mergeCell ref="HJ25:HJ26"/>
    <mergeCell ref="GU7:GU9"/>
    <mergeCell ref="HL25:HL26"/>
    <mergeCell ref="HP7:HP9"/>
    <mergeCell ref="HI7:HI9"/>
    <mergeCell ref="GY7:GY9"/>
    <mergeCell ref="HP25:HP26"/>
    <mergeCell ref="HA7:HA9"/>
    <mergeCell ref="HO15:HO16"/>
    <mergeCell ref="HW7:HW8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HL7:HL9"/>
    <mergeCell ref="GM5:GM6"/>
    <mergeCell ref="HN7:HN9"/>
    <mergeCell ref="HD7:HD9"/>
    <mergeCell ref="GO5:GO6"/>
    <mergeCell ref="HF7:HF9"/>
    <mergeCell ref="HT7:HT8"/>
    <mergeCell ref="HV7:HV8"/>
    <mergeCell ref="A123:C123"/>
    <mergeCell ref="GW15:GW16"/>
    <mergeCell ref="C5:C6"/>
    <mergeCell ref="HR5:HW6"/>
    <mergeCell ref="HI25:HI26"/>
    <mergeCell ref="HA15:HA16"/>
    <mergeCell ref="GV25:GV26"/>
    <mergeCell ref="HS7:HS8"/>
    <mergeCell ref="HC15:HC16"/>
    <mergeCell ref="HF25:HF26"/>
    <mergeCell ref="HH25:HH26"/>
    <mergeCell ref="GF5:GF6"/>
    <mergeCell ref="GW7:GW9"/>
    <mergeCell ref="HU7:HU8"/>
    <mergeCell ref="GR5:GR6"/>
    <mergeCell ref="HK7:HK9"/>
    <mergeCell ref="HB7:HB9"/>
    <mergeCell ref="HB15:HB16"/>
    <mergeCell ref="GV15:GV16"/>
    <mergeCell ref="GW25:GW26"/>
    <mergeCell ref="HN15:HN16"/>
    <mergeCell ref="GY25:GY26"/>
    <mergeCell ref="HP15:HP16"/>
    <mergeCell ref="HF15:HF16"/>
    <mergeCell ref="HH15:HH16"/>
    <mergeCell ref="GG5:GG6"/>
    <mergeCell ref="HJ7:HJ9"/>
    <mergeCell ref="HN25:HN26"/>
    <mergeCell ref="HC7:HC9"/>
    <mergeCell ref="HG7:HG9"/>
    <mergeCell ref="GU15:GU16"/>
    <mergeCell ref="A5:A6"/>
    <mergeCell ref="GY15:GY16"/>
    <mergeCell ref="A101:BZ101"/>
    <mergeCell ref="HB25:HB26"/>
    <mergeCell ref="HD25:HD26"/>
    <mergeCell ref="HK15:HK16"/>
    <mergeCell ref="HM15:HM16"/>
    <mergeCell ref="GH5:GH6"/>
    <mergeCell ref="GJ5:GJ6"/>
    <mergeCell ref="B65:C65"/>
    <mergeCell ref="B5:B6"/>
    <mergeCell ref="D5:D6"/>
    <mergeCell ref="B3:D3"/>
    <mergeCell ref="HD15:HD16"/>
    <mergeCell ref="HM7:HM9"/>
    <mergeCell ref="HG25:HG26"/>
    <mergeCell ref="HO7:HO9"/>
    <mergeCell ref="B2:D2"/>
  </mergeCells>
  <conditionalFormatting sqref="CB8:CB11 CB16:CB19 CB21:CB24 CB26:CB28 CB32:CB33 CB47:CB49 CB55:CB57 CB67">
    <cfRule type="cellIs" priority="8" operator="lessThan" dxfId="48">
      <formula>0</formula>
    </cfRule>
  </conditionalFormatting>
  <conditionalFormatting sqref="CC8:CC10 CC16:CC19 CC21:CC24 CC26:CC28 CC32:CC33 CC43 CC47:CC49 CC55 CC57">
    <cfRule type="cellIs" priority="7" operator="lessThan" dxfId="48">
      <formula>0</formula>
    </cfRule>
  </conditionalFormatting>
  <conditionalFormatting sqref="CE8:CE14 CE16:CE28 CE31:CE33">
    <cfRule type="cellIs" priority="4" operator="lessThan" dxfId="48">
      <formula>0</formula>
    </cfRule>
  </conditionalFormatting>
  <conditionalFormatting sqref="CE36:CE39 CE47:CE53 CE55:CE63">
    <cfRule type="cellIs" priority="3" operator="lessThan" dxfId="48">
      <formula>0</formula>
    </cfRule>
  </conditionalFormatting>
  <conditionalFormatting sqref="CE43">
    <cfRule type="cellIs" priority="5" operator="lessThan" dxfId="48">
      <formula>0</formula>
    </cfRule>
  </conditionalFormatting>
  <conditionalFormatting sqref="CE66:CE68">
    <cfRule type="cellIs" priority="6" operator="lessThan" dxfId="48">
      <formula>0</formula>
    </cfRule>
  </conditionalFormatting>
  <conditionalFormatting sqref="CC11">
    <cfRule type="cellIs" priority="2" operator="lessThan" dxfId="48">
      <formula>0</formula>
    </cfRule>
  </conditionalFormatting>
  <conditionalFormatting sqref="CC56">
    <cfRule type="cellIs" priority="1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Planilha13">
    <tabColor theme="8"/>
    <outlinePr summaryBelow="1" summaryRight="1"/>
    <pageSetUpPr fitToPage="1"/>
  </sheetPr>
  <dimension ref="A1:NT138"/>
  <sheetViews>
    <sheetView showGridLines="0" topLeftCell="A77" zoomScale="80" zoomScaleNormal="80" zoomScaleSheetLayoutView="50" workbookViewId="0">
      <selection activeCell="BY102" sqref="BY102"/>
    </sheetView>
  </sheetViews>
  <sheetFormatPr baseColWidth="8" defaultColWidth="9.140625" defaultRowHeight="18.75"/>
  <cols>
    <col width="38.42578125" customWidth="1" min="1" max="1"/>
    <col width="10.28515625" customWidth="1" min="2" max="2"/>
    <col width="15.85546875" customWidth="1" min="3" max="3"/>
    <col width="16.42578125" customWidth="1" min="4" max="4"/>
    <col width="1.140625" customWidth="1" min="5" max="5"/>
    <col hidden="1" width="9.5703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9.5703125" customWidth="1" min="76" max="76"/>
    <col hidden="1" width="13" customWidth="1" min="77" max="77"/>
    <col width="13" customWidth="1" min="78" max="78"/>
    <col width="13" customWidth="1" min="79" max="79"/>
    <col width="10.5703125" customWidth="1" min="80" max="80"/>
    <col width="1.5703125" customWidth="1" min="81" max="81"/>
    <col width="17.5703125" customWidth="1" min="82" max="82"/>
    <col width="17.140625" customWidth="1" min="83" max="83"/>
    <col width="1.42578125" customWidth="1" min="84" max="84"/>
    <col width="15.7109375" customWidth="1" min="85" max="85"/>
    <col width="1.42578125" customWidth="1" min="86" max="86"/>
    <col width="9.28515625" customWidth="1" min="87" max="87"/>
    <col width="13" customWidth="1" min="88" max="88"/>
    <col hidden="1" width="13" customWidth="1" min="89" max="89"/>
    <col hidden="1" width="13" customWidth="1" min="90" max="90"/>
    <col hidden="1"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1.5703125" customWidth="1" min="96" max="96"/>
    <col hidden="1" width="9.28515625" customWidth="1" min="97" max="97"/>
    <col hidden="1" width="9.28515625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3" customWidth="1" min="117" max="117"/>
    <col hidden="1" width="14.5703125" customWidth="1" min="118" max="118"/>
    <col hidden="1" width="9.28515625" customWidth="1" min="119" max="119"/>
    <col hidden="1" width="13" customWidth="1" min="120" max="120"/>
    <col hidden="1" width="13" customWidth="1" min="121" max="121"/>
    <col hidden="1" width="13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3" customWidth="1" min="127" max="127"/>
    <col hidden="1" width="13" customWidth="1" min="128" max="128"/>
    <col hidden="1" width="13" customWidth="1" min="129" max="129"/>
    <col hidden="1" width="13" customWidth="1" min="130" max="130"/>
    <col hidden="1" width="13" customWidth="1" min="131" max="131"/>
    <col hidden="1" width="13" customWidth="1" min="132" max="132"/>
    <col hidden="1" width="13" customWidth="1" min="133" max="133"/>
    <col hidden="1" width="13" customWidth="1" min="134" max="134"/>
    <col hidden="1" width="12.85546875" customWidth="1" min="135" max="135"/>
    <col hidden="1" width="9.28515625" customWidth="1" min="136" max="136"/>
    <col hidden="1" width="11.42578125" customWidth="1" min="137" max="137"/>
    <col hidden="1" width="9.28515625" customWidth="1" min="138" max="138"/>
    <col hidden="1" width="11" customWidth="1" min="139" max="139"/>
    <col hidden="1" width="9.28515625" customWidth="1" min="140" max="140"/>
    <col hidden="1" width="13" customWidth="1" min="141" max="141"/>
    <col hidden="1" width="13" customWidth="1" min="142" max="142"/>
    <col hidden="1" width="14.42578125" customWidth="1" min="143" max="143"/>
    <col hidden="1" width="9.28515625" customWidth="1" min="144" max="144"/>
    <col hidden="1" width="11" customWidth="1" min="145" max="145"/>
    <col hidden="1" width="9.28515625" customWidth="1" min="146" max="146"/>
    <col hidden="1" width="13" customWidth="1" min="147" max="147"/>
    <col hidden="1" width="13" customWidth="1" min="148" max="148"/>
    <col hidden="1" width="11" customWidth="1" min="149" max="149"/>
    <col hidden="1" width="11.42578125" customWidth="1" min="150" max="150"/>
    <col hidden="1" width="9.28515625" customWidth="1" min="151" max="151"/>
    <col hidden="1" width="14" customWidth="1" min="152" max="152"/>
    <col hidden="1" width="9.28515625" customWidth="1" min="153" max="153"/>
    <col hidden="1" width="13" customWidth="1" min="154" max="154"/>
    <col hidden="1" width="13" customWidth="1" min="155" max="155"/>
    <col hidden="1" width="14" customWidth="1" min="156" max="156"/>
    <col hidden="1" width="9.28515625" customWidth="1" min="157" max="157"/>
    <col hidden="1" width="13" customWidth="1" min="158" max="158"/>
    <col hidden="1" width="13" customWidth="1" min="159" max="159"/>
    <col hidden="1" width="13" customWidth="1" min="160" max="160"/>
    <col hidden="1" width="13" customWidth="1" min="161" max="161"/>
    <col hidden="1" width="14.5703125" customWidth="1" min="162" max="162"/>
    <col hidden="1" width="13" customWidth="1" min="163" max="163"/>
    <col hidden="1" width="9.28515625" customWidth="1" min="164" max="164"/>
    <col hidden="1" width="14.5703125" customWidth="1" min="165" max="165"/>
    <col hidden="1" width="13.140625" customWidth="1" min="166" max="166"/>
    <col hidden="1" width="15.7109375" customWidth="1" min="167" max="167"/>
    <col hidden="1" width="9.28515625" customWidth="1" min="168" max="168"/>
    <col hidden="1" width="12.85546875" customWidth="1" min="169" max="169"/>
    <col hidden="1" width="9.28515625" customWidth="1" min="170" max="170"/>
    <col hidden="1" width="13" customWidth="1" min="171" max="171"/>
    <col hidden="1" width="12.85546875" customWidth="1" min="172" max="172"/>
    <col hidden="1" width="9.28515625" customWidth="1" min="173" max="173"/>
    <col hidden="1" width="13" customWidth="1" min="174" max="174"/>
    <col hidden="1" width="13" customWidth="1" min="175" max="175"/>
    <col hidden="1" width="13" customWidth="1" min="176" max="176"/>
    <col hidden="1" width="12.85546875" customWidth="1" min="177" max="177"/>
    <col hidden="1" width="9.28515625" customWidth="1" min="178" max="178"/>
    <col hidden="1" width="13" customWidth="1" min="179" max="179"/>
    <col hidden="1" width="12.85546875" customWidth="1" min="180" max="180"/>
    <col hidden="1" width="9.28515625" customWidth="1" min="181" max="181"/>
    <col hidden="1" width="12" customWidth="1" min="182" max="182"/>
    <col hidden="1" width="9.28515625" customWidth="1" min="183" max="183"/>
    <col hidden="1" width="12" customWidth="1" min="184" max="184"/>
    <col hidden="1" width="11.7109375" customWidth="1" min="185" max="185"/>
    <col hidden="1" width="9.28515625" customWidth="1" min="186" max="186"/>
    <col hidden="1" width="13" customWidth="1" min="187" max="187"/>
    <col hidden="1" width="13" customWidth="1" min="188" max="188"/>
    <col hidden="1" width="13" customWidth="1" min="189" max="189"/>
    <col hidden="1" width="13" customWidth="1" min="190" max="190"/>
    <col hidden="1" width="13.140625" customWidth="1" min="191" max="191"/>
    <col hidden="1" width="9.28515625" customWidth="1" min="192" max="192"/>
    <col hidden="1" width="13" customWidth="1" min="193" max="193"/>
    <col hidden="1" width="11.7109375" customWidth="1" min="194" max="194"/>
    <col hidden="1" width="9.28515625" customWidth="1" min="195" max="195"/>
    <col hidden="1" width="13" customWidth="1" min="196" max="196"/>
    <col hidden="1" width="13" customWidth="1" min="197" max="197"/>
    <col hidden="1" width="13" customWidth="1" min="198" max="198"/>
    <col hidden="1" width="13" customWidth="1" min="199" max="199"/>
    <col width="4" customWidth="1" min="200" max="200"/>
    <col hidden="1" width="32.85546875" customWidth="1" min="201" max="201"/>
    <col hidden="1" width="9.140625" customWidth="1" min="202" max="202"/>
    <col hidden="1" width="8.7109375" customWidth="1" min="203" max="203"/>
    <col hidden="1" width="13" customWidth="1" min="204" max="204"/>
    <col hidden="1" width="13" customWidth="1" min="205" max="205"/>
    <col hidden="1" width="13" customWidth="1" min="206" max="206"/>
    <col hidden="1" width="13" customWidth="1" min="207" max="207"/>
    <col hidden="1" width="13" customWidth="1" min="208" max="208"/>
    <col hidden="1" width="13" customWidth="1" min="209" max="209"/>
    <col hidden="1" width="13" customWidth="1" min="210" max="210"/>
    <col hidden="1" width="13" customWidth="1" min="211" max="211"/>
    <col hidden="1" width="13" customWidth="1" min="212" max="212"/>
    <col hidden="1" width="13" customWidth="1" min="213" max="213"/>
    <col hidden="1" width="13" customWidth="1" min="214" max="214"/>
    <col hidden="1" width="13" customWidth="1" min="215" max="215"/>
    <col hidden="1" width="13" customWidth="1" min="216" max="216"/>
    <col hidden="1" width="13" customWidth="1" min="217" max="217"/>
    <col hidden="1" width="13" customWidth="1" min="218" max="218"/>
    <col hidden="1" width="13" customWidth="1" min="219" max="219"/>
    <col hidden="1" width="13" customWidth="1" min="220" max="220"/>
    <col width="13" customWidth="1" min="221" max="221"/>
    <col width="13" customWidth="1" min="222" max="222"/>
    <col hidden="1" width="10.5703125" customWidth="1" min="223" max="223"/>
    <col width="4.85546875" customWidth="1" min="224" max="224"/>
    <col hidden="1" width="32.85546875" customWidth="1" min="225" max="225"/>
    <col hidden="1" width="13" customWidth="1" min="226" max="226"/>
    <col hidden="1" width="8.7109375" customWidth="1" min="227" max="227"/>
    <col hidden="1" width="13" customWidth="1" min="228" max="228"/>
    <col hidden="1" width="13" customWidth="1" min="229" max="229"/>
    <col hidden="1" width="13" customWidth="1" min="230" max="230"/>
    <col hidden="1" width="13" customWidth="1" min="231" max="231"/>
    <col hidden="1" width="13" customWidth="1" min="232" max="232"/>
    <col hidden="1" width="13" customWidth="1" min="233" max="233"/>
    <col hidden="1" width="13" customWidth="1" min="234" max="234"/>
    <col width="13" customWidth="1" min="235" max="235"/>
    <col width="13" customWidth="1" min="236" max="236"/>
    <col hidden="1" width="10.5703125" customWidth="1" min="237" max="237"/>
    <col width="5.42578125" customWidth="1" min="238" max="238"/>
    <col hidden="1" width="32.85546875" customWidth="1" min="239" max="239"/>
    <col hidden="1" width="9.140625" customWidth="1" min="240" max="240"/>
    <col hidden="1" width="8.7109375" customWidth="1" min="241" max="241"/>
    <col hidden="1" width="13" customWidth="1" min="242" max="242"/>
    <col hidden="1" width="8.85546875" customWidth="1" min="243" max="243"/>
    <col hidden="1" width="13" customWidth="1" min="244" max="244"/>
    <col hidden="1" width="13" customWidth="1" min="245" max="245"/>
    <col hidden="1" width="13" customWidth="1" min="246" max="246"/>
    <col hidden="1" width="13" customWidth="1" min="247" max="247"/>
    <col hidden="1" width="13" customWidth="1" min="248" max="248"/>
    <col hidden="1" width="13" customWidth="1" min="249" max="249"/>
    <col width="13" customWidth="1" min="250" max="250"/>
    <col width="13" customWidth="1" min="251" max="251"/>
    <col hidden="1" width="10.5703125" customWidth="1" min="252" max="252"/>
    <col width="3.5703125" customWidth="1" min="253" max="253"/>
    <col hidden="1" width="32.85546875" customWidth="1" min="254" max="254"/>
    <col hidden="1" width="9.140625" customWidth="1" min="255" max="255"/>
    <col hidden="1" width="8.7109375" customWidth="1" min="256" max="256"/>
    <col hidden="1" width="13" customWidth="1" min="257" max="257"/>
    <col hidden="1" width="13" customWidth="1" min="258" max="258"/>
    <col hidden="1" width="13" customWidth="1" min="259" max="259"/>
    <col width="13" customWidth="1" min="260" max="260"/>
    <col width="13" customWidth="1" min="261" max="261"/>
    <col hidden="1" width="10.5703125" customWidth="1" min="262" max="262"/>
    <col hidden="1" width="13" customWidth="1" min="263" max="263"/>
    <col hidden="1" width="11.42578125" customWidth="1" min="264" max="264"/>
    <col width="9.140625" customWidth="1" min="265" max="265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488" t="n"/>
      <c r="CB1" s="488" t="n"/>
      <c r="CC1" s="488" t="n"/>
      <c r="CD1" s="5" t="n"/>
      <c r="CE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306" t="n"/>
      <c r="DO1" s="5" t="n"/>
      <c r="DP1" s="5" t="n"/>
      <c r="DQ1" s="5" t="n"/>
      <c r="DR1" s="5" t="n"/>
      <c r="DS1" s="5" t="n"/>
      <c r="DT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L1" s="5" t="n"/>
      <c r="FM1" s="5" t="n"/>
      <c r="FN1" s="5" t="n"/>
      <c r="FO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GA1" s="5" t="n"/>
      <c r="GC1" s="5" t="n"/>
      <c r="GD1" s="5" t="n"/>
      <c r="GE1" s="5" t="n"/>
      <c r="GF1" s="5" t="n"/>
      <c r="GG1" s="5" t="n"/>
      <c r="GH1" s="5" t="n"/>
      <c r="GI1" s="5" t="n"/>
      <c r="GJ1" s="5" t="n"/>
      <c r="GK1" s="5" t="n"/>
      <c r="GL1" s="5" t="n"/>
      <c r="GM1" s="5" t="n"/>
      <c r="GN1" s="5" t="n"/>
      <c r="GO1" s="5" t="n"/>
      <c r="GP1" s="5" t="n"/>
      <c r="GQ1" s="5" t="n"/>
    </row>
    <row r="2">
      <c r="A2" s="43" t="inlineStr">
        <is>
          <t>LOJA:</t>
        </is>
      </c>
      <c r="B2" s="722" t="inlineStr">
        <is>
          <t>ER BAURU</t>
        </is>
      </c>
      <c r="C2" s="724" t="n"/>
      <c r="D2" s="394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306" t="n"/>
      <c r="DO2" s="5" t="n"/>
      <c r="DP2" s="5" t="n"/>
      <c r="DQ2" s="5" t="n"/>
      <c r="DR2" s="5" t="n"/>
      <c r="DS2" s="5" t="n"/>
      <c r="DT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L2" s="5" t="n"/>
      <c r="FM2" s="5" t="n"/>
      <c r="FN2" s="5" t="n"/>
      <c r="FO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GA2" s="5" t="n"/>
      <c r="GC2" s="5" t="n"/>
      <c r="GD2" s="5" t="n"/>
      <c r="GE2" s="5" t="n"/>
      <c r="GF2" s="5" t="n"/>
      <c r="GG2" s="5" t="n"/>
      <c r="GH2" s="5" t="n"/>
      <c r="GI2" s="5" t="n"/>
      <c r="GJ2" s="5" t="n"/>
      <c r="GK2" s="5" t="n"/>
      <c r="GL2" s="5" t="n"/>
      <c r="GM2" s="5" t="n"/>
      <c r="GN2" s="5" t="n"/>
      <c r="GO2" s="5" t="n"/>
      <c r="GP2" s="5" t="n"/>
      <c r="GQ2" s="5" t="n"/>
    </row>
    <row r="3">
      <c r="A3" s="43" t="inlineStr">
        <is>
          <t>Responsável:</t>
        </is>
      </c>
      <c r="B3" s="725" t="inlineStr">
        <is>
          <t>DANIEL</t>
        </is>
      </c>
      <c r="C3" s="724" t="n"/>
      <c r="D3" s="59" t="n"/>
      <c r="E3" s="726" t="n"/>
      <c r="CB3" s="726" t="n"/>
      <c r="CD3" s="5" t="n"/>
      <c r="CE3" s="5" t="n"/>
      <c r="CF3" s="726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306" t="n"/>
      <c r="DO3" s="5" t="n"/>
      <c r="DP3" s="5" t="n"/>
      <c r="DQ3" s="5" t="n"/>
      <c r="DR3" s="5" t="n"/>
      <c r="DS3" s="5" t="n"/>
      <c r="DT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L3" s="5" t="n"/>
      <c r="FM3" s="5" t="n"/>
      <c r="FN3" s="5" t="n"/>
      <c r="FO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GA3" s="5" t="n"/>
      <c r="GC3" s="5" t="n"/>
      <c r="GD3" s="5" t="n"/>
      <c r="GE3" s="5" t="n"/>
      <c r="GF3" s="5" t="n"/>
      <c r="GG3" s="5" t="n"/>
      <c r="GH3" s="5" t="n"/>
      <c r="GI3" s="5" t="n"/>
      <c r="GJ3" s="5" t="n"/>
      <c r="GK3" s="5" t="n"/>
      <c r="GL3" s="5" t="n"/>
      <c r="GM3" s="5" t="n"/>
      <c r="GN3" s="5" t="n"/>
      <c r="GO3" s="5" t="n"/>
      <c r="GP3" s="5" t="n"/>
      <c r="GQ3" s="5" t="n"/>
    </row>
    <row r="4" ht="8.25" customHeight="1">
      <c r="CD4" s="5" t="n"/>
      <c r="CE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306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306" t="n"/>
      <c r="GA4" s="5" t="n"/>
      <c r="GB4" s="306" t="n"/>
      <c r="GC4" s="5" t="n"/>
      <c r="GD4" s="5" t="n"/>
      <c r="GE4" s="5" t="n"/>
      <c r="GF4" s="5" t="n"/>
      <c r="GG4" s="5" t="n"/>
      <c r="GH4" s="5" t="n"/>
      <c r="GI4" s="5" t="n"/>
      <c r="GJ4" s="5" t="n"/>
      <c r="GK4" s="5" t="n"/>
      <c r="GL4" s="5" t="n"/>
      <c r="GM4" s="5" t="n"/>
      <c r="GN4" s="5" t="n"/>
      <c r="GO4" s="5" t="n"/>
      <c r="GP4" s="5" t="n"/>
      <c r="GQ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D5" s="44" t="inlineStr">
        <is>
          <t>Pendências</t>
        </is>
      </c>
      <c r="CE5" s="44" t="inlineStr">
        <is>
          <t>Pendências</t>
        </is>
      </c>
      <c r="CG5" s="12" t="inlineStr">
        <is>
          <t>Novo Pedido</t>
        </is>
      </c>
      <c r="CH5" s="793" t="n">
        <v>46161.4809051429</v>
      </c>
      <c r="CI5" s="794" t="n">
        <v>46149</v>
      </c>
      <c r="CJ5" s="794" t="n">
        <v>46142</v>
      </c>
      <c r="CK5" s="794" t="n">
        <v>46114</v>
      </c>
      <c r="CL5" s="794" t="n">
        <v>46107</v>
      </c>
      <c r="CM5" s="795" t="n">
        <v>46065</v>
      </c>
      <c r="CN5" s="794" t="n">
        <v>46099</v>
      </c>
      <c r="CO5" s="794" t="n">
        <v>46092</v>
      </c>
      <c r="CP5" s="796" t="n">
        <v>46045</v>
      </c>
      <c r="CQ5" s="794" t="n">
        <v>46084</v>
      </c>
      <c r="CR5" s="797" t="inlineStr">
        <is>
          <t>TRANSF.</t>
        </is>
      </c>
      <c r="CS5" s="794" t="n">
        <v>46077</v>
      </c>
      <c r="CT5" s="794" t="n">
        <v>46071</v>
      </c>
      <c r="CU5" s="794" t="n">
        <v>46056</v>
      </c>
      <c r="CV5" s="794" t="n">
        <v>46048</v>
      </c>
      <c r="CW5" s="794" t="n">
        <v>46056</v>
      </c>
      <c r="CX5" s="794" t="n">
        <v>46048</v>
      </c>
      <c r="CY5" s="794" t="n">
        <v>46043</v>
      </c>
      <c r="CZ5" s="794" t="n">
        <v>46035</v>
      </c>
      <c r="DA5" s="794" t="n">
        <v>46043</v>
      </c>
      <c r="DB5" s="794" t="n">
        <v>46035</v>
      </c>
      <c r="DC5" s="794" t="n">
        <v>46035</v>
      </c>
      <c r="DD5" s="794" t="n">
        <v>46029</v>
      </c>
      <c r="DE5" s="794" t="n">
        <v>46017</v>
      </c>
      <c r="DF5" s="794" t="n">
        <v>46007</v>
      </c>
      <c r="DG5" s="794" t="n">
        <v>46007</v>
      </c>
      <c r="DH5" s="794" t="n">
        <v>46001</v>
      </c>
      <c r="DI5" s="794" t="n">
        <v>46001</v>
      </c>
      <c r="DJ5" s="794" t="n">
        <v>45994</v>
      </c>
      <c r="DK5" s="794" t="n">
        <v>45994</v>
      </c>
      <c r="DL5" s="794" t="n">
        <v>45986</v>
      </c>
      <c r="DM5" s="794" t="n">
        <v>45980</v>
      </c>
      <c r="DN5" s="797" t="inlineStr">
        <is>
          <t>TRANSF.</t>
        </is>
      </c>
      <c r="DO5" s="794" t="n">
        <v>45973</v>
      </c>
      <c r="DP5" s="794" t="n">
        <v>45965</v>
      </c>
      <c r="DQ5" s="794" t="n">
        <v>45965</v>
      </c>
      <c r="DR5" s="794" t="n">
        <v>45960</v>
      </c>
      <c r="DS5" s="794" t="n">
        <v>45960</v>
      </c>
      <c r="DT5" s="794" t="n">
        <v>45951</v>
      </c>
      <c r="DU5" s="794" t="n">
        <v>45945</v>
      </c>
      <c r="DV5" s="737" t="n">
        <v>45903</v>
      </c>
      <c r="DW5" s="794" t="n">
        <v>45945</v>
      </c>
      <c r="DX5" s="794" t="n">
        <v>45937</v>
      </c>
      <c r="DY5" s="794" t="n">
        <v>45923</v>
      </c>
      <c r="DZ5" s="794" t="n">
        <v>45931</v>
      </c>
      <c r="EA5" s="794" t="n">
        <v>45931</v>
      </c>
      <c r="EB5" s="794" t="n">
        <v>45915</v>
      </c>
      <c r="EC5" s="794" t="n">
        <v>45923</v>
      </c>
      <c r="ED5" s="794" t="n">
        <v>45915</v>
      </c>
      <c r="EE5" s="797" t="inlineStr">
        <is>
          <t>TRANSF.</t>
        </is>
      </c>
      <c r="EF5" s="794" t="n">
        <v>45903</v>
      </c>
      <c r="EG5" s="738" t="inlineStr">
        <is>
          <t>TRANSF.</t>
        </is>
      </c>
      <c r="EH5" s="794" t="n">
        <v>45895</v>
      </c>
      <c r="EI5" s="797" t="inlineStr">
        <is>
          <t>TRANSF.</t>
        </is>
      </c>
      <c r="EJ5" s="794" t="n">
        <v>45888</v>
      </c>
      <c r="EK5" s="794" t="n">
        <v>45888</v>
      </c>
      <c r="EL5" s="794" t="n">
        <v>45881</v>
      </c>
      <c r="EM5" s="797" t="inlineStr">
        <is>
          <t>TRANSF.</t>
        </is>
      </c>
      <c r="EN5" s="794" t="n">
        <v>45874</v>
      </c>
      <c r="EO5" s="797" t="inlineStr">
        <is>
          <t>TRANSF.</t>
        </is>
      </c>
      <c r="EP5" s="794" t="n">
        <v>45867</v>
      </c>
      <c r="EQ5" s="794" t="n">
        <v>45860</v>
      </c>
      <c r="ER5" s="794" t="n">
        <v>45839</v>
      </c>
      <c r="ES5" s="797" t="inlineStr">
        <is>
          <t>TRANSF.</t>
        </is>
      </c>
      <c r="ET5" s="797" t="inlineStr">
        <is>
          <t>TRANSF.</t>
        </is>
      </c>
      <c r="EU5" s="794" t="n">
        <v>45853</v>
      </c>
      <c r="EV5" s="739" t="inlineStr">
        <is>
          <t xml:space="preserve">TRANSF. </t>
        </is>
      </c>
      <c r="EW5" s="794" t="n">
        <v>45848</v>
      </c>
      <c r="EX5" s="794" t="n">
        <v>45839</v>
      </c>
      <c r="EY5" s="739" t="n">
        <v>45791</v>
      </c>
      <c r="EZ5" s="797" t="inlineStr">
        <is>
          <t>TRANSF.</t>
        </is>
      </c>
      <c r="FA5" s="794" t="n">
        <v>45832</v>
      </c>
      <c r="FB5" s="794" t="n">
        <v>45825</v>
      </c>
      <c r="FC5" s="794" t="n">
        <v>45819</v>
      </c>
      <c r="FD5" s="794" t="n">
        <v>45813</v>
      </c>
      <c r="FE5" s="794" t="n">
        <v>45805</v>
      </c>
      <c r="FF5" s="797" t="inlineStr">
        <is>
          <t>TRANSF.</t>
        </is>
      </c>
      <c r="FG5" s="797" t="inlineStr">
        <is>
          <t>TRANSF.</t>
        </is>
      </c>
      <c r="FH5" s="794" t="n">
        <v>45798</v>
      </c>
      <c r="FI5" s="797" t="inlineStr">
        <is>
          <t>TRANSF.</t>
        </is>
      </c>
      <c r="FJ5" s="742" t="inlineStr">
        <is>
          <t>TRANSF.</t>
        </is>
      </c>
      <c r="FK5" s="797" t="inlineStr">
        <is>
          <t>TRANSF.</t>
        </is>
      </c>
      <c r="FL5" s="742" t="n">
        <v>45735</v>
      </c>
      <c r="FM5" s="797" t="inlineStr">
        <is>
          <t>TRANSF.</t>
        </is>
      </c>
      <c r="FN5" s="794" t="n">
        <v>45790</v>
      </c>
      <c r="FO5" s="794" t="n">
        <v>45784</v>
      </c>
      <c r="FP5" s="797" t="inlineStr">
        <is>
          <t>TRANSF.</t>
        </is>
      </c>
      <c r="FQ5" s="794" t="n">
        <v>45783</v>
      </c>
      <c r="FR5" s="794" t="n">
        <v>45770</v>
      </c>
      <c r="FS5" s="794" t="n">
        <v>45775</v>
      </c>
      <c r="FT5" s="794" t="n">
        <v>45770</v>
      </c>
      <c r="FU5" s="797" t="inlineStr">
        <is>
          <t>TRANSF.</t>
        </is>
      </c>
      <c r="FV5" s="794" t="n">
        <v>45756</v>
      </c>
      <c r="FW5" s="794" t="n">
        <v>45749</v>
      </c>
      <c r="FX5" s="797" t="inlineStr">
        <is>
          <t>TRANSF.</t>
        </is>
      </c>
      <c r="FY5" s="794" t="n">
        <v>45743</v>
      </c>
      <c r="FZ5" s="746" t="inlineStr">
        <is>
          <t>TRANSF.</t>
        </is>
      </c>
      <c r="GA5" s="794" t="n">
        <v>45722</v>
      </c>
      <c r="GB5" s="746" t="n">
        <v>45700</v>
      </c>
      <c r="GC5" s="797" t="inlineStr">
        <is>
          <t>TRANSF.</t>
        </is>
      </c>
      <c r="GD5" s="794" t="n">
        <v>45714</v>
      </c>
      <c r="GE5" s="794" t="n">
        <v>45706</v>
      </c>
      <c r="GF5" s="794" t="n">
        <v>45699</v>
      </c>
      <c r="GG5" s="794" t="n">
        <v>45693</v>
      </c>
      <c r="GH5" s="794" t="n">
        <v>45685</v>
      </c>
      <c r="GI5" s="797" t="inlineStr">
        <is>
          <t>TRANSF.</t>
        </is>
      </c>
      <c r="GJ5" s="794" t="n">
        <v>45664</v>
      </c>
      <c r="GK5" s="794" t="n">
        <v>45679</v>
      </c>
      <c r="GL5" s="797" t="inlineStr">
        <is>
          <t>TRANSF.</t>
        </is>
      </c>
      <c r="GM5" s="794" t="n">
        <v>45664</v>
      </c>
      <c r="GN5" s="794" t="n">
        <v>45660</v>
      </c>
      <c r="GO5" s="794" t="n">
        <v>45652</v>
      </c>
      <c r="GP5" s="794" t="n">
        <v>45643</v>
      </c>
      <c r="GQ5" s="794" t="n">
        <v>45638</v>
      </c>
      <c r="GS5" s="235" t="inlineStr">
        <is>
          <t>MÃES/2025</t>
        </is>
      </c>
      <c r="GT5" s="798" t="inlineStr">
        <is>
          <t>PCT</t>
        </is>
      </c>
      <c r="GU5" s="322" t="n">
        <v>45726</v>
      </c>
      <c r="GV5" s="322" t="n">
        <v>45733</v>
      </c>
      <c r="GW5" s="322" t="n">
        <v>45740</v>
      </c>
      <c r="GX5" s="322" t="n">
        <v>45747</v>
      </c>
      <c r="GY5" s="322" t="n">
        <v>45754</v>
      </c>
      <c r="GZ5" s="322" t="n">
        <v>45761</v>
      </c>
      <c r="HA5" s="322" t="n">
        <v>45768</v>
      </c>
      <c r="HB5" s="322" t="n">
        <v>45775</v>
      </c>
      <c r="HC5" s="322" t="n">
        <v>45782</v>
      </c>
      <c r="HD5" s="322" t="n">
        <v>45789</v>
      </c>
      <c r="HE5" s="322" t="n">
        <v>45796</v>
      </c>
      <c r="HF5" s="322" t="n">
        <v>45803</v>
      </c>
      <c r="HG5" s="322" t="n">
        <v>45810</v>
      </c>
      <c r="HH5" s="322" t="n">
        <v>45817</v>
      </c>
      <c r="HI5" s="322" t="n">
        <v>45824</v>
      </c>
      <c r="HJ5" s="322" t="n">
        <v>45831</v>
      </c>
      <c r="HK5" s="799" t="n">
        <v>46160</v>
      </c>
      <c r="HL5" s="322" t="n">
        <v>45838</v>
      </c>
      <c r="HM5" s="800" t="n">
        <v>46161.48025002315</v>
      </c>
      <c r="HN5" s="800" t="n">
        <v>46161.48090785787</v>
      </c>
      <c r="HO5" s="801" t="inlineStr">
        <is>
          <t>USOU</t>
        </is>
      </c>
      <c r="HP5" s="886" t="n"/>
      <c r="HQ5" s="542" t="inlineStr">
        <is>
          <t>NAMORADOS/2025</t>
        </is>
      </c>
      <c r="HS5" s="363" t="n"/>
      <c r="HT5" s="363" t="n"/>
      <c r="HU5" s="363" t="n"/>
      <c r="HV5" s="363" t="n"/>
      <c r="HW5" s="363" t="n"/>
      <c r="HX5" s="363" t="n"/>
      <c r="HY5" s="363" t="n"/>
      <c r="HZ5" s="363" t="n"/>
      <c r="IA5" s="363" t="n"/>
      <c r="IB5" s="363" t="n"/>
      <c r="IE5" s="550" t="inlineStr">
        <is>
          <t>PAIS/2025</t>
        </is>
      </c>
      <c r="IG5" s="407" t="n"/>
      <c r="IH5" s="407" t="n"/>
      <c r="II5" s="407" t="n"/>
      <c r="IJ5" s="407" t="n"/>
      <c r="IK5" s="407" t="n"/>
      <c r="IL5" s="407" t="n"/>
      <c r="IM5" s="407" t="n"/>
      <c r="IN5" s="407" t="n"/>
      <c r="IO5" s="887" t="n"/>
      <c r="JB5" s="691" t="n"/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45915</v>
      </c>
      <c r="AQ6" s="746" t="n">
        <v>45922</v>
      </c>
      <c r="AR6" s="746" t="n">
        <v>45929</v>
      </c>
      <c r="AS6" s="746" t="n">
        <v>45936</v>
      </c>
      <c r="AT6" s="746" t="n">
        <v>45943</v>
      </c>
      <c r="AU6" s="746" t="n">
        <v>45950</v>
      </c>
      <c r="AV6" s="746" t="n">
        <v>45957</v>
      </c>
      <c r="AW6" s="746" t="n">
        <v>45964</v>
      </c>
      <c r="AX6" s="746" t="n">
        <v>45971</v>
      </c>
      <c r="AY6" s="746" t="n">
        <v>45978</v>
      </c>
      <c r="AZ6" s="746" t="n">
        <v>45985</v>
      </c>
      <c r="BA6" s="746" t="n">
        <v>45992</v>
      </c>
      <c r="BB6" s="746" t="n">
        <v>45999</v>
      </c>
      <c r="BC6" s="746" t="n">
        <v>46006</v>
      </c>
      <c r="BD6" s="746" t="n">
        <v>46013</v>
      </c>
      <c r="BE6" s="746" t="n">
        <v>46020</v>
      </c>
      <c r="BF6" s="746" t="n">
        <v>46027</v>
      </c>
      <c r="BG6" s="746" t="n">
        <v>46034</v>
      </c>
      <c r="BH6" s="746" t="n">
        <v>46041</v>
      </c>
      <c r="BI6" s="746" t="n">
        <v>46048</v>
      </c>
      <c r="BJ6" s="746" t="n">
        <v>46055</v>
      </c>
      <c r="BK6" s="746" t="n">
        <v>46062</v>
      </c>
      <c r="BL6" s="746" t="n">
        <v>46069</v>
      </c>
      <c r="BM6" s="746" t="n">
        <v>46076</v>
      </c>
      <c r="BN6" s="746" t="n">
        <v>46083</v>
      </c>
      <c r="BO6" s="746" t="n">
        <v>46090</v>
      </c>
      <c r="BP6" s="746" t="n">
        <v>46097</v>
      </c>
      <c r="BQ6" s="746" t="n">
        <v>46104</v>
      </c>
      <c r="BR6" s="746" t="n">
        <v>46111</v>
      </c>
      <c r="BS6" s="746" t="n">
        <v>46118</v>
      </c>
      <c r="BT6" s="746" t="n">
        <v>46125</v>
      </c>
      <c r="BU6" s="746" t="n">
        <v>46132</v>
      </c>
      <c r="BV6" s="746" t="n">
        <v>46139</v>
      </c>
      <c r="BW6" s="746" t="n">
        <v>46146</v>
      </c>
      <c r="BX6" s="746" t="n">
        <v>46154</v>
      </c>
      <c r="BY6" s="746" t="n">
        <v>46160</v>
      </c>
      <c r="BZ6" s="747" t="n">
        <v>46161.48025125</v>
      </c>
      <c r="CA6" s="747" t="n">
        <v>46161.48090906601</v>
      </c>
      <c r="CB6" s="748" t="inlineStr">
        <is>
          <t>USOU</t>
        </is>
      </c>
      <c r="CC6" s="5" t="n"/>
      <c r="CD6" s="841" t="inlineStr">
        <is>
          <t>TRANSF.</t>
        </is>
      </c>
      <c r="CE6" s="750" t="n"/>
      <c r="CF6" s="5" t="n"/>
      <c r="CG6" s="752" t="n"/>
      <c r="CH6" s="794" t="n"/>
      <c r="CI6" s="794" t="n"/>
      <c r="CJ6" s="794" t="n">
        <v>46148</v>
      </c>
      <c r="CK6" s="794" t="n">
        <v>46121</v>
      </c>
      <c r="CL6" s="794" t="n">
        <v>46113</v>
      </c>
      <c r="CM6" s="795" t="n">
        <v>46111</v>
      </c>
      <c r="CN6" s="794" t="n">
        <v>46104</v>
      </c>
      <c r="CO6" s="794" t="n">
        <v>46099</v>
      </c>
      <c r="CP6" s="796" t="n">
        <v>46091</v>
      </c>
      <c r="CQ6" s="794" t="n">
        <v>46090</v>
      </c>
      <c r="CR6" s="797" t="n">
        <v>46085</v>
      </c>
      <c r="CS6" s="794" t="n">
        <v>46083</v>
      </c>
      <c r="CT6" s="794" t="n">
        <v>46076</v>
      </c>
      <c r="CU6" s="794" t="n">
        <v>46072</v>
      </c>
      <c r="CV6" s="794" t="n">
        <v>46072</v>
      </c>
      <c r="CW6" s="794" t="n">
        <v>46062</v>
      </c>
      <c r="CX6" s="794" t="n">
        <v>46055</v>
      </c>
      <c r="CY6" s="794" t="n">
        <v>46051</v>
      </c>
      <c r="CZ6" s="794" t="n">
        <v>46051</v>
      </c>
      <c r="DA6" s="794" t="n">
        <v>46048</v>
      </c>
      <c r="DB6" s="794" t="n">
        <v>46048</v>
      </c>
      <c r="DC6" s="794" t="n">
        <v>46037</v>
      </c>
      <c r="DD6" s="794" t="n">
        <v>46035</v>
      </c>
      <c r="DE6" s="794" t="n">
        <v>46030</v>
      </c>
      <c r="DF6" s="794" t="n">
        <v>46027</v>
      </c>
      <c r="DG6" s="794" t="n">
        <v>46010</v>
      </c>
      <c r="DH6" s="794" t="n">
        <v>46010</v>
      </c>
      <c r="DI6" s="794" t="n">
        <v>46008</v>
      </c>
      <c r="DJ6" s="794" t="n">
        <v>46009</v>
      </c>
      <c r="DK6" s="794" t="n">
        <v>46000</v>
      </c>
      <c r="DL6" s="794" t="n">
        <v>45992</v>
      </c>
      <c r="DM6" s="794" t="n">
        <v>45987</v>
      </c>
      <c r="DN6" s="797" t="n">
        <v>45982</v>
      </c>
      <c r="DO6" s="794" t="n">
        <v>45980</v>
      </c>
      <c r="DP6" s="794" t="n">
        <v>45978</v>
      </c>
      <c r="DQ6" s="794" t="n">
        <v>45971</v>
      </c>
      <c r="DR6" s="794" t="n">
        <v>45967</v>
      </c>
      <c r="DS6" s="794" t="n">
        <v>45965</v>
      </c>
      <c r="DT6" s="794" t="n">
        <v>45958</v>
      </c>
      <c r="DU6" s="794" t="n">
        <v>45958</v>
      </c>
      <c r="DV6" s="753" t="n">
        <v>45957</v>
      </c>
      <c r="DW6" s="794" t="n">
        <v>45952</v>
      </c>
      <c r="DX6" s="794" t="n">
        <v>45944</v>
      </c>
      <c r="DY6" s="794" t="n">
        <v>45946</v>
      </c>
      <c r="DZ6" s="794" t="n">
        <v>45938</v>
      </c>
      <c r="EA6" s="794" t="n">
        <v>45937</v>
      </c>
      <c r="EB6" s="794" t="n">
        <v>45930</v>
      </c>
      <c r="EC6" s="794" t="n">
        <v>45930</v>
      </c>
      <c r="ED6" s="794" t="n">
        <v>45919</v>
      </c>
      <c r="EE6" s="797" t="n">
        <v>45918</v>
      </c>
      <c r="EF6" s="794" t="n">
        <v>45909</v>
      </c>
      <c r="EG6" s="738" t="n">
        <v>45903</v>
      </c>
      <c r="EH6" s="794" t="n">
        <v>45901</v>
      </c>
      <c r="EI6" s="797" t="n">
        <v>45896</v>
      </c>
      <c r="EJ6" s="794" t="n">
        <v>45890</v>
      </c>
      <c r="EK6" s="794" t="n">
        <v>45890</v>
      </c>
      <c r="EL6" s="794" t="n">
        <v>45888</v>
      </c>
      <c r="EM6" s="797" t="n">
        <v>45881</v>
      </c>
      <c r="EN6" s="794" t="n">
        <v>45880</v>
      </c>
      <c r="EO6" s="797" t="n">
        <v>45876</v>
      </c>
      <c r="EP6" s="794" t="n">
        <v>45873</v>
      </c>
      <c r="EQ6" s="794" t="n">
        <v>45863</v>
      </c>
      <c r="ER6" s="794" t="n">
        <v>45862</v>
      </c>
      <c r="ES6" s="797" t="n">
        <v>45861</v>
      </c>
      <c r="ET6" s="797" t="n">
        <v>45860</v>
      </c>
      <c r="EU6" s="794" t="n">
        <v>45856</v>
      </c>
      <c r="EV6" s="739" t="n">
        <v>45855</v>
      </c>
      <c r="EW6" s="794" t="n">
        <v>45852</v>
      </c>
      <c r="EX6" s="794" t="n">
        <v>45845</v>
      </c>
      <c r="EY6" s="739" t="n">
        <v>45840</v>
      </c>
      <c r="EZ6" s="797" t="n">
        <v>45835</v>
      </c>
      <c r="FA6" s="794" t="n">
        <v>45835</v>
      </c>
      <c r="FB6" s="794" t="n">
        <v>45832</v>
      </c>
      <c r="FC6" s="794" t="n">
        <v>45824</v>
      </c>
      <c r="FD6" s="794" t="n">
        <v>45819</v>
      </c>
      <c r="FE6" s="794" t="n">
        <v>45811</v>
      </c>
      <c r="FF6" s="797" t="n">
        <v>45811</v>
      </c>
      <c r="FG6" s="797" t="n">
        <v>45810</v>
      </c>
      <c r="FH6" s="794" t="n">
        <v>45800</v>
      </c>
      <c r="FI6" s="797" t="n">
        <v>45803</v>
      </c>
      <c r="FJ6" s="755" t="n">
        <v>45803</v>
      </c>
      <c r="FK6" s="797" t="n">
        <v>45800</v>
      </c>
      <c r="FL6" s="755" t="n">
        <v>45797</v>
      </c>
      <c r="FM6" s="797" t="n">
        <v>45796</v>
      </c>
      <c r="FN6" s="794" t="n">
        <v>45793</v>
      </c>
      <c r="FO6" s="794" t="n">
        <v>45791</v>
      </c>
      <c r="FP6" s="797" t="n">
        <v>45791</v>
      </c>
      <c r="FQ6" s="794" t="n">
        <v>45785</v>
      </c>
      <c r="FR6" s="794" t="n">
        <v>45784</v>
      </c>
      <c r="FS6" s="794" t="n">
        <v>45779</v>
      </c>
      <c r="FT6" s="794" t="n">
        <v>45776</v>
      </c>
      <c r="FU6" s="797" t="n">
        <v>45775</v>
      </c>
      <c r="FV6" s="794" t="n">
        <v>45772</v>
      </c>
      <c r="FW6" s="794" t="n">
        <v>45755</v>
      </c>
      <c r="FX6" s="797" t="n">
        <v>45751</v>
      </c>
      <c r="FY6" s="794" t="n">
        <v>45749</v>
      </c>
      <c r="FZ6" s="746" t="n">
        <v>45729</v>
      </c>
      <c r="GA6" s="794" t="n">
        <v>45726</v>
      </c>
      <c r="GB6" s="746" t="n">
        <v>45722</v>
      </c>
      <c r="GC6" s="797" t="n">
        <v>45722</v>
      </c>
      <c r="GD6" s="794" t="n">
        <v>45721</v>
      </c>
      <c r="GE6" s="794" t="n">
        <v>45713</v>
      </c>
      <c r="GF6" s="794" t="n">
        <v>45706</v>
      </c>
      <c r="GG6" s="794" t="n">
        <v>45699</v>
      </c>
      <c r="GH6" s="794" t="n">
        <v>45688</v>
      </c>
      <c r="GI6" s="797" t="n">
        <v>45687</v>
      </c>
      <c r="GJ6" s="794" t="n">
        <v>45686</v>
      </c>
      <c r="GK6" s="794" t="n">
        <v>45685</v>
      </c>
      <c r="GL6" s="797" t="n">
        <v>45684</v>
      </c>
      <c r="GM6" s="794" t="n">
        <v>45670</v>
      </c>
      <c r="GN6" s="794" t="n">
        <v>45665</v>
      </c>
      <c r="GO6" s="794" t="n">
        <v>45659</v>
      </c>
      <c r="GP6" s="794" t="n">
        <v>45652</v>
      </c>
      <c r="GQ6" s="794" t="n">
        <v>45652</v>
      </c>
      <c r="GS6" s="745" t="n"/>
      <c r="GT6" s="745" t="n"/>
      <c r="GU6" s="745" t="n"/>
      <c r="GV6" s="745" t="n"/>
      <c r="GW6" s="745" t="n"/>
      <c r="GX6" s="745" t="n"/>
      <c r="GY6" s="745" t="n"/>
      <c r="GZ6" s="745" t="n"/>
      <c r="HA6" s="745" t="n"/>
      <c r="HB6" s="745" t="n"/>
      <c r="HC6" s="745" t="n"/>
      <c r="HD6" s="745" t="n"/>
      <c r="HE6" s="745" t="n"/>
      <c r="HF6" s="745" t="n"/>
      <c r="HG6" s="745" t="n"/>
      <c r="HH6" s="745" t="n"/>
      <c r="HI6" s="745" t="n"/>
      <c r="HJ6" s="745" t="n"/>
      <c r="HK6" s="745" t="n"/>
      <c r="HL6" s="745" t="n"/>
      <c r="HM6" s="802" t="n"/>
      <c r="HN6" s="802" t="n"/>
      <c r="HO6" s="803" t="n"/>
      <c r="HP6" s="853" t="n"/>
      <c r="HQ6" s="803" t="n"/>
      <c r="HR6" s="782" t="n"/>
      <c r="HS6" s="363" t="n"/>
      <c r="HT6" s="363" t="n"/>
      <c r="HU6" s="363" t="n"/>
      <c r="HV6" s="363" t="n"/>
      <c r="HW6" s="363" t="n"/>
      <c r="HX6" s="363" t="n"/>
      <c r="HY6" s="363" t="n"/>
      <c r="HZ6" s="363" t="n"/>
      <c r="IE6" s="803" t="n"/>
      <c r="IF6" s="782" t="n"/>
      <c r="IG6" s="407" t="n"/>
      <c r="IH6" s="407" t="n"/>
      <c r="II6" s="407" t="n"/>
      <c r="IJ6" s="407" t="n"/>
      <c r="IK6" s="407" t="n"/>
      <c r="IL6" s="407" t="n"/>
      <c r="IM6" s="407" t="n"/>
      <c r="IN6" s="407" t="n"/>
      <c r="IO6" s="782" t="n"/>
      <c r="IP6" s="782" t="n"/>
      <c r="IQ6" s="783" t="n"/>
      <c r="IR6" s="782" t="n"/>
      <c r="IS6" s="782" t="n"/>
      <c r="IT6" s="782" t="n"/>
      <c r="IU6" s="782" t="n"/>
      <c r="IV6" s="782" t="n"/>
      <c r="IW6" s="782" t="n"/>
      <c r="IX6" s="782" t="n"/>
      <c r="IY6" s="782" t="n"/>
      <c r="IZ6" s="783" t="n"/>
      <c r="JA6" s="783" t="n"/>
      <c r="JB6" s="555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5" t="n"/>
      <c r="CD7" s="13" t="n"/>
      <c r="CE7" s="13" t="n"/>
      <c r="CF7" s="5" t="n"/>
      <c r="CG7" s="13" t="n"/>
      <c r="CH7" s="203" t="n"/>
      <c r="CI7" s="203" t="n"/>
      <c r="CJ7" s="203" t="n"/>
      <c r="CK7" s="203" t="n"/>
      <c r="CL7" s="203" t="n"/>
      <c r="CM7" s="307" t="inlineStr">
        <is>
          <t>MÃES</t>
        </is>
      </c>
      <c r="CN7" s="203" t="n"/>
      <c r="CO7" s="203" t="n"/>
      <c r="CP7" s="307" t="inlineStr">
        <is>
          <t>MÃES</t>
        </is>
      </c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33" t="n"/>
      <c r="DO7" s="203" t="n"/>
      <c r="DP7" s="203" t="n"/>
      <c r="DQ7" s="203" t="n"/>
      <c r="DR7" s="203" t="n"/>
      <c r="DS7" s="203" t="n"/>
      <c r="DT7" s="203" t="n"/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203" t="n"/>
      <c r="EG7" s="307" t="inlineStr">
        <is>
          <t>HP</t>
        </is>
      </c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203" t="n"/>
      <c r="EV7" s="33" t="inlineStr">
        <is>
          <t>PAIS/25</t>
        </is>
      </c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13" t="inlineStr">
        <is>
          <t>NAMO/25</t>
        </is>
      </c>
      <c r="FK7" s="307" t="n"/>
      <c r="FL7" s="203" t="n"/>
      <c r="FM7" s="203" t="n"/>
      <c r="FN7" s="203" t="n"/>
      <c r="FO7" s="203" t="n"/>
      <c r="FP7" s="203" t="n"/>
      <c r="FQ7" s="203" t="n"/>
      <c r="FR7" s="203" t="n"/>
      <c r="FS7" s="203" t="n"/>
      <c r="FT7" s="203" t="n"/>
      <c r="FU7" s="203" t="n"/>
      <c r="FV7" s="203" t="n"/>
      <c r="FW7" s="203" t="n"/>
      <c r="FX7" s="203" t="n"/>
      <c r="FY7" s="203" t="n"/>
      <c r="FZ7" s="307" t="inlineStr">
        <is>
          <t>MÃES/25</t>
        </is>
      </c>
      <c r="GA7" s="203" t="n"/>
      <c r="GB7" s="307" t="inlineStr">
        <is>
          <t>MÃES/25</t>
        </is>
      </c>
      <c r="GC7" s="203" t="n"/>
      <c r="GD7" s="203" t="n"/>
      <c r="GE7" s="203" t="n"/>
      <c r="GF7" s="203" t="n"/>
      <c r="GG7" s="203" t="n"/>
      <c r="GH7" s="203" t="n"/>
      <c r="GI7" s="203" t="n"/>
      <c r="GJ7" s="203" t="n"/>
      <c r="GK7" s="203" t="n"/>
      <c r="GL7" s="203" t="n"/>
      <c r="GM7" s="203" t="n"/>
      <c r="GN7" s="203" t="n"/>
      <c r="GO7" s="203" t="n"/>
      <c r="GP7" s="203" t="n"/>
      <c r="GQ7" s="203" t="n"/>
      <c r="GS7" s="298" t="inlineStr">
        <is>
          <t xml:space="preserve">SACOLAS </t>
        </is>
      </c>
      <c r="GT7" s="298" t="n"/>
      <c r="GU7" s="298" t="n"/>
      <c r="GV7" s="298" t="n"/>
      <c r="GW7" s="298" t="n"/>
      <c r="GX7" s="298" t="n"/>
      <c r="GY7" s="298" t="n"/>
      <c r="GZ7" s="298" t="n"/>
      <c r="HA7" s="298" t="n"/>
      <c r="HB7" s="298" t="n"/>
      <c r="HC7" s="298" t="n"/>
      <c r="HD7" s="298" t="n"/>
      <c r="HE7" s="298" t="n"/>
      <c r="HF7" s="298" t="n"/>
      <c r="HG7" s="298" t="n"/>
      <c r="HH7" s="298" t="n"/>
      <c r="HI7" s="298" t="n"/>
      <c r="HJ7" s="298" t="n"/>
      <c r="HK7" s="298" t="n"/>
      <c r="HL7" s="298" t="n"/>
      <c r="HM7" s="298" t="n"/>
      <c r="HN7" s="298" t="n"/>
      <c r="HO7" s="299" t="n"/>
      <c r="HQ7" s="804" t="inlineStr">
        <is>
          <t xml:space="preserve">SACOLAS </t>
        </is>
      </c>
      <c r="HR7" s="805" t="inlineStr">
        <is>
          <t>PCT</t>
        </is>
      </c>
      <c r="HS7" s="398" t="n">
        <v>45796</v>
      </c>
      <c r="HT7" s="398" t="n">
        <v>45803</v>
      </c>
      <c r="HU7" s="398" t="n">
        <v>45810</v>
      </c>
      <c r="HV7" s="398" t="n">
        <v>45817</v>
      </c>
      <c r="HW7" s="398" t="n">
        <v>45824</v>
      </c>
      <c r="HX7" s="398" t="n">
        <v>45831</v>
      </c>
      <c r="HY7" s="398" t="n">
        <v>45838</v>
      </c>
      <c r="HZ7" s="806" t="n">
        <v>46160</v>
      </c>
      <c r="IA7" s="888" t="n">
        <v>46161.48024940972</v>
      </c>
      <c r="IB7" s="888" t="n">
        <v>46161.48090729075</v>
      </c>
      <c r="IC7" s="808" t="inlineStr">
        <is>
          <t>USOU</t>
        </is>
      </c>
      <c r="IE7" s="809" t="inlineStr">
        <is>
          <t xml:space="preserve">SACOLAS </t>
        </is>
      </c>
      <c r="IF7" s="810" t="inlineStr">
        <is>
          <t>PCT</t>
        </is>
      </c>
      <c r="IG7" s="811" t="n">
        <v>45845</v>
      </c>
      <c r="IH7" s="811" t="n">
        <v>45852</v>
      </c>
      <c r="II7" s="811" t="n">
        <v>45859</v>
      </c>
      <c r="IJ7" s="811" t="n">
        <v>45866</v>
      </c>
      <c r="IK7" s="811" t="n">
        <v>45873</v>
      </c>
      <c r="IL7" s="811" t="n">
        <v>45880</v>
      </c>
      <c r="IM7" s="811" t="n">
        <v>45887</v>
      </c>
      <c r="IN7" s="811" t="n">
        <v>45894</v>
      </c>
      <c r="IO7" s="737" t="n">
        <v>46160</v>
      </c>
      <c r="IP7" s="812" t="n">
        <v>46161.48024878472</v>
      </c>
      <c r="IQ7" s="812" t="n">
        <v>46161.48090660482</v>
      </c>
      <c r="IR7" s="813" t="inlineStr">
        <is>
          <t>USOU</t>
        </is>
      </c>
      <c r="IT7" s="814" t="inlineStr">
        <is>
          <t>SACOLAS VENDA</t>
        </is>
      </c>
      <c r="IU7" s="815" t="inlineStr">
        <is>
          <t>PCT</t>
        </is>
      </c>
      <c r="IV7" s="513" t="n">
        <v>45950</v>
      </c>
      <c r="IW7" s="513" t="n">
        <v>45957</v>
      </c>
      <c r="IX7" s="513" t="n">
        <v>45964</v>
      </c>
      <c r="IY7" s="737" t="n">
        <v>46160</v>
      </c>
      <c r="IZ7" s="812" t="n">
        <v>46161.48024825232</v>
      </c>
      <c r="JA7" s="812" t="n">
        <v>46161.4809060334</v>
      </c>
      <c r="JB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1200</v>
      </c>
      <c r="E8" s="5" t="n"/>
      <c r="F8" s="237">
        <f>1500+GM8</f>
        <v/>
      </c>
      <c r="G8" s="237" t="n">
        <v>3000</v>
      </c>
      <c r="H8" s="237">
        <f>2700+GK8</f>
        <v/>
      </c>
      <c r="I8" s="237" t="n">
        <v>4500</v>
      </c>
      <c r="J8" s="237" t="n">
        <v>3900</v>
      </c>
      <c r="K8" s="237" t="n">
        <v>3300</v>
      </c>
      <c r="L8" s="237" t="n">
        <v>3000</v>
      </c>
      <c r="M8" s="237" t="n">
        <v>2100</v>
      </c>
      <c r="N8" s="237" t="n">
        <v>1800</v>
      </c>
      <c r="O8" s="237">
        <f>1500+GB8</f>
        <v/>
      </c>
      <c r="P8" s="237">
        <f>2100+FY8</f>
        <v/>
      </c>
      <c r="Q8" s="237" t="n">
        <v>1800</v>
      </c>
      <c r="R8" s="237" t="n">
        <v>1200</v>
      </c>
      <c r="S8" s="237">
        <f>600+FW8</f>
        <v/>
      </c>
      <c r="T8" s="237">
        <f>1500+FU8</f>
        <v/>
      </c>
      <c r="U8" s="237" t="n">
        <v>1500</v>
      </c>
      <c r="V8" s="237" t="n">
        <v>1200</v>
      </c>
      <c r="W8" s="237" t="n">
        <v>900</v>
      </c>
      <c r="X8" s="237" t="n">
        <v>1200</v>
      </c>
      <c r="Y8" s="237" t="n">
        <v>1800</v>
      </c>
      <c r="Z8" s="237" t="n">
        <v>1800</v>
      </c>
      <c r="AA8" s="237" t="n">
        <v>1500</v>
      </c>
      <c r="AB8" s="237" t="n">
        <v>1200</v>
      </c>
      <c r="AC8" s="237" t="n">
        <v>900</v>
      </c>
      <c r="AD8" s="237" t="n">
        <v>300</v>
      </c>
      <c r="AE8" s="237">
        <f>0+EZ8</f>
        <v/>
      </c>
      <c r="AF8" s="237" t="n">
        <v>1200</v>
      </c>
      <c r="AG8" s="237" t="n">
        <v>900</v>
      </c>
      <c r="AH8" s="237">
        <f>900+EU8</f>
        <v/>
      </c>
      <c r="AI8" s="237" t="n">
        <v>900</v>
      </c>
      <c r="AJ8" s="237" t="n">
        <v>1500</v>
      </c>
      <c r="AK8" s="237" t="n">
        <v>1200</v>
      </c>
      <c r="AL8" s="237" t="n">
        <v>900</v>
      </c>
      <c r="AM8" s="237" t="n">
        <v>300</v>
      </c>
      <c r="AN8" s="237">
        <f>0+EI8</f>
        <v/>
      </c>
      <c r="AO8" s="237" t="n">
        <v>900</v>
      </c>
      <c r="AP8" s="237" t="n">
        <v>0</v>
      </c>
      <c r="AQ8" s="237">
        <f>0+EB8</f>
        <v/>
      </c>
      <c r="AR8" s="237" t="n">
        <v>1200</v>
      </c>
      <c r="AS8" s="237" t="n">
        <v>0</v>
      </c>
      <c r="AT8" s="237">
        <f>0+DV8</f>
        <v/>
      </c>
      <c r="AU8" s="237" t="n">
        <v>1200</v>
      </c>
      <c r="AV8" s="237" t="n">
        <v>300</v>
      </c>
      <c r="AW8" s="237" t="n">
        <v>0</v>
      </c>
      <c r="AX8" s="237" t="n">
        <v>600</v>
      </c>
      <c r="AY8" s="237">
        <f>300+DM8</f>
        <v/>
      </c>
      <c r="AZ8" s="237">
        <f>600+DK8</f>
        <v/>
      </c>
      <c r="BA8" s="237">
        <f>1500+DJ8</f>
        <v/>
      </c>
      <c r="BB8" s="237" t="n">
        <v>1800</v>
      </c>
      <c r="BC8" s="237">
        <f>1200+DG8</f>
        <v/>
      </c>
      <c r="BD8" s="237" t="n">
        <v>1200</v>
      </c>
      <c r="BE8" s="237" t="n">
        <v>1200</v>
      </c>
      <c r="BF8" s="237" t="n">
        <v>0</v>
      </c>
      <c r="BG8" s="237" t="n">
        <v>0</v>
      </c>
      <c r="BH8" s="237" t="n">
        <v>0</v>
      </c>
      <c r="BI8" s="237" t="n">
        <v>0</v>
      </c>
      <c r="BJ8" s="237" t="n">
        <v>0</v>
      </c>
      <c r="BK8" s="237" t="n">
        <v>0</v>
      </c>
      <c r="BL8" s="237" t="n">
        <v>0</v>
      </c>
      <c r="BM8" s="237">
        <f>0+CR8</f>
        <v/>
      </c>
      <c r="BN8" s="237" t="n">
        <v>300</v>
      </c>
      <c r="BO8" s="237">
        <f>0+CO8</f>
        <v/>
      </c>
      <c r="BP8" s="237">
        <f>300+CM8</f>
        <v/>
      </c>
      <c r="BQ8" s="237">
        <f>300+CL8</f>
        <v/>
      </c>
      <c r="BR8" s="237" t="n">
        <v>0</v>
      </c>
      <c r="BS8" s="237" t="n">
        <v>0</v>
      </c>
      <c r="BT8" s="237" t="n">
        <v>600</v>
      </c>
      <c r="BU8" s="237" t="n">
        <v>900</v>
      </c>
      <c r="BV8" s="237" t="n">
        <v>600</v>
      </c>
      <c r="BW8" s="237">
        <f>600+CH8</f>
        <v/>
      </c>
      <c r="BX8" s="237" t="n">
        <v>300</v>
      </c>
      <c r="BY8" s="237" t="n"/>
      <c r="BZ8" s="154" t="n"/>
      <c r="CA8" s="154" t="n"/>
      <c r="CB8" s="198">
        <f>BZ8+IF(NOT(ISBLANK(OFFSET(CB8,0,6))),N(OFFSET(CB8,0,6)),N(OFFSET(CB8,0,7)))-CA8</f>
        <v/>
      </c>
      <c r="CC8" s="5" t="n"/>
      <c r="CD8" s="22" t="n"/>
      <c r="CE8" s="22" t="n"/>
      <c r="CF8" s="5" t="n"/>
      <c r="CG8" s="27" t="n">
        <v>1200</v>
      </c>
      <c r="CH8" s="757" t="n">
        <v>0</v>
      </c>
      <c r="CI8" s="23" t="n">
        <v>0</v>
      </c>
      <c r="CJ8" s="23" t="n">
        <v>900</v>
      </c>
      <c r="CK8" s="23" t="n">
        <v>1500</v>
      </c>
      <c r="CL8" s="23" t="n"/>
      <c r="CM8" s="23" t="n"/>
      <c r="CN8" s="23" t="n">
        <v>1200</v>
      </c>
      <c r="CO8" s="23" t="n">
        <v>300</v>
      </c>
      <c r="CP8" s="23" t="n"/>
      <c r="CQ8" s="23" t="n">
        <v>1200</v>
      </c>
      <c r="CR8" s="23" t="n"/>
      <c r="CS8" s="23" t="n"/>
      <c r="CT8" s="23" t="n">
        <v>1200</v>
      </c>
      <c r="CU8" s="23" t="n"/>
      <c r="CV8" s="23" t="n"/>
      <c r="CW8" s="23" t="n"/>
      <c r="CX8" s="23" t="n"/>
      <c r="CY8" s="23" t="n"/>
      <c r="CZ8" s="23" t="n"/>
      <c r="DA8" s="23" t="n"/>
      <c r="DB8" s="23" t="n"/>
      <c r="DC8" s="23" t="n"/>
      <c r="DD8" s="23" t="n"/>
      <c r="DE8" s="23" t="n"/>
      <c r="DF8" s="23" t="n"/>
      <c r="DG8" s="23" t="n"/>
      <c r="DH8" s="23" t="n"/>
      <c r="DI8" s="23" t="n">
        <v>900</v>
      </c>
      <c r="DJ8" s="23" t="n"/>
      <c r="DK8" s="23" t="n"/>
      <c r="DL8" s="23" t="n">
        <v>1200</v>
      </c>
      <c r="DM8" s="23" t="n">
        <v>1200</v>
      </c>
      <c r="DN8" s="219" t="n"/>
      <c r="DO8" s="23" t="n">
        <v>1200</v>
      </c>
      <c r="DP8" s="23" t="n"/>
      <c r="DQ8" s="23" t="n"/>
      <c r="DR8" s="23" t="n">
        <v>1200</v>
      </c>
      <c r="DS8" s="23" t="n"/>
      <c r="DT8" s="23" t="n"/>
      <c r="DU8" s="23" t="n"/>
      <c r="DV8" s="219" t="n"/>
      <c r="DW8" s="23" t="n"/>
      <c r="DX8" s="23" t="n">
        <v>1200</v>
      </c>
      <c r="DY8" s="23" t="n"/>
      <c r="DZ8" s="23" t="n"/>
      <c r="EA8" s="23" t="n"/>
      <c r="EB8" s="23" t="n"/>
      <c r="EC8" s="23" t="n"/>
      <c r="ED8" s="23" t="n">
        <v>1200</v>
      </c>
      <c r="EE8" s="23" t="n"/>
      <c r="EF8" s="23" t="n"/>
      <c r="EG8" s="23" t="n"/>
      <c r="EH8" s="23" t="n"/>
      <c r="EI8" s="23" t="n"/>
      <c r="EJ8" s="23" t="n"/>
      <c r="EK8" s="23" t="n">
        <v>1200</v>
      </c>
      <c r="EL8" s="23" t="n"/>
      <c r="EM8" s="23" t="n"/>
      <c r="EN8" s="23" t="n"/>
      <c r="EO8" s="23" t="n"/>
      <c r="EP8" s="23" t="n"/>
      <c r="EQ8" s="23" t="n">
        <v>900</v>
      </c>
      <c r="ER8" s="23" t="n"/>
      <c r="ES8" s="23" t="n"/>
      <c r="ET8" s="23" t="n"/>
      <c r="EU8" s="23" t="n"/>
      <c r="EV8" s="23" t="n"/>
      <c r="EW8" s="23" t="n">
        <v>600</v>
      </c>
      <c r="EX8" s="23" t="n"/>
      <c r="EY8" s="23" t="n"/>
      <c r="EZ8" s="23" t="n"/>
      <c r="FA8" s="23" t="n"/>
      <c r="FB8" s="23" t="n">
        <v>1200</v>
      </c>
      <c r="FC8" s="23" t="n"/>
      <c r="FD8" s="23" t="n"/>
      <c r="FE8" s="23" t="n"/>
      <c r="FF8" s="23" t="n"/>
      <c r="FG8" s="23" t="n"/>
      <c r="FH8" s="23" t="n"/>
      <c r="FI8" s="23" t="n"/>
      <c r="FJ8" s="23" t="n"/>
      <c r="FK8" s="23" t="n"/>
      <c r="FL8" s="219" t="n"/>
      <c r="FM8" s="23" t="n"/>
      <c r="FN8" s="23" t="n"/>
      <c r="FO8" s="23" t="n"/>
      <c r="FP8" s="23" t="n"/>
      <c r="FQ8" s="23" t="n">
        <v>900</v>
      </c>
      <c r="FR8" s="23" t="n"/>
      <c r="FS8" s="23" t="n">
        <v>900</v>
      </c>
      <c r="FT8" s="23" t="n"/>
      <c r="FU8" s="23" t="n"/>
      <c r="FV8" s="23" t="n"/>
      <c r="FW8" s="23" t="n">
        <v>600</v>
      </c>
      <c r="FX8" s="23" t="n"/>
      <c r="FY8" s="23" t="n">
        <v>900</v>
      </c>
      <c r="FZ8" s="219" t="n"/>
      <c r="GA8" s="23" t="n">
        <v>300</v>
      </c>
      <c r="GB8" s="219" t="n"/>
      <c r="GC8" s="23" t="n"/>
      <c r="GD8" s="23" t="n">
        <v>600</v>
      </c>
      <c r="GE8" s="23" t="n"/>
      <c r="GF8" s="23" t="n"/>
      <c r="GG8" s="23" t="n"/>
      <c r="GH8" s="23" t="n"/>
      <c r="GI8" s="23" t="n"/>
      <c r="GJ8" s="23" t="n"/>
      <c r="GK8" s="23" t="n"/>
      <c r="GL8" s="23" t="n"/>
      <c r="GM8" s="23" t="n">
        <v>2100</v>
      </c>
      <c r="GN8" s="23" t="n"/>
      <c r="GO8" s="23" t="n">
        <v>2100</v>
      </c>
      <c r="GP8" s="23" t="n"/>
      <c r="GQ8" s="23" t="n"/>
      <c r="GS8" s="299" t="n"/>
      <c r="GT8" s="299" t="n"/>
      <c r="GU8" s="299" t="n"/>
      <c r="GV8" s="299" t="n"/>
      <c r="GW8" s="299" t="n"/>
      <c r="GX8" s="299" t="n"/>
      <c r="GY8" s="299" t="n"/>
      <c r="GZ8" s="299" t="n"/>
      <c r="HA8" s="299" t="n"/>
      <c r="HB8" s="299" t="n"/>
      <c r="HC8" s="299" t="n"/>
      <c r="HD8" s="299" t="n"/>
      <c r="HE8" s="299" t="n"/>
      <c r="HF8" s="299" t="n"/>
      <c r="HG8" s="299" t="n"/>
      <c r="HH8" s="299" t="n"/>
      <c r="HI8" s="299" t="n"/>
      <c r="HJ8" s="299" t="n"/>
      <c r="HK8" s="299" t="n"/>
      <c r="HL8" s="299" t="n"/>
      <c r="HM8" s="299" t="n"/>
      <c r="HN8" s="299" t="n"/>
      <c r="HO8" s="816" t="n"/>
      <c r="HQ8" s="816" t="n"/>
      <c r="HR8" s="816" t="n"/>
      <c r="HS8" s="816" t="n"/>
      <c r="HT8" s="816" t="n"/>
      <c r="HU8" s="816" t="n"/>
      <c r="HV8" s="816" t="n"/>
      <c r="HW8" s="816" t="n"/>
      <c r="HX8" s="816" t="n"/>
      <c r="HY8" s="816" t="n"/>
      <c r="HZ8" s="532" t="n"/>
      <c r="IA8" s="816" t="n"/>
      <c r="IB8" s="889" t="n"/>
      <c r="IC8" s="816" t="n"/>
      <c r="IE8" s="816" t="n"/>
      <c r="IF8" s="816" t="n"/>
      <c r="IG8" s="816" t="n"/>
      <c r="IH8" s="816" t="n"/>
      <c r="II8" s="816" t="n"/>
      <c r="IJ8" s="816" t="n"/>
      <c r="IK8" s="816" t="n"/>
      <c r="IL8" s="816" t="n"/>
      <c r="IM8" s="816" t="n"/>
      <c r="IN8" s="816" t="n"/>
      <c r="IO8" s="816" t="n"/>
      <c r="IP8" s="816" t="n"/>
      <c r="IQ8" s="889" t="n"/>
      <c r="IR8" s="745" t="n"/>
      <c r="IT8" s="819" t="n"/>
      <c r="IU8" s="745" t="n"/>
      <c r="IV8" s="816" t="n"/>
      <c r="IW8" s="816" t="n"/>
      <c r="IX8" s="816" t="n"/>
      <c r="IY8" s="562" t="n"/>
      <c r="IZ8" s="818" t="n"/>
      <c r="JA8" s="818" t="n"/>
      <c r="JB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4000</v>
      </c>
      <c r="E9" s="5" t="n"/>
      <c r="F9" s="237">
        <f>1600+GM9</f>
        <v/>
      </c>
      <c r="G9" s="237">
        <f>1800+GL9</f>
        <v/>
      </c>
      <c r="H9" s="237">
        <f>3000+GK9</f>
        <v/>
      </c>
      <c r="I9" s="237" t="n">
        <v>3200</v>
      </c>
      <c r="J9" s="237">
        <f>1800+GI9</f>
        <v/>
      </c>
      <c r="K9" s="237" t="n">
        <v>3800</v>
      </c>
      <c r="L9" s="237">
        <f>2600+GE9</f>
        <v/>
      </c>
      <c r="M9" s="237">
        <f>2400+GD9</f>
        <v/>
      </c>
      <c r="N9" s="237">
        <f>2000+GC9</f>
        <v/>
      </c>
      <c r="O9" s="237">
        <f>3400+GB9</f>
        <v/>
      </c>
      <c r="P9" s="237">
        <f>5000+FY9</f>
        <v/>
      </c>
      <c r="Q9" s="237" t="n">
        <v>4200</v>
      </c>
      <c r="R9" s="237" t="n">
        <v>2600</v>
      </c>
      <c r="S9" s="237">
        <f>1200+FW9</f>
        <v/>
      </c>
      <c r="T9" s="237">
        <f>3400+FU9</f>
        <v/>
      </c>
      <c r="U9" s="237" t="n">
        <v>2800</v>
      </c>
      <c r="V9" s="237">
        <f>200+400</f>
        <v/>
      </c>
      <c r="W9" s="237">
        <f>400+FT9</f>
        <v/>
      </c>
      <c r="X9" s="237" t="n">
        <v>3400</v>
      </c>
      <c r="Y9" s="237" t="n">
        <v>4400</v>
      </c>
      <c r="Z9" s="237" t="n">
        <v>5000</v>
      </c>
      <c r="AA9" s="237" t="n">
        <v>1800</v>
      </c>
      <c r="AB9" s="237">
        <f>400+FC9</f>
        <v/>
      </c>
      <c r="AC9" s="237">
        <f>200+FB9</f>
        <v/>
      </c>
      <c r="AD9" s="237">
        <f>0+FA9</f>
        <v/>
      </c>
      <c r="AE9" s="237">
        <f>800+EZ9</f>
        <v/>
      </c>
      <c r="AF9" s="237" t="n">
        <v>3600</v>
      </c>
      <c r="AG9" s="237">
        <f>1200+EV9</f>
        <v/>
      </c>
      <c r="AH9" s="237">
        <f>600+EU9</f>
        <v/>
      </c>
      <c r="AI9" s="237" t="n">
        <v>3000</v>
      </c>
      <c r="AJ9" s="237" t="n">
        <v>3800</v>
      </c>
      <c r="AK9" s="237">
        <f>2000+EN9</f>
        <v/>
      </c>
      <c r="AL9" s="237">
        <f>1400+1000</f>
        <v/>
      </c>
      <c r="AM9" s="237">
        <f>0+EJ9</f>
        <v/>
      </c>
      <c r="AN9" s="237" t="n">
        <v>2000</v>
      </c>
      <c r="AO9" s="237">
        <f>600+EF9</f>
        <v/>
      </c>
      <c r="AP9" s="237">
        <f>800+400</f>
        <v/>
      </c>
      <c r="AQ9" s="237" t="n">
        <v>4200</v>
      </c>
      <c r="AR9" s="237">
        <f>2200+DZ9</f>
        <v/>
      </c>
      <c r="AS9" s="237">
        <f>600+DY9</f>
        <v/>
      </c>
      <c r="AT9" s="237">
        <f>3200+DW9</f>
        <v/>
      </c>
      <c r="AU9" s="237">
        <f>800+DU9</f>
        <v/>
      </c>
      <c r="AV9" s="237">
        <f>1000+DR9</f>
        <v/>
      </c>
      <c r="AW9" s="237" t="n">
        <v>2600</v>
      </c>
      <c r="AX9" s="237">
        <f>0+DO9</f>
        <v/>
      </c>
      <c r="AY9" s="237">
        <f>200+400</f>
        <v/>
      </c>
      <c r="AZ9" s="237">
        <f>0+DK9</f>
        <v/>
      </c>
      <c r="BA9" s="237">
        <f>2400+DJ9</f>
        <v/>
      </c>
      <c r="BB9" s="237" t="n">
        <v>3000</v>
      </c>
      <c r="BC9" s="237">
        <f>400+DG9</f>
        <v/>
      </c>
      <c r="BD9" s="237" t="n">
        <v>6600</v>
      </c>
      <c r="BE9" s="237" t="n">
        <v>4000</v>
      </c>
      <c r="BF9" s="237" t="n">
        <v>3200</v>
      </c>
      <c r="BG9" s="237">
        <f>2200+DB9</f>
        <v/>
      </c>
      <c r="BH9" s="237" t="n">
        <v>4800</v>
      </c>
      <c r="BI9" s="237">
        <f>2300+CY9</f>
        <v/>
      </c>
      <c r="BJ9" s="237">
        <f>3800+CV9</f>
        <v/>
      </c>
      <c r="BK9" s="237">
        <f>2000+CU9</f>
        <v/>
      </c>
      <c r="BL9" s="237" t="n">
        <v>1200</v>
      </c>
      <c r="BM9" s="237">
        <f>400+CR9</f>
        <v/>
      </c>
      <c r="BN9" s="237" t="n">
        <v>3300</v>
      </c>
      <c r="BO9" s="237">
        <f>0+CO9</f>
        <v/>
      </c>
      <c r="BP9" s="237">
        <f>200+CM9</f>
        <v/>
      </c>
      <c r="BQ9" s="237">
        <f>2800+CL9</f>
        <v/>
      </c>
      <c r="BR9" s="237" t="n">
        <v>4200</v>
      </c>
      <c r="BS9" s="237" t="n">
        <v>1400</v>
      </c>
      <c r="BT9" s="237" t="n">
        <v>7800</v>
      </c>
      <c r="BU9" s="237" t="n">
        <v>5000</v>
      </c>
      <c r="BV9" s="237" t="n">
        <v>3200</v>
      </c>
      <c r="BW9" s="237" t="n">
        <v>1800</v>
      </c>
      <c r="BX9" s="237" t="n">
        <v>1000</v>
      </c>
      <c r="BY9" s="237" t="n"/>
      <c r="BZ9" s="154" t="n"/>
      <c r="CA9" s="154" t="n"/>
      <c r="CB9" s="198">
        <f>BZ9+IF(NOT(ISBLANK(OFFSET(CB9,0,6))),N(OFFSET(CB9,0,6)),N(OFFSET(CB9,0,7)))-CA9</f>
        <v/>
      </c>
      <c r="CC9" s="5" t="n"/>
      <c r="CD9" s="22" t="n"/>
      <c r="CE9" s="22" t="n"/>
      <c r="CF9" s="5" t="n"/>
      <c r="CG9" s="27" t="n">
        <v>3000</v>
      </c>
      <c r="CH9" s="757" t="n">
        <v>0</v>
      </c>
      <c r="CI9" s="23" t="n">
        <v>0</v>
      </c>
      <c r="CJ9" s="23" t="n">
        <v>0</v>
      </c>
      <c r="CK9" s="23" t="n">
        <v>6000</v>
      </c>
      <c r="CL9" s="23" t="n"/>
      <c r="CM9" s="419" t="n">
        <v>4000</v>
      </c>
      <c r="CN9" s="23" t="n">
        <v>2000</v>
      </c>
      <c r="CO9" s="23" t="n">
        <v>4000</v>
      </c>
      <c r="CP9" s="23" t="n"/>
      <c r="CQ9" s="23" t="n">
        <v>2000</v>
      </c>
      <c r="CR9" s="23" t="n"/>
      <c r="CS9" s="23" t="n"/>
      <c r="CT9" s="23" t="n">
        <v>4000</v>
      </c>
      <c r="CU9" s="23" t="n"/>
      <c r="CV9" s="23" t="n"/>
      <c r="CW9" s="23" t="n">
        <v>4000</v>
      </c>
      <c r="CX9" s="23" t="n">
        <v>1000</v>
      </c>
      <c r="CY9" s="23" t="n"/>
      <c r="CZ9" s="23" t="n"/>
      <c r="DA9" s="23" t="n">
        <v>4000</v>
      </c>
      <c r="DB9" s="23" t="n"/>
      <c r="DC9" s="23" t="n">
        <v>4000</v>
      </c>
      <c r="DD9" s="23" t="n">
        <v>2000</v>
      </c>
      <c r="DE9" s="23" t="n">
        <v>2000</v>
      </c>
      <c r="DF9" s="23" t="n"/>
      <c r="DG9" s="23" t="n">
        <v>4000</v>
      </c>
      <c r="DH9" s="23" t="n"/>
      <c r="DI9" s="23" t="n">
        <v>5000</v>
      </c>
      <c r="DJ9" s="23" t="n"/>
      <c r="DK9" s="23" t="n"/>
      <c r="DL9" s="23" t="n">
        <v>4000</v>
      </c>
      <c r="DM9" s="23" t="n">
        <v>4000</v>
      </c>
      <c r="DN9" s="192" t="inlineStr">
        <is>
          <t>400 DE CDB</t>
        </is>
      </c>
      <c r="DO9" s="23" t="n"/>
      <c r="DP9" s="23" t="n"/>
      <c r="DQ9" s="23" t="n">
        <v>4000</v>
      </c>
      <c r="DR9" s="23" t="n"/>
      <c r="DS9" s="23" t="n"/>
      <c r="DT9" s="23" t="n">
        <v>4000</v>
      </c>
      <c r="DU9" s="23" t="n"/>
      <c r="DV9" s="219" t="n">
        <v>400</v>
      </c>
      <c r="DW9" s="23" t="n">
        <v>2400</v>
      </c>
      <c r="DX9" s="23" t="n"/>
      <c r="DY9" s="23" t="n">
        <v>200</v>
      </c>
      <c r="DZ9" s="23" t="n"/>
      <c r="EA9" s="23" t="n">
        <v>4000</v>
      </c>
      <c r="EB9" s="23" t="n">
        <v>800</v>
      </c>
      <c r="EC9" s="23" t="n"/>
      <c r="ED9" s="23" t="n">
        <v>4000</v>
      </c>
      <c r="EE9" s="192" t="inlineStr">
        <is>
          <t>400 DE CD</t>
        </is>
      </c>
      <c r="EF9" s="23" t="n"/>
      <c r="EG9" s="23" t="n"/>
      <c r="EH9" s="23" t="n">
        <v>4000</v>
      </c>
      <c r="EI9" s="23" t="n"/>
      <c r="EJ9" s="23" t="n"/>
      <c r="EK9" s="23" t="n"/>
      <c r="EL9" s="23" t="n">
        <v>4000</v>
      </c>
      <c r="EM9" s="192" t="inlineStr">
        <is>
          <t>1000 DE CD</t>
        </is>
      </c>
      <c r="EN9" s="23" t="n"/>
      <c r="EO9" s="23" t="n"/>
      <c r="EP9" s="23" t="n">
        <v>2000</v>
      </c>
      <c r="EQ9" s="23" t="n">
        <v>1800</v>
      </c>
      <c r="ER9" s="23" t="n"/>
      <c r="ES9" s="23" t="n"/>
      <c r="ET9" s="23" t="n"/>
      <c r="EU9" s="23" t="n"/>
      <c r="EV9" s="23" t="n"/>
      <c r="EW9" s="23" t="n">
        <v>4000</v>
      </c>
      <c r="EX9" s="23" t="n">
        <v>1000</v>
      </c>
      <c r="EY9" s="23" t="n"/>
      <c r="EZ9" s="23" t="n"/>
      <c r="FA9" s="23" t="n"/>
      <c r="FB9" s="23" t="n">
        <v>4000</v>
      </c>
      <c r="FC9" s="23" t="n">
        <v>2200</v>
      </c>
      <c r="FD9" s="23" t="n">
        <v>2000</v>
      </c>
      <c r="FE9" s="23" t="n">
        <v>2000</v>
      </c>
      <c r="FF9" s="23" t="n"/>
      <c r="FG9" s="23" t="n"/>
      <c r="FH9" s="23" t="n"/>
      <c r="FI9" s="23" t="n"/>
      <c r="FJ9" s="23" t="n"/>
      <c r="FK9" s="23" t="n"/>
      <c r="FL9" s="219" t="n"/>
      <c r="FM9" s="23" t="n"/>
      <c r="FN9" s="23" t="n">
        <v>2200</v>
      </c>
      <c r="FO9" s="23" t="n"/>
      <c r="FP9" s="23" t="n"/>
      <c r="FQ9" s="23" t="n">
        <v>3000</v>
      </c>
      <c r="FR9" s="23" t="n"/>
      <c r="FS9" s="23" t="n"/>
      <c r="FT9" s="23" t="n">
        <v>3000</v>
      </c>
      <c r="FU9" s="282" t="inlineStr">
        <is>
          <t>400 DE CD</t>
        </is>
      </c>
      <c r="FV9" s="23" t="n">
        <v>2000</v>
      </c>
      <c r="FW9" s="23" t="n">
        <v>1000</v>
      </c>
      <c r="FX9" s="23" t="n"/>
      <c r="FY9" s="23" t="n">
        <v>4000</v>
      </c>
      <c r="FZ9" s="219" t="n"/>
      <c r="GA9" s="23" t="n">
        <v>1800</v>
      </c>
      <c r="GB9" s="219" t="n">
        <v>2600</v>
      </c>
      <c r="GC9" s="23" t="n"/>
      <c r="GD9" s="23" t="n">
        <v>2000</v>
      </c>
      <c r="GE9" s="23" t="n">
        <v>3000</v>
      </c>
      <c r="GF9" s="23" t="n">
        <v>1000</v>
      </c>
      <c r="GG9" s="23" t="n">
        <v>2400</v>
      </c>
      <c r="GH9" s="23" t="n">
        <v>2000</v>
      </c>
      <c r="GI9" s="23" t="n"/>
      <c r="GJ9" s="23" t="n"/>
      <c r="GK9" s="23" t="n">
        <v>2000</v>
      </c>
      <c r="GL9" s="23" t="n"/>
      <c r="GM9" s="23" t="n">
        <v>2000</v>
      </c>
      <c r="GN9" s="23" t="n">
        <v>2400</v>
      </c>
      <c r="GO9" s="23" t="n">
        <v>1600</v>
      </c>
      <c r="GP9" s="23" t="n"/>
      <c r="GQ9" s="23" t="n"/>
      <c r="GS9" s="300" t="inlineStr">
        <is>
          <t>SACOLA P</t>
        </is>
      </c>
      <c r="GT9" s="301" t="n">
        <v>200</v>
      </c>
      <c r="GU9" s="162">
        <f>FZ9</f>
        <v/>
      </c>
      <c r="GV9" s="162" t="n">
        <v>2000</v>
      </c>
      <c r="GW9" s="162" t="n">
        <v>1000</v>
      </c>
      <c r="GX9" s="162" t="n">
        <v>800</v>
      </c>
      <c r="GY9" s="162" t="n">
        <v>800</v>
      </c>
      <c r="GZ9" s="162" t="n">
        <v>400</v>
      </c>
      <c r="HA9" s="162" t="n">
        <v>400</v>
      </c>
      <c r="HB9" s="162" t="n">
        <v>400</v>
      </c>
      <c r="HC9" s="162" t="n">
        <v>400</v>
      </c>
      <c r="HD9" s="162" t="n">
        <v>400</v>
      </c>
      <c r="HE9" s="162" t="n">
        <v>400</v>
      </c>
      <c r="HF9" s="162" t="n">
        <v>0</v>
      </c>
      <c r="HG9" s="162" t="n">
        <v>0</v>
      </c>
      <c r="HH9" s="162" t="n">
        <v>0</v>
      </c>
      <c r="HI9" s="162" t="n">
        <v>0</v>
      </c>
      <c r="HJ9" s="162" t="n">
        <v>0</v>
      </c>
      <c r="HK9" s="162" t="n"/>
      <c r="HL9" s="162" t="n">
        <v>0</v>
      </c>
      <c r="HM9" s="162" t="n"/>
      <c r="HN9" s="162" t="n"/>
      <c r="HO9" s="745" t="n"/>
      <c r="HQ9" s="819" t="n"/>
      <c r="HR9" s="745" t="n"/>
      <c r="HS9" s="745" t="n"/>
      <c r="HT9" s="745" t="n"/>
      <c r="HU9" s="745" t="n"/>
      <c r="HV9" s="745" t="n"/>
      <c r="HW9" s="745" t="n"/>
      <c r="HX9" s="745" t="n"/>
      <c r="HY9" s="745" t="n"/>
      <c r="HZ9" s="512" t="n"/>
      <c r="IA9" s="745" t="n"/>
      <c r="IB9" s="890" t="n"/>
      <c r="IC9" s="745" t="n"/>
      <c r="IE9" s="819" t="n"/>
      <c r="IF9" s="745" t="n"/>
      <c r="IG9" s="745" t="n"/>
      <c r="IH9" s="745" t="n"/>
      <c r="II9" s="745" t="n"/>
      <c r="IJ9" s="745" t="n"/>
      <c r="IK9" s="745" t="n"/>
      <c r="IL9" s="745" t="n"/>
      <c r="IM9" s="745" t="n"/>
      <c r="IN9" s="745" t="n"/>
      <c r="IO9" s="514" t="n"/>
      <c r="IP9" s="821" t="n"/>
      <c r="IQ9" s="821" t="n"/>
      <c r="IR9" s="745" t="n"/>
      <c r="IT9" s="65" t="inlineStr">
        <is>
          <t>SACOLA P</t>
        </is>
      </c>
      <c r="IU9" s="208" t="n">
        <v>200</v>
      </c>
      <c r="IV9" s="162" t="n">
        <v>0</v>
      </c>
      <c r="IW9" s="162">
        <f>DT9</f>
        <v/>
      </c>
      <c r="IX9" s="162" t="n"/>
      <c r="IY9" s="162" t="n"/>
      <c r="IZ9" s="162" t="n"/>
      <c r="JA9" s="162" t="n"/>
      <c r="JB9" s="842" t="n"/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2000</v>
      </c>
      <c r="E10" s="5" t="n"/>
      <c r="F10" s="237" t="n">
        <v>3400</v>
      </c>
      <c r="G10" s="237">
        <f>3200+GL10</f>
        <v/>
      </c>
      <c r="H10" s="237">
        <f>3800+GK10</f>
        <v/>
      </c>
      <c r="I10" s="237" t="n">
        <v>3600</v>
      </c>
      <c r="J10" s="237">
        <f>3000+GI10</f>
        <v/>
      </c>
      <c r="K10" s="237" t="n">
        <v>4200</v>
      </c>
      <c r="L10" s="237" t="n">
        <v>3800</v>
      </c>
      <c r="M10" s="237" t="n">
        <v>3000</v>
      </c>
      <c r="N10" s="237" t="n">
        <v>2800</v>
      </c>
      <c r="O10" s="237" t="n">
        <v>2800</v>
      </c>
      <c r="P10" s="237" t="n">
        <v>2600</v>
      </c>
      <c r="Q10" s="237" t="n">
        <v>1600</v>
      </c>
      <c r="R10" s="237" t="n">
        <v>600</v>
      </c>
      <c r="S10" s="237">
        <f>200+FW10+400</f>
        <v/>
      </c>
      <c r="T10" s="237" t="n">
        <v>2400</v>
      </c>
      <c r="U10" s="237" t="n">
        <v>2200</v>
      </c>
      <c r="V10" s="237" t="n">
        <v>1200</v>
      </c>
      <c r="W10" s="237" t="n">
        <v>1200</v>
      </c>
      <c r="X10" s="237" t="n">
        <v>2400</v>
      </c>
      <c r="Y10" s="237" t="n">
        <v>1200</v>
      </c>
      <c r="Z10" s="237" t="n">
        <v>200</v>
      </c>
      <c r="AA10" s="237">
        <f>400+2000</f>
        <v/>
      </c>
      <c r="AB10" s="237" t="n">
        <v>1400</v>
      </c>
      <c r="AC10" s="237">
        <f>1000+FB10</f>
        <v/>
      </c>
      <c r="AD10" s="237" t="n">
        <v>1800</v>
      </c>
      <c r="AE10" s="237">
        <f>1600+EZ10</f>
        <v/>
      </c>
      <c r="AF10" s="237" t="n">
        <v>2200</v>
      </c>
      <c r="AG10" s="237" t="n">
        <v>1400</v>
      </c>
      <c r="AH10" s="237">
        <f>1200+EU10</f>
        <v/>
      </c>
      <c r="AI10" s="237" t="n">
        <v>1000</v>
      </c>
      <c r="AJ10" s="237" t="n">
        <v>1600</v>
      </c>
      <c r="AK10" s="237" t="n">
        <v>1200</v>
      </c>
      <c r="AL10" s="237">
        <f>600+600</f>
        <v/>
      </c>
      <c r="AM10" s="237">
        <f>400+EJ10</f>
        <v/>
      </c>
      <c r="AN10" s="237" t="n">
        <v>1400</v>
      </c>
      <c r="AO10" s="237">
        <f>1000+EF10</f>
        <v/>
      </c>
      <c r="AP10" s="237">
        <f>0+400</f>
        <v/>
      </c>
      <c r="AQ10" s="237" t="n">
        <v>2200</v>
      </c>
      <c r="AR10" s="237" t="n">
        <v>200</v>
      </c>
      <c r="AS10" s="237">
        <f>0+DY10</f>
        <v/>
      </c>
      <c r="AT10" s="237" t="n">
        <v>800</v>
      </c>
      <c r="AU10" s="237">
        <f>0+DU10</f>
        <v/>
      </c>
      <c r="AV10" s="237" t="n">
        <v>1400</v>
      </c>
      <c r="AW10" s="237" t="n">
        <v>0</v>
      </c>
      <c r="AX10" s="237">
        <f>400+DO10</f>
        <v/>
      </c>
      <c r="AY10" s="237">
        <f>800+400</f>
        <v/>
      </c>
      <c r="AZ10" s="237">
        <f>0+DK10</f>
        <v/>
      </c>
      <c r="BA10" s="237">
        <f>1200+DJ10</f>
        <v/>
      </c>
      <c r="BB10" s="237" t="n">
        <v>1400</v>
      </c>
      <c r="BC10" s="237">
        <f>400+DG10</f>
        <v/>
      </c>
      <c r="BD10" s="237" t="n">
        <v>2400</v>
      </c>
      <c r="BE10" s="237" t="n">
        <v>2000</v>
      </c>
      <c r="BF10" s="237" t="n">
        <v>1200</v>
      </c>
      <c r="BG10" s="237" t="n">
        <v>1600</v>
      </c>
      <c r="BH10" s="237" t="n">
        <v>2200</v>
      </c>
      <c r="BI10" s="237" t="n">
        <v>1400</v>
      </c>
      <c r="BJ10" s="237" t="n">
        <v>1000</v>
      </c>
      <c r="BK10" s="237" t="n">
        <v>600</v>
      </c>
      <c r="BL10" s="237" t="n">
        <v>0</v>
      </c>
      <c r="BM10" s="237">
        <f>0+CR10</f>
        <v/>
      </c>
      <c r="BN10" s="237" t="n">
        <v>1200</v>
      </c>
      <c r="BO10" s="237">
        <f>0+CO10</f>
        <v/>
      </c>
      <c r="BP10" s="237">
        <f>200+CM10</f>
        <v/>
      </c>
      <c r="BQ10" s="237">
        <f>400+CL10</f>
        <v/>
      </c>
      <c r="BR10" s="237" t="n">
        <v>600</v>
      </c>
      <c r="BS10" s="237" t="n">
        <v>400</v>
      </c>
      <c r="BT10" s="237" t="n">
        <v>1600</v>
      </c>
      <c r="BU10" s="237" t="n">
        <v>1800</v>
      </c>
      <c r="BV10" s="237" t="n">
        <v>1000</v>
      </c>
      <c r="BW10" s="237" t="n">
        <v>800</v>
      </c>
      <c r="BX10" s="237" t="n">
        <v>0</v>
      </c>
      <c r="BY10" s="237" t="n"/>
      <c r="BZ10" s="154" t="n"/>
      <c r="CA10" s="154" t="n"/>
      <c r="CB10" s="198">
        <f>BZ10+IF(NOT(ISBLANK(OFFSET(CB10,0,6))),N(OFFSET(CB10,0,6)),N(OFFSET(CB10,0,7)))-CA10</f>
        <v/>
      </c>
      <c r="CC10" s="5" t="n"/>
      <c r="CD10" s="22" t="n"/>
      <c r="CE10" s="22" t="n"/>
      <c r="CF10" s="5" t="n"/>
      <c r="CG10" s="27" t="n">
        <v>1000</v>
      </c>
      <c r="CH10" s="757" t="n">
        <v>0</v>
      </c>
      <c r="CI10" s="23" t="n">
        <v>0</v>
      </c>
      <c r="CJ10" s="23" t="n">
        <v>0</v>
      </c>
      <c r="CK10" s="23" t="n">
        <v>2000</v>
      </c>
      <c r="CL10" s="23" t="n"/>
      <c r="CM10" s="419" t="n">
        <v>3000</v>
      </c>
      <c r="CN10" s="23" t="n">
        <v>600</v>
      </c>
      <c r="CO10" s="23" t="n">
        <v>1600</v>
      </c>
      <c r="CP10" s="467" t="n">
        <v>1500</v>
      </c>
      <c r="CQ10" s="23" t="n">
        <v>800</v>
      </c>
      <c r="CR10" s="23" t="n"/>
      <c r="CS10" s="23" t="n"/>
      <c r="CT10" s="23" t="n">
        <v>2000</v>
      </c>
      <c r="CU10" s="23" t="n"/>
      <c r="CV10" s="23" t="n"/>
      <c r="CW10" s="23" t="n"/>
      <c r="CX10" s="23" t="n"/>
      <c r="CY10" s="23" t="n"/>
      <c r="CZ10" s="23" t="n"/>
      <c r="DA10" s="23" t="n"/>
      <c r="DB10" s="23" t="n"/>
      <c r="DC10" s="23" t="n">
        <v>1000</v>
      </c>
      <c r="DD10" s="23" t="n"/>
      <c r="DE10" s="23" t="n">
        <v>1000</v>
      </c>
      <c r="DF10" s="23" t="n"/>
      <c r="DG10" s="23" t="n">
        <v>1000</v>
      </c>
      <c r="DH10" s="23" t="n"/>
      <c r="DI10" s="23" t="n">
        <v>2600</v>
      </c>
      <c r="DJ10" s="23" t="n"/>
      <c r="DK10" s="23" t="n"/>
      <c r="DL10" s="23" t="n">
        <v>1600</v>
      </c>
      <c r="DM10" s="23" t="n">
        <v>2000</v>
      </c>
      <c r="DN10" s="192" t="inlineStr">
        <is>
          <t>400 DE CDB</t>
        </is>
      </c>
      <c r="DO10" s="23" t="n"/>
      <c r="DP10" s="23" t="n"/>
      <c r="DQ10" s="23" t="n">
        <v>2000</v>
      </c>
      <c r="DR10" s="23" t="n">
        <v>600</v>
      </c>
      <c r="DS10" s="23" t="n"/>
      <c r="DT10" s="23" t="n"/>
      <c r="DU10" s="23" t="n"/>
      <c r="DV10" s="219" t="n">
        <v>200</v>
      </c>
      <c r="DW10" s="23" t="n">
        <v>2000</v>
      </c>
      <c r="DX10" s="23" t="n"/>
      <c r="DY10" s="23" t="n"/>
      <c r="DZ10" s="23" t="n"/>
      <c r="EA10" s="23" t="n">
        <v>2000</v>
      </c>
      <c r="EB10" s="23" t="n"/>
      <c r="EC10" s="23" t="n"/>
      <c r="ED10" s="23" t="n">
        <v>2000</v>
      </c>
      <c r="EE10" s="192" t="inlineStr">
        <is>
          <t>400 DE CD</t>
        </is>
      </c>
      <c r="EF10" s="23" t="n">
        <v>400</v>
      </c>
      <c r="EG10" s="23" t="n"/>
      <c r="EH10" s="23" t="n">
        <v>600</v>
      </c>
      <c r="EI10" s="23" t="n"/>
      <c r="EJ10" s="23" t="n"/>
      <c r="EK10" s="23" t="n">
        <v>1000</v>
      </c>
      <c r="EL10" s="23" t="n">
        <v>600</v>
      </c>
      <c r="EM10" s="192" t="inlineStr">
        <is>
          <t>600 DE CD</t>
        </is>
      </c>
      <c r="EN10" s="23" t="n"/>
      <c r="EO10" s="23" t="n"/>
      <c r="EP10" s="23" t="n"/>
      <c r="EQ10" s="23" t="n">
        <v>1000</v>
      </c>
      <c r="ER10" s="23" t="n"/>
      <c r="ES10" s="23" t="n"/>
      <c r="ET10" s="23" t="n"/>
      <c r="EU10" s="23" t="n"/>
      <c r="EV10" s="292" t="inlineStr">
        <is>
          <t>1000 P/ CD</t>
        </is>
      </c>
      <c r="EW10" s="23" t="n">
        <v>800</v>
      </c>
      <c r="EX10" s="23" t="n"/>
      <c r="EY10" s="219" t="n">
        <v>2000</v>
      </c>
      <c r="EZ10" s="23" t="n"/>
      <c r="FA10" s="23" t="n"/>
      <c r="FB10" s="23" t="n">
        <v>1000</v>
      </c>
      <c r="FC10" s="23" t="n"/>
      <c r="FD10" s="23" t="n">
        <v>2000</v>
      </c>
      <c r="FE10" s="23" t="n"/>
      <c r="FF10" s="23" t="n"/>
      <c r="FG10" s="23" t="n"/>
      <c r="FH10" s="23" t="n">
        <v>1000</v>
      </c>
      <c r="FI10" s="282" t="inlineStr">
        <is>
          <t>2000 DE CD</t>
        </is>
      </c>
      <c r="FJ10" s="23" t="n"/>
      <c r="FK10" s="23" t="n"/>
      <c r="FL10" s="219" t="n">
        <v>300</v>
      </c>
      <c r="FM10" s="23" t="n"/>
      <c r="FN10" s="23" t="n"/>
      <c r="FO10" s="23" t="n"/>
      <c r="FP10" s="23" t="n"/>
      <c r="FQ10" s="23" t="n"/>
      <c r="FR10" s="23" t="n"/>
      <c r="FS10" s="23" t="n"/>
      <c r="FT10" s="23" t="n">
        <v>1600</v>
      </c>
      <c r="FU10" s="23" t="n"/>
      <c r="FV10" s="23" t="n"/>
      <c r="FW10" s="23" t="n"/>
      <c r="FX10" s="282" t="inlineStr">
        <is>
          <t>400 DE CD</t>
        </is>
      </c>
      <c r="FY10" s="23" t="n">
        <v>3000</v>
      </c>
      <c r="FZ10" s="219" t="n"/>
      <c r="GA10" s="23" t="n"/>
      <c r="GB10" s="219" t="n">
        <v>1200</v>
      </c>
      <c r="GC10" s="23" t="n"/>
      <c r="GD10" s="23" t="n"/>
      <c r="GE10" s="23" t="n"/>
      <c r="GF10" s="23" t="n"/>
      <c r="GG10" s="23" t="n"/>
      <c r="GH10" s="23" t="n"/>
      <c r="GI10" s="23" t="n"/>
      <c r="GJ10" s="23" t="n"/>
      <c r="GK10" s="23" t="n">
        <v>1200</v>
      </c>
      <c r="GL10" s="23" t="n"/>
      <c r="GM10" s="23" t="n">
        <v>800</v>
      </c>
      <c r="GN10" s="23" t="n">
        <v>800</v>
      </c>
      <c r="GO10" s="23" t="n"/>
      <c r="GP10" s="23" t="n">
        <v>1000</v>
      </c>
      <c r="GQ10" s="23" t="n"/>
      <c r="GS10" s="65" t="inlineStr">
        <is>
          <t>SACOLA M</t>
        </is>
      </c>
      <c r="GT10" s="208" t="n">
        <v>200</v>
      </c>
      <c r="GU10" s="699">
        <f>FZ10</f>
        <v/>
      </c>
      <c r="GV10" s="699" t="n">
        <v>200</v>
      </c>
      <c r="GW10" s="699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162" t="n">
        <v>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162" t="n">
        <v>0</v>
      </c>
      <c r="HJ10" s="162" t="n">
        <v>0</v>
      </c>
      <c r="HK10" s="162" t="n"/>
      <c r="HL10" s="162" t="n">
        <v>0</v>
      </c>
      <c r="HM10" s="162" t="n"/>
      <c r="HN10" s="162" t="n"/>
      <c r="HO10" s="302" t="n">
        <v>0</v>
      </c>
      <c r="HQ10" s="65" t="inlineStr">
        <is>
          <t>SACOLA M</t>
        </is>
      </c>
      <c r="HR10" s="208" t="n">
        <v>200</v>
      </c>
      <c r="HS10" s="162">
        <f>FJ10</f>
        <v/>
      </c>
      <c r="HT10" s="162" t="n">
        <v>300</v>
      </c>
      <c r="HU10" s="162" t="n">
        <v>200</v>
      </c>
      <c r="HV10" s="162" t="n">
        <v>200</v>
      </c>
      <c r="HW10" s="162" t="n">
        <v>200</v>
      </c>
      <c r="HX10" s="162" t="n">
        <v>200</v>
      </c>
      <c r="HY10" s="162" t="n">
        <v>200</v>
      </c>
      <c r="HZ10" s="162" t="n"/>
      <c r="IA10" s="162" t="n"/>
      <c r="IB10" s="162" t="n"/>
      <c r="IC10" s="525">
        <f>IA10+IF(NOT(ISBLANK(OFFSET(IC10,0,6))),N(OFFSET(IC10,0,6)),N(OFFSET(IC10,0,7)))-IB10</f>
        <v/>
      </c>
      <c r="IE10" s="65" t="inlineStr">
        <is>
          <t>SACOLA M</t>
        </is>
      </c>
      <c r="IF10" s="208" t="n">
        <v>200</v>
      </c>
      <c r="IG10" s="162">
        <f>EW10</f>
        <v/>
      </c>
      <c r="IH10" s="162">
        <f>2000-1000</f>
        <v/>
      </c>
      <c r="II10" s="162" t="n">
        <v>1000</v>
      </c>
      <c r="IJ10" s="162" t="n">
        <v>1000</v>
      </c>
      <c r="IK10" s="162" t="n">
        <v>800</v>
      </c>
      <c r="IL10" s="162" t="n">
        <v>800</v>
      </c>
      <c r="IM10" s="162" t="n">
        <v>0</v>
      </c>
      <c r="IN10" s="162" t="n">
        <v>0</v>
      </c>
      <c r="IO10" s="162" t="n"/>
      <c r="IP10" s="162" t="n"/>
      <c r="IQ10" s="162" t="n"/>
      <c r="IR10" s="520" t="n">
        <v>0</v>
      </c>
      <c r="IT10" s="65" t="inlineStr">
        <is>
          <t>SACOLA M</t>
        </is>
      </c>
      <c r="IU10" s="208" t="n">
        <v>200</v>
      </c>
      <c r="IV10" s="162" t="n">
        <v>0</v>
      </c>
      <c r="IW10" s="162">
        <f>DT10</f>
        <v/>
      </c>
      <c r="IX10" s="162" t="n"/>
      <c r="IY10" s="162" t="n"/>
      <c r="IZ10" s="162" t="n"/>
      <c r="JA10" s="162" t="n"/>
      <c r="JB10" s="445" t="n"/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500</v>
      </c>
      <c r="E11" s="5" t="n"/>
      <c r="F11" s="237" t="n">
        <v>1300</v>
      </c>
      <c r="G11" s="237" t="n">
        <v>1100</v>
      </c>
      <c r="H11" s="237">
        <f>1000+GK11</f>
        <v/>
      </c>
      <c r="I11" s="237" t="n">
        <v>1300</v>
      </c>
      <c r="J11" s="237" t="n">
        <v>1100</v>
      </c>
      <c r="K11" s="237" t="n">
        <v>1100</v>
      </c>
      <c r="L11" s="237" t="n">
        <v>1000</v>
      </c>
      <c r="M11" s="237" t="n">
        <v>800</v>
      </c>
      <c r="N11" s="237">
        <f>800+GC11</f>
        <v/>
      </c>
      <c r="O11" s="237" t="n">
        <v>1000</v>
      </c>
      <c r="P11" s="237" t="n">
        <v>1000</v>
      </c>
      <c r="Q11" s="237" t="n">
        <v>800</v>
      </c>
      <c r="R11" s="237" t="n">
        <v>700</v>
      </c>
      <c r="S11" s="237" t="n">
        <v>600</v>
      </c>
      <c r="T11" s="237" t="n">
        <v>400</v>
      </c>
      <c r="U11" s="237" t="n">
        <v>400</v>
      </c>
      <c r="V11" s="237" t="n">
        <v>300</v>
      </c>
      <c r="W11" s="237">
        <f>200+FT11</f>
        <v/>
      </c>
      <c r="X11" s="237" t="n">
        <v>400</v>
      </c>
      <c r="Y11" s="237" t="n">
        <v>400</v>
      </c>
      <c r="Z11" s="237" t="n">
        <v>0</v>
      </c>
      <c r="AA11" s="237" t="n">
        <v>500</v>
      </c>
      <c r="AB11" s="237" t="n">
        <v>400</v>
      </c>
      <c r="AC11" s="237" t="n">
        <v>200</v>
      </c>
      <c r="AD11" s="237" t="n">
        <v>0</v>
      </c>
      <c r="AE11" s="237">
        <f>0+EZ11</f>
        <v/>
      </c>
      <c r="AF11" s="237" t="n">
        <v>400</v>
      </c>
      <c r="AG11" s="237">
        <f>400+EV11</f>
        <v/>
      </c>
      <c r="AH11" s="237" t="n">
        <v>300</v>
      </c>
      <c r="AI11" s="237" t="n">
        <v>500</v>
      </c>
      <c r="AJ11" s="237" t="n">
        <v>400</v>
      </c>
      <c r="AK11" s="237" t="n">
        <v>300</v>
      </c>
      <c r="AL11" s="237">
        <f>300+EL11</f>
        <v/>
      </c>
      <c r="AM11" s="237" t="n">
        <v>300</v>
      </c>
      <c r="AN11" s="237" t="n">
        <v>300</v>
      </c>
      <c r="AO11" s="237">
        <f>300+EF11</f>
        <v/>
      </c>
      <c r="AP11" s="237" t="n">
        <v>300</v>
      </c>
      <c r="AQ11" s="237" t="n">
        <v>500</v>
      </c>
      <c r="AR11" s="237" t="n">
        <v>500</v>
      </c>
      <c r="AS11" s="237" t="n">
        <v>100</v>
      </c>
      <c r="AT11" s="237">
        <f>0+DV11</f>
        <v/>
      </c>
      <c r="AU11" s="237" t="n">
        <v>400</v>
      </c>
      <c r="AV11" s="237">
        <f>300+DR11</f>
        <v/>
      </c>
      <c r="AW11" s="237" t="n">
        <v>400</v>
      </c>
      <c r="AX11" s="237">
        <f>300+DO11</f>
        <v/>
      </c>
      <c r="AY11" s="237">
        <f>400+DM11</f>
        <v/>
      </c>
      <c r="AZ11" s="237" t="n">
        <v>600</v>
      </c>
      <c r="BA11" s="237">
        <f>600+DJ11</f>
        <v/>
      </c>
      <c r="BB11" s="237" t="n">
        <v>700</v>
      </c>
      <c r="BC11" s="237">
        <f>300+DG11</f>
        <v/>
      </c>
      <c r="BD11" s="237" t="n">
        <v>1200</v>
      </c>
      <c r="BE11" s="237" t="n">
        <v>1200</v>
      </c>
      <c r="BF11" s="237" t="n">
        <v>1000</v>
      </c>
      <c r="BG11" s="237" t="n">
        <v>800</v>
      </c>
      <c r="BH11" s="237" t="n">
        <v>1000</v>
      </c>
      <c r="BI11" s="237" t="n">
        <v>1000</v>
      </c>
      <c r="BJ11" s="237" t="n">
        <v>900</v>
      </c>
      <c r="BK11" s="237" t="n">
        <v>900</v>
      </c>
      <c r="BL11" s="237" t="n">
        <v>1000</v>
      </c>
      <c r="BM11" s="237" t="n">
        <v>1000</v>
      </c>
      <c r="BN11" s="237">
        <f>0+CQ11</f>
        <v/>
      </c>
      <c r="BO11" s="237">
        <f>500+CO11</f>
        <v/>
      </c>
      <c r="BP11" s="237" t="n">
        <v>900</v>
      </c>
      <c r="BQ11" s="237">
        <f>600+CL11</f>
        <v/>
      </c>
      <c r="BR11" s="237" t="n">
        <v>1000</v>
      </c>
      <c r="BS11" s="237" t="n">
        <v>1400</v>
      </c>
      <c r="BT11" s="237" t="n">
        <v>1800</v>
      </c>
      <c r="BU11" s="237" t="n">
        <v>1200</v>
      </c>
      <c r="BV11" s="237" t="n">
        <v>1200</v>
      </c>
      <c r="BW11" s="237" t="n">
        <v>1200</v>
      </c>
      <c r="BX11" s="237" t="n">
        <v>1000</v>
      </c>
      <c r="BY11" s="237" t="n"/>
      <c r="BZ11" s="154" t="n"/>
      <c r="CA11" s="154" t="n"/>
      <c r="CB11" s="198">
        <f>BZ11+IF(NOT(ISBLANK(OFFSET(CB11,0,6))),N(OFFSET(CB11,0,6)),N(OFFSET(CB11,0,7)))-CA11</f>
        <v/>
      </c>
      <c r="CC11" s="5" t="n"/>
      <c r="CD11" s="22" t="inlineStr">
        <is>
          <t>500 P/ CDB</t>
        </is>
      </c>
      <c r="CE11" s="22" t="n"/>
      <c r="CF11" s="5" t="n"/>
      <c r="CG11" s="27" t="n"/>
      <c r="CH11" s="757" t="n">
        <v>0</v>
      </c>
      <c r="CI11" s="23" t="n">
        <v>0</v>
      </c>
      <c r="CJ11" s="23" t="n">
        <v>0</v>
      </c>
      <c r="CK11" s="23" t="n">
        <v>0</v>
      </c>
      <c r="CL11" s="23" t="n"/>
      <c r="CM11" s="419" t="n">
        <v>100</v>
      </c>
      <c r="CN11" s="23" t="n">
        <v>600</v>
      </c>
      <c r="CO11" s="23" t="n"/>
      <c r="CP11" s="23" t="n"/>
      <c r="CQ11" s="23" t="n">
        <v>1000</v>
      </c>
      <c r="CR11" s="23" t="n"/>
      <c r="CS11" s="23" t="n">
        <v>600</v>
      </c>
      <c r="CT11" s="23" t="n"/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3" t="n">
        <v>300</v>
      </c>
      <c r="DD11" s="23" t="n"/>
      <c r="DE11" s="23" t="n"/>
      <c r="DF11" s="23" t="n"/>
      <c r="DG11" s="23" t="n">
        <v>500</v>
      </c>
      <c r="DH11" s="23" t="n"/>
      <c r="DI11" s="23" t="n">
        <v>500</v>
      </c>
      <c r="DJ11" s="23" t="n"/>
      <c r="DK11" s="23" t="n"/>
      <c r="DL11" s="23" t="n">
        <v>500</v>
      </c>
      <c r="DM11" s="23" t="n"/>
      <c r="DN11" s="219" t="n"/>
      <c r="DO11" s="23" t="n">
        <v>500</v>
      </c>
      <c r="DP11" s="23" t="n"/>
      <c r="DQ11" s="23" t="n">
        <v>100</v>
      </c>
      <c r="DR11" s="23" t="n"/>
      <c r="DS11" s="23" t="n"/>
      <c r="DT11" s="23" t="n">
        <v>200</v>
      </c>
      <c r="DU11" s="23" t="n"/>
      <c r="DV11" s="219" t="n"/>
      <c r="DW11" s="23" t="n"/>
      <c r="DX11" s="23" t="n">
        <v>500</v>
      </c>
      <c r="DY11" s="23" t="n"/>
      <c r="DZ11" s="23" t="n"/>
      <c r="EA11" s="23" t="n"/>
      <c r="EB11" s="23" t="n"/>
      <c r="EC11" s="23" t="n"/>
      <c r="ED11" s="23" t="n">
        <v>200</v>
      </c>
      <c r="EE11" s="23" t="n"/>
      <c r="EF11" s="23" t="n"/>
      <c r="EG11" s="434" t="inlineStr">
        <is>
          <t>60 DE CD</t>
        </is>
      </c>
      <c r="EH11" s="23" t="n">
        <v>200</v>
      </c>
      <c r="EI11" s="23" t="n"/>
      <c r="EJ11" s="23" t="n"/>
      <c r="EK11" s="23" t="n">
        <v>200</v>
      </c>
      <c r="EL11" s="23" t="n"/>
      <c r="EM11" s="23" t="n"/>
      <c r="EN11" s="23" t="n">
        <v>200</v>
      </c>
      <c r="EO11" s="23" t="n"/>
      <c r="EP11" s="23" t="n"/>
      <c r="EQ11" s="23" t="n"/>
      <c r="ER11" s="23" t="n"/>
      <c r="ES11" s="23" t="n"/>
      <c r="ET11" s="23" t="n"/>
      <c r="EU11" s="23" t="n">
        <v>200</v>
      </c>
      <c r="EV11" s="23" t="n"/>
      <c r="EW11" s="23" t="n"/>
      <c r="EX11" s="23" t="n">
        <v>100</v>
      </c>
      <c r="EY11" s="23" t="n"/>
      <c r="EZ11" s="23" t="n"/>
      <c r="FA11" s="23" t="n"/>
      <c r="FB11" s="23" t="n">
        <v>500</v>
      </c>
      <c r="FC11" s="23" t="n"/>
      <c r="FD11" s="23" t="n"/>
      <c r="FE11" s="23" t="n"/>
      <c r="FF11" s="23" t="n"/>
      <c r="FG11" s="23" t="n"/>
      <c r="FH11" s="23" t="n">
        <v>500</v>
      </c>
      <c r="FI11" s="23" t="n"/>
      <c r="FJ11" s="23" t="n"/>
      <c r="FK11" s="23" t="n"/>
      <c r="FL11" s="219" t="n">
        <v>70</v>
      </c>
      <c r="FM11" s="23" t="n"/>
      <c r="FN11" s="23" t="n"/>
      <c r="FO11" s="23" t="n"/>
      <c r="FP11" s="23" t="n"/>
      <c r="FQ11" s="23" t="n">
        <v>200</v>
      </c>
      <c r="FR11" s="23" t="n"/>
      <c r="FS11" s="23" t="n"/>
      <c r="FT11" s="23" t="n"/>
      <c r="FU11" s="23" t="n"/>
      <c r="FV11" s="23" t="n">
        <v>300</v>
      </c>
      <c r="FW11" s="23" t="n"/>
      <c r="FX11" s="23" t="n"/>
      <c r="FY11" s="23" t="n"/>
      <c r="FZ11" s="219" t="n"/>
      <c r="GA11" s="23" t="n"/>
      <c r="GB11" s="219" t="n">
        <v>800</v>
      </c>
      <c r="GC11" s="23" t="n"/>
      <c r="GD11" s="23" t="n"/>
      <c r="GE11" s="23" t="n">
        <v>200</v>
      </c>
      <c r="GF11" s="23" t="n"/>
      <c r="GG11" s="23" t="n"/>
      <c r="GH11" s="23" t="n"/>
      <c r="GI11" s="23" t="n"/>
      <c r="GJ11" s="23" t="n"/>
      <c r="GK11" s="23" t="n"/>
      <c r="GL11" s="23" t="n"/>
      <c r="GM11" s="23" t="n">
        <v>400</v>
      </c>
      <c r="GN11" s="23" t="n"/>
      <c r="GO11" s="23" t="n"/>
      <c r="GP11" s="23" t="n"/>
      <c r="GQ11" s="23" t="n"/>
      <c r="GS11" s="66" t="inlineStr">
        <is>
          <t>SACOLA G</t>
        </is>
      </c>
      <c r="GT11" s="208" t="n">
        <v>100</v>
      </c>
      <c r="GU11" s="699">
        <f>FZ11</f>
        <v/>
      </c>
      <c r="GV11" s="699" t="n">
        <v>0</v>
      </c>
      <c r="GW11" s="699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162" t="n">
        <v>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162" t="n">
        <v>0</v>
      </c>
      <c r="HJ11" s="162" t="n">
        <v>0</v>
      </c>
      <c r="HK11" s="162" t="n"/>
      <c r="HL11" s="162" t="n">
        <v>0</v>
      </c>
      <c r="HM11" s="162" t="n"/>
      <c r="HN11" s="162" t="n"/>
      <c r="HO11" s="302" t="n">
        <v>0</v>
      </c>
      <c r="HQ11" s="66" t="inlineStr">
        <is>
          <t>SACOLA G</t>
        </is>
      </c>
      <c r="HR11" s="208" t="n">
        <v>100</v>
      </c>
      <c r="HS11" s="162">
        <f>FJ11</f>
        <v/>
      </c>
      <c r="HT11" s="162" t="n">
        <v>70</v>
      </c>
      <c r="HU11" s="162" t="n">
        <v>50</v>
      </c>
      <c r="HV11" s="162" t="n">
        <v>0</v>
      </c>
      <c r="HW11" s="162" t="n">
        <v>0</v>
      </c>
      <c r="HX11" s="162" t="n">
        <v>0</v>
      </c>
      <c r="HY11" s="162" t="n">
        <v>0</v>
      </c>
      <c r="HZ11" s="162" t="n"/>
      <c r="IA11" s="162" t="n"/>
      <c r="IB11" s="162" t="n"/>
      <c r="IC11" s="525">
        <f>IA11+IF(NOT(ISBLANK(OFFSET(IC11,0,6))),N(OFFSET(IC11,0,6)),N(OFFSET(IC11,0,7)))-IB11</f>
        <v/>
      </c>
      <c r="IE11" s="35" t="n"/>
      <c r="IT11" s="65" t="inlineStr">
        <is>
          <t>SACOLA G</t>
        </is>
      </c>
      <c r="IU11" s="208" t="n">
        <v>100</v>
      </c>
      <c r="IV11" s="162" t="n">
        <v>0</v>
      </c>
      <c r="IW11" s="162" t="n">
        <v>0</v>
      </c>
      <c r="IX11" s="162" t="n"/>
      <c r="IY11" s="162" t="n"/>
      <c r="IZ11" s="162" t="n"/>
      <c r="JA11" s="162" t="n"/>
      <c r="JB11" s="446" t="n"/>
      <c r="JD11" s="449" t="inlineStr">
        <is>
          <t>50 DE CD</t>
        </is>
      </c>
    </row>
    <row r="12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382" t="n">
        <v>700</v>
      </c>
      <c r="E12" s="5" t="n"/>
      <c r="F12" s="237" t="n">
        <v>800</v>
      </c>
      <c r="G12" s="237" t="n">
        <v>800</v>
      </c>
      <c r="H12" s="237" t="n">
        <v>800</v>
      </c>
      <c r="I12" s="237" t="n">
        <v>600</v>
      </c>
      <c r="J12" s="237">
        <f>400+GI12+600</f>
        <v/>
      </c>
      <c r="K12" s="237" t="n">
        <v>1400</v>
      </c>
      <c r="L12" s="237" t="n">
        <v>1400</v>
      </c>
      <c r="M12" s="237" t="n">
        <v>1000</v>
      </c>
      <c r="N12" s="237">
        <f>1000+GC12</f>
        <v/>
      </c>
      <c r="O12" s="237" t="n">
        <v>1400</v>
      </c>
      <c r="P12" s="237" t="n">
        <v>1400</v>
      </c>
      <c r="Q12" s="237" t="n">
        <v>1200</v>
      </c>
      <c r="R12" s="237" t="n">
        <v>800</v>
      </c>
      <c r="S12" s="237">
        <f>600+FW12</f>
        <v/>
      </c>
      <c r="T12" s="237" t="n">
        <v>1000</v>
      </c>
      <c r="U12" s="237" t="n">
        <v>800</v>
      </c>
      <c r="V12" s="237" t="n">
        <v>600</v>
      </c>
      <c r="W12" s="237" t="n">
        <v>600</v>
      </c>
      <c r="X12" s="237" t="n">
        <v>400</v>
      </c>
      <c r="Y12" s="237" t="n">
        <v>400</v>
      </c>
      <c r="Z12" s="237">
        <f>200+1000</f>
        <v/>
      </c>
      <c r="AA12" s="237" t="n">
        <v>1600</v>
      </c>
      <c r="AB12" s="237" t="n">
        <v>1400</v>
      </c>
      <c r="AC12" s="237" t="n">
        <v>1200</v>
      </c>
      <c r="AD12" s="237" t="n">
        <v>1200</v>
      </c>
      <c r="AE12" s="237" t="n">
        <v>800</v>
      </c>
      <c r="AF12" s="237" t="n">
        <v>1200</v>
      </c>
      <c r="AG12" s="237" t="n">
        <v>1000</v>
      </c>
      <c r="AH12" s="237" t="n">
        <v>600</v>
      </c>
      <c r="AI12" s="237" t="n">
        <v>600</v>
      </c>
      <c r="AJ12" s="237" t="n">
        <v>400</v>
      </c>
      <c r="AK12" s="237" t="n">
        <v>200</v>
      </c>
      <c r="AL12" s="237">
        <f>0+EL12</f>
        <v/>
      </c>
      <c r="AM12" s="237" t="n">
        <v>200</v>
      </c>
      <c r="AN12" s="237" t="n">
        <v>600</v>
      </c>
      <c r="AO12" s="237">
        <f>200+EF12</f>
        <v/>
      </c>
      <c r="AP12" s="237" t="n">
        <v>800</v>
      </c>
      <c r="AQ12" s="237" t="n">
        <v>1400</v>
      </c>
      <c r="AR12" s="237" t="n">
        <v>1200</v>
      </c>
      <c r="AS12" s="237" t="n">
        <v>800</v>
      </c>
      <c r="AT12" s="237" t="n">
        <v>400</v>
      </c>
      <c r="AU12" s="237" t="n">
        <v>0</v>
      </c>
      <c r="AV12" s="237">
        <f>0+DS12</f>
        <v/>
      </c>
      <c r="AW12" s="237" t="n">
        <v>400</v>
      </c>
      <c r="AX12" s="237" t="n">
        <v>0</v>
      </c>
      <c r="AY12" s="237" t="n">
        <v>0</v>
      </c>
      <c r="AZ12" s="237">
        <f>0+DK12</f>
        <v/>
      </c>
      <c r="BA12" s="237" t="n">
        <v>600</v>
      </c>
      <c r="BB12" s="237" t="n">
        <v>200</v>
      </c>
      <c r="BC12" s="237">
        <f>200+DH12</f>
        <v/>
      </c>
      <c r="BD12" s="237">
        <f>200+DF12</f>
        <v/>
      </c>
      <c r="BE12" s="237" t="n">
        <v>800</v>
      </c>
      <c r="BF12" s="237" t="n">
        <v>600</v>
      </c>
      <c r="BG12" s="237">
        <f>600+DB12</f>
        <v/>
      </c>
      <c r="BH12" s="237" t="n">
        <v>400</v>
      </c>
      <c r="BI12" s="237">
        <f>400+CY12</f>
        <v/>
      </c>
      <c r="BJ12" s="459">
        <f>1000+CV12</f>
        <v/>
      </c>
      <c r="BK12" s="237" t="n">
        <v>1200</v>
      </c>
      <c r="BL12" s="237" t="n">
        <v>600</v>
      </c>
      <c r="BM12" s="237">
        <f>200+CR12</f>
        <v/>
      </c>
      <c r="BN12" s="237">
        <f>1000+CQ12</f>
        <v/>
      </c>
      <c r="BO12" s="237" t="n">
        <v>1400</v>
      </c>
      <c r="BP12" s="237" t="n">
        <v>600</v>
      </c>
      <c r="BQ12" s="237">
        <f>400+CL12</f>
        <v/>
      </c>
      <c r="BR12" s="237" t="n">
        <v>1200</v>
      </c>
      <c r="BS12" s="237" t="n">
        <v>1000</v>
      </c>
      <c r="BT12" s="237" t="n">
        <v>800</v>
      </c>
      <c r="BU12" s="237" t="n">
        <v>800</v>
      </c>
      <c r="BV12" s="237" t="n">
        <v>200</v>
      </c>
      <c r="BW12" s="237">
        <f>0+CH12</f>
        <v/>
      </c>
      <c r="BX12" s="237" t="n">
        <v>600</v>
      </c>
      <c r="BY12" s="237" t="n"/>
      <c r="BZ12" s="154" t="n"/>
      <c r="CA12" s="154" t="n"/>
      <c r="CB12" s="198">
        <f>BZ12+IF(NOT(ISBLANK(OFFSET(CB12,0,6))),N(OFFSET(CB12,0,6)),N(OFFSET(CB12,0,7)))-CA12</f>
        <v/>
      </c>
      <c r="CC12" s="5" t="n"/>
      <c r="CD12" s="22" t="n"/>
      <c r="CE12" s="22" t="n"/>
      <c r="CF12" s="5" t="n"/>
      <c r="CG12" s="27" t="n"/>
      <c r="CH12" s="757" t="n">
        <v>0</v>
      </c>
      <c r="CI12" s="23" t="n">
        <v>0</v>
      </c>
      <c r="CJ12" s="23" t="n">
        <v>800</v>
      </c>
      <c r="CK12" s="23" t="n">
        <v>0</v>
      </c>
      <c r="CL12" s="23" t="n"/>
      <c r="CM12" s="23" t="n"/>
      <c r="CN12" s="23" t="n">
        <v>800</v>
      </c>
      <c r="CO12" s="23" t="n"/>
      <c r="CP12" s="23" t="n"/>
      <c r="CQ12" s="23" t="n"/>
      <c r="CR12" s="23" t="n"/>
      <c r="CS12" s="23" t="n">
        <v>400</v>
      </c>
      <c r="CT12" s="23" t="n">
        <v>600</v>
      </c>
      <c r="CU12" s="23" t="n"/>
      <c r="CV12" s="23" t="n"/>
      <c r="CW12" s="23" t="n"/>
      <c r="CX12" s="23" t="n">
        <v>400</v>
      </c>
      <c r="CY12" s="23" t="n"/>
      <c r="CZ12" s="23" t="n"/>
      <c r="DA12" s="23" t="n">
        <v>600</v>
      </c>
      <c r="DB12" s="23" t="n">
        <v>400</v>
      </c>
      <c r="DC12" s="23" t="n"/>
      <c r="DD12" s="23" t="n">
        <v>200</v>
      </c>
      <c r="DE12" s="23" t="n">
        <v>400</v>
      </c>
      <c r="DF12" s="23" t="n"/>
      <c r="DG12" s="23" t="n"/>
      <c r="DH12" s="23" t="n">
        <v>600</v>
      </c>
      <c r="DI12" s="23" t="n"/>
      <c r="DJ12" s="23" t="n">
        <v>400</v>
      </c>
      <c r="DK12" s="23" t="n"/>
      <c r="DL12" s="23" t="n"/>
      <c r="DM12" s="23" t="n">
        <v>800</v>
      </c>
      <c r="DN12" s="219" t="n"/>
      <c r="DO12" s="23" t="n"/>
      <c r="DP12" s="23" t="n">
        <v>400</v>
      </c>
      <c r="DQ12" s="23" t="n"/>
      <c r="DR12" s="23" t="n"/>
      <c r="DS12" s="23" t="n"/>
      <c r="DT12" s="23" t="n"/>
      <c r="DU12" s="23" t="n">
        <v>600</v>
      </c>
      <c r="DV12" s="219" t="n"/>
      <c r="DW12" s="23" t="n"/>
      <c r="DX12" s="23" t="n"/>
      <c r="DY12" s="23" t="n"/>
      <c r="DZ12" s="23" t="n"/>
      <c r="EA12" s="23" t="n"/>
      <c r="EB12" s="23" t="n"/>
      <c r="EC12" s="23" t="n"/>
      <c r="ED12" s="23" t="n">
        <v>700</v>
      </c>
      <c r="EE12" s="23" t="n"/>
      <c r="EF12" s="23" t="n">
        <v>800</v>
      </c>
      <c r="EG12" s="434" t="inlineStr">
        <is>
          <t>60 DE CD</t>
        </is>
      </c>
      <c r="EH12" s="23" t="n">
        <v>200</v>
      </c>
      <c r="EI12" s="23" t="n"/>
      <c r="EJ12" s="23" t="n"/>
      <c r="EK12" s="23" t="n">
        <v>600</v>
      </c>
      <c r="EL12" s="23" t="n"/>
      <c r="EM12" s="23" t="n"/>
      <c r="EN12" s="23" t="n">
        <v>600</v>
      </c>
      <c r="EO12" s="23" t="n"/>
      <c r="EP12" s="23" t="n"/>
      <c r="EQ12" s="23" t="n"/>
      <c r="ER12" s="23" t="n"/>
      <c r="ES12" s="23" t="n"/>
      <c r="ET12" s="23" t="n"/>
      <c r="EU12" s="23" t="n">
        <v>200</v>
      </c>
      <c r="EV12" s="23" t="n"/>
      <c r="EW12" s="23" t="n"/>
      <c r="EX12" s="23" t="n"/>
      <c r="EY12" s="23" t="n"/>
      <c r="EZ12" s="23" t="n"/>
      <c r="FA12" s="23" t="n">
        <v>400</v>
      </c>
      <c r="FB12" s="23" t="n"/>
      <c r="FC12" s="23" t="n"/>
      <c r="FD12" s="23" t="n"/>
      <c r="FE12" s="23" t="n"/>
      <c r="FF12" s="23" t="n"/>
      <c r="FG12" s="23" t="n"/>
      <c r="FH12" s="23" t="n">
        <v>600</v>
      </c>
      <c r="FI12" s="23" t="n"/>
      <c r="FJ12" s="23" t="n"/>
      <c r="FK12" s="282" t="inlineStr">
        <is>
          <t>1000 DE CDJ</t>
        </is>
      </c>
      <c r="FL12" s="219" t="n"/>
      <c r="FM12" s="23" t="n"/>
      <c r="FN12" s="23" t="n"/>
      <c r="FO12" s="23" t="n"/>
      <c r="FP12" s="23" t="n"/>
      <c r="FQ12" s="23" t="n">
        <v>200</v>
      </c>
      <c r="FR12" s="23" t="n"/>
      <c r="FS12" s="23" t="n"/>
      <c r="FT12" s="23" t="n"/>
      <c r="FU12" s="23" t="n"/>
      <c r="FV12" s="23" t="n"/>
      <c r="FW12" s="23" t="n"/>
      <c r="FX12" s="23" t="n"/>
      <c r="FY12" s="23" t="n">
        <v>600</v>
      </c>
      <c r="FZ12" s="219" t="n"/>
      <c r="GA12" s="23" t="n"/>
      <c r="GB12" s="219" t="n"/>
      <c r="GC12" s="23" t="n"/>
      <c r="GD12" s="23" t="n"/>
      <c r="GE12" s="23" t="n">
        <v>600</v>
      </c>
      <c r="GF12" s="23" t="n"/>
      <c r="GG12" s="23" t="n"/>
      <c r="GH12" s="23" t="n">
        <v>200</v>
      </c>
      <c r="GI12" s="282" t="inlineStr">
        <is>
          <t>600 DE CD</t>
        </is>
      </c>
      <c r="GJ12" s="23" t="n"/>
      <c r="GK12" s="23" t="n">
        <v>400</v>
      </c>
      <c r="GL12" s="23" t="n"/>
      <c r="GM12" s="23" t="n"/>
      <c r="GN12" s="23" t="n"/>
      <c r="GO12" s="23" t="n"/>
      <c r="GP12" s="23" t="n"/>
      <c r="GQ12" s="23" t="n"/>
      <c r="GS12" s="35" t="n"/>
      <c r="HQ12" s="35" t="n"/>
      <c r="IE12" s="35" t="n"/>
      <c r="IT12" s="35" t="n"/>
    </row>
    <row r="13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382" t="n">
        <v>400</v>
      </c>
      <c r="E13" s="5" t="n"/>
      <c r="F13" s="697" t="n">
        <v>700</v>
      </c>
      <c r="G13" s="697" t="n">
        <v>700</v>
      </c>
      <c r="H13" s="697" t="n">
        <v>700</v>
      </c>
      <c r="I13" s="697" t="n">
        <v>700</v>
      </c>
      <c r="J13" s="697">
        <f>700+600</f>
        <v/>
      </c>
      <c r="K13" s="697" t="n">
        <v>1300</v>
      </c>
      <c r="L13" s="697" t="n">
        <v>1300</v>
      </c>
      <c r="M13" s="697" t="n">
        <v>1100</v>
      </c>
      <c r="N13" s="697" t="n">
        <v>1100</v>
      </c>
      <c r="O13" s="697" t="n">
        <v>1100</v>
      </c>
      <c r="P13" s="697" t="n">
        <v>1000</v>
      </c>
      <c r="Q13" s="697" t="n">
        <v>900</v>
      </c>
      <c r="R13" s="697" t="n">
        <v>700</v>
      </c>
      <c r="S13" s="697" t="n">
        <v>600</v>
      </c>
      <c r="T13" s="697" t="n">
        <v>400</v>
      </c>
      <c r="U13" s="697" t="n">
        <v>300</v>
      </c>
      <c r="V13" s="697" t="n">
        <v>200</v>
      </c>
      <c r="W13" s="697">
        <f>100+FT13</f>
        <v/>
      </c>
      <c r="X13" s="697" t="n">
        <v>300</v>
      </c>
      <c r="Y13" s="697" t="n">
        <v>400</v>
      </c>
      <c r="Z13" s="697" t="n">
        <v>400</v>
      </c>
      <c r="AA13" s="697" t="n">
        <v>200</v>
      </c>
      <c r="AB13" s="697" t="n">
        <v>100</v>
      </c>
      <c r="AC13" s="697">
        <f>0+FB13</f>
        <v/>
      </c>
      <c r="AD13" s="697" t="n">
        <v>200</v>
      </c>
      <c r="AE13" s="697">
        <f>100+EZ13</f>
        <v/>
      </c>
      <c r="AF13" s="697" t="n">
        <v>300</v>
      </c>
      <c r="AG13" s="697">
        <f>200+EV13</f>
        <v/>
      </c>
      <c r="AH13" s="697">
        <f>300+EU13</f>
        <v/>
      </c>
      <c r="AI13" s="697" t="n">
        <v>200</v>
      </c>
      <c r="AJ13" s="697" t="n">
        <v>300</v>
      </c>
      <c r="AK13" s="697" t="n">
        <v>300</v>
      </c>
      <c r="AL13" s="697" t="n">
        <v>0</v>
      </c>
      <c r="AM13" s="697">
        <f>0+EJ13</f>
        <v/>
      </c>
      <c r="AN13" s="697" t="n">
        <v>300</v>
      </c>
      <c r="AO13" s="697">
        <f>200+EF13</f>
        <v/>
      </c>
      <c r="AP13" s="697" t="n">
        <v>100</v>
      </c>
      <c r="AQ13" s="697" t="n">
        <v>300</v>
      </c>
      <c r="AR13" s="697">
        <f>200+EA13</f>
        <v/>
      </c>
      <c r="AS13" s="697">
        <f>100+DY13</f>
        <v/>
      </c>
      <c r="AT13" s="697">
        <f>200+DV13</f>
        <v/>
      </c>
      <c r="AU13" s="697">
        <f>200+DU13</f>
        <v/>
      </c>
      <c r="AV13" s="697">
        <f>100+DR13</f>
        <v/>
      </c>
      <c r="AW13" s="697" t="n">
        <v>0</v>
      </c>
      <c r="AX13" s="697">
        <f>100+DO13</f>
        <v/>
      </c>
      <c r="AY13" s="697">
        <f>100+DM13</f>
        <v/>
      </c>
      <c r="AZ13" s="697">
        <f>200+DK13</f>
        <v/>
      </c>
      <c r="BA13" s="697" t="n">
        <v>300</v>
      </c>
      <c r="BB13" s="697">
        <f>100+DI13</f>
        <v/>
      </c>
      <c r="BC13" s="697">
        <f>300+DG13</f>
        <v/>
      </c>
      <c r="BD13" s="697" t="n">
        <v>600</v>
      </c>
      <c r="BE13" s="697" t="n">
        <v>600</v>
      </c>
      <c r="BF13" s="697">
        <f>400+DD13</f>
        <v/>
      </c>
      <c r="BG13" s="697">
        <f>600+DB13</f>
        <v/>
      </c>
      <c r="BH13" s="697" t="n">
        <v>700</v>
      </c>
      <c r="BI13" s="697">
        <f>500+CY13</f>
        <v/>
      </c>
      <c r="BJ13" s="697" t="n">
        <v>500</v>
      </c>
      <c r="BK13" s="697">
        <f>500+CU13</f>
        <v/>
      </c>
      <c r="BL13" s="697" t="n">
        <v>500</v>
      </c>
      <c r="BM13" s="697">
        <f>400+CR13</f>
        <v/>
      </c>
      <c r="BN13" s="697">
        <f>400+CQ13</f>
        <v/>
      </c>
      <c r="BO13" s="697">
        <f>800+CO13</f>
        <v/>
      </c>
      <c r="BP13" s="697" t="n">
        <v>900</v>
      </c>
      <c r="BQ13" s="697" t="n">
        <v>900</v>
      </c>
      <c r="BR13" s="697" t="n">
        <v>700</v>
      </c>
      <c r="BS13" s="697" t="n">
        <v>500</v>
      </c>
      <c r="BT13" s="697" t="n">
        <v>300</v>
      </c>
      <c r="BU13" s="697" t="n">
        <v>200</v>
      </c>
      <c r="BV13" s="697" t="n">
        <v>0</v>
      </c>
      <c r="BW13" s="697">
        <f>0+CH13</f>
        <v/>
      </c>
      <c r="BX13" s="697" t="n">
        <v>0</v>
      </c>
      <c r="BY13" s="697" t="n"/>
      <c r="BZ13" s="699" t="n"/>
      <c r="CA13" s="699" t="n"/>
      <c r="CB13" s="198">
        <f>BZ13+IF(NOT(ISBLANK(OFFSET(CB13,0,6))),N(OFFSET(CB13,0,6)),N(OFFSET(CB13,0,7)))-CA13</f>
        <v/>
      </c>
      <c r="CC13" s="5" t="n"/>
      <c r="CD13" s="22" t="n"/>
      <c r="CE13" s="22" t="n"/>
      <c r="CF13" s="5" t="n"/>
      <c r="CG13" s="27" t="n">
        <v>400</v>
      </c>
      <c r="CH13" s="757" t="n">
        <v>0</v>
      </c>
      <c r="CI13" s="23" t="n">
        <v>0</v>
      </c>
      <c r="CJ13" s="23" t="n">
        <v>400</v>
      </c>
      <c r="CK13" s="23" t="n">
        <v>0</v>
      </c>
      <c r="CL13" s="23" t="n"/>
      <c r="CM13" s="23" t="n"/>
      <c r="CN13" s="23" t="n"/>
      <c r="CO13" s="23" t="n"/>
      <c r="CP13" s="23" t="n"/>
      <c r="CQ13" s="23" t="n">
        <v>200</v>
      </c>
      <c r="CR13" s="23" t="n"/>
      <c r="CS13" s="23" t="n">
        <v>600</v>
      </c>
      <c r="CT13" s="23" t="n">
        <v>200</v>
      </c>
      <c r="CU13" s="23" t="n"/>
      <c r="CV13" s="23" t="n"/>
      <c r="CW13" s="23" t="n">
        <v>200</v>
      </c>
      <c r="CX13" s="23" t="n"/>
      <c r="CY13" s="23" t="n"/>
      <c r="CZ13" s="23" t="n"/>
      <c r="DA13" s="23" t="n">
        <v>200</v>
      </c>
      <c r="DB13" s="23" t="n"/>
      <c r="DC13" s="23" t="n">
        <v>200</v>
      </c>
      <c r="DD13" s="23" t="n">
        <v>100</v>
      </c>
      <c r="DE13" s="23" t="n"/>
      <c r="DF13" s="23" t="n">
        <v>400</v>
      </c>
      <c r="DG13" s="23" t="n"/>
      <c r="DH13" s="23" t="n"/>
      <c r="DI13" s="23" t="n">
        <v>500</v>
      </c>
      <c r="DJ13" s="23" t="n"/>
      <c r="DK13" s="23" t="n">
        <v>400</v>
      </c>
      <c r="DL13" s="23" t="n"/>
      <c r="DM13" s="23" t="n">
        <v>300</v>
      </c>
      <c r="DN13" s="219" t="n"/>
      <c r="DO13" s="23" t="n">
        <v>100</v>
      </c>
      <c r="DP13" s="23" t="n"/>
      <c r="DQ13" s="23" t="n">
        <v>200</v>
      </c>
      <c r="DR13" s="23" t="n">
        <v>200</v>
      </c>
      <c r="DS13" s="23" t="n"/>
      <c r="DT13" s="23" t="n">
        <v>200</v>
      </c>
      <c r="DU13" s="23" t="n"/>
      <c r="DV13" s="219" t="n"/>
      <c r="DW13" s="23" t="n">
        <v>100</v>
      </c>
      <c r="DX13" s="23" t="n">
        <v>200</v>
      </c>
      <c r="DY13" s="23" t="n"/>
      <c r="DZ13" s="23" t="n"/>
      <c r="EA13" s="23" t="n">
        <v>200</v>
      </c>
      <c r="EB13" s="23" t="n"/>
      <c r="EC13" s="23" t="n">
        <v>100</v>
      </c>
      <c r="ED13" s="23" t="n">
        <v>300</v>
      </c>
      <c r="EE13" s="23" t="n"/>
      <c r="EF13" s="23" t="n">
        <v>100</v>
      </c>
      <c r="EG13" s="434" t="inlineStr">
        <is>
          <t>75 DE CD</t>
        </is>
      </c>
      <c r="EH13" s="23" t="n">
        <v>100</v>
      </c>
      <c r="EI13" s="23" t="n"/>
      <c r="EJ13" s="23" t="n"/>
      <c r="EK13" s="23" t="n"/>
      <c r="EL13" s="23" t="n">
        <v>400</v>
      </c>
      <c r="EM13" s="23" t="n"/>
      <c r="EN13" s="23" t="n"/>
      <c r="EO13" s="23" t="n"/>
      <c r="EP13" s="23" t="n"/>
      <c r="EQ13" s="23" t="n">
        <v>300</v>
      </c>
      <c r="ER13" s="23" t="n"/>
      <c r="ES13" s="23" t="n"/>
      <c r="ET13" s="23" t="n"/>
      <c r="EU13" s="23" t="n"/>
      <c r="EV13" s="23" t="n"/>
      <c r="EW13" s="23" t="n">
        <v>100</v>
      </c>
      <c r="EX13" s="23" t="n">
        <v>100</v>
      </c>
      <c r="EY13" s="23" t="n"/>
      <c r="EZ13" s="23" t="n"/>
      <c r="FA13" s="23" t="n">
        <v>100</v>
      </c>
      <c r="FB13" s="23" t="n">
        <v>200</v>
      </c>
      <c r="FC13" s="23" t="n"/>
      <c r="FD13" s="23" t="n">
        <v>400</v>
      </c>
      <c r="FE13" s="23" t="n"/>
      <c r="FF13" s="23" t="n"/>
      <c r="FG13" s="23" t="n"/>
      <c r="FH13" s="23" t="n"/>
      <c r="FI13" s="23" t="n"/>
      <c r="FJ13" s="23" t="n"/>
      <c r="FK13" s="23" t="n"/>
      <c r="FL13" s="219" t="n"/>
      <c r="FM13" s="23" t="n"/>
      <c r="FN13" s="23" t="n"/>
      <c r="FO13" s="23" t="n"/>
      <c r="FP13" s="23" t="n"/>
      <c r="FQ13" s="23" t="n">
        <v>200</v>
      </c>
      <c r="FR13" s="23" t="n"/>
      <c r="FS13" s="23" t="n"/>
      <c r="FT13" s="23" t="n"/>
      <c r="FU13" s="23" t="n"/>
      <c r="FV13" s="23" t="n">
        <v>300</v>
      </c>
      <c r="FW13" s="23" t="n"/>
      <c r="FX13" s="23" t="n"/>
      <c r="FY13" s="23" t="n"/>
      <c r="FZ13" s="219" t="n"/>
      <c r="GA13" s="23" t="n"/>
      <c r="GB13" s="219" t="n"/>
      <c r="GC13" s="23" t="n"/>
      <c r="GD13" s="23" t="n"/>
      <c r="GE13" s="23" t="n"/>
      <c r="GF13" s="23" t="n"/>
      <c r="GG13" s="23" t="n"/>
      <c r="GH13" s="23" t="n"/>
      <c r="GI13" s="282" t="inlineStr">
        <is>
          <t>600 DE CD</t>
        </is>
      </c>
      <c r="GJ13" s="23" t="n"/>
      <c r="GK13" s="23" t="n"/>
      <c r="GL13" s="23" t="n"/>
      <c r="GM13" s="23" t="n"/>
      <c r="GN13" s="23" t="n"/>
      <c r="GO13" s="23" t="n"/>
      <c r="GP13" s="23" t="n"/>
      <c r="GQ13" s="23" t="n"/>
      <c r="GS13" s="35" t="n"/>
      <c r="HQ13" s="35" t="n"/>
      <c r="IE13" s="35" t="n"/>
      <c r="IT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2" t="n"/>
      <c r="CA14" s="2" t="n"/>
      <c r="CB14" s="4" t="n"/>
      <c r="CC14" s="4" t="n"/>
      <c r="CD14" s="150" t="n"/>
      <c r="CE14" s="150" t="n"/>
      <c r="CF14" s="5" t="n"/>
      <c r="CG14" s="18" t="n"/>
      <c r="CH14" s="823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308" t="n"/>
      <c r="DO14" s="20" t="n"/>
      <c r="DP14" s="20" t="n"/>
      <c r="DQ14" s="20" t="n"/>
      <c r="DR14" s="20" t="n"/>
      <c r="DS14" s="20" t="n"/>
      <c r="DT14" s="20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L14" s="20" t="n"/>
      <c r="FM14" s="20" t="n"/>
      <c r="FN14" s="20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308" t="n"/>
      <c r="GA14" s="20" t="n"/>
      <c r="GB14" s="308" t="n"/>
      <c r="GC14" s="20" t="n"/>
      <c r="GD14" s="20" t="n"/>
      <c r="GE14" s="20" t="n"/>
      <c r="GF14" s="20" t="n"/>
      <c r="GG14" s="20" t="n"/>
      <c r="GH14" s="20" t="n"/>
      <c r="GI14" s="20" t="n"/>
      <c r="GJ14" s="20" t="n"/>
      <c r="GK14" s="20" t="n"/>
      <c r="GL14" s="20" t="n"/>
      <c r="GM14" s="20" t="n"/>
      <c r="GN14" s="20" t="n"/>
      <c r="GO14" s="20" t="n"/>
      <c r="GP14" s="20" t="n"/>
      <c r="GQ14" s="20" t="n"/>
      <c r="GS14" s="35" t="n"/>
      <c r="HQ14" s="35" t="n"/>
      <c r="IE14" s="35" t="n"/>
      <c r="IT14" s="35" t="n"/>
    </row>
    <row r="15" customFormat="1" s="3">
      <c r="A15" s="36" t="inlineStr">
        <is>
          <t>DIVERSOS DOADOS E. R. BOTICÁRIO</t>
        </is>
      </c>
      <c r="B15" s="13" t="n"/>
      <c r="C15" s="13" t="n"/>
      <c r="D15" s="13" t="n"/>
      <c r="E15" s="2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45915</v>
      </c>
      <c r="AQ15" s="746" t="n">
        <v>45922</v>
      </c>
      <c r="AR15" s="746" t="n">
        <v>45929</v>
      </c>
      <c r="AS15" s="746" t="n">
        <v>45936</v>
      </c>
      <c r="AT15" s="746" t="n">
        <v>45943</v>
      </c>
      <c r="AU15" s="746" t="n">
        <v>45950</v>
      </c>
      <c r="AV15" s="746" t="n">
        <v>45957</v>
      </c>
      <c r="AW15" s="746" t="n">
        <v>45964</v>
      </c>
      <c r="AX15" s="746" t="n">
        <v>45971</v>
      </c>
      <c r="AY15" s="746" t="n">
        <v>45978</v>
      </c>
      <c r="AZ15" s="746" t="n">
        <v>45985</v>
      </c>
      <c r="BA15" s="746" t="n">
        <v>45992</v>
      </c>
      <c r="BB15" s="746" t="n">
        <v>45999</v>
      </c>
      <c r="BC15" s="746" t="n">
        <v>46006</v>
      </c>
      <c r="BD15" s="746" t="n">
        <v>46013</v>
      </c>
      <c r="BE15" s="746" t="n">
        <v>46020</v>
      </c>
      <c r="BF15" s="746" t="n">
        <v>46027</v>
      </c>
      <c r="BG15" s="746" t="n">
        <v>46034</v>
      </c>
      <c r="BH15" s="746" t="n">
        <v>46041</v>
      </c>
      <c r="BI15" s="746" t="n">
        <v>46048</v>
      </c>
      <c r="BJ15" s="746" t="n">
        <v>46055</v>
      </c>
      <c r="BK15" s="746" t="n">
        <v>46062</v>
      </c>
      <c r="BL15" s="746" t="n">
        <v>46069</v>
      </c>
      <c r="BM15" s="746" t="n">
        <v>46076</v>
      </c>
      <c r="BN15" s="746" t="n">
        <v>46083</v>
      </c>
      <c r="BO15" s="746" t="n">
        <v>46090</v>
      </c>
      <c r="BP15" s="746" t="n">
        <v>46097</v>
      </c>
      <c r="BQ15" s="746" t="n">
        <v>46104</v>
      </c>
      <c r="BR15" s="746" t="n">
        <v>46111</v>
      </c>
      <c r="BS15" s="746" t="n">
        <v>46118</v>
      </c>
      <c r="BT15" s="746" t="n">
        <v>46125</v>
      </c>
      <c r="BU15" s="746" t="n">
        <v>46132</v>
      </c>
      <c r="BV15" s="746" t="n">
        <v>46139</v>
      </c>
      <c r="BW15" s="746" t="n">
        <v>46146</v>
      </c>
      <c r="BX15" s="746" t="n">
        <v>46154</v>
      </c>
      <c r="BY15" s="746" t="n">
        <v>46160</v>
      </c>
      <c r="BZ15" s="747" t="n">
        <v>46161.48025125</v>
      </c>
      <c r="CA15" s="747" t="n">
        <v>46161.4809090663</v>
      </c>
      <c r="CB15" s="748" t="inlineStr">
        <is>
          <t>USOU</t>
        </is>
      </c>
      <c r="CC15" s="5" t="n"/>
      <c r="CD15" s="44" t="inlineStr">
        <is>
          <t>Pendências</t>
        </is>
      </c>
      <c r="CE15" s="44" t="inlineStr">
        <is>
          <t>Pendências</t>
        </is>
      </c>
      <c r="CF15" s="5" t="n"/>
      <c r="CG15" s="12" t="inlineStr">
        <is>
          <t>Novo Pedido</t>
        </is>
      </c>
      <c r="CH15" s="824" t="n">
        <v>46161.48090514372</v>
      </c>
      <c r="CI15" s="794" t="n">
        <v>46149</v>
      </c>
      <c r="CJ15" s="794" t="n">
        <v>46142</v>
      </c>
      <c r="CK15" s="794" t="n">
        <v>46114</v>
      </c>
      <c r="CL15" s="794" t="n">
        <v>46107</v>
      </c>
      <c r="CM15" s="795" t="n">
        <v>46065</v>
      </c>
      <c r="CN15" s="794" t="n">
        <v>46099</v>
      </c>
      <c r="CO15" s="794" t="n">
        <v>46092</v>
      </c>
      <c r="CP15" s="796" t="n">
        <v>46045</v>
      </c>
      <c r="CQ15" s="794" t="n">
        <v>46084</v>
      </c>
      <c r="CR15" s="797" t="n">
        <v>46085</v>
      </c>
      <c r="CS15" s="794" t="n">
        <v>46077</v>
      </c>
      <c r="CT15" s="794" t="n">
        <v>46071</v>
      </c>
      <c r="CU15" s="794" t="n">
        <v>46056</v>
      </c>
      <c r="CV15" s="794" t="n">
        <v>46048</v>
      </c>
      <c r="CW15" s="794" t="n">
        <v>46056</v>
      </c>
      <c r="CX15" s="794" t="n">
        <v>46048</v>
      </c>
      <c r="CY15" s="794" t="n">
        <v>46043</v>
      </c>
      <c r="CZ15" s="794" t="n">
        <v>46035</v>
      </c>
      <c r="DA15" s="794" t="n">
        <v>46043</v>
      </c>
      <c r="DB15" s="794" t="n">
        <v>46035</v>
      </c>
      <c r="DC15" s="794" t="n">
        <v>46035</v>
      </c>
      <c r="DD15" s="794" t="n">
        <v>46029</v>
      </c>
      <c r="DE15" s="794" t="n">
        <v>46017</v>
      </c>
      <c r="DF15" s="794" t="n">
        <v>46007</v>
      </c>
      <c r="DG15" s="794" t="n">
        <v>46007</v>
      </c>
      <c r="DH15" s="794" t="n">
        <v>46001</v>
      </c>
      <c r="DI15" s="794" t="n">
        <v>46001</v>
      </c>
      <c r="DJ15" s="794" t="n">
        <v>45994</v>
      </c>
      <c r="DK15" s="794" t="n">
        <v>45994</v>
      </c>
      <c r="DL15" s="794" t="n">
        <v>45986</v>
      </c>
      <c r="DM15" s="794" t="n">
        <v>45980</v>
      </c>
      <c r="DN15" s="797" t="n">
        <v>45982</v>
      </c>
      <c r="DO15" s="794" t="n">
        <v>45973</v>
      </c>
      <c r="DP15" s="794" t="n">
        <v>45965</v>
      </c>
      <c r="DQ15" s="794" t="n">
        <v>45965</v>
      </c>
      <c r="DR15" s="794" t="n">
        <v>45960</v>
      </c>
      <c r="DS15" s="794" t="n">
        <v>45960</v>
      </c>
      <c r="DT15" s="794" t="n">
        <v>45951</v>
      </c>
      <c r="DU15" s="794" t="n">
        <v>45945</v>
      </c>
      <c r="DV15" s="737" t="n">
        <v>45903</v>
      </c>
      <c r="DW15" s="794" t="n">
        <v>45945</v>
      </c>
      <c r="DX15" s="794" t="n">
        <v>45937</v>
      </c>
      <c r="DY15" s="794" t="n">
        <v>45923</v>
      </c>
      <c r="DZ15" s="794" t="n">
        <v>45931</v>
      </c>
      <c r="EA15" s="794" t="n">
        <v>45931</v>
      </c>
      <c r="EB15" s="794" t="n">
        <v>45915</v>
      </c>
      <c r="EC15" s="794" t="n">
        <v>45923</v>
      </c>
      <c r="ED15" s="794" t="n">
        <v>45915</v>
      </c>
      <c r="EE15" s="797" t="n">
        <v>45918</v>
      </c>
      <c r="EF15" s="794" t="n">
        <v>45903</v>
      </c>
      <c r="EG15" s="738" t="n">
        <v>45903</v>
      </c>
      <c r="EH15" s="794" t="n">
        <v>45895</v>
      </c>
      <c r="EI15" s="797" t="n">
        <v>45896</v>
      </c>
      <c r="EJ15" s="794" t="n">
        <v>45888</v>
      </c>
      <c r="EK15" s="794" t="n">
        <v>45888</v>
      </c>
      <c r="EL15" s="794" t="n">
        <v>45881</v>
      </c>
      <c r="EM15" s="797" t="n">
        <v>45881</v>
      </c>
      <c r="EN15" s="794" t="n">
        <v>45874</v>
      </c>
      <c r="EO15" s="797" t="n">
        <v>45876</v>
      </c>
      <c r="EP15" s="794" t="n">
        <v>45867</v>
      </c>
      <c r="EQ15" s="794" t="n">
        <v>45860</v>
      </c>
      <c r="ER15" s="794" t="n">
        <v>45839</v>
      </c>
      <c r="ES15" s="797" t="n">
        <v>45861</v>
      </c>
      <c r="ET15" s="797" t="n">
        <v>45860</v>
      </c>
      <c r="EU15" s="794" t="n">
        <v>45853</v>
      </c>
      <c r="EV15" s="739" t="n">
        <v>45855</v>
      </c>
      <c r="EW15" s="794" t="n">
        <v>45848</v>
      </c>
      <c r="EX15" s="794" t="n">
        <v>45839</v>
      </c>
      <c r="EY15" s="739" t="n">
        <v>45791</v>
      </c>
      <c r="EZ15" s="797" t="n">
        <v>45835</v>
      </c>
      <c r="FA15" s="794" t="n">
        <v>45832</v>
      </c>
      <c r="FB15" s="794" t="n">
        <v>45825</v>
      </c>
      <c r="FC15" s="794" t="n">
        <v>45819</v>
      </c>
      <c r="FD15" s="794" t="n">
        <v>45813</v>
      </c>
      <c r="FE15" s="794" t="n">
        <v>45805</v>
      </c>
      <c r="FF15" s="797" t="n">
        <v>45811</v>
      </c>
      <c r="FG15" s="797" t="n">
        <v>45810</v>
      </c>
      <c r="FH15" s="794" t="n">
        <v>45798</v>
      </c>
      <c r="FI15" s="797" t="n">
        <v>45803</v>
      </c>
      <c r="FJ15" s="755" t="n">
        <v>45803</v>
      </c>
      <c r="FK15" s="797" t="n">
        <v>45800</v>
      </c>
      <c r="FL15" s="742" t="n">
        <v>45735</v>
      </c>
      <c r="FM15" s="797" t="n">
        <v>45796</v>
      </c>
      <c r="FN15" s="794" t="n">
        <v>45790</v>
      </c>
      <c r="FO15" s="794" t="n">
        <v>45784</v>
      </c>
      <c r="FP15" s="797" t="n">
        <v>45791</v>
      </c>
      <c r="FQ15" s="794" t="n">
        <v>45783</v>
      </c>
      <c r="FR15" s="794" t="n">
        <v>45770</v>
      </c>
      <c r="FS15" s="794" t="n">
        <v>45775</v>
      </c>
      <c r="FT15" s="794" t="n">
        <v>45770</v>
      </c>
      <c r="FU15" s="797" t="n">
        <v>45775</v>
      </c>
      <c r="FV15" s="794" t="n">
        <v>45756</v>
      </c>
      <c r="FW15" s="794" t="n">
        <v>45749</v>
      </c>
      <c r="FX15" s="797" t="n">
        <v>45751</v>
      </c>
      <c r="FY15" s="794" t="n">
        <v>45743</v>
      </c>
      <c r="FZ15" s="746" t="n">
        <v>45729</v>
      </c>
      <c r="GA15" s="794" t="n">
        <v>45722</v>
      </c>
      <c r="GB15" s="746" t="n">
        <v>45700</v>
      </c>
      <c r="GC15" s="797" t="n">
        <v>45722</v>
      </c>
      <c r="GD15" s="794" t="n">
        <v>45714</v>
      </c>
      <c r="GE15" s="794" t="n">
        <v>45706</v>
      </c>
      <c r="GF15" s="794" t="n">
        <v>45699</v>
      </c>
      <c r="GG15" s="794" t="n">
        <v>45693</v>
      </c>
      <c r="GH15" s="794" t="n">
        <v>45685</v>
      </c>
      <c r="GI15" s="797" t="n">
        <v>45687</v>
      </c>
      <c r="GJ15" s="794" t="n">
        <v>45664</v>
      </c>
      <c r="GK15" s="794" t="n">
        <v>45679</v>
      </c>
      <c r="GL15" s="797" t="n">
        <v>45684</v>
      </c>
      <c r="GM15" s="794" t="n">
        <v>45664</v>
      </c>
      <c r="GN15" s="794" t="n">
        <v>45660</v>
      </c>
      <c r="GO15" s="794" t="n">
        <v>45652</v>
      </c>
      <c r="GP15" s="794" t="n">
        <v>45643</v>
      </c>
      <c r="GQ15" s="794" t="n">
        <v>45638</v>
      </c>
      <c r="GS15" s="298" t="inlineStr">
        <is>
          <t>DIVERSOS</t>
        </is>
      </c>
      <c r="GT15" s="544" t="inlineStr">
        <is>
          <t>PCT</t>
        </is>
      </c>
      <c r="GU15" s="536" t="n">
        <v>45726</v>
      </c>
      <c r="GV15" s="536" t="n">
        <v>45733</v>
      </c>
      <c r="GW15" s="536" t="n">
        <v>45740</v>
      </c>
      <c r="GX15" s="536" t="n">
        <v>45747</v>
      </c>
      <c r="GY15" s="536" t="n">
        <v>45754</v>
      </c>
      <c r="GZ15" s="536" t="n">
        <v>45761</v>
      </c>
      <c r="HA15" s="536" t="n">
        <v>45768</v>
      </c>
      <c r="HB15" s="536" t="n">
        <v>45775</v>
      </c>
      <c r="HC15" s="536" t="n">
        <v>45782</v>
      </c>
      <c r="HD15" s="536" t="n">
        <v>45789</v>
      </c>
      <c r="HE15" s="536" t="n">
        <v>45796</v>
      </c>
      <c r="HF15" s="536" t="n">
        <v>45803</v>
      </c>
      <c r="HG15" s="536" t="n">
        <v>45810</v>
      </c>
      <c r="HH15" s="536" t="n">
        <v>45817</v>
      </c>
      <c r="HI15" s="536" t="n">
        <v>45824</v>
      </c>
      <c r="HJ15" s="536" t="n">
        <v>45831</v>
      </c>
      <c r="HK15" s="825" t="n">
        <v>46160</v>
      </c>
      <c r="HL15" s="536" t="n">
        <v>45838</v>
      </c>
      <c r="HM15" s="800" t="n">
        <v>46161.48025002315</v>
      </c>
      <c r="HN15" s="800" t="n">
        <v>46161.48090785815</v>
      </c>
      <c r="HO15" s="235" t="inlineStr">
        <is>
          <t>USOU</t>
        </is>
      </c>
      <c r="HQ15" s="35" t="n"/>
      <c r="IE15" s="35" t="n"/>
    </row>
    <row r="16" customFormat="1" s="3">
      <c r="A16" s="197" t="inlineStr">
        <is>
          <t>PAPEL DE SEDA (espaço Revend)</t>
        </is>
      </c>
      <c r="B16" s="162" t="n">
        <v>500</v>
      </c>
      <c r="C16" s="762" t="n">
        <v>99.26000000000001</v>
      </c>
      <c r="D16" s="382" t="n">
        <v>3</v>
      </c>
      <c r="E16" s="2" t="n"/>
      <c r="F16" s="74">
        <f>2+GM16</f>
        <v/>
      </c>
      <c r="G16" s="74">
        <f>2+GL16</f>
        <v/>
      </c>
      <c r="H16" s="74" t="n">
        <v>3</v>
      </c>
      <c r="I16" s="74" t="n">
        <v>2</v>
      </c>
      <c r="J16" s="74">
        <f>2+GI16</f>
        <v/>
      </c>
      <c r="K16" s="74" t="n">
        <v>3</v>
      </c>
      <c r="L16" s="74">
        <f>3+GE16</f>
        <v/>
      </c>
      <c r="M16" s="74" t="n">
        <v>4</v>
      </c>
      <c r="N16" s="74" t="n">
        <v>4</v>
      </c>
      <c r="O16" s="74" t="n">
        <v>3</v>
      </c>
      <c r="P16" s="74">
        <f>3+FY16</f>
        <v/>
      </c>
      <c r="Q16" s="74" t="n">
        <v>3</v>
      </c>
      <c r="R16" s="74" t="n">
        <v>2</v>
      </c>
      <c r="S16" s="74">
        <f>2+FW16</f>
        <v/>
      </c>
      <c r="T16" s="74" t="n">
        <v>2</v>
      </c>
      <c r="U16" s="74" t="n">
        <v>2</v>
      </c>
      <c r="V16" s="74" t="n">
        <v>0</v>
      </c>
      <c r="W16" s="74">
        <f>0+FT16</f>
        <v/>
      </c>
      <c r="X16" s="74" t="n">
        <v>3</v>
      </c>
      <c r="Y16" s="74" t="n">
        <v>2</v>
      </c>
      <c r="Z16" s="74">
        <f>0+2</f>
        <v/>
      </c>
      <c r="AA16" s="74" t="n">
        <v>1</v>
      </c>
      <c r="AB16" s="74">
        <f>0+FC16</f>
        <v/>
      </c>
      <c r="AC16" s="74" t="n">
        <v>2</v>
      </c>
      <c r="AD16" s="74">
        <f>1+FA16</f>
        <v/>
      </c>
      <c r="AE16" s="74">
        <f>3+EZ16</f>
        <v/>
      </c>
      <c r="AF16" s="74" t="n">
        <v>5</v>
      </c>
      <c r="AG16" s="74" t="n">
        <v>4</v>
      </c>
      <c r="AH16" s="74" t="n">
        <v>3</v>
      </c>
      <c r="AI16" s="74" t="n">
        <v>3</v>
      </c>
      <c r="AJ16" s="74" t="n">
        <v>2</v>
      </c>
      <c r="AK16" s="74">
        <f>1+EN16</f>
        <v/>
      </c>
      <c r="AL16" s="74" t="n">
        <v>0</v>
      </c>
      <c r="AM16" s="74">
        <f>0+EJ16</f>
        <v/>
      </c>
      <c r="AN16" s="74" t="n">
        <v>2</v>
      </c>
      <c r="AO16" s="74">
        <f>1+EF16</f>
        <v/>
      </c>
      <c r="AP16" s="74" t="n">
        <v>1</v>
      </c>
      <c r="AQ16" s="74" t="n">
        <v>3</v>
      </c>
      <c r="AR16" s="74" t="n">
        <v>2</v>
      </c>
      <c r="AS16" s="74">
        <f>0+DY16</f>
        <v/>
      </c>
      <c r="AT16" s="74">
        <f>0+DV16</f>
        <v/>
      </c>
      <c r="AU16" s="74">
        <f>0+DU16</f>
        <v/>
      </c>
      <c r="AV16" s="74" t="n">
        <v>0</v>
      </c>
      <c r="AW16" s="74" t="n">
        <v>0</v>
      </c>
      <c r="AX16" s="74" t="n">
        <v>4</v>
      </c>
      <c r="AY16" s="74" t="n">
        <v>1</v>
      </c>
      <c r="AZ16" s="74">
        <f>0+DK16</f>
        <v/>
      </c>
      <c r="BA16" s="74">
        <f>0+DJ16</f>
        <v/>
      </c>
      <c r="BB16" s="74" t="n">
        <v>4</v>
      </c>
      <c r="BC16" s="74">
        <f>0+DG16</f>
        <v/>
      </c>
      <c r="BD16" s="74" t="n">
        <v>0</v>
      </c>
      <c r="BE16" s="74" t="n">
        <v>0</v>
      </c>
      <c r="BF16" s="74" t="n">
        <v>0</v>
      </c>
      <c r="BG16" s="74" t="n">
        <v>9</v>
      </c>
      <c r="BH16" s="74" t="n">
        <v>11</v>
      </c>
      <c r="BI16" s="74" t="n">
        <v>10</v>
      </c>
      <c r="BJ16" s="74" t="n">
        <v>7</v>
      </c>
      <c r="BK16" s="74">
        <f>3+CU16</f>
        <v/>
      </c>
      <c r="BL16" s="74" t="n">
        <v>3</v>
      </c>
      <c r="BM16" s="74">
        <f>0+CR16</f>
        <v/>
      </c>
      <c r="BN16" s="74">
        <f>2+CQ16</f>
        <v/>
      </c>
      <c r="BO16" s="74" t="n">
        <v>2</v>
      </c>
      <c r="BP16" s="74" t="n">
        <v>1</v>
      </c>
      <c r="BQ16" s="74" t="n">
        <v>0</v>
      </c>
      <c r="BR16" s="74" t="n">
        <v>0</v>
      </c>
      <c r="BS16" s="74" t="n">
        <v>0</v>
      </c>
      <c r="BT16" s="74" t="n">
        <v>5</v>
      </c>
      <c r="BU16" s="74" t="n">
        <v>5</v>
      </c>
      <c r="BV16" s="74" t="n">
        <v>3</v>
      </c>
      <c r="BW16" s="74">
        <f>1+CH16</f>
        <v/>
      </c>
      <c r="BX16" s="74" t="n">
        <v>0</v>
      </c>
      <c r="BY16" s="74" t="n"/>
      <c r="BZ16" s="162" t="n"/>
      <c r="CA16" s="162" t="n"/>
      <c r="CB16" s="193">
        <f>BZ16+IF(NOT(ISBLANK(OFFSET(CB16,0,6))),N(OFFSET(CB16,0,6)),N(OFFSET(CB16,0,7)))-CA16</f>
        <v/>
      </c>
      <c r="CC16" s="5" t="n"/>
      <c r="CD16" s="194" t="n"/>
      <c r="CE16" s="194" t="n"/>
      <c r="CF16" s="5" t="n"/>
      <c r="CG16" s="195" t="n">
        <v>6</v>
      </c>
      <c r="CH16" s="757" t="n">
        <v>0</v>
      </c>
      <c r="CI16" s="23" t="n">
        <v>0</v>
      </c>
      <c r="CJ16" s="23" t="n">
        <v>5</v>
      </c>
      <c r="CK16" s="23" t="n">
        <v>10</v>
      </c>
      <c r="CL16" s="23" t="n"/>
      <c r="CM16" s="23" t="n"/>
      <c r="CN16" s="23" t="n"/>
      <c r="CO16" s="23" t="n"/>
      <c r="CP16" s="467" t="n">
        <v>200</v>
      </c>
      <c r="CQ16" s="23" t="n"/>
      <c r="CR16" s="23" t="n"/>
      <c r="CS16" s="23" t="n">
        <v>4</v>
      </c>
      <c r="CT16" s="23" t="n">
        <v>4</v>
      </c>
      <c r="CU16" s="23" t="n"/>
      <c r="CV16" s="23" t="n"/>
      <c r="CW16" s="23" t="n">
        <v>3</v>
      </c>
      <c r="CX16" s="23" t="n"/>
      <c r="CY16" s="23" t="n"/>
      <c r="CZ16" s="23" t="n"/>
      <c r="DA16" s="23" t="n"/>
      <c r="DB16" s="23" t="n"/>
      <c r="DC16" s="23" t="n">
        <v>5</v>
      </c>
      <c r="DD16" s="23" t="n"/>
      <c r="DE16" s="23" t="n">
        <v>10</v>
      </c>
      <c r="DF16" s="23" t="n"/>
      <c r="DG16" s="23" t="n">
        <v>4</v>
      </c>
      <c r="DH16" s="23" t="n"/>
      <c r="DI16" s="23" t="n">
        <v>2</v>
      </c>
      <c r="DJ16" s="23" t="n"/>
      <c r="DK16" s="23" t="n"/>
      <c r="DL16" s="23" t="n">
        <v>5</v>
      </c>
      <c r="DM16" s="23" t="n">
        <v>5</v>
      </c>
      <c r="DN16" s="219" t="n"/>
      <c r="DO16" s="23" t="n"/>
      <c r="DP16" s="23" t="n"/>
      <c r="DQ16" s="23" t="n"/>
      <c r="DR16" s="23" t="n">
        <v>4</v>
      </c>
      <c r="DS16" s="23" t="n"/>
      <c r="DT16" s="23" t="n"/>
      <c r="DU16" s="23" t="n"/>
      <c r="DV16" s="219" t="n"/>
      <c r="DW16" s="23" t="n">
        <v>2</v>
      </c>
      <c r="DX16" s="23" t="n">
        <v>1</v>
      </c>
      <c r="DY16" s="23" t="n"/>
      <c r="DZ16" s="23" t="n"/>
      <c r="EA16" s="23" t="n">
        <v>1</v>
      </c>
      <c r="EB16" s="23" t="n"/>
      <c r="EC16" s="23" t="n"/>
      <c r="ED16" s="23" t="n">
        <v>3</v>
      </c>
      <c r="EE16" s="23" t="n"/>
      <c r="EF16" s="23" t="n">
        <v>1</v>
      </c>
      <c r="EG16" s="23" t="n"/>
      <c r="EH16" s="23" t="n">
        <v>1</v>
      </c>
      <c r="EI16" s="23" t="n"/>
      <c r="EJ16" s="23" t="n"/>
      <c r="EK16" s="23" t="n">
        <v>1</v>
      </c>
      <c r="EL16" s="23" t="n">
        <v>2</v>
      </c>
      <c r="EM16" s="23" t="n"/>
      <c r="EN16" s="23" t="n"/>
      <c r="EO16" s="23" t="n"/>
      <c r="EP16" s="23" t="n">
        <v>1</v>
      </c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>
        <v>3</v>
      </c>
      <c r="FC16" s="23" t="n">
        <v>2</v>
      </c>
      <c r="FD16" s="23" t="n"/>
      <c r="FE16" s="23" t="n">
        <v>4</v>
      </c>
      <c r="FF16" s="23" t="n"/>
      <c r="FG16" s="23" t="n"/>
      <c r="FH16" s="23" t="n">
        <v>2</v>
      </c>
      <c r="FI16" s="23" t="n"/>
      <c r="FJ16" s="23" t="n"/>
      <c r="FK16" s="373" t="inlineStr">
        <is>
          <t>02 DE ERJ</t>
        </is>
      </c>
      <c r="FL16" s="219" t="n"/>
      <c r="FM16" s="23" t="n"/>
      <c r="FN16" s="23" t="n"/>
      <c r="FO16" s="23" t="n"/>
      <c r="FP16" s="23" t="n"/>
      <c r="FQ16" s="23" t="n"/>
      <c r="FR16" s="23" t="n"/>
      <c r="FS16" s="23" t="n"/>
      <c r="FT16" s="23" t="n">
        <v>1</v>
      </c>
      <c r="FU16" s="23" t="n"/>
      <c r="FV16" s="23" t="n">
        <v>2</v>
      </c>
      <c r="FW16" s="23" t="n"/>
      <c r="FX16" s="23" t="n"/>
      <c r="FY16" s="23" t="n">
        <v>1</v>
      </c>
      <c r="FZ16" s="219" t="n"/>
      <c r="GA16" s="23" t="n">
        <v>2</v>
      </c>
      <c r="GB16" s="219" t="n">
        <v>4</v>
      </c>
      <c r="GC16" s="23" t="n"/>
      <c r="GD16" s="23" t="n"/>
      <c r="GE16" s="23" t="n"/>
      <c r="GF16" s="23" t="n"/>
      <c r="GG16" s="23" t="n">
        <v>2</v>
      </c>
      <c r="GH16" s="23" t="n"/>
      <c r="GI16" s="23" t="n"/>
      <c r="GJ16" s="23" t="n"/>
      <c r="GK16" s="23" t="n">
        <v>2</v>
      </c>
      <c r="GL16" s="23" t="n"/>
      <c r="GM16" s="23" t="n"/>
      <c r="GN16" s="23" t="n">
        <v>1</v>
      </c>
      <c r="GO16" s="23" t="n">
        <v>1</v>
      </c>
      <c r="GP16" s="23" t="n">
        <v>2</v>
      </c>
      <c r="GQ16" s="23" t="n"/>
      <c r="GS16" s="65" t="inlineStr">
        <is>
          <t>PAPEL DE SEDA</t>
        </is>
      </c>
      <c r="GT16" s="208" t="n">
        <v>200</v>
      </c>
      <c r="GU16" s="699">
        <f>FZ16</f>
        <v/>
      </c>
      <c r="GV16" s="699" t="n">
        <v>1</v>
      </c>
      <c r="GW16" s="699" t="n">
        <v>1</v>
      </c>
      <c r="GX16" s="699" t="n">
        <v>1</v>
      </c>
      <c r="GY16" s="699" t="n">
        <v>0</v>
      </c>
      <c r="GZ16" s="699" t="n">
        <v>0</v>
      </c>
      <c r="HA16" s="699" t="n">
        <v>0</v>
      </c>
      <c r="HB16" s="699" t="n">
        <v>0</v>
      </c>
      <c r="HC16" s="699" t="n">
        <v>0</v>
      </c>
      <c r="HD16" s="699" t="n">
        <v>0</v>
      </c>
      <c r="HE16" s="699" t="n">
        <v>0</v>
      </c>
      <c r="HF16" s="699" t="n">
        <v>0</v>
      </c>
      <c r="HG16" s="699" t="n">
        <v>0</v>
      </c>
      <c r="HH16" s="699" t="n">
        <v>0</v>
      </c>
      <c r="HI16" s="699" t="n">
        <v>0</v>
      </c>
      <c r="HJ16" s="699" t="n">
        <v>0</v>
      </c>
      <c r="HK16" s="699" t="n"/>
      <c r="HL16" s="699" t="n">
        <v>0</v>
      </c>
      <c r="HM16" s="699" t="n"/>
      <c r="HN16" s="699" t="n"/>
      <c r="HO16" s="303" t="n">
        <v>0</v>
      </c>
      <c r="HQ16" s="35" t="n"/>
      <c r="IE16" s="35" t="n"/>
    </row>
    <row r="17" customFormat="1" s="3">
      <c r="A17" s="58" t="inlineStr">
        <is>
          <t>ETIQUETAS ( espaço Revendedor)</t>
        </is>
      </c>
      <c r="B17" s="699" t="n">
        <v>2000</v>
      </c>
      <c r="C17" s="762" t="n">
        <v>55.36</v>
      </c>
      <c r="D17" s="382" t="n">
        <v>2</v>
      </c>
      <c r="E17" s="2" t="n"/>
      <c r="F17" s="74">
        <f>1+GM17</f>
        <v/>
      </c>
      <c r="G17" s="74" t="n">
        <v>2</v>
      </c>
      <c r="H17" s="74" t="n">
        <v>2</v>
      </c>
      <c r="I17" s="74" t="n">
        <v>1</v>
      </c>
      <c r="J17" s="74">
        <f>1+GI17</f>
        <v/>
      </c>
      <c r="K17" s="74" t="n">
        <v>2</v>
      </c>
      <c r="L17" s="74">
        <f>2+GE17</f>
        <v/>
      </c>
      <c r="M17" s="74" t="n">
        <v>5</v>
      </c>
      <c r="N17" s="74" t="n">
        <v>5</v>
      </c>
      <c r="O17" s="74" t="n">
        <v>4</v>
      </c>
      <c r="P17" s="74">
        <f>4+FY17</f>
        <v/>
      </c>
      <c r="Q17" s="74" t="n">
        <v>4</v>
      </c>
      <c r="R17" s="74" t="n">
        <v>3</v>
      </c>
      <c r="S17" s="74" t="n">
        <v>1</v>
      </c>
      <c r="T17" s="74">
        <f>1+FU17</f>
        <v/>
      </c>
      <c r="U17" s="74" t="n">
        <v>4</v>
      </c>
      <c r="V17" s="74" t="n">
        <v>3</v>
      </c>
      <c r="W17" s="74" t="n">
        <v>3</v>
      </c>
      <c r="X17" s="74" t="n">
        <v>3</v>
      </c>
      <c r="Y17" s="74" t="n">
        <v>2</v>
      </c>
      <c r="Z17" s="74" t="n">
        <v>1</v>
      </c>
      <c r="AA17" s="74" t="n">
        <v>1</v>
      </c>
      <c r="AB17" s="74">
        <f>1+FC17</f>
        <v/>
      </c>
      <c r="AC17" s="74">
        <f>1+FB17</f>
        <v/>
      </c>
      <c r="AD17" s="74" t="n">
        <v>2</v>
      </c>
      <c r="AE17" s="74" t="n">
        <v>0</v>
      </c>
      <c r="AF17" s="74" t="n">
        <v>2</v>
      </c>
      <c r="AG17" s="74" t="n">
        <v>1</v>
      </c>
      <c r="AH17" s="74">
        <f>0+EU17</f>
        <v/>
      </c>
      <c r="AI17" s="74" t="n">
        <v>0</v>
      </c>
      <c r="AJ17" s="74" t="n">
        <v>1</v>
      </c>
      <c r="AK17" s="74">
        <f>1+EN17</f>
        <v/>
      </c>
      <c r="AL17" s="74" t="n">
        <v>1</v>
      </c>
      <c r="AM17" s="74">
        <f>1+EJ17</f>
        <v/>
      </c>
      <c r="AN17" s="74" t="n">
        <v>1</v>
      </c>
      <c r="AO17" s="74">
        <f>1+EF17</f>
        <v/>
      </c>
      <c r="AP17" s="74" t="n">
        <v>0</v>
      </c>
      <c r="AQ17" s="74" t="n">
        <v>2</v>
      </c>
      <c r="AR17" s="74" t="n">
        <v>1</v>
      </c>
      <c r="AS17" s="74">
        <f>0+DY17</f>
        <v/>
      </c>
      <c r="AT17" s="74" t="n">
        <v>0</v>
      </c>
      <c r="AU17" s="74">
        <f>0+DU17</f>
        <v/>
      </c>
      <c r="AV17" s="74" t="n">
        <v>0</v>
      </c>
      <c r="AW17" s="74" t="n">
        <v>0</v>
      </c>
      <c r="AX17" s="74" t="n">
        <v>0</v>
      </c>
      <c r="AY17" s="74">
        <f>0+DM17</f>
        <v/>
      </c>
      <c r="AZ17" s="74" t="n">
        <v>0</v>
      </c>
      <c r="BA17" s="74">
        <f>0+DJ17</f>
        <v/>
      </c>
      <c r="BB17" s="74" t="n">
        <v>0</v>
      </c>
      <c r="BC17" s="74">
        <f>0+DG17</f>
        <v/>
      </c>
      <c r="BD17" s="74" t="n">
        <v>0</v>
      </c>
      <c r="BE17" s="74" t="n">
        <v>0</v>
      </c>
      <c r="BF17" s="74" t="n">
        <v>0</v>
      </c>
      <c r="BG17" s="74" t="n">
        <v>10</v>
      </c>
      <c r="BH17" s="74" t="n">
        <v>20</v>
      </c>
      <c r="BI17" s="74" t="n">
        <v>19</v>
      </c>
      <c r="BJ17" s="74" t="n">
        <v>17</v>
      </c>
      <c r="BK17" s="74" t="n">
        <v>12</v>
      </c>
      <c r="BL17" s="74" t="n">
        <v>8</v>
      </c>
      <c r="BM17" s="74" t="n">
        <v>7</v>
      </c>
      <c r="BN17" s="74">
        <f>3+10</f>
        <v/>
      </c>
      <c r="BO17" s="74" t="n">
        <v>8</v>
      </c>
      <c r="BP17" s="74" t="n">
        <v>8</v>
      </c>
      <c r="BQ17" s="74" t="n">
        <v>5</v>
      </c>
      <c r="BR17" s="74" t="n">
        <v>0</v>
      </c>
      <c r="BS17" s="74" t="n">
        <v>0</v>
      </c>
      <c r="BT17" s="74" t="n">
        <v>2</v>
      </c>
      <c r="BU17" s="74" t="n">
        <v>0</v>
      </c>
      <c r="BV17" s="74" t="n">
        <v>0</v>
      </c>
      <c r="BW17" s="74">
        <f>0+CH17</f>
        <v/>
      </c>
      <c r="BX17" s="74" t="n">
        <v>0</v>
      </c>
      <c r="BY17" s="74" t="n"/>
      <c r="BZ17" s="162" t="n"/>
      <c r="CA17" s="162" t="n"/>
      <c r="CB17" s="193">
        <f>BZ17+IF(NOT(ISBLANK(OFFSET(CB17,0,6))),N(OFFSET(CB17,0,6)),N(OFFSET(CB17,0,7)))-CA17</f>
        <v/>
      </c>
      <c r="CC17" s="5" t="n"/>
      <c r="CD17" s="194" t="n"/>
      <c r="CE17" s="194" t="n"/>
      <c r="CF17" s="5" t="n"/>
      <c r="CG17" s="27" t="n">
        <v>5</v>
      </c>
      <c r="CH17" s="757" t="n">
        <v>0</v>
      </c>
      <c r="CI17" s="23" t="n">
        <v>0</v>
      </c>
      <c r="CJ17" s="23" t="n">
        <v>5</v>
      </c>
      <c r="CK17" s="23" t="n">
        <v>5</v>
      </c>
      <c r="CL17" s="23" t="n"/>
      <c r="CM17" s="23" t="n"/>
      <c r="CN17" s="23" t="n"/>
      <c r="CO17" s="23" t="n"/>
      <c r="CP17" s="467" t="n">
        <v>2</v>
      </c>
      <c r="CQ17" s="23" t="n"/>
      <c r="CR17" s="192" t="inlineStr">
        <is>
          <t>10 DE GV</t>
        </is>
      </c>
      <c r="CS17" s="23" t="n"/>
      <c r="CT17" s="23" t="n"/>
      <c r="CU17" s="23" t="n"/>
      <c r="CV17" s="23" t="n"/>
      <c r="CW17" s="23" t="n"/>
      <c r="CX17" s="23" t="n"/>
      <c r="CY17" s="23" t="n"/>
      <c r="CZ17" s="23" t="n"/>
      <c r="DA17" s="23" t="n"/>
      <c r="DB17" s="23" t="n"/>
      <c r="DC17" s="23" t="n">
        <v>10</v>
      </c>
      <c r="DD17" s="23" t="n"/>
      <c r="DE17" s="23" t="n">
        <v>10</v>
      </c>
      <c r="DF17" s="23" t="n"/>
      <c r="DG17" s="23" t="n"/>
      <c r="DH17" s="23" t="n"/>
      <c r="DI17" s="23" t="n">
        <v>10</v>
      </c>
      <c r="DJ17" s="23" t="n"/>
      <c r="DK17" s="23" t="n"/>
      <c r="DL17" s="23" t="n">
        <v>10</v>
      </c>
      <c r="DM17" s="23" t="n"/>
      <c r="DN17" s="219" t="n"/>
      <c r="DO17" s="23" t="n">
        <v>5</v>
      </c>
      <c r="DP17" s="23" t="n"/>
      <c r="DQ17" s="23" t="n"/>
      <c r="DR17" s="23" t="n">
        <v>3</v>
      </c>
      <c r="DS17" s="23" t="n"/>
      <c r="DT17" s="23" t="n"/>
      <c r="DU17" s="23" t="n"/>
      <c r="DV17" s="219" t="n"/>
      <c r="DW17" s="23" t="n">
        <v>1</v>
      </c>
      <c r="DX17" s="23" t="n"/>
      <c r="DY17" s="23" t="n"/>
      <c r="DZ17" s="23" t="n"/>
      <c r="EA17" s="23" t="n">
        <v>1</v>
      </c>
      <c r="EB17" s="23" t="n"/>
      <c r="EC17" s="23" t="n"/>
      <c r="ED17" s="23" t="n">
        <v>2</v>
      </c>
      <c r="EE17" s="23" t="n"/>
      <c r="EF17" s="23" t="n"/>
      <c r="EG17" s="23" t="n"/>
      <c r="EH17" s="23" t="n">
        <v>1</v>
      </c>
      <c r="EI17" s="23" t="n"/>
      <c r="EJ17" s="23" t="n"/>
      <c r="EK17" s="23" t="n"/>
      <c r="EL17" s="23" t="n">
        <v>1</v>
      </c>
      <c r="EM17" s="23" t="n"/>
      <c r="EN17" s="23" t="n"/>
      <c r="EO17" s="23" t="n"/>
      <c r="EP17" s="23" t="n">
        <v>1</v>
      </c>
      <c r="EQ17" s="23" t="n">
        <v>2</v>
      </c>
      <c r="ER17" s="23" t="n"/>
      <c r="ES17" s="23" t="n"/>
      <c r="ET17" s="23" t="n"/>
      <c r="EU17" s="23" t="n">
        <v>1</v>
      </c>
      <c r="EV17" s="23" t="n"/>
      <c r="EW17" s="23" t="n">
        <v>1</v>
      </c>
      <c r="EX17" s="23" t="n"/>
      <c r="EY17" s="23" t="n"/>
      <c r="EZ17" s="23" t="n"/>
      <c r="FA17" s="23" t="n">
        <v>2</v>
      </c>
      <c r="FB17" s="23" t="n"/>
      <c r="FC17" s="23" t="n"/>
      <c r="FD17" s="23" t="n">
        <v>1</v>
      </c>
      <c r="FE17" s="23" t="n">
        <v>1</v>
      </c>
      <c r="FF17" s="23" t="n"/>
      <c r="FG17" s="23" t="n"/>
      <c r="FH17" s="23" t="n">
        <v>1</v>
      </c>
      <c r="FI17" s="23" t="n"/>
      <c r="FJ17" s="23" t="n"/>
      <c r="FK17" s="23" t="n"/>
      <c r="FL17" s="219" t="n"/>
      <c r="FM17" s="23" t="n"/>
      <c r="FN17" s="23" t="n"/>
      <c r="FO17" s="23" t="n"/>
      <c r="FP17" s="23" t="n"/>
      <c r="FQ17" s="23" t="n"/>
      <c r="FR17" s="23" t="n"/>
      <c r="FS17" s="23" t="n"/>
      <c r="FT17" s="23" t="n"/>
      <c r="FU17" s="23" t="n"/>
      <c r="FV17" s="23" t="n"/>
      <c r="FW17" s="23" t="n">
        <v>3</v>
      </c>
      <c r="FX17" s="23" t="n"/>
      <c r="FY17" s="23" t="n"/>
      <c r="FZ17" s="219" t="n"/>
      <c r="GA17" s="23" t="n">
        <v>1</v>
      </c>
      <c r="GB17" s="219" t="n">
        <v>4</v>
      </c>
      <c r="GC17" s="23" t="n"/>
      <c r="GD17" s="23" t="n"/>
      <c r="GE17" s="23" t="n"/>
      <c r="GF17" s="23" t="n"/>
      <c r="GG17" s="23" t="n">
        <v>3</v>
      </c>
      <c r="GH17" s="23" t="n"/>
      <c r="GI17" s="23" t="n"/>
      <c r="GJ17" s="23" t="n"/>
      <c r="GK17" s="23" t="n">
        <v>3</v>
      </c>
      <c r="GL17" s="23" t="n"/>
      <c r="GM17" s="23" t="n"/>
      <c r="GN17" s="23" t="n"/>
      <c r="GO17" s="23" t="n">
        <v>1</v>
      </c>
      <c r="GP17" s="23" t="n">
        <v>1</v>
      </c>
      <c r="GQ17" s="23" t="n"/>
      <c r="GS17" s="66" t="inlineStr">
        <is>
          <t>TAGS</t>
        </is>
      </c>
      <c r="GT17" s="208" t="n">
        <v>300</v>
      </c>
      <c r="GU17" s="699">
        <f>FZ17</f>
        <v/>
      </c>
      <c r="GV17" s="699" t="n">
        <v>1</v>
      </c>
      <c r="GW17" s="699" t="n">
        <v>1</v>
      </c>
      <c r="GX17" s="699" t="n">
        <v>1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699" t="n">
        <v>0</v>
      </c>
      <c r="HD17" s="699" t="n">
        <v>0</v>
      </c>
      <c r="HE17" s="699" t="n">
        <v>0</v>
      </c>
      <c r="HF17" s="699" t="n">
        <v>0</v>
      </c>
      <c r="HG17" s="699" t="n">
        <v>0</v>
      </c>
      <c r="HH17" s="699" t="n">
        <v>0</v>
      </c>
      <c r="HI17" s="699" t="n">
        <v>0</v>
      </c>
      <c r="HJ17" s="699" t="n">
        <v>0</v>
      </c>
      <c r="HK17" s="699" t="n"/>
      <c r="HL17" s="699" t="n">
        <v>0</v>
      </c>
      <c r="HM17" s="699" t="n"/>
      <c r="HN17" s="699" t="n"/>
      <c r="HO17" s="303" t="n">
        <v>0</v>
      </c>
      <c r="HQ17" s="35" t="n"/>
      <c r="IE17" s="35" t="n"/>
    </row>
    <row r="18" customFormat="1" s="3">
      <c r="A18" s="58" t="inlineStr">
        <is>
          <t>TAG ( espaço Revendedor)</t>
        </is>
      </c>
      <c r="B18" s="699" t="n">
        <v>200</v>
      </c>
      <c r="C18" s="762" t="n">
        <v>10.28</v>
      </c>
      <c r="D18" s="382" t="n">
        <v>3</v>
      </c>
      <c r="E18" s="2" t="n"/>
      <c r="F18" s="74" t="n">
        <v>3</v>
      </c>
      <c r="G18" s="74" t="n">
        <v>2</v>
      </c>
      <c r="H18" s="74">
        <f>1+GK18</f>
        <v/>
      </c>
      <c r="I18" s="74" t="n">
        <v>3</v>
      </c>
      <c r="J18" s="74" t="n">
        <v>3</v>
      </c>
      <c r="K18" s="74" t="n">
        <v>2</v>
      </c>
      <c r="L18" s="74">
        <f>1+GE18</f>
        <v/>
      </c>
      <c r="M18" s="74" t="n">
        <v>3</v>
      </c>
      <c r="N18" s="74" t="n">
        <v>3</v>
      </c>
      <c r="O18" s="74" t="n">
        <v>3</v>
      </c>
      <c r="P18" s="74" t="n">
        <v>2</v>
      </c>
      <c r="Q18" s="74" t="n">
        <v>2</v>
      </c>
      <c r="R18" s="74" t="n">
        <v>1</v>
      </c>
      <c r="S18" s="74">
        <f>1+FW18</f>
        <v/>
      </c>
      <c r="T18" s="74">
        <f>2+FU18</f>
        <v/>
      </c>
      <c r="U18" s="74" t="n">
        <v>2</v>
      </c>
      <c r="V18" s="74" t="n">
        <v>2</v>
      </c>
      <c r="W18" s="74" t="n">
        <v>2</v>
      </c>
      <c r="X18" s="74" t="n">
        <v>3</v>
      </c>
      <c r="Y18" s="74" t="n">
        <v>2</v>
      </c>
      <c r="Z18" s="74" t="n">
        <v>1</v>
      </c>
      <c r="AA18" s="74" t="n">
        <v>2</v>
      </c>
      <c r="AB18" s="74">
        <f>1+FC18</f>
        <v/>
      </c>
      <c r="AC18" s="74">
        <f>1+FB18</f>
        <v/>
      </c>
      <c r="AD18" s="74" t="n">
        <v>3</v>
      </c>
      <c r="AE18" s="74" t="n">
        <v>2</v>
      </c>
      <c r="AF18" s="74" t="n">
        <v>3</v>
      </c>
      <c r="AG18" s="74" t="n">
        <v>3</v>
      </c>
      <c r="AH18" s="74" t="n">
        <v>3</v>
      </c>
      <c r="AI18" s="74" t="n">
        <v>1</v>
      </c>
      <c r="AJ18" s="74" t="n">
        <v>1</v>
      </c>
      <c r="AK18" s="74">
        <f>1+EN18</f>
        <v/>
      </c>
      <c r="AL18" s="74" t="n">
        <v>1</v>
      </c>
      <c r="AM18" s="74">
        <f>1+EJ18</f>
        <v/>
      </c>
      <c r="AN18" s="74" t="n">
        <v>3</v>
      </c>
      <c r="AO18" s="74">
        <f>2+EF18</f>
        <v/>
      </c>
      <c r="AP18" s="74" t="n">
        <v>1</v>
      </c>
      <c r="AQ18" s="74" t="n">
        <v>2</v>
      </c>
      <c r="AR18" s="74">
        <f>2+EA18</f>
        <v/>
      </c>
      <c r="AS18" s="74" t="n">
        <v>3</v>
      </c>
      <c r="AT18" s="74" t="n">
        <v>1</v>
      </c>
      <c r="AU18" s="74" t="n">
        <v>1</v>
      </c>
      <c r="AV18" s="74" t="n">
        <v>0</v>
      </c>
      <c r="AW18" s="74" t="n">
        <v>0</v>
      </c>
      <c r="AX18" s="74" t="n">
        <v>2</v>
      </c>
      <c r="AY18" s="74" t="n">
        <v>1</v>
      </c>
      <c r="AZ18" s="74" t="n">
        <v>0</v>
      </c>
      <c r="BA18" s="74" t="n">
        <v>0</v>
      </c>
      <c r="BB18" s="74" t="n">
        <v>0</v>
      </c>
      <c r="BC18" s="74" t="n">
        <v>0</v>
      </c>
      <c r="BD18" s="74" t="n">
        <v>0</v>
      </c>
      <c r="BE18" s="74" t="n">
        <v>0</v>
      </c>
      <c r="BF18" s="74" t="n">
        <v>0</v>
      </c>
      <c r="BG18" s="74" t="n">
        <v>0</v>
      </c>
      <c r="BH18" s="74" t="n">
        <v>0</v>
      </c>
      <c r="BI18" s="74" t="n">
        <v>0</v>
      </c>
      <c r="BJ18" s="74" t="n">
        <v>0</v>
      </c>
      <c r="BK18" s="74" t="n">
        <v>0</v>
      </c>
      <c r="BL18" s="74" t="n">
        <v>0</v>
      </c>
      <c r="BM18" s="74" t="n">
        <v>0</v>
      </c>
      <c r="BN18" s="74" t="n">
        <v>0</v>
      </c>
      <c r="BO18" s="74" t="n">
        <v>0</v>
      </c>
      <c r="BP18" s="74" t="n">
        <v>0</v>
      </c>
      <c r="BQ18" s="74" t="n">
        <v>0</v>
      </c>
      <c r="BR18" s="74" t="n">
        <v>0</v>
      </c>
      <c r="BS18" s="74" t="n">
        <v>0</v>
      </c>
      <c r="BT18" s="74" t="n">
        <v>0</v>
      </c>
      <c r="BU18" s="74" t="n">
        <v>0</v>
      </c>
      <c r="BV18" s="74" t="n">
        <v>0</v>
      </c>
      <c r="BW18" s="74" t="n">
        <v>0</v>
      </c>
      <c r="BX18" s="74" t="n">
        <v>0</v>
      </c>
      <c r="BY18" s="74" t="n"/>
      <c r="BZ18" s="162" t="n"/>
      <c r="CA18" s="162" t="n"/>
      <c r="CB18" s="193">
        <f>BZ18+IF(NOT(ISBLANK(OFFSET(CB18,0,6))),N(OFFSET(CB18,0,6)),N(OFFSET(CB18,0,7)))-CA18</f>
        <v/>
      </c>
      <c r="CC18" s="5" t="n"/>
      <c r="CD18" s="194" t="n"/>
      <c r="CE18" s="194" t="n"/>
      <c r="CF18" s="5" t="n"/>
      <c r="CG18" s="27" t="n">
        <v>2</v>
      </c>
      <c r="CH18" s="757" t="n">
        <v>0</v>
      </c>
      <c r="CI18" s="23" t="n">
        <v>0</v>
      </c>
      <c r="CJ18" s="23" t="n">
        <v>0</v>
      </c>
      <c r="CK18" s="23" t="n">
        <v>0</v>
      </c>
      <c r="CL18" s="23" t="n"/>
      <c r="CM18" s="23" t="n"/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/>
      <c r="CX18" s="23" t="n"/>
      <c r="CY18" s="23" t="n"/>
      <c r="CZ18" s="23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19" t="n"/>
      <c r="DO18" s="23" t="n"/>
      <c r="DP18" s="23" t="n"/>
      <c r="DQ18" s="23" t="n"/>
      <c r="DR18" s="23" t="n">
        <v>2</v>
      </c>
      <c r="DS18" s="23" t="n"/>
      <c r="DT18" s="23" t="n"/>
      <c r="DU18" s="23" t="n"/>
      <c r="DV18" s="219" t="n"/>
      <c r="DW18" s="23" t="n"/>
      <c r="DX18" s="23" t="n"/>
      <c r="DY18" s="23" t="n"/>
      <c r="DZ18" s="23" t="n"/>
      <c r="EA18" s="23" t="n"/>
      <c r="EB18" s="23" t="n"/>
      <c r="EC18" s="23" t="n">
        <v>1</v>
      </c>
      <c r="ED18" s="23" t="n">
        <v>2</v>
      </c>
      <c r="EE18" s="23" t="n"/>
      <c r="EF18" s="23" t="n"/>
      <c r="EG18" s="23" t="n"/>
      <c r="EH18" s="23" t="n">
        <v>1</v>
      </c>
      <c r="EI18" s="23" t="n"/>
      <c r="EJ18" s="23" t="n"/>
      <c r="EK18" s="23" t="n"/>
      <c r="EL18" s="23" t="n">
        <v>3</v>
      </c>
      <c r="EM18" s="23" t="n"/>
      <c r="EN18" s="23" t="n"/>
      <c r="EO18" s="23" t="n"/>
      <c r="EP18" s="23" t="n">
        <v>3</v>
      </c>
      <c r="EQ18" s="23" t="n">
        <v>2</v>
      </c>
      <c r="ER18" s="23" t="n"/>
      <c r="ES18" s="23" t="n"/>
      <c r="ET18" s="23" t="n"/>
      <c r="EU18" s="23" t="n"/>
      <c r="EV18" s="23" t="n"/>
      <c r="EW18" s="23" t="n"/>
      <c r="EX18" s="23" t="n"/>
      <c r="EY18" s="23" t="n"/>
      <c r="EZ18" s="23" t="n"/>
      <c r="FA18" s="23" t="n">
        <v>1</v>
      </c>
      <c r="FB18" s="23" t="n"/>
      <c r="FC18" s="23" t="n"/>
      <c r="FD18" s="23" t="n">
        <v>3</v>
      </c>
      <c r="FE18" s="23" t="n">
        <v>1</v>
      </c>
      <c r="FF18" s="23" t="n"/>
      <c r="FG18" s="23" t="n"/>
      <c r="FH18" s="23" t="n">
        <v>2</v>
      </c>
      <c r="FI18" s="23" t="n"/>
      <c r="FJ18" s="23" t="n"/>
      <c r="FK18" s="23" t="n"/>
      <c r="FL18" s="219" t="n"/>
      <c r="FM18" s="23" t="n"/>
      <c r="FN18" s="23" t="n"/>
      <c r="FO18" s="23" t="n"/>
      <c r="FP18" s="23" t="n"/>
      <c r="FQ18" s="23" t="n"/>
      <c r="FR18" s="23" t="n"/>
      <c r="FS18" s="23" t="n"/>
      <c r="FT18" s="23" t="n">
        <v>1</v>
      </c>
      <c r="FU18" s="23" t="n"/>
      <c r="FV18" s="23" t="n"/>
      <c r="FW18" s="23" t="n">
        <v>1</v>
      </c>
      <c r="FX18" s="23" t="n"/>
      <c r="FY18" s="23" t="n">
        <v>2</v>
      </c>
      <c r="FZ18" s="219" t="n"/>
      <c r="GA18" s="23" t="n"/>
      <c r="GB18" s="219" t="n"/>
      <c r="GC18" s="23" t="n"/>
      <c r="GD18" s="23" t="n"/>
      <c r="GE18" s="23" t="n"/>
      <c r="GF18" s="23" t="n"/>
      <c r="GG18" s="23" t="n">
        <v>2</v>
      </c>
      <c r="GH18" s="23" t="n"/>
      <c r="GI18" s="23" t="n"/>
      <c r="GJ18" s="23" t="n"/>
      <c r="GK18" s="23" t="n"/>
      <c r="GL18" s="23" t="n"/>
      <c r="GM18" s="23" t="n">
        <v>2</v>
      </c>
      <c r="GN18" s="23" t="n"/>
      <c r="GO18" s="23" t="n"/>
      <c r="GP18" s="23" t="n">
        <v>3</v>
      </c>
      <c r="GQ18" s="23" t="n"/>
      <c r="GS18" s="35" t="n"/>
      <c r="HQ18" s="35" t="n"/>
      <c r="IE18" s="35" t="n"/>
      <c r="IT18" s="35" t="n"/>
    </row>
    <row r="19" customFormat="1" s="3">
      <c r="A19" s="58" t="inlineStr">
        <is>
          <t>LÂMINA OLFATIVA (espaço Revendedor)</t>
        </is>
      </c>
      <c r="B19" s="699" t="n">
        <v>3000</v>
      </c>
      <c r="C19" s="762" t="n">
        <v>71.8</v>
      </c>
      <c r="D19" s="382" t="n">
        <v>1</v>
      </c>
      <c r="E19" s="2" t="n"/>
      <c r="F19" s="74" t="n">
        <v>3</v>
      </c>
      <c r="G19" s="74" t="n">
        <v>3</v>
      </c>
      <c r="H19" s="74" t="n">
        <v>3</v>
      </c>
      <c r="I19" s="74" t="n">
        <v>3</v>
      </c>
      <c r="J19" s="74" t="n">
        <v>3</v>
      </c>
      <c r="K19" s="74" t="n">
        <v>3</v>
      </c>
      <c r="L19" s="74" t="n">
        <v>3</v>
      </c>
      <c r="M19" s="74" t="n">
        <v>3</v>
      </c>
      <c r="N19" s="74" t="n">
        <v>3</v>
      </c>
      <c r="O19" s="74" t="n">
        <v>3</v>
      </c>
      <c r="P19" s="74" t="n">
        <v>3</v>
      </c>
      <c r="Q19" s="74" t="n">
        <v>3</v>
      </c>
      <c r="R19" s="74" t="n">
        <v>3</v>
      </c>
      <c r="S19" s="74" t="n">
        <v>3</v>
      </c>
      <c r="T19" s="74" t="n">
        <v>3</v>
      </c>
      <c r="U19" s="74" t="n">
        <v>3</v>
      </c>
      <c r="V19" s="74" t="n">
        <v>3</v>
      </c>
      <c r="W19" s="74" t="n">
        <v>3</v>
      </c>
      <c r="X19" s="74" t="n">
        <v>3</v>
      </c>
      <c r="Y19" s="74" t="n">
        <v>3</v>
      </c>
      <c r="Z19" s="74" t="n">
        <v>3</v>
      </c>
      <c r="AA19" s="74" t="n">
        <v>3</v>
      </c>
      <c r="AB19" s="74" t="n">
        <v>3</v>
      </c>
      <c r="AC19" s="74" t="n">
        <v>3</v>
      </c>
      <c r="AD19" s="74" t="n">
        <v>3</v>
      </c>
      <c r="AE19" s="74" t="n">
        <v>3</v>
      </c>
      <c r="AF19" s="74" t="n">
        <v>3</v>
      </c>
      <c r="AG19" s="74" t="n">
        <v>3</v>
      </c>
      <c r="AH19" s="74" t="n">
        <v>3</v>
      </c>
      <c r="AI19" s="74" t="n">
        <v>3</v>
      </c>
      <c r="AJ19" s="74" t="n">
        <v>3</v>
      </c>
      <c r="AK19" s="74" t="n">
        <v>3</v>
      </c>
      <c r="AL19" s="74" t="n">
        <v>3</v>
      </c>
      <c r="AM19" s="74" t="n">
        <v>3</v>
      </c>
      <c r="AN19" s="74" t="n">
        <v>3</v>
      </c>
      <c r="AO19" s="74" t="n">
        <v>1</v>
      </c>
      <c r="AP19" s="74" t="n">
        <v>2</v>
      </c>
      <c r="AQ19" s="74" t="n">
        <v>1</v>
      </c>
      <c r="AR19" s="74">
        <f>1+EA19</f>
        <v/>
      </c>
      <c r="AS19" s="74" t="n">
        <v>1</v>
      </c>
      <c r="AT19" s="74">
        <f>1+DV19</f>
        <v/>
      </c>
      <c r="AU19" s="74" t="n">
        <v>2</v>
      </c>
      <c r="AV19" s="74" t="n">
        <v>2</v>
      </c>
      <c r="AW19" s="74" t="n">
        <v>2</v>
      </c>
      <c r="AX19" s="74" t="n">
        <v>1</v>
      </c>
      <c r="AY19" s="74">
        <f>1+DM19</f>
        <v/>
      </c>
      <c r="AZ19" s="74" t="n">
        <v>3</v>
      </c>
      <c r="BA19" s="74" t="n">
        <v>3</v>
      </c>
      <c r="BB19" s="74" t="n">
        <v>2</v>
      </c>
      <c r="BC19" s="74">
        <f>2+DG19</f>
        <v/>
      </c>
      <c r="BD19" s="74" t="n">
        <v>3</v>
      </c>
      <c r="BE19" s="74" t="n">
        <v>3</v>
      </c>
      <c r="BF19" s="74" t="n">
        <v>3</v>
      </c>
      <c r="BG19" s="74" t="n">
        <v>4</v>
      </c>
      <c r="BH19" s="74" t="n">
        <v>4</v>
      </c>
      <c r="BI19" s="74" t="n">
        <v>4</v>
      </c>
      <c r="BJ19" s="74" t="n">
        <v>4</v>
      </c>
      <c r="BK19" s="74" t="n">
        <v>3</v>
      </c>
      <c r="BL19" s="74" t="n">
        <v>3</v>
      </c>
      <c r="BM19" s="74" t="n">
        <v>3</v>
      </c>
      <c r="BN19" s="74" t="n">
        <v>3</v>
      </c>
      <c r="BO19" s="74" t="n">
        <v>3</v>
      </c>
      <c r="BP19" s="74" t="n">
        <v>3</v>
      </c>
      <c r="BQ19" s="74" t="n">
        <v>3</v>
      </c>
      <c r="BR19" s="74" t="n">
        <v>3</v>
      </c>
      <c r="BS19" s="74" t="n">
        <v>3</v>
      </c>
      <c r="BT19" s="74" t="n">
        <v>3</v>
      </c>
      <c r="BU19" s="74" t="n">
        <v>3</v>
      </c>
      <c r="BV19" s="74" t="n">
        <v>2</v>
      </c>
      <c r="BW19" s="74" t="n">
        <v>2</v>
      </c>
      <c r="BX19" s="74" t="n">
        <v>2</v>
      </c>
      <c r="BY19" s="74" t="n"/>
      <c r="BZ19" s="162" t="n"/>
      <c r="CA19" s="162" t="n"/>
      <c r="CB19" s="193">
        <f>BZ19+IF(NOT(ISBLANK(OFFSET(CB19,0,6))),N(OFFSET(CB19,0,6)),N(OFFSET(CB19,0,7)))-CA19</f>
        <v/>
      </c>
      <c r="CC19" s="5" t="n"/>
      <c r="CD19" s="194" t="n"/>
      <c r="CE19" s="194" t="n"/>
      <c r="CF19" s="5" t="n"/>
      <c r="CG19" s="27" t="n"/>
      <c r="CH19" s="830" t="n">
        <v>0</v>
      </c>
      <c r="CI19" s="40" t="n">
        <v>0</v>
      </c>
      <c r="CJ19" s="40" t="n">
        <v>0</v>
      </c>
      <c r="CK19" s="40" t="n">
        <v>0</v>
      </c>
      <c r="CL19" s="40" t="n"/>
      <c r="CM19" s="40" t="n"/>
      <c r="CN19" s="40" t="n"/>
      <c r="CO19" s="40" t="n"/>
      <c r="CP19" s="40" t="n"/>
      <c r="CQ19" s="40" t="n"/>
      <c r="CR19" s="40" t="n"/>
      <c r="CS19" s="40" t="n"/>
      <c r="CT19" s="40" t="n"/>
      <c r="CU19" s="40" t="n"/>
      <c r="CV19" s="40" t="n"/>
      <c r="CW19" s="40" t="n"/>
      <c r="CX19" s="40" t="n"/>
      <c r="CY19" s="40" t="n"/>
      <c r="CZ19" s="40" t="n"/>
      <c r="DA19" s="40" t="n"/>
      <c r="DB19" s="40" t="n"/>
      <c r="DC19" s="40" t="n"/>
      <c r="DD19" s="40" t="n"/>
      <c r="DE19" s="40" t="n">
        <v>1</v>
      </c>
      <c r="DF19" s="40" t="n"/>
      <c r="DG19" s="40" t="n"/>
      <c r="DH19" s="40" t="n"/>
      <c r="DI19" s="40" t="n">
        <v>2</v>
      </c>
      <c r="DJ19" s="40" t="n"/>
      <c r="DK19" s="40" t="n"/>
      <c r="DL19" s="40" t="n"/>
      <c r="DM19" s="40" t="n"/>
      <c r="DN19" s="219" t="n"/>
      <c r="DO19" s="40" t="n">
        <v>2</v>
      </c>
      <c r="DP19" s="40" t="n"/>
      <c r="DQ19" s="40" t="n"/>
      <c r="DR19" s="40" t="n"/>
      <c r="DS19" s="40" t="n"/>
      <c r="DT19" s="40" t="n"/>
      <c r="DU19" s="40" t="n"/>
      <c r="DV19" s="219" t="n"/>
      <c r="DW19" s="40" t="n"/>
      <c r="DX19" s="40" t="n">
        <v>1</v>
      </c>
      <c r="DY19" s="40" t="n"/>
      <c r="DZ19" s="40" t="n"/>
      <c r="EA19" s="40" t="n"/>
      <c r="EB19" s="40" t="n"/>
      <c r="EC19" s="40" t="n">
        <v>1</v>
      </c>
      <c r="ED19" s="40" t="n"/>
      <c r="EE19" s="40" t="n"/>
      <c r="EF19" s="40" t="n">
        <v>1</v>
      </c>
      <c r="EG19" s="40" t="n"/>
      <c r="EH19" s="40" t="n"/>
      <c r="EI19" s="40" t="n"/>
      <c r="EJ19" s="40" t="n"/>
      <c r="EK19" s="40" t="n"/>
      <c r="EL19" s="40" t="n"/>
      <c r="EM19" s="40" t="n"/>
      <c r="EN19" s="40" t="n"/>
      <c r="EO19" s="40" t="n"/>
      <c r="EP19" s="40" t="n"/>
      <c r="EQ19" s="40" t="n"/>
      <c r="ER19" s="40" t="n"/>
      <c r="ES19" s="40" t="n"/>
      <c r="ET19" s="40" t="n"/>
      <c r="EU19" s="40" t="n"/>
      <c r="EV19" s="40" t="n"/>
      <c r="EW19" s="40" t="n"/>
      <c r="EX19" s="40" t="n"/>
      <c r="EY19" s="40" t="n"/>
      <c r="EZ19" s="40" t="n"/>
      <c r="FA19" s="40" t="n"/>
      <c r="FB19" s="40" t="n"/>
      <c r="FC19" s="40" t="n"/>
      <c r="FD19" s="40" t="n"/>
      <c r="FE19" s="40" t="n"/>
      <c r="FF19" s="40" t="n"/>
      <c r="FG19" s="40" t="n"/>
      <c r="FH19" s="40" t="n"/>
      <c r="FI19" s="40" t="n"/>
      <c r="FJ19" s="40" t="n"/>
      <c r="FK19" s="23" t="n"/>
      <c r="FL19" s="219" t="n"/>
      <c r="FM19" s="40" t="n"/>
      <c r="FN19" s="40" t="n"/>
      <c r="FO19" s="40" t="n"/>
      <c r="FP19" s="40" t="n"/>
      <c r="FQ19" s="40" t="n"/>
      <c r="FR19" s="40" t="n"/>
      <c r="FS19" s="40" t="n"/>
      <c r="FT19" s="40" t="n"/>
      <c r="FU19" s="40" t="n"/>
      <c r="FV19" s="40" t="n"/>
      <c r="FW19" s="40" t="n"/>
      <c r="FX19" s="40" t="n"/>
      <c r="FY19" s="40" t="n"/>
      <c r="FZ19" s="219" t="n"/>
      <c r="GA19" s="40" t="n"/>
      <c r="GB19" s="219" t="n"/>
      <c r="GC19" s="40" t="n"/>
      <c r="GD19" s="40" t="n"/>
      <c r="GE19" s="40" t="n"/>
      <c r="GF19" s="40" t="n"/>
      <c r="GG19" s="40" t="n"/>
      <c r="GH19" s="40" t="n"/>
      <c r="GI19" s="40" t="n"/>
      <c r="GJ19" s="40" t="n"/>
      <c r="GK19" s="40" t="n"/>
      <c r="GL19" s="40" t="n"/>
      <c r="GM19" s="40" t="n"/>
      <c r="GN19" s="40" t="n"/>
      <c r="GO19" s="40" t="n"/>
      <c r="GP19" s="40" t="n"/>
      <c r="GQ19" s="40" t="n"/>
      <c r="GS19" s="35" t="n"/>
      <c r="HQ19" s="35" t="n"/>
      <c r="IE19" s="35" t="n"/>
      <c r="IT19" s="35" t="n"/>
    </row>
    <row r="20" ht="19.5" customFormat="1" customHeight="1" s="3">
      <c r="A20" s="35" t="n"/>
      <c r="B20" s="2" t="n"/>
      <c r="C20" s="2" t="n"/>
      <c r="D20" s="2" t="n"/>
      <c r="E20" s="5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  <c r="AA20" s="4" t="n"/>
      <c r="AB20" s="4" t="n"/>
      <c r="AC20" s="4" t="n"/>
      <c r="AD20" s="4" t="n"/>
      <c r="AE20" s="4" t="n"/>
      <c r="AF20" s="4" t="n"/>
      <c r="AG20" s="4" t="n"/>
      <c r="AH20" s="4" t="n"/>
      <c r="AI20" s="4" t="n"/>
      <c r="AJ20" s="4" t="n"/>
      <c r="AK20" s="4" t="n"/>
      <c r="AL20" s="4" t="n"/>
      <c r="AM20" s="4" t="n"/>
      <c r="AN20" s="4" t="n"/>
      <c r="AO20" s="4" t="n"/>
      <c r="AP20" s="4" t="n"/>
      <c r="AQ20" s="4" t="n"/>
      <c r="AR20" s="4" t="n"/>
      <c r="AS20" s="4" t="n"/>
      <c r="AT20" s="4" t="n"/>
      <c r="AU20" s="4" t="n"/>
      <c r="AV20" s="4" t="n"/>
      <c r="AW20" s="4" t="n"/>
      <c r="AX20" s="4" t="n"/>
      <c r="AY20" s="4" t="n"/>
      <c r="AZ20" s="4" t="n"/>
      <c r="BA20" s="4" t="n"/>
      <c r="BB20" s="4" t="n"/>
      <c r="BC20" s="4" t="n"/>
      <c r="BD20" s="4" t="n"/>
      <c r="BE20" s="4" t="n"/>
      <c r="BF20" s="4" t="n"/>
      <c r="BG20" s="4" t="n"/>
      <c r="BH20" s="4" t="n"/>
      <c r="BI20" s="4" t="n"/>
      <c r="BJ20" s="4" t="n"/>
      <c r="BK20" s="4" t="n"/>
      <c r="BL20" s="4" t="n"/>
      <c r="BM20" s="4" t="n"/>
      <c r="BN20" s="4" t="n"/>
      <c r="BO20" s="4" t="n"/>
      <c r="BP20" s="4" t="n"/>
      <c r="BQ20" s="4" t="n"/>
      <c r="BR20" s="4" t="n"/>
      <c r="BS20" s="4" t="n"/>
      <c r="BT20" s="4" t="n"/>
      <c r="BU20" s="4" t="n"/>
      <c r="BV20" s="4" t="n"/>
      <c r="BW20" s="4" t="n"/>
      <c r="BX20" s="4" t="n"/>
      <c r="BY20" s="4" t="n"/>
      <c r="BZ20" s="2" t="n"/>
      <c r="CA20" s="2" t="n"/>
      <c r="CB20" s="16" t="n"/>
      <c r="CC20" s="5" t="n"/>
      <c r="CD20" s="16" t="n"/>
      <c r="CE20" s="16" t="n"/>
      <c r="CF20" s="5" t="n"/>
      <c r="CG20" s="4" t="n"/>
      <c r="CH20" s="827" t="n"/>
      <c r="CI20" s="20" t="n"/>
      <c r="CJ20" s="20" t="n"/>
      <c r="CK20" s="20" t="n"/>
      <c r="CL20" s="20" t="n"/>
      <c r="CM20" s="20" t="n"/>
      <c r="CN20" s="20" t="n"/>
      <c r="CO20" s="20" t="n"/>
      <c r="CP20" s="20" t="n"/>
      <c r="CQ20" s="20" t="n"/>
      <c r="CR20" s="20" t="n"/>
      <c r="CS20" s="20" t="n"/>
      <c r="CT20" s="20" t="n"/>
      <c r="CU20" s="20" t="n"/>
      <c r="CV20" s="20" t="n"/>
      <c r="CW20" s="20" t="n"/>
      <c r="CX20" s="20" t="n"/>
      <c r="CY20" s="20" t="n"/>
      <c r="CZ20" s="20" t="n"/>
      <c r="DA20" s="20" t="n"/>
      <c r="DB20" s="20" t="n"/>
      <c r="DC20" s="20" t="n"/>
      <c r="DD20" s="20" t="n"/>
      <c r="DE20" s="20" t="n"/>
      <c r="DF20" s="20" t="n"/>
      <c r="DG20" s="20" t="n"/>
      <c r="DH20" s="20" t="n"/>
      <c r="DI20" s="20" t="n"/>
      <c r="DJ20" s="20" t="n"/>
      <c r="DK20" s="20" t="n"/>
      <c r="DL20" s="20" t="n"/>
      <c r="DM20" s="20" t="n"/>
      <c r="DN20" s="308" t="n"/>
      <c r="DO20" s="20" t="n"/>
      <c r="DP20" s="20" t="n"/>
      <c r="DQ20" s="20" t="n"/>
      <c r="DR20" s="20" t="n"/>
      <c r="DS20" s="20" t="n"/>
      <c r="DT20" s="20" t="n"/>
      <c r="DU20" s="20" t="n"/>
      <c r="DV20" s="20" t="n"/>
      <c r="DW20" s="20" t="n"/>
      <c r="DX20" s="20" t="n"/>
      <c r="DY20" s="20" t="n"/>
      <c r="DZ20" s="20" t="n"/>
      <c r="EA20" s="20" t="n"/>
      <c r="EB20" s="20" t="n"/>
      <c r="EC20" s="20" t="n"/>
      <c r="ED20" s="20" t="n"/>
      <c r="EE20" s="20" t="n"/>
      <c r="EF20" s="20" t="n"/>
      <c r="EG20" s="20" t="n"/>
      <c r="EH20" s="20" t="n"/>
      <c r="EI20" s="20" t="n"/>
      <c r="EJ20" s="20" t="n"/>
      <c r="EK20" s="20" t="n"/>
      <c r="EL20" s="20" t="n"/>
      <c r="EM20" s="20" t="n"/>
      <c r="EN20" s="20" t="n"/>
      <c r="EO20" s="20" t="n"/>
      <c r="EP20" s="20" t="n"/>
      <c r="EQ20" s="20" t="n"/>
      <c r="ER20" s="20" t="n"/>
      <c r="ES20" s="20" t="n"/>
      <c r="ET20" s="20" t="n"/>
      <c r="EU20" s="20" t="n"/>
      <c r="EV20" s="20" t="n"/>
      <c r="EW20" s="20" t="n"/>
      <c r="EX20" s="20" t="n"/>
      <c r="EY20" s="20" t="n"/>
      <c r="EZ20" s="20" t="n"/>
      <c r="FA20" s="20" t="n"/>
      <c r="FB20" s="20" t="n"/>
      <c r="FC20" s="20" t="n"/>
      <c r="FD20" s="20" t="n"/>
      <c r="FE20" s="20" t="n"/>
      <c r="FF20" s="20" t="n"/>
      <c r="FG20" s="20" t="n"/>
      <c r="FH20" s="20" t="n"/>
      <c r="FI20" s="20" t="n"/>
      <c r="FJ20" s="20" t="n"/>
      <c r="FK20" s="47" t="n"/>
      <c r="FL20" s="20" t="n"/>
      <c r="FM20" s="20" t="n"/>
      <c r="FN20" s="20" t="n"/>
      <c r="FO20" s="20" t="n"/>
      <c r="FP20" s="20" t="n"/>
      <c r="FQ20" s="20" t="n"/>
      <c r="FR20" s="20" t="n"/>
      <c r="FS20" s="20" t="n"/>
      <c r="FT20" s="20" t="n"/>
      <c r="FU20" s="20" t="n"/>
      <c r="FV20" s="20" t="n"/>
      <c r="FW20" s="20" t="n"/>
      <c r="FX20" s="20" t="n"/>
      <c r="FY20" s="20" t="n"/>
      <c r="FZ20" s="308" t="n"/>
      <c r="GA20" s="20" t="n"/>
      <c r="GB20" s="308" t="n"/>
      <c r="GC20" s="20" t="n"/>
      <c r="GD20" s="20" t="n"/>
      <c r="GE20" s="20" t="n"/>
      <c r="GF20" s="20" t="n"/>
      <c r="GG20" s="20" t="n"/>
      <c r="GH20" s="20" t="n"/>
      <c r="GI20" s="20" t="n"/>
      <c r="GJ20" s="20" t="n"/>
      <c r="GK20" s="20" t="n"/>
      <c r="GL20" s="20" t="n"/>
      <c r="GM20" s="20" t="n"/>
      <c r="GN20" s="20" t="n"/>
      <c r="GO20" s="20" t="n"/>
      <c r="GP20" s="20" t="n"/>
      <c r="GQ20" s="20" t="n"/>
      <c r="GS20" s="35" t="n"/>
      <c r="HQ20" s="35" t="n"/>
      <c r="IE20" s="35" t="n"/>
      <c r="IT20" s="35" t="n"/>
    </row>
    <row r="21" customFormat="1" s="3">
      <c r="A21" s="36" t="inlineStr">
        <is>
          <t>KIT SACOLAS BOTICÁRIO VENDIDAS</t>
        </is>
      </c>
      <c r="B21" s="13" t="inlineStr">
        <is>
          <t>MÓD</t>
        </is>
      </c>
      <c r="C21" s="13" t="inlineStr">
        <is>
          <t>R$</t>
        </is>
      </c>
      <c r="D21" s="13" t="n"/>
      <c r="E21" s="726" t="n"/>
      <c r="F21" s="746" t="n">
        <v>45656</v>
      </c>
      <c r="G21" s="746" t="n">
        <v>45663</v>
      </c>
      <c r="H21" s="746" t="n">
        <v>45670</v>
      </c>
      <c r="I21" s="746" t="n">
        <v>45677</v>
      </c>
      <c r="J21" s="746" t="n">
        <v>45684</v>
      </c>
      <c r="K21" s="746" t="n">
        <v>45691</v>
      </c>
      <c r="L21" s="746" t="n">
        <v>45698</v>
      </c>
      <c r="M21" s="746" t="n">
        <v>45705</v>
      </c>
      <c r="N21" s="746" t="n">
        <v>45712</v>
      </c>
      <c r="O21" s="746" t="n">
        <v>45719</v>
      </c>
      <c r="P21" s="746" t="n">
        <v>45726</v>
      </c>
      <c r="Q21" s="746" t="n">
        <v>45733</v>
      </c>
      <c r="R21" s="746" t="n">
        <v>45740</v>
      </c>
      <c r="S21" s="746" t="n">
        <v>45747</v>
      </c>
      <c r="T21" s="746" t="n">
        <v>45754</v>
      </c>
      <c r="U21" s="746" t="n">
        <v>45761</v>
      </c>
      <c r="V21" s="746" t="n">
        <v>45768</v>
      </c>
      <c r="W21" s="746" t="n">
        <v>45775</v>
      </c>
      <c r="X21" s="746" t="n">
        <v>45782</v>
      </c>
      <c r="Y21" s="746" t="n">
        <v>45789</v>
      </c>
      <c r="Z21" s="746" t="n">
        <v>45796</v>
      </c>
      <c r="AA21" s="746" t="n">
        <v>45803</v>
      </c>
      <c r="AB21" s="746" t="n">
        <v>45810</v>
      </c>
      <c r="AC21" s="746" t="n">
        <v>45817</v>
      </c>
      <c r="AD21" s="746" t="n">
        <v>45824</v>
      </c>
      <c r="AE21" s="746" t="n">
        <v>45831</v>
      </c>
      <c r="AF21" s="746" t="n">
        <v>45838</v>
      </c>
      <c r="AG21" s="746" t="n">
        <v>45845</v>
      </c>
      <c r="AH21" s="746" t="n">
        <v>45852</v>
      </c>
      <c r="AI21" s="746" t="n">
        <v>45859</v>
      </c>
      <c r="AJ21" s="746" t="n">
        <v>45866</v>
      </c>
      <c r="AK21" s="746" t="n">
        <v>45873</v>
      </c>
      <c r="AL21" s="746" t="n">
        <v>45880</v>
      </c>
      <c r="AM21" s="746" t="n">
        <v>45887</v>
      </c>
      <c r="AN21" s="746" t="n">
        <v>45894</v>
      </c>
      <c r="AO21" s="746" t="n">
        <v>45901</v>
      </c>
      <c r="AP21" s="746" t="n">
        <v>45915</v>
      </c>
      <c r="AQ21" s="746" t="n">
        <v>45922</v>
      </c>
      <c r="AR21" s="746" t="n">
        <v>45929</v>
      </c>
      <c r="AS21" s="746" t="n">
        <v>45936</v>
      </c>
      <c r="AT21" s="746" t="n">
        <v>45943</v>
      </c>
      <c r="AU21" s="746" t="n">
        <v>45950</v>
      </c>
      <c r="AV21" s="746" t="n">
        <v>45957</v>
      </c>
      <c r="AW21" s="746" t="n">
        <v>45964</v>
      </c>
      <c r="AX21" s="746" t="n">
        <v>45971</v>
      </c>
      <c r="AY21" s="746" t="n">
        <v>45978</v>
      </c>
      <c r="AZ21" s="746" t="n">
        <v>45985</v>
      </c>
      <c r="BA21" s="746" t="n">
        <v>45992</v>
      </c>
      <c r="BB21" s="746" t="n">
        <v>45999</v>
      </c>
      <c r="BC21" s="746" t="n">
        <v>46006</v>
      </c>
      <c r="BD21" s="746" t="n">
        <v>46013</v>
      </c>
      <c r="BE21" s="746" t="n">
        <v>46020</v>
      </c>
      <c r="BF21" s="746" t="n">
        <v>46027</v>
      </c>
      <c r="BG21" s="746" t="n">
        <v>46034</v>
      </c>
      <c r="BH21" s="746" t="n">
        <v>46041</v>
      </c>
      <c r="BI21" s="746" t="n">
        <v>46048</v>
      </c>
      <c r="BJ21" s="746" t="n">
        <v>46055</v>
      </c>
      <c r="BK21" s="746" t="n">
        <v>46062</v>
      </c>
      <c r="BL21" s="746" t="n">
        <v>46069</v>
      </c>
      <c r="BM21" s="746" t="n">
        <v>46076</v>
      </c>
      <c r="BN21" s="746" t="n">
        <v>46083</v>
      </c>
      <c r="BO21" s="746" t="n">
        <v>46090</v>
      </c>
      <c r="BP21" s="746" t="n">
        <v>46097</v>
      </c>
      <c r="BQ21" s="746" t="n">
        <v>46104</v>
      </c>
      <c r="BR21" s="746" t="n">
        <v>46111</v>
      </c>
      <c r="BS21" s="746" t="n">
        <v>46118</v>
      </c>
      <c r="BT21" s="746" t="n">
        <v>46125</v>
      </c>
      <c r="BU21" s="746" t="n">
        <v>46132</v>
      </c>
      <c r="BV21" s="746" t="n">
        <v>46139</v>
      </c>
      <c r="BW21" s="746" t="n">
        <v>46146</v>
      </c>
      <c r="BX21" s="746" t="n">
        <v>46154</v>
      </c>
      <c r="BY21" s="746" t="n">
        <v>46160</v>
      </c>
      <c r="BZ21" s="747" t="n">
        <v>46161.48025125</v>
      </c>
      <c r="CA21" s="747" t="n">
        <v>46161.48090906642</v>
      </c>
      <c r="CB21" s="748" t="inlineStr">
        <is>
          <t>USOU</t>
        </is>
      </c>
      <c r="CC21" s="5" t="n"/>
      <c r="CD21" s="44" t="inlineStr">
        <is>
          <t>Pendências</t>
        </is>
      </c>
      <c r="CE21" s="44" t="inlineStr">
        <is>
          <t>Pendências</t>
        </is>
      </c>
      <c r="CF21" s="5" t="n"/>
      <c r="CG21" s="12" t="inlineStr">
        <is>
          <t>Novo Pedido</t>
        </is>
      </c>
      <c r="CH21" s="824" t="n">
        <v>46161.48090514402</v>
      </c>
      <c r="CI21" s="794" t="n">
        <v>46149</v>
      </c>
      <c r="CJ21" s="794" t="n">
        <v>46142</v>
      </c>
      <c r="CK21" s="794" t="n">
        <v>46114</v>
      </c>
      <c r="CL21" s="794" t="n">
        <v>46107</v>
      </c>
      <c r="CM21" s="795" t="n">
        <v>46065</v>
      </c>
      <c r="CN21" s="794" t="n">
        <v>46099</v>
      </c>
      <c r="CO21" s="794" t="n">
        <v>46092</v>
      </c>
      <c r="CP21" s="796" t="n">
        <v>46045</v>
      </c>
      <c r="CQ21" s="794" t="n">
        <v>46084</v>
      </c>
      <c r="CR21" s="797" t="n">
        <v>46085</v>
      </c>
      <c r="CS21" s="794" t="n">
        <v>46077</v>
      </c>
      <c r="CT21" s="794" t="n">
        <v>46071</v>
      </c>
      <c r="CU21" s="794" t="n">
        <v>46056</v>
      </c>
      <c r="CV21" s="794" t="n">
        <v>46048</v>
      </c>
      <c r="CW21" s="794" t="n">
        <v>46056</v>
      </c>
      <c r="CX21" s="794" t="n">
        <v>46048</v>
      </c>
      <c r="CY21" s="794" t="n">
        <v>46043</v>
      </c>
      <c r="CZ21" s="794" t="n">
        <v>46035</v>
      </c>
      <c r="DA21" s="794" t="n">
        <v>46043</v>
      </c>
      <c r="DB21" s="794" t="n">
        <v>46035</v>
      </c>
      <c r="DC21" s="794" t="n">
        <v>46035</v>
      </c>
      <c r="DD21" s="794" t="n">
        <v>46029</v>
      </c>
      <c r="DE21" s="794" t="n">
        <v>46017</v>
      </c>
      <c r="DF21" s="794" t="n">
        <v>46007</v>
      </c>
      <c r="DG21" s="794" t="n">
        <v>46007</v>
      </c>
      <c r="DH21" s="794" t="n">
        <v>46001</v>
      </c>
      <c r="DI21" s="794" t="n">
        <v>46001</v>
      </c>
      <c r="DJ21" s="794" t="n">
        <v>45994</v>
      </c>
      <c r="DK21" s="794" t="n">
        <v>45994</v>
      </c>
      <c r="DL21" s="794" t="n">
        <v>45986</v>
      </c>
      <c r="DM21" s="794" t="n">
        <v>45980</v>
      </c>
      <c r="DN21" s="797" t="n">
        <v>45982</v>
      </c>
      <c r="DO21" s="794" t="n">
        <v>45973</v>
      </c>
      <c r="DP21" s="794" t="n">
        <v>45965</v>
      </c>
      <c r="DQ21" s="794" t="n">
        <v>45965</v>
      </c>
      <c r="DR21" s="794" t="n">
        <v>45960</v>
      </c>
      <c r="DS21" s="794" t="n">
        <v>45960</v>
      </c>
      <c r="DT21" s="794" t="n">
        <v>45951</v>
      </c>
      <c r="DU21" s="794" t="n">
        <v>45945</v>
      </c>
      <c r="DV21" s="737" t="n">
        <v>45903</v>
      </c>
      <c r="DW21" s="794" t="n">
        <v>45945</v>
      </c>
      <c r="DX21" s="794" t="n">
        <v>45937</v>
      </c>
      <c r="DY21" s="794" t="n">
        <v>45923</v>
      </c>
      <c r="DZ21" s="794" t="n">
        <v>45931</v>
      </c>
      <c r="EA21" s="794" t="n">
        <v>45931</v>
      </c>
      <c r="EB21" s="794" t="n">
        <v>45915</v>
      </c>
      <c r="EC21" s="794" t="n">
        <v>45923</v>
      </c>
      <c r="ED21" s="794" t="n">
        <v>45915</v>
      </c>
      <c r="EE21" s="797" t="n">
        <v>45918</v>
      </c>
      <c r="EF21" s="794" t="n">
        <v>45903</v>
      </c>
      <c r="EG21" s="738" t="n">
        <v>45903</v>
      </c>
      <c r="EH21" s="794" t="n">
        <v>45895</v>
      </c>
      <c r="EI21" s="797" t="n">
        <v>45896</v>
      </c>
      <c r="EJ21" s="794" t="n">
        <v>45888</v>
      </c>
      <c r="EK21" s="794" t="n">
        <v>45888</v>
      </c>
      <c r="EL21" s="794" t="n">
        <v>45881</v>
      </c>
      <c r="EM21" s="797" t="n">
        <v>45881</v>
      </c>
      <c r="EN21" s="794" t="n">
        <v>45874</v>
      </c>
      <c r="EO21" s="797" t="n">
        <v>45876</v>
      </c>
      <c r="EP21" s="794" t="n">
        <v>45867</v>
      </c>
      <c r="EQ21" s="794" t="n">
        <v>45860</v>
      </c>
      <c r="ER21" s="794" t="n">
        <v>45839</v>
      </c>
      <c r="ES21" s="797" t="n">
        <v>45861</v>
      </c>
      <c r="ET21" s="797" t="n">
        <v>45860</v>
      </c>
      <c r="EU21" s="794" t="n">
        <v>45853</v>
      </c>
      <c r="EV21" s="739" t="n">
        <v>45855</v>
      </c>
      <c r="EW21" s="794" t="n">
        <v>45848</v>
      </c>
      <c r="EX21" s="794" t="n">
        <v>45839</v>
      </c>
      <c r="EY21" s="739" t="n">
        <v>45791</v>
      </c>
      <c r="EZ21" s="797" t="n">
        <v>45835</v>
      </c>
      <c r="FA21" s="794" t="n">
        <v>45832</v>
      </c>
      <c r="FB21" s="794" t="n">
        <v>45825</v>
      </c>
      <c r="FC21" s="794" t="n">
        <v>45819</v>
      </c>
      <c r="FD21" s="794" t="n">
        <v>45813</v>
      </c>
      <c r="FE21" s="794" t="n">
        <v>45805</v>
      </c>
      <c r="FF21" s="797" t="n">
        <v>45811</v>
      </c>
      <c r="FG21" s="797" t="n">
        <v>45810</v>
      </c>
      <c r="FH21" s="794" t="n">
        <v>45798</v>
      </c>
      <c r="FI21" s="797" t="n">
        <v>45803</v>
      </c>
      <c r="FJ21" s="755" t="n">
        <v>45803</v>
      </c>
      <c r="FK21" s="797" t="n">
        <v>45800</v>
      </c>
      <c r="FL21" s="742" t="n">
        <v>45735</v>
      </c>
      <c r="FM21" s="797" t="n">
        <v>45796</v>
      </c>
      <c r="FN21" s="794" t="n">
        <v>45790</v>
      </c>
      <c r="FO21" s="794" t="n">
        <v>45784</v>
      </c>
      <c r="FP21" s="797" t="n">
        <v>45791</v>
      </c>
      <c r="FQ21" s="794" t="n">
        <v>45783</v>
      </c>
      <c r="FR21" s="794" t="n">
        <v>45770</v>
      </c>
      <c r="FS21" s="794" t="n">
        <v>45775</v>
      </c>
      <c r="FT21" s="794" t="n">
        <v>45770</v>
      </c>
      <c r="FU21" s="797" t="n">
        <v>45775</v>
      </c>
      <c r="FV21" s="794" t="n">
        <v>45756</v>
      </c>
      <c r="FW21" s="794" t="n">
        <v>45749</v>
      </c>
      <c r="FX21" s="797" t="n">
        <v>45751</v>
      </c>
      <c r="FY21" s="794" t="n">
        <v>45743</v>
      </c>
      <c r="FZ21" s="746" t="n">
        <v>45729</v>
      </c>
      <c r="GA21" s="794" t="n">
        <v>45722</v>
      </c>
      <c r="GB21" s="746" t="n">
        <v>45700</v>
      </c>
      <c r="GC21" s="797" t="n">
        <v>45722</v>
      </c>
      <c r="GD21" s="794" t="n">
        <v>45714</v>
      </c>
      <c r="GE21" s="794" t="n">
        <v>45706</v>
      </c>
      <c r="GF21" s="794" t="n">
        <v>45699</v>
      </c>
      <c r="GG21" s="794" t="n">
        <v>45693</v>
      </c>
      <c r="GH21" s="794" t="n">
        <v>45685</v>
      </c>
      <c r="GI21" s="797" t="n">
        <v>45687</v>
      </c>
      <c r="GJ21" s="794" t="n">
        <v>45664</v>
      </c>
      <c r="GK21" s="794" t="n">
        <v>45679</v>
      </c>
      <c r="GL21" s="797" t="n">
        <v>45684</v>
      </c>
      <c r="GM21" s="794" t="n">
        <v>45664</v>
      </c>
      <c r="GN21" s="794" t="n">
        <v>45660</v>
      </c>
      <c r="GO21" s="794" t="n">
        <v>45652</v>
      </c>
      <c r="GP21" s="794" t="n">
        <v>45643</v>
      </c>
      <c r="GQ21" s="794" t="n">
        <v>45638</v>
      </c>
      <c r="GS21" s="298" t="inlineStr">
        <is>
          <t>SACOLAS VENDA</t>
        </is>
      </c>
      <c r="GT21" s="544" t="inlineStr">
        <is>
          <t>PCT</t>
        </is>
      </c>
      <c r="GU21" s="536" t="n">
        <v>45726</v>
      </c>
      <c r="GV21" s="536" t="n">
        <v>45733</v>
      </c>
      <c r="GW21" s="536" t="n">
        <v>45740</v>
      </c>
      <c r="GX21" s="536" t="n">
        <v>45747</v>
      </c>
      <c r="GY21" s="536" t="n">
        <v>45754</v>
      </c>
      <c r="GZ21" s="536" t="n">
        <v>45761</v>
      </c>
      <c r="HA21" s="536" t="n">
        <v>45768</v>
      </c>
      <c r="HB21" s="536" t="n">
        <v>45775</v>
      </c>
      <c r="HC21" s="536" t="n">
        <v>45782</v>
      </c>
      <c r="HD21" s="536" t="n">
        <v>45789</v>
      </c>
      <c r="HE21" s="536" t="n">
        <v>45796</v>
      </c>
      <c r="HF21" s="536" t="n">
        <v>45803</v>
      </c>
      <c r="HG21" s="536" t="n">
        <v>45810</v>
      </c>
      <c r="HH21" s="536" t="n">
        <v>45817</v>
      </c>
      <c r="HI21" s="536" t="n">
        <v>45824</v>
      </c>
      <c r="HJ21" s="536" t="n">
        <v>45831</v>
      </c>
      <c r="HK21" s="825" t="n">
        <v>46160</v>
      </c>
      <c r="HL21" s="536" t="n">
        <v>45838</v>
      </c>
      <c r="HM21" s="800" t="n">
        <v>46161.48025002315</v>
      </c>
      <c r="HN21" s="800" t="n">
        <v>46161.48090785826</v>
      </c>
      <c r="HO21" s="235" t="inlineStr">
        <is>
          <t>USOU</t>
        </is>
      </c>
      <c r="HQ21" s="804" t="inlineStr">
        <is>
          <t>SACOLAS VENDA</t>
        </is>
      </c>
      <c r="HR21" s="805" t="inlineStr">
        <is>
          <t>PCT</t>
        </is>
      </c>
      <c r="HS21" s="398" t="n">
        <v>45796</v>
      </c>
      <c r="HT21" s="398" t="n">
        <v>45803</v>
      </c>
      <c r="HU21" s="398" t="n">
        <v>45810</v>
      </c>
      <c r="HV21" s="398" t="n">
        <v>45817</v>
      </c>
      <c r="HW21" s="398" t="n">
        <v>45824</v>
      </c>
      <c r="HX21" s="398" t="n">
        <v>45831</v>
      </c>
      <c r="HY21" s="398" t="n">
        <v>45838</v>
      </c>
      <c r="HZ21" s="806" t="n">
        <v>46160</v>
      </c>
      <c r="IA21" s="888" t="n">
        <v>46161.48024940972</v>
      </c>
      <c r="IB21" s="888" t="n">
        <v>46161.48090729108</v>
      </c>
      <c r="IC21" s="368" t="inlineStr">
        <is>
          <t>USOU</t>
        </is>
      </c>
      <c r="IE21" s="809" t="inlineStr">
        <is>
          <t>SACOLAS VENDA</t>
        </is>
      </c>
      <c r="IF21" s="810" t="inlineStr">
        <is>
          <t>PCT</t>
        </is>
      </c>
      <c r="IG21" s="811" t="n">
        <v>45845</v>
      </c>
      <c r="IH21" s="811" t="n">
        <v>45852</v>
      </c>
      <c r="II21" s="811" t="n">
        <v>45859</v>
      </c>
      <c r="IJ21" s="811" t="n">
        <v>45866</v>
      </c>
      <c r="IK21" s="811" t="n">
        <v>45873</v>
      </c>
      <c r="IL21" s="811" t="n">
        <v>45880</v>
      </c>
      <c r="IM21" s="811" t="n">
        <v>45887</v>
      </c>
      <c r="IN21" s="811" t="n">
        <v>45894</v>
      </c>
      <c r="IO21" s="737" t="n">
        <v>46160</v>
      </c>
      <c r="IP21" s="812" t="n">
        <v>46161.4802487963</v>
      </c>
      <c r="IQ21" s="812" t="n">
        <v>46161.48090660524</v>
      </c>
      <c r="IR21" s="813" t="inlineStr">
        <is>
          <t>USOU</t>
        </is>
      </c>
      <c r="IT21" s="438" t="inlineStr">
        <is>
          <t>DIVERSOS VENDA</t>
        </is>
      </c>
      <c r="IU21" s="571" t="inlineStr">
        <is>
          <t>PCT</t>
        </is>
      </c>
      <c r="IV21" s="513" t="n">
        <v>45950</v>
      </c>
      <c r="IW21" s="513" t="n">
        <v>45957</v>
      </c>
      <c r="IX21" s="513" t="n">
        <v>45964</v>
      </c>
      <c r="IY21" s="737" t="n">
        <v>46160</v>
      </c>
      <c r="IZ21" s="812" t="n">
        <v>46161.48024825232</v>
      </c>
      <c r="JA21" s="812" t="n">
        <v>46161.48090603379</v>
      </c>
      <c r="JB21" s="411" t="inlineStr">
        <is>
          <t>USOU</t>
        </is>
      </c>
    </row>
    <row r="22" ht="18.75" customFormat="1" customHeight="1" s="3">
      <c r="A22" s="37" t="inlineStr">
        <is>
          <t>KIT SACOLA PP VERDE (KIT C/ 10)</t>
        </is>
      </c>
      <c r="B22" s="699" t="n">
        <v>280</v>
      </c>
      <c r="C22" s="762" t="n">
        <v>166.44</v>
      </c>
      <c r="D22" s="382" t="n">
        <v>20</v>
      </c>
      <c r="E22" s="826" t="n"/>
      <c r="F22" s="31">
        <f>22+GM22</f>
        <v/>
      </c>
      <c r="G22" s="31" t="n">
        <v>48</v>
      </c>
      <c r="H22" s="31" t="n">
        <v>45</v>
      </c>
      <c r="I22" s="31" t="n">
        <v>45</v>
      </c>
      <c r="J22" s="31" t="n">
        <v>43</v>
      </c>
      <c r="K22" s="31" t="n">
        <v>43</v>
      </c>
      <c r="L22" s="31" t="n">
        <v>43</v>
      </c>
      <c r="M22" s="31" t="n">
        <v>39</v>
      </c>
      <c r="N22" s="31" t="n">
        <v>35</v>
      </c>
      <c r="O22" s="31" t="n">
        <v>29</v>
      </c>
      <c r="P22" s="31">
        <f>28+FY22</f>
        <v/>
      </c>
      <c r="Q22" s="31" t="n">
        <v>82</v>
      </c>
      <c r="R22" s="31" t="n">
        <v>71</v>
      </c>
      <c r="S22" s="31" t="n">
        <v>70</v>
      </c>
      <c r="T22" s="31" t="n">
        <v>69</v>
      </c>
      <c r="U22" s="31" t="n">
        <v>64</v>
      </c>
      <c r="V22" s="31" t="n">
        <v>63</v>
      </c>
      <c r="W22" s="31" t="n">
        <v>63</v>
      </c>
      <c r="X22" s="31" t="n">
        <v>57</v>
      </c>
      <c r="Y22" s="31" t="n">
        <v>49</v>
      </c>
      <c r="Z22" s="31" t="n">
        <v>47</v>
      </c>
      <c r="AA22" s="31" t="n">
        <v>47</v>
      </c>
      <c r="AB22" s="31" t="n">
        <v>46</v>
      </c>
      <c r="AC22" s="31" t="n">
        <v>43</v>
      </c>
      <c r="AD22" s="31" t="n">
        <v>37</v>
      </c>
      <c r="AE22" s="31" t="n">
        <v>37</v>
      </c>
      <c r="AF22" s="31" t="n">
        <v>37</v>
      </c>
      <c r="AG22" s="31" t="n">
        <v>37</v>
      </c>
      <c r="AH22" s="31" t="n">
        <v>35</v>
      </c>
      <c r="AI22" s="31" t="n">
        <v>35</v>
      </c>
      <c r="AJ22" s="31" t="n">
        <v>35</v>
      </c>
      <c r="AK22" s="31" t="n">
        <v>35</v>
      </c>
      <c r="AL22" s="31" t="n">
        <v>29</v>
      </c>
      <c r="AM22" s="31" t="n">
        <v>29</v>
      </c>
      <c r="AN22" s="31" t="n">
        <v>27</v>
      </c>
      <c r="AO22" s="31" t="n">
        <v>16</v>
      </c>
      <c r="AP22" s="31" t="n">
        <v>15</v>
      </c>
      <c r="AQ22" s="31" t="n">
        <v>14</v>
      </c>
      <c r="AR22" s="31" t="n">
        <v>13</v>
      </c>
      <c r="AS22" s="31" t="n">
        <v>13</v>
      </c>
      <c r="AT22" s="31" t="n">
        <v>10</v>
      </c>
      <c r="AU22" s="31" t="n">
        <v>9</v>
      </c>
      <c r="AV22" s="31" t="n">
        <v>8</v>
      </c>
      <c r="AW22" s="31" t="n">
        <v>8</v>
      </c>
      <c r="AX22" s="31" t="n">
        <v>6</v>
      </c>
      <c r="AY22" s="31" t="n">
        <v>3</v>
      </c>
      <c r="AZ22" s="31" t="n">
        <v>3</v>
      </c>
      <c r="BA22" s="31" t="n">
        <v>3</v>
      </c>
      <c r="BB22" s="31" t="n">
        <v>2</v>
      </c>
      <c r="BC22" s="31" t="n">
        <v>2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/>
      <c r="BT22" s="31" t="n"/>
      <c r="BU22" s="31" t="n"/>
      <c r="BV22" s="31" t="n"/>
      <c r="BW22" s="31" t="n"/>
      <c r="BX22" s="31" t="n">
        <v>0</v>
      </c>
      <c r="BY22" s="31" t="n">
        <v>0</v>
      </c>
      <c r="BZ22" s="766" t="n">
        <v>0</v>
      </c>
      <c r="CA22" s="766" t="n">
        <v>0</v>
      </c>
      <c r="CB22" s="192">
        <f>BZ22+IF(NOT(ISBLANK(OFFSET(CB22,0,6))),N(OFFSET(CB22,0,6)),N(OFFSET(CB22,0,7)))-CA22</f>
        <v/>
      </c>
      <c r="CC22" s="72" t="n"/>
      <c r="CD22" s="22" t="n"/>
      <c r="CE22" s="22" t="n"/>
      <c r="CF22" s="5" t="n"/>
      <c r="CG22" s="27" t="n"/>
      <c r="CH22" s="433" t="n">
        <v>0</v>
      </c>
      <c r="CI22" s="23" t="n">
        <v>0</v>
      </c>
      <c r="CJ22" s="23" t="n">
        <v>0</v>
      </c>
      <c r="CK22" s="23" t="n">
        <v>0</v>
      </c>
      <c r="CL22" s="23" t="n"/>
      <c r="CM22" s="419" t="n">
        <v>200</v>
      </c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23" t="n"/>
      <c r="DK22" s="23" t="n"/>
      <c r="DL22" s="23" t="n"/>
      <c r="DM22" s="23" t="n"/>
      <c r="DN22" s="219" t="n"/>
      <c r="DO22" s="23" t="n"/>
      <c r="DP22" s="23" t="n"/>
      <c r="DQ22" s="23" t="n"/>
      <c r="DR22" s="23" t="n"/>
      <c r="DS22" s="23" t="n"/>
      <c r="DT22" s="23" t="n"/>
      <c r="DU22" s="23" t="n"/>
      <c r="DV22" s="219" t="n">
        <v>10</v>
      </c>
      <c r="DW22" s="23" t="n"/>
      <c r="DX22" s="23" t="n"/>
      <c r="DY22" s="23" t="n"/>
      <c r="DZ22" s="23" t="n"/>
      <c r="EA22" s="23" t="n"/>
      <c r="EB22" s="23" t="n"/>
      <c r="EC22" s="23" t="n"/>
      <c r="ED22" s="23" t="n"/>
      <c r="EE22" s="23" t="n"/>
      <c r="EF22" s="23" t="n"/>
      <c r="EG22" s="23" t="n"/>
      <c r="EH22" s="23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3" t="n"/>
      <c r="FK22" s="23" t="n"/>
      <c r="FL22" s="219" t="n"/>
      <c r="FM22" s="23" t="n"/>
      <c r="FN22" s="23" t="n"/>
      <c r="FO22" s="23" t="n"/>
      <c r="FP22" s="23" t="n"/>
      <c r="FQ22" s="23" t="n"/>
      <c r="FR22" s="23" t="n"/>
      <c r="FS22" s="23" t="n"/>
      <c r="FT22" s="23" t="n"/>
      <c r="FU22" s="23" t="n"/>
      <c r="FV22" s="23" t="n"/>
      <c r="FW22" s="23" t="n"/>
      <c r="FX22" s="23" t="n"/>
      <c r="FY22" s="23" t="n"/>
      <c r="FZ22" s="219" t="n"/>
      <c r="GA22" s="23" t="n">
        <v>56</v>
      </c>
      <c r="GB22" s="219" t="n">
        <v>400</v>
      </c>
      <c r="GC22" s="23" t="n"/>
      <c r="GD22" s="23" t="n"/>
      <c r="GE22" s="23" t="n"/>
      <c r="GF22" s="23" t="n"/>
      <c r="GG22" s="23" t="n"/>
      <c r="GH22" s="23" t="n"/>
      <c r="GI22" s="23" t="n"/>
      <c r="GJ22" s="23" t="n"/>
      <c r="GK22" s="23" t="n"/>
      <c r="GL22" s="23" t="n"/>
      <c r="GM22" s="23" t="n"/>
      <c r="GN22" s="23" t="n"/>
      <c r="GO22" s="23" t="n">
        <v>28</v>
      </c>
      <c r="GP22" s="23" t="n"/>
      <c r="GQ22" s="23" t="n"/>
      <c r="GS22" s="65" t="inlineStr">
        <is>
          <t>SACOLA P</t>
        </is>
      </c>
      <c r="GT22" s="208" t="n">
        <v>200</v>
      </c>
      <c r="GU22" s="699">
        <f>FZ22</f>
        <v/>
      </c>
      <c r="GV22" s="699" t="n">
        <v>400</v>
      </c>
      <c r="GW22" s="699" t="n">
        <v>383</v>
      </c>
      <c r="GX22" s="699" t="n">
        <v>351</v>
      </c>
      <c r="GY22" s="699" t="n">
        <v>350</v>
      </c>
      <c r="GZ22" s="699" t="n">
        <v>329</v>
      </c>
      <c r="HA22" s="218" t="n">
        <v>629</v>
      </c>
      <c r="HB22" s="699" t="n">
        <v>528</v>
      </c>
      <c r="HC22" s="699" t="n">
        <v>513</v>
      </c>
      <c r="HD22" s="699" t="n">
        <v>0</v>
      </c>
      <c r="HE22" s="699" t="n">
        <v>0</v>
      </c>
      <c r="HF22" s="699" t="n">
        <v>0</v>
      </c>
      <c r="HG22" s="699" t="n">
        <v>0</v>
      </c>
      <c r="HH22" s="699" t="n">
        <v>0</v>
      </c>
      <c r="HI22" s="699" t="n">
        <v>0</v>
      </c>
      <c r="HJ22" s="699" t="n">
        <v>0</v>
      </c>
      <c r="HK22" s="699" t="n"/>
      <c r="HL22" s="699" t="n">
        <v>0</v>
      </c>
      <c r="HM22" s="699" t="n"/>
      <c r="HN22" s="699" t="n"/>
      <c r="HO22" s="745" t="n"/>
      <c r="HQ22" s="819" t="n"/>
      <c r="HR22" s="745" t="n"/>
      <c r="HS22" s="745" t="n"/>
      <c r="HT22" s="745" t="n"/>
      <c r="HU22" s="745" t="n"/>
      <c r="HV22" s="745" t="n"/>
      <c r="HW22" s="745" t="n"/>
      <c r="HX22" s="745" t="n"/>
      <c r="HY22" s="745" t="n"/>
      <c r="HZ22" s="512" t="n"/>
      <c r="IA22" s="745" t="n"/>
      <c r="IB22" s="890" t="n"/>
      <c r="IC22" s="745" t="n"/>
      <c r="IE22" s="819" t="n"/>
      <c r="IF22" s="745" t="n"/>
      <c r="IG22" s="745" t="n"/>
      <c r="IH22" s="745" t="n"/>
      <c r="II22" s="745" t="n"/>
      <c r="IJ22" s="745" t="n"/>
      <c r="IK22" s="745" t="n"/>
      <c r="IL22" s="745" t="n"/>
      <c r="IM22" s="745" t="n"/>
      <c r="IN22" s="745" t="n"/>
      <c r="IO22" s="514" t="n"/>
      <c r="IP22" s="821" t="n"/>
      <c r="IQ22" s="821" t="n"/>
      <c r="IR22" s="745" t="n"/>
      <c r="IT22" s="37" t="inlineStr">
        <is>
          <t>KIT PAPEL SEDA 10 PC C/ 20</t>
        </is>
      </c>
      <c r="IU22" s="208" t="n">
        <v>200</v>
      </c>
      <c r="IV22" s="699" t="n">
        <v>0</v>
      </c>
      <c r="IW22" s="699">
        <f>DT22</f>
        <v/>
      </c>
      <c r="IX22" s="699" t="n"/>
      <c r="IY22" s="699" t="n"/>
      <c r="IZ22" s="699" t="n"/>
      <c r="JA22" s="699" t="n"/>
      <c r="JB22" s="445" t="n"/>
    </row>
    <row r="23" ht="18.75" customFormat="1" customHeight="1" s="3">
      <c r="A23" s="37" t="inlineStr">
        <is>
          <t>KIT SACOLA P VERDE (KIT C/ 10)</t>
        </is>
      </c>
      <c r="B23" s="699" t="n">
        <v>200</v>
      </c>
      <c r="C23" s="762" t="n">
        <v>184.08</v>
      </c>
      <c r="D23" s="382" t="n">
        <v>20</v>
      </c>
      <c r="E23" s="2" t="n"/>
      <c r="F23" s="697">
        <f>15+GM23</f>
        <v/>
      </c>
      <c r="G23" s="697" t="n">
        <v>53</v>
      </c>
      <c r="H23" s="697" t="n">
        <v>47</v>
      </c>
      <c r="I23" s="697" t="n">
        <v>47</v>
      </c>
      <c r="J23" s="697" t="n">
        <v>44</v>
      </c>
      <c r="K23" s="697" t="n">
        <v>44</v>
      </c>
      <c r="L23" s="697" t="n">
        <v>43</v>
      </c>
      <c r="M23" s="697" t="n">
        <v>40</v>
      </c>
      <c r="N23" s="697" t="n">
        <v>35</v>
      </c>
      <c r="O23" s="697" t="n">
        <v>30</v>
      </c>
      <c r="P23" s="697">
        <f>29+FY23</f>
        <v/>
      </c>
      <c r="Q23" s="697" t="n">
        <v>68</v>
      </c>
      <c r="R23" s="697" t="n">
        <v>57</v>
      </c>
      <c r="S23" s="697">
        <f>57+FW23</f>
        <v/>
      </c>
      <c r="T23" s="697" t="n">
        <v>155</v>
      </c>
      <c r="U23" s="697" t="n">
        <v>149</v>
      </c>
      <c r="V23" s="697" t="n">
        <v>148</v>
      </c>
      <c r="W23" s="697" t="n">
        <v>148</v>
      </c>
      <c r="X23" s="697" t="n">
        <v>145</v>
      </c>
      <c r="Y23" s="697" t="n">
        <v>137</v>
      </c>
      <c r="Z23" s="697" t="n">
        <v>136</v>
      </c>
      <c r="AA23" s="697" t="n">
        <v>134</v>
      </c>
      <c r="AB23" s="697" t="n">
        <v>134</v>
      </c>
      <c r="AC23" s="697" t="n">
        <v>132</v>
      </c>
      <c r="AD23" s="697" t="n">
        <v>126</v>
      </c>
      <c r="AE23" s="697">
        <f>119-41</f>
        <v/>
      </c>
      <c r="AF23" s="697" t="n">
        <v>78</v>
      </c>
      <c r="AG23" s="697" t="n">
        <v>78</v>
      </c>
      <c r="AH23" s="697" t="n">
        <v>77</v>
      </c>
      <c r="AI23" s="697" t="n">
        <v>77</v>
      </c>
      <c r="AJ23" s="697" t="n">
        <v>77</v>
      </c>
      <c r="AK23" s="697" t="n">
        <v>77</v>
      </c>
      <c r="AL23" s="697" t="n">
        <v>70</v>
      </c>
      <c r="AM23" s="697" t="n">
        <v>70</v>
      </c>
      <c r="AN23" s="697" t="n">
        <v>70</v>
      </c>
      <c r="AO23" s="697" t="n">
        <v>68</v>
      </c>
      <c r="AP23" s="697" t="n">
        <v>66</v>
      </c>
      <c r="AQ23" s="697" t="n">
        <v>66</v>
      </c>
      <c r="AR23" s="697" t="n">
        <v>65</v>
      </c>
      <c r="AS23" s="697" t="n">
        <v>62</v>
      </c>
      <c r="AT23" s="697" t="n">
        <v>60</v>
      </c>
      <c r="AU23" s="697" t="n">
        <v>59</v>
      </c>
      <c r="AV23" s="697" t="n">
        <v>59</v>
      </c>
      <c r="AW23" s="697" t="n">
        <v>59</v>
      </c>
      <c r="AX23" s="697" t="n">
        <v>58</v>
      </c>
      <c r="AY23" s="697" t="n">
        <v>54</v>
      </c>
      <c r="AZ23" s="697" t="n">
        <v>53</v>
      </c>
      <c r="BA23" s="697" t="n">
        <v>50</v>
      </c>
      <c r="BB23" s="697" t="n">
        <v>49</v>
      </c>
      <c r="BC23" s="697" t="n">
        <v>44</v>
      </c>
      <c r="BD23" s="697" t="n">
        <v>32</v>
      </c>
      <c r="BE23" s="697" t="n">
        <v>31</v>
      </c>
      <c r="BF23" s="697" t="n">
        <v>31</v>
      </c>
      <c r="BG23" s="697" t="n">
        <v>28</v>
      </c>
      <c r="BH23" s="697" t="n">
        <v>27</v>
      </c>
      <c r="BI23" s="697" t="n">
        <v>26</v>
      </c>
      <c r="BJ23" s="697" t="n">
        <v>25</v>
      </c>
      <c r="BK23" s="697" t="n">
        <v>23</v>
      </c>
      <c r="BL23" s="697" t="n">
        <v>22</v>
      </c>
      <c r="BM23" s="697" t="n">
        <v>20</v>
      </c>
      <c r="BN23" s="697" t="n">
        <v>20</v>
      </c>
      <c r="BO23" s="697" t="n">
        <v>18</v>
      </c>
      <c r="BP23" s="697" t="n">
        <v>17</v>
      </c>
      <c r="BQ23" s="697" t="n">
        <v>16</v>
      </c>
      <c r="BR23" s="697" t="n">
        <v>16</v>
      </c>
      <c r="BS23" s="697" t="n"/>
      <c r="BT23" s="697" t="n"/>
      <c r="BU23" s="697" t="n"/>
      <c r="BV23" s="697" t="n"/>
      <c r="BW23" s="697" t="n"/>
      <c r="BX23" s="697" t="n">
        <v>1</v>
      </c>
      <c r="BY23" s="697" t="n">
        <v>0</v>
      </c>
      <c r="BZ23" s="699" t="n">
        <v>0</v>
      </c>
      <c r="CA23" s="699" t="n">
        <v>0</v>
      </c>
      <c r="CB23" s="192">
        <f>BZ23+IF(NOT(ISBLANK(OFFSET(CB23,0,6))),N(OFFSET(CB23,0,6)),N(OFFSET(CB23,0,7)))-CA23</f>
        <v/>
      </c>
      <c r="CC23" s="72" t="n"/>
      <c r="CD23" s="22" t="inlineStr">
        <is>
          <t>CONSUMO</t>
        </is>
      </c>
      <c r="CE23" s="22" t="n"/>
      <c r="CF23" s="5" t="n"/>
      <c r="CG23" s="27" t="n">
        <v>200</v>
      </c>
      <c r="CH23" s="757" t="n">
        <v>0</v>
      </c>
      <c r="CI23" s="23" t="n">
        <v>0</v>
      </c>
      <c r="CJ23" s="23" t="n">
        <v>0</v>
      </c>
      <c r="CK23" s="23" t="n">
        <v>0</v>
      </c>
      <c r="CL23" s="23" t="n"/>
      <c r="CM23" s="23" t="n"/>
      <c r="CN23" s="23" t="n"/>
      <c r="CO23" s="23" t="n"/>
      <c r="CP23" s="23" t="n"/>
      <c r="CQ23" s="23" t="n"/>
      <c r="CR23" s="23" t="n"/>
      <c r="CS23" s="23" t="n"/>
      <c r="CT23" s="23" t="n"/>
      <c r="CU23" s="23" t="n"/>
      <c r="CV23" s="23" t="n"/>
      <c r="CW23" s="23" t="n"/>
      <c r="CX23" s="23" t="n"/>
      <c r="CY23" s="23" t="n"/>
      <c r="CZ23" s="23" t="n"/>
      <c r="DA23" s="23" t="n"/>
      <c r="DB23" s="23" t="n"/>
      <c r="DC23" s="23" t="n"/>
      <c r="DD23" s="23" t="n"/>
      <c r="DE23" s="23" t="n"/>
      <c r="DF23" s="23" t="n"/>
      <c r="DG23" s="23" t="n"/>
      <c r="DH23" s="23" t="n"/>
      <c r="DI23" s="23" t="n"/>
      <c r="DJ23" s="23" t="n"/>
      <c r="DK23" s="23" t="n"/>
      <c r="DL23" s="23" t="n"/>
      <c r="DM23" s="23" t="n"/>
      <c r="DN23" s="219" t="n"/>
      <c r="DO23" s="23" t="n"/>
      <c r="DP23" s="23" t="n"/>
      <c r="DQ23" s="23" t="n"/>
      <c r="DR23" s="23" t="n"/>
      <c r="DS23" s="23" t="n"/>
      <c r="DT23" s="23" t="n"/>
      <c r="DU23" s="23" t="n"/>
      <c r="DV23" s="219" t="n"/>
      <c r="DW23" s="23" t="n"/>
      <c r="DX23" s="23" t="n"/>
      <c r="DY23" s="23" t="n"/>
      <c r="DZ23" s="23" t="n"/>
      <c r="EA23" s="23" t="n"/>
      <c r="EB23" s="23" t="n"/>
      <c r="EC23" s="23" t="n"/>
      <c r="ED23" s="23" t="n"/>
      <c r="EE23" s="23" t="n"/>
      <c r="EF23" s="23" t="n"/>
      <c r="EG23" s="23" t="n"/>
      <c r="EH23" s="23" t="n"/>
      <c r="EI23" s="23" t="n"/>
      <c r="EJ23" s="23" t="n"/>
      <c r="EK23" s="23" t="n"/>
      <c r="EL23" s="23" t="n"/>
      <c r="EM23" s="23" t="n"/>
      <c r="EN23" s="23" t="n"/>
      <c r="EO23" s="23" t="n"/>
      <c r="EP23" s="23" t="n"/>
      <c r="EQ23" s="23" t="n"/>
      <c r="ER23" s="23" t="n"/>
      <c r="ES23" s="23" t="n"/>
      <c r="ET23" s="23" t="n"/>
      <c r="EU23" s="23" t="n"/>
      <c r="EV23" s="292" t="inlineStr">
        <is>
          <t>100 P/ CD</t>
        </is>
      </c>
      <c r="EW23" s="23" t="n"/>
      <c r="EX23" s="23" t="n"/>
      <c r="EY23" s="219" t="n">
        <v>200</v>
      </c>
      <c r="EZ23" s="282" t="inlineStr">
        <is>
          <t>41 P/ CDB</t>
        </is>
      </c>
      <c r="FA23" s="23" t="n"/>
      <c r="FB23" s="23" t="n"/>
      <c r="FC23" s="23" t="n"/>
      <c r="FD23" s="23" t="n"/>
      <c r="FE23" s="23" t="n"/>
      <c r="FF23" s="23" t="n"/>
      <c r="FG23" s="23" t="n"/>
      <c r="FH23" s="23" t="n"/>
      <c r="FI23" s="23" t="n"/>
      <c r="FJ23" s="376" t="inlineStr">
        <is>
          <t>50 P/ CDB</t>
        </is>
      </c>
      <c r="FK23" s="23" t="n"/>
      <c r="FL23" s="219" t="n">
        <v>100</v>
      </c>
      <c r="FM23" s="23" t="n"/>
      <c r="FN23" s="23" t="n"/>
      <c r="FO23" s="23" t="n"/>
      <c r="FP23" s="23" t="n"/>
      <c r="FQ23" s="23" t="n"/>
      <c r="FR23" s="23" t="n"/>
      <c r="FS23" s="23" t="n"/>
      <c r="FT23" s="23" t="n"/>
      <c r="FU23" s="23" t="n"/>
      <c r="FV23" s="23" t="n"/>
      <c r="FW23" s="23" t="n"/>
      <c r="FX23" s="23" t="n"/>
      <c r="FY23" s="23" t="n">
        <v>100</v>
      </c>
      <c r="FZ23" s="219" t="n"/>
      <c r="GA23" s="23" t="n">
        <v>40</v>
      </c>
      <c r="GB23" s="219" t="n">
        <v>200</v>
      </c>
      <c r="GC23" s="23" t="n"/>
      <c r="GD23" s="23" t="n"/>
      <c r="GE23" s="23" t="n"/>
      <c r="GF23" s="23" t="n"/>
      <c r="GG23" s="23" t="n"/>
      <c r="GH23" s="23" t="n"/>
      <c r="GI23" s="23" t="n"/>
      <c r="GJ23" s="23" t="n"/>
      <c r="GK23" s="23" t="n"/>
      <c r="GL23" s="23" t="n"/>
      <c r="GM23" s="23" t="n"/>
      <c r="GN23" s="23" t="n"/>
      <c r="GO23" s="23" t="n">
        <v>40</v>
      </c>
      <c r="GP23" s="23" t="n"/>
      <c r="GQ23" s="23" t="n"/>
      <c r="GS23" s="65" t="inlineStr">
        <is>
          <t>SACOLA M</t>
        </is>
      </c>
      <c r="GT23" s="208" t="n">
        <v>200</v>
      </c>
      <c r="GU23" s="699">
        <f>FZ23</f>
        <v/>
      </c>
      <c r="GV23" s="699" t="n">
        <v>166</v>
      </c>
      <c r="GW23" s="699" t="n">
        <v>96</v>
      </c>
      <c r="GX23" s="699" t="n">
        <v>70</v>
      </c>
      <c r="GY23" s="699" t="n">
        <v>70</v>
      </c>
      <c r="GZ23" s="699" t="n">
        <v>60</v>
      </c>
      <c r="HA23" s="699" t="n">
        <v>59</v>
      </c>
      <c r="HB23" s="699" t="n">
        <v>55</v>
      </c>
      <c r="HC23" s="699" t="n">
        <v>44</v>
      </c>
      <c r="HD23" s="699" t="n">
        <v>0</v>
      </c>
      <c r="HE23" s="699" t="n">
        <v>0</v>
      </c>
      <c r="HF23" s="699" t="n">
        <v>0</v>
      </c>
      <c r="HG23" s="699" t="n">
        <v>0</v>
      </c>
      <c r="HH23" s="699" t="n">
        <v>0</v>
      </c>
      <c r="HI23" s="699" t="n">
        <v>0</v>
      </c>
      <c r="HJ23" s="699" t="n">
        <v>0</v>
      </c>
      <c r="HK23" s="699" t="n"/>
      <c r="HL23" s="699" t="n">
        <v>0</v>
      </c>
      <c r="HM23" s="699" t="n"/>
      <c r="HN23" s="699" t="n"/>
      <c r="HO23" s="303" t="n">
        <v>0</v>
      </c>
      <c r="HQ23" s="65" t="inlineStr">
        <is>
          <t>SACOLA M</t>
        </is>
      </c>
      <c r="HR23" s="208" t="n">
        <v>200</v>
      </c>
      <c r="HS23" s="699">
        <f>FJ23-50</f>
        <v/>
      </c>
      <c r="HT23" s="699" t="n">
        <v>49</v>
      </c>
      <c r="HU23" s="699" t="n">
        <v>42</v>
      </c>
      <c r="HV23" s="699" t="n">
        <v>14</v>
      </c>
      <c r="HW23" s="699" t="n">
        <v>6</v>
      </c>
      <c r="HX23" s="699" t="n">
        <v>3</v>
      </c>
      <c r="HY23" s="699" t="n">
        <v>0</v>
      </c>
      <c r="HZ23" s="699" t="n"/>
      <c r="IA23" s="699" t="n"/>
      <c r="IB23" s="699" t="n"/>
      <c r="IC23" s="369">
        <f>IA23+IF(NOT(ISBLANK(OFFSET(IC23,0,6))),N(OFFSET(IC23,0,6)),N(OFFSET(IC23,0,7)))-IB23</f>
        <v/>
      </c>
      <c r="IE23" s="65" t="inlineStr">
        <is>
          <t>SACOLA M</t>
        </is>
      </c>
      <c r="IF23" s="208" t="n">
        <v>200</v>
      </c>
      <c r="IG23" s="699">
        <f>EW23</f>
        <v/>
      </c>
      <c r="IH23" s="699">
        <f>200-100</f>
        <v/>
      </c>
      <c r="II23" s="699" t="n">
        <v>100</v>
      </c>
      <c r="IJ23" s="699" t="n">
        <v>93</v>
      </c>
      <c r="IK23" s="699" t="n">
        <v>91</v>
      </c>
      <c r="IL23" s="699" t="n">
        <v>70</v>
      </c>
      <c r="IM23" s="699" t="n">
        <v>70</v>
      </c>
      <c r="IN23" s="699" t="n"/>
      <c r="IO23" s="699" t="n"/>
      <c r="IP23" s="699" t="n"/>
      <c r="IQ23" s="699" t="n"/>
      <c r="IR23" s="412">
        <f>IP23+IF(NOT(ISBLANK(OFFSET(IR23,0,6))),N(OFFSET(IR23,0,6)),N(OFFSET(IR23,0,7)))-IQ23</f>
        <v/>
      </c>
    </row>
    <row r="24" ht="18.75" customFormat="1" customHeight="1" s="3">
      <c r="A24" s="37" t="inlineStr">
        <is>
          <t>KIT SACOLA M VERDE (KIT C/ 10)</t>
        </is>
      </c>
      <c r="B24" s="699" t="n">
        <v>150</v>
      </c>
      <c r="C24" s="762" t="n">
        <v>181.31</v>
      </c>
      <c r="D24" s="382" t="n">
        <v>15</v>
      </c>
      <c r="E24" s="2" t="n"/>
      <c r="F24" s="697" t="n">
        <v>23</v>
      </c>
      <c r="G24" s="697">
        <f>23+GL24</f>
        <v/>
      </c>
      <c r="H24" s="697" t="n">
        <v>38</v>
      </c>
      <c r="I24" s="697" t="n">
        <v>38</v>
      </c>
      <c r="J24" s="697" t="n">
        <v>37</v>
      </c>
      <c r="K24" s="697" t="n">
        <v>35</v>
      </c>
      <c r="L24" s="697" t="n">
        <v>34</v>
      </c>
      <c r="M24" s="697" t="n">
        <v>33</v>
      </c>
      <c r="N24" s="697" t="n">
        <v>33</v>
      </c>
      <c r="O24" s="697" t="n">
        <v>33</v>
      </c>
      <c r="P24" s="697" t="n">
        <v>32</v>
      </c>
      <c r="Q24" s="697" t="n">
        <v>31</v>
      </c>
      <c r="R24" s="697" t="n">
        <v>30</v>
      </c>
      <c r="S24" s="697" t="n">
        <v>30</v>
      </c>
      <c r="T24" s="697" t="n">
        <v>30</v>
      </c>
      <c r="U24" s="697" t="n">
        <v>30</v>
      </c>
      <c r="V24" s="697" t="n">
        <v>29</v>
      </c>
      <c r="W24" s="697" t="n">
        <v>29</v>
      </c>
      <c r="X24" s="697" t="n">
        <v>29</v>
      </c>
      <c r="Y24" s="697" t="n">
        <v>26</v>
      </c>
      <c r="Z24" s="697" t="n">
        <v>26</v>
      </c>
      <c r="AA24" s="697" t="n">
        <v>23</v>
      </c>
      <c r="AB24" s="697" t="n">
        <v>23</v>
      </c>
      <c r="AC24" s="697" t="n">
        <v>23</v>
      </c>
      <c r="AD24" s="697" t="n">
        <v>20</v>
      </c>
      <c r="AE24" s="697" t="n">
        <v>20</v>
      </c>
      <c r="AF24" s="697" t="n">
        <v>20</v>
      </c>
      <c r="AG24" s="697" t="n">
        <v>20</v>
      </c>
      <c r="AH24" s="697" t="n">
        <v>20</v>
      </c>
      <c r="AI24" s="697" t="n">
        <v>18</v>
      </c>
      <c r="AJ24" s="697" t="n">
        <v>18</v>
      </c>
      <c r="AK24" s="697" t="n">
        <v>18</v>
      </c>
      <c r="AL24" s="697" t="n">
        <v>15</v>
      </c>
      <c r="AM24" s="697" t="n">
        <v>14</v>
      </c>
      <c r="AN24" s="697" t="n">
        <v>13</v>
      </c>
      <c r="AO24" s="697" t="n">
        <v>13</v>
      </c>
      <c r="AP24" s="697" t="n">
        <v>12</v>
      </c>
      <c r="AQ24" s="697" t="n">
        <v>12</v>
      </c>
      <c r="AR24" s="697" t="n">
        <v>12</v>
      </c>
      <c r="AS24" s="697" t="n">
        <v>12</v>
      </c>
      <c r="AT24" s="697" t="n">
        <v>11</v>
      </c>
      <c r="AU24" s="697" t="n">
        <v>11</v>
      </c>
      <c r="AV24" s="697" t="n">
        <v>9</v>
      </c>
      <c r="AW24" s="697" t="n">
        <v>9</v>
      </c>
      <c r="AX24" s="697" t="n">
        <v>6</v>
      </c>
      <c r="AY24" s="697" t="n">
        <v>2</v>
      </c>
      <c r="AZ24" s="697" t="n">
        <v>2</v>
      </c>
      <c r="BA24" s="697" t="n">
        <v>2</v>
      </c>
      <c r="BB24" s="697" t="n">
        <v>2</v>
      </c>
      <c r="BC24" s="697" t="n">
        <v>2</v>
      </c>
      <c r="BD24" s="697" t="n">
        <v>0</v>
      </c>
      <c r="BE24" s="697" t="n">
        <v>0</v>
      </c>
      <c r="BF24" s="697" t="n">
        <v>0</v>
      </c>
      <c r="BG24" s="697" t="n">
        <v>0</v>
      </c>
      <c r="BH24" s="697" t="n">
        <v>0</v>
      </c>
      <c r="BI24" s="697" t="n">
        <v>0</v>
      </c>
      <c r="BJ24" s="697" t="n">
        <v>0</v>
      </c>
      <c r="BK24" s="697" t="n">
        <v>0</v>
      </c>
      <c r="BL24" s="697" t="n">
        <v>0</v>
      </c>
      <c r="BM24" s="697" t="n">
        <v>0</v>
      </c>
      <c r="BN24" s="697" t="n">
        <v>0</v>
      </c>
      <c r="BO24" s="697" t="n">
        <v>0</v>
      </c>
      <c r="BP24" s="697" t="n">
        <v>0</v>
      </c>
      <c r="BQ24" s="697" t="n">
        <v>0</v>
      </c>
      <c r="BR24" s="697" t="n">
        <v>0</v>
      </c>
      <c r="BS24" s="697" t="n"/>
      <c r="BT24" s="697" t="n"/>
      <c r="BU24" s="697" t="n"/>
      <c r="BV24" s="697" t="n"/>
      <c r="BW24" s="697" t="n"/>
      <c r="BX24" s="697" t="n">
        <v>0</v>
      </c>
      <c r="BY24" s="697" t="n">
        <v>0</v>
      </c>
      <c r="BZ24" s="699" t="n">
        <v>0</v>
      </c>
      <c r="CA24" s="699" t="n">
        <v>0</v>
      </c>
      <c r="CB24" s="192">
        <f>BZ24+IF(NOT(ISBLANK(OFFSET(CB24,0,6))),N(OFFSET(CB24,0,6)),N(OFFSET(CB24,0,7)))-CA24</f>
        <v/>
      </c>
      <c r="CC24" s="72" t="n"/>
      <c r="CD24" s="22" t="n"/>
      <c r="CE24" s="22" t="n"/>
      <c r="CF24" s="5" t="n"/>
      <c r="CG24" s="27" t="n">
        <v>200</v>
      </c>
      <c r="CH24" s="757" t="n">
        <v>0</v>
      </c>
      <c r="CI24" s="23" t="n">
        <v>0</v>
      </c>
      <c r="CJ24" s="23" t="n">
        <v>0</v>
      </c>
      <c r="CK24" s="23" t="n">
        <v>0</v>
      </c>
      <c r="CL24" s="23" t="n"/>
      <c r="CM24" s="23" t="n"/>
      <c r="CN24" s="23" t="n"/>
      <c r="CO24" s="23" t="n"/>
      <c r="CP24" s="467" t="n">
        <v>300</v>
      </c>
      <c r="CQ24" s="23" t="n"/>
      <c r="CR24" s="23" t="n"/>
      <c r="CS24" s="23" t="n"/>
      <c r="CT24" s="23" t="n"/>
      <c r="CU24" s="23" t="n"/>
      <c r="CV24" s="23" t="n"/>
      <c r="CW24" s="23" t="n"/>
      <c r="CX24" s="23" t="n"/>
      <c r="CY24" s="23" t="n"/>
      <c r="CZ24" s="23" t="n"/>
      <c r="DA24" s="23" t="n"/>
      <c r="DB24" s="23" t="n"/>
      <c r="DC24" s="23" t="n"/>
      <c r="DD24" s="23" t="n"/>
      <c r="DE24" s="23" t="n"/>
      <c r="DF24" s="23" t="n"/>
      <c r="DG24" s="23" t="n"/>
      <c r="DH24" s="23" t="n"/>
      <c r="DI24" s="23" t="n"/>
      <c r="DJ24" s="23" t="n"/>
      <c r="DK24" s="23" t="n"/>
      <c r="DL24" s="23" t="n"/>
      <c r="DM24" s="23" t="n"/>
      <c r="DN24" s="219" t="n"/>
      <c r="DO24" s="23" t="n"/>
      <c r="DP24" s="23" t="n"/>
      <c r="DQ24" s="23" t="n"/>
      <c r="DR24" s="23" t="n"/>
      <c r="DS24" s="23" t="n"/>
      <c r="DT24" s="23" t="n"/>
      <c r="DU24" s="23" t="n"/>
      <c r="DV24" s="219" t="n"/>
      <c r="DW24" s="23" t="n"/>
      <c r="DX24" s="23" t="n"/>
      <c r="DY24" s="23" t="n"/>
      <c r="DZ24" s="23" t="n"/>
      <c r="EA24" s="23" t="n"/>
      <c r="EB24" s="23" t="n"/>
      <c r="EC24" s="23" t="n"/>
      <c r="ED24" s="23" t="n"/>
      <c r="EE24" s="23" t="n"/>
      <c r="EF24" s="23" t="n"/>
      <c r="EG24" s="23" t="n"/>
      <c r="EH24" s="23" t="n"/>
      <c r="EI24" s="23" t="n"/>
      <c r="EJ24" s="23" t="n"/>
      <c r="EK24" s="23" t="n"/>
      <c r="EL24" s="23" t="n"/>
      <c r="EM24" s="23" t="n"/>
      <c r="EN24" s="23" t="n"/>
      <c r="EO24" s="23" t="n"/>
      <c r="EP24" s="23" t="n"/>
      <c r="EQ24" s="23" t="n"/>
      <c r="ER24" s="23" t="n"/>
      <c r="ES24" s="23" t="n"/>
      <c r="ET24" s="23" t="n"/>
      <c r="EU24" s="23" t="n"/>
      <c r="EV24" s="23" t="n"/>
      <c r="EW24" s="23" t="n"/>
      <c r="EX24" s="23" t="n"/>
      <c r="EY24" s="23" t="n"/>
      <c r="EZ24" s="23" t="n"/>
      <c r="FA24" s="23" t="n"/>
      <c r="FB24" s="23" t="n"/>
      <c r="FC24" s="23" t="n"/>
      <c r="FD24" s="23" t="n"/>
      <c r="FE24" s="23" t="n"/>
      <c r="FF24" s="23" t="n"/>
      <c r="FG24" s="23" t="n"/>
      <c r="FH24" s="23" t="n"/>
      <c r="FI24" s="23" t="n"/>
      <c r="FJ24" s="376" t="inlineStr">
        <is>
          <t>10 P/ CDB</t>
        </is>
      </c>
      <c r="FK24" s="23" t="n"/>
      <c r="FL24" s="219" t="n">
        <v>30</v>
      </c>
      <c r="FM24" s="23" t="n"/>
      <c r="FN24" s="23" t="n"/>
      <c r="FO24" s="23" t="n"/>
      <c r="FP24" s="23" t="n"/>
      <c r="FQ24" s="23" t="n"/>
      <c r="FR24" s="23" t="n"/>
      <c r="FS24" s="23" t="n"/>
      <c r="FT24" s="23" t="n"/>
      <c r="FU24" s="23" t="n"/>
      <c r="FV24" s="23" t="n"/>
      <c r="FW24" s="23" t="n"/>
      <c r="FX24" s="23" t="n"/>
      <c r="FY24" s="23" t="n"/>
      <c r="FZ24" s="219" t="n"/>
      <c r="GA24" s="23" t="n"/>
      <c r="GB24" s="219" t="n"/>
      <c r="GC24" s="23" t="n"/>
      <c r="GD24" s="23" t="n"/>
      <c r="GE24" s="23" t="n"/>
      <c r="GF24" s="23" t="n"/>
      <c r="GG24" s="23" t="n"/>
      <c r="GH24" s="23" t="n"/>
      <c r="GI24" s="23" t="n"/>
      <c r="GJ24" s="23" t="n"/>
      <c r="GK24" s="23" t="n"/>
      <c r="GL24" s="23" t="n"/>
      <c r="GM24" s="23" t="n"/>
      <c r="GN24" s="23" t="n">
        <v>15</v>
      </c>
      <c r="GO24" s="23" t="n"/>
      <c r="GP24" s="23" t="n"/>
      <c r="GQ24" s="23" t="n"/>
      <c r="GS24" s="66" t="inlineStr">
        <is>
          <t>SACOLA G</t>
        </is>
      </c>
      <c r="GT24" s="208" t="n">
        <v>100</v>
      </c>
      <c r="GU24" s="699">
        <f>GB24</f>
        <v/>
      </c>
      <c r="GV24" s="699" t="n">
        <v>0</v>
      </c>
      <c r="GW24" s="699" t="n">
        <v>0</v>
      </c>
      <c r="GX24" s="699" t="n">
        <v>0</v>
      </c>
      <c r="GY24" s="699" t="n">
        <v>0</v>
      </c>
      <c r="GZ24" s="699" t="n">
        <v>0</v>
      </c>
      <c r="HA24" s="699" t="n">
        <v>0</v>
      </c>
      <c r="HB24" s="699" t="n">
        <v>0</v>
      </c>
      <c r="HC24" s="699" t="n">
        <v>0</v>
      </c>
      <c r="HD24" s="699" t="n">
        <v>0</v>
      </c>
      <c r="HE24" s="699" t="n">
        <v>0</v>
      </c>
      <c r="HF24" s="699" t="n">
        <v>0</v>
      </c>
      <c r="HG24" s="699" t="n">
        <v>0</v>
      </c>
      <c r="HH24" s="699" t="n">
        <v>0</v>
      </c>
      <c r="HI24" s="699" t="n">
        <v>0</v>
      </c>
      <c r="HJ24" s="699" t="n">
        <v>0</v>
      </c>
      <c r="HK24" s="699" t="n"/>
      <c r="HL24" s="699" t="n">
        <v>0</v>
      </c>
      <c r="HM24" s="699" t="n"/>
      <c r="HN24" s="699" t="n"/>
      <c r="HO24" s="303" t="n">
        <v>0</v>
      </c>
      <c r="HQ24" s="66" t="inlineStr">
        <is>
          <t>SACOLA G</t>
        </is>
      </c>
      <c r="HR24" s="208" t="n">
        <v>100</v>
      </c>
      <c r="HS24" s="699">
        <f>FJ24-10</f>
        <v/>
      </c>
      <c r="HT24" s="699" t="n">
        <v>17</v>
      </c>
      <c r="HU24" s="699" t="n">
        <v>10</v>
      </c>
      <c r="HV24" s="699" t="n">
        <v>0</v>
      </c>
      <c r="HW24" s="699" t="n">
        <v>0</v>
      </c>
      <c r="HX24" s="699" t="n">
        <v>0</v>
      </c>
      <c r="HY24" s="699" t="n">
        <v>0</v>
      </c>
      <c r="HZ24" s="699" t="n"/>
      <c r="IA24" s="699" t="n"/>
      <c r="IB24" s="699" t="n"/>
      <c r="IC24" s="369">
        <f>IA24+IF(NOT(ISBLANK(OFFSET(IC24,0,6))),N(OFFSET(IC24,0,6)),N(OFFSET(IC24,0,7)))-IB24</f>
        <v/>
      </c>
      <c r="IE24" s="35" t="n"/>
      <c r="IT24" s="35" t="n"/>
    </row>
    <row r="25" ht="19.5" customFormat="1" customHeight="1" s="3">
      <c r="A25" s="35" t="n"/>
      <c r="B25" s="2" t="n"/>
      <c r="C25" s="2" t="n"/>
      <c r="E25" s="5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  <c r="AA25" s="4" t="n"/>
      <c r="AB25" s="4" t="n"/>
      <c r="AC25" s="4" t="n"/>
      <c r="AD25" s="4" t="n"/>
      <c r="AE25" s="4" t="n"/>
      <c r="AF25" s="4" t="n"/>
      <c r="AG25" s="4" t="n"/>
      <c r="AH25" s="4" t="n"/>
      <c r="AI25" s="4" t="n"/>
      <c r="AJ25" s="4" t="n"/>
      <c r="AK25" s="4" t="n"/>
      <c r="AL25" s="4" t="n"/>
      <c r="AM25" s="4" t="n"/>
      <c r="AN25" s="4" t="n"/>
      <c r="AO25" s="4" t="n"/>
      <c r="AP25" s="4" t="n"/>
      <c r="AQ25" s="4" t="n"/>
      <c r="AR25" s="4" t="n"/>
      <c r="AS25" s="4" t="n"/>
      <c r="AT25" s="4" t="n"/>
      <c r="AU25" s="4" t="n"/>
      <c r="AV25" s="4" t="n"/>
      <c r="AW25" s="4" t="n"/>
      <c r="AX25" s="4" t="n"/>
      <c r="AY25" s="4" t="n"/>
      <c r="AZ25" s="4" t="n"/>
      <c r="BA25" s="4" t="n"/>
      <c r="BB25" s="4" t="n"/>
      <c r="BC25" s="4" t="n"/>
      <c r="BD25" s="4" t="n"/>
      <c r="BE25" s="4" t="n"/>
      <c r="BF25" s="4" t="n"/>
      <c r="BG25" s="4" t="n"/>
      <c r="BH25" s="4" t="n"/>
      <c r="BI25" s="4" t="n"/>
      <c r="BJ25" s="4" t="n"/>
      <c r="BK25" s="4" t="n"/>
      <c r="BL25" s="4" t="n"/>
      <c r="BM25" s="4" t="n"/>
      <c r="BN25" s="4" t="n"/>
      <c r="BO25" s="4" t="n"/>
      <c r="BP25" s="4" t="n"/>
      <c r="BQ25" s="4" t="n"/>
      <c r="BR25" s="4" t="n"/>
      <c r="BS25" s="4" t="n"/>
      <c r="BT25" s="4" t="n"/>
      <c r="BU25" s="4" t="n"/>
      <c r="BV25" s="4" t="n"/>
      <c r="BW25" s="4" t="n"/>
      <c r="BX25" s="4" t="n"/>
      <c r="BY25" s="4" t="n"/>
      <c r="BZ25" s="2" t="n"/>
      <c r="CA25" s="2" t="n"/>
      <c r="CB25" s="16" t="n"/>
      <c r="CC25" s="5" t="n"/>
      <c r="CD25" s="16" t="n"/>
      <c r="CE25" s="16" t="n"/>
      <c r="CF25" s="5" t="n"/>
      <c r="CG25" s="4" t="n"/>
      <c r="CH25" s="827" t="n"/>
      <c r="CI25" s="20" t="n"/>
      <c r="CJ25" s="20" t="n"/>
      <c r="CK25" s="20" t="n"/>
      <c r="CL25" s="20" t="n"/>
      <c r="CM25" s="20" t="n"/>
      <c r="CN25" s="20" t="n"/>
      <c r="CO25" s="20" t="n"/>
      <c r="CP25" s="20" t="n"/>
      <c r="CQ25" s="20" t="n"/>
      <c r="CR25" s="20" t="n"/>
      <c r="CS25" s="20" t="n"/>
      <c r="CT25" s="20" t="n"/>
      <c r="CU25" s="20" t="n"/>
      <c r="CV25" s="20" t="n"/>
      <c r="CW25" s="20" t="n"/>
      <c r="CX25" s="20" t="n"/>
      <c r="CY25" s="20" t="n"/>
      <c r="CZ25" s="20" t="n"/>
      <c r="DA25" s="20" t="n"/>
      <c r="DB25" s="20" t="n"/>
      <c r="DC25" s="20" t="n"/>
      <c r="DD25" s="20" t="n"/>
      <c r="DE25" s="20" t="n"/>
      <c r="DF25" s="20" t="n"/>
      <c r="DG25" s="20" t="n"/>
      <c r="DH25" s="20" t="n"/>
      <c r="DI25" s="20" t="n"/>
      <c r="DJ25" s="20" t="n"/>
      <c r="DK25" s="20" t="n"/>
      <c r="DL25" s="20" t="n"/>
      <c r="DM25" s="20" t="n"/>
      <c r="DN25" s="308" t="n"/>
      <c r="DO25" s="20" t="n"/>
      <c r="DP25" s="20" t="n"/>
      <c r="DQ25" s="20" t="n"/>
      <c r="DR25" s="20" t="n"/>
      <c r="DS25" s="20" t="n"/>
      <c r="DT25" s="20" t="n"/>
      <c r="DU25" s="20" t="n"/>
      <c r="DV25" s="20" t="n"/>
      <c r="DW25" s="20" t="n"/>
      <c r="DX25" s="20" t="n"/>
      <c r="DY25" s="20" t="n"/>
      <c r="DZ25" s="20" t="n"/>
      <c r="EA25" s="20" t="n"/>
      <c r="EB25" s="20" t="n"/>
      <c r="EC25" s="20" t="n"/>
      <c r="ED25" s="20" t="n"/>
      <c r="EE25" s="20" t="n"/>
      <c r="EF25" s="20" t="n"/>
      <c r="EG25" s="20" t="n"/>
      <c r="EH25" s="20" t="n"/>
      <c r="EI25" s="20" t="n"/>
      <c r="EJ25" s="20" t="n"/>
      <c r="EK25" s="20" t="n"/>
      <c r="EL25" s="20" t="n"/>
      <c r="EM25" s="20" t="n"/>
      <c r="EN25" s="20" t="n"/>
      <c r="EO25" s="20" t="n"/>
      <c r="EP25" s="20" t="n"/>
      <c r="EQ25" s="20" t="n"/>
      <c r="ER25" s="20" t="n"/>
      <c r="ES25" s="20" t="n"/>
      <c r="ET25" s="20" t="n"/>
      <c r="EU25" s="20" t="n"/>
      <c r="EV25" s="20" t="n"/>
      <c r="EW25" s="20" t="n"/>
      <c r="EX25" s="20" t="n"/>
      <c r="EY25" s="20" t="n"/>
      <c r="EZ25" s="20" t="n"/>
      <c r="FA25" s="20" t="n"/>
      <c r="FB25" s="20" t="n"/>
      <c r="FC25" s="20" t="n"/>
      <c r="FD25" s="20" t="n"/>
      <c r="FE25" s="20" t="n"/>
      <c r="FF25" s="20" t="n"/>
      <c r="FG25" s="20" t="n"/>
      <c r="FH25" s="20" t="n"/>
      <c r="FI25" s="20" t="n"/>
      <c r="FJ25" s="20" t="n"/>
      <c r="FK25" s="20" t="n"/>
      <c r="FL25" s="20" t="n"/>
      <c r="FM25" s="20" t="n"/>
      <c r="FN25" s="20" t="n"/>
      <c r="FO25" s="20" t="n"/>
      <c r="FP25" s="20" t="n"/>
      <c r="FQ25" s="20" t="n"/>
      <c r="FR25" s="20" t="n"/>
      <c r="FS25" s="20" t="n"/>
      <c r="FT25" s="20" t="n"/>
      <c r="FU25" s="20" t="n"/>
      <c r="FV25" s="20" t="n"/>
      <c r="FW25" s="20" t="n"/>
      <c r="FX25" s="20" t="n"/>
      <c r="FY25" s="20" t="n"/>
      <c r="FZ25" s="11" t="n"/>
      <c r="GA25" s="20" t="n"/>
      <c r="GB25" s="11" t="n"/>
      <c r="GC25" s="20" t="n"/>
      <c r="GD25" s="20" t="n"/>
      <c r="GE25" s="20" t="n"/>
      <c r="GF25" s="20" t="n"/>
      <c r="GG25" s="20" t="n"/>
      <c r="GH25" s="20" t="n"/>
      <c r="GI25" s="20" t="n"/>
      <c r="GJ25" s="20" t="n"/>
      <c r="GK25" s="20" t="n"/>
      <c r="GL25" s="20" t="n"/>
      <c r="GM25" s="20" t="n"/>
      <c r="GN25" s="20" t="n"/>
      <c r="GO25" s="20" t="n"/>
      <c r="GP25" s="20" t="n"/>
      <c r="GQ25" s="20" t="n"/>
      <c r="GS25" s="35" t="n"/>
      <c r="HQ25" s="35" t="n"/>
      <c r="IE25" s="35" t="n"/>
      <c r="IT25" s="35" t="n"/>
    </row>
    <row r="26" customFormat="1" s="3">
      <c r="A26" s="36" t="inlineStr">
        <is>
          <t>DIVERSOS BOTICÁRIO</t>
        </is>
      </c>
      <c r="B26" s="13" t="n"/>
      <c r="C26" s="13" t="n"/>
      <c r="D26" s="13" t="n"/>
      <c r="E26" s="726" t="n"/>
      <c r="F26" s="746" t="n">
        <v>45656</v>
      </c>
      <c r="G26" s="746" t="n">
        <v>45663</v>
      </c>
      <c r="H26" s="746" t="n">
        <v>45670</v>
      </c>
      <c r="I26" s="746" t="n">
        <v>45677</v>
      </c>
      <c r="J26" s="746" t="n">
        <v>45684</v>
      </c>
      <c r="K26" s="746" t="n">
        <v>45691</v>
      </c>
      <c r="L26" s="746" t="n">
        <v>45698</v>
      </c>
      <c r="M26" s="746" t="n">
        <v>45705</v>
      </c>
      <c r="N26" s="746" t="n">
        <v>45712</v>
      </c>
      <c r="O26" s="746" t="n">
        <v>45719</v>
      </c>
      <c r="P26" s="746" t="n">
        <v>45726</v>
      </c>
      <c r="Q26" s="746" t="n">
        <v>45733</v>
      </c>
      <c r="R26" s="746" t="n">
        <v>45740</v>
      </c>
      <c r="S26" s="746" t="n">
        <v>45747</v>
      </c>
      <c r="T26" s="746" t="n">
        <v>45754</v>
      </c>
      <c r="U26" s="746" t="n">
        <v>45761</v>
      </c>
      <c r="V26" s="746" t="n">
        <v>45768</v>
      </c>
      <c r="W26" s="746" t="n">
        <v>45775</v>
      </c>
      <c r="X26" s="746" t="n">
        <v>45782</v>
      </c>
      <c r="Y26" s="746" t="n">
        <v>45789</v>
      </c>
      <c r="Z26" s="746" t="n">
        <v>45796</v>
      </c>
      <c r="AA26" s="746" t="n">
        <v>45803</v>
      </c>
      <c r="AB26" s="746" t="n">
        <v>45810</v>
      </c>
      <c r="AC26" s="746" t="n">
        <v>45817</v>
      </c>
      <c r="AD26" s="746" t="n">
        <v>45824</v>
      </c>
      <c r="AE26" s="746" t="n">
        <v>45831</v>
      </c>
      <c r="AF26" s="746" t="n">
        <v>45838</v>
      </c>
      <c r="AG26" s="746" t="n">
        <v>45845</v>
      </c>
      <c r="AH26" s="746" t="n">
        <v>45852</v>
      </c>
      <c r="AI26" s="746" t="n">
        <v>45859</v>
      </c>
      <c r="AJ26" s="746" t="n">
        <v>45866</v>
      </c>
      <c r="AK26" s="746" t="n">
        <v>45873</v>
      </c>
      <c r="AL26" s="746" t="n">
        <v>45880</v>
      </c>
      <c r="AM26" s="746" t="n">
        <v>45887</v>
      </c>
      <c r="AN26" s="746" t="n">
        <v>45894</v>
      </c>
      <c r="AO26" s="746" t="n">
        <v>45901</v>
      </c>
      <c r="AP26" s="746" t="n">
        <v>45915</v>
      </c>
      <c r="AQ26" s="746" t="n">
        <v>45922</v>
      </c>
      <c r="AR26" s="746" t="n">
        <v>45929</v>
      </c>
      <c r="AS26" s="746" t="n">
        <v>45936</v>
      </c>
      <c r="AT26" s="746" t="n">
        <v>45943</v>
      </c>
      <c r="AU26" s="746" t="n">
        <v>45950</v>
      </c>
      <c r="AV26" s="746" t="n">
        <v>45957</v>
      </c>
      <c r="AW26" s="746" t="n">
        <v>45964</v>
      </c>
      <c r="AX26" s="746" t="n">
        <v>45971</v>
      </c>
      <c r="AY26" s="746" t="n">
        <v>45978</v>
      </c>
      <c r="AZ26" s="746" t="n">
        <v>45985</v>
      </c>
      <c r="BA26" s="746" t="n">
        <v>45992</v>
      </c>
      <c r="BB26" s="746" t="n">
        <v>45999</v>
      </c>
      <c r="BC26" s="746" t="n">
        <v>46006</v>
      </c>
      <c r="BD26" s="746" t="n">
        <v>46013</v>
      </c>
      <c r="BE26" s="746" t="n">
        <v>46020</v>
      </c>
      <c r="BF26" s="746" t="n">
        <v>46027</v>
      </c>
      <c r="BG26" s="746" t="n">
        <v>46034</v>
      </c>
      <c r="BH26" s="746" t="n">
        <v>46041</v>
      </c>
      <c r="BI26" s="746" t="n">
        <v>46048</v>
      </c>
      <c r="BJ26" s="746" t="n">
        <v>46055</v>
      </c>
      <c r="BK26" s="746" t="n">
        <v>46062</v>
      </c>
      <c r="BL26" s="746" t="n">
        <v>46069</v>
      </c>
      <c r="BM26" s="746" t="n">
        <v>46076</v>
      </c>
      <c r="BN26" s="746" t="n">
        <v>46083</v>
      </c>
      <c r="BO26" s="746" t="n">
        <v>46090</v>
      </c>
      <c r="BP26" s="746" t="n">
        <v>46097</v>
      </c>
      <c r="BQ26" s="746" t="n">
        <v>46104</v>
      </c>
      <c r="BR26" s="746" t="n">
        <v>46111</v>
      </c>
      <c r="BS26" s="746" t="n">
        <v>46118</v>
      </c>
      <c r="BT26" s="746" t="n">
        <v>46125</v>
      </c>
      <c r="BU26" s="746" t="n">
        <v>46132</v>
      </c>
      <c r="BV26" s="746" t="n">
        <v>46139</v>
      </c>
      <c r="BW26" s="746" t="n">
        <v>46146</v>
      </c>
      <c r="BX26" s="746" t="n">
        <v>46154</v>
      </c>
      <c r="BY26" s="746" t="n">
        <v>46160</v>
      </c>
      <c r="BZ26" s="747" t="n">
        <v>46161.48025125</v>
      </c>
      <c r="CA26" s="747" t="n">
        <v>46161.48090906654</v>
      </c>
      <c r="CB26" s="748" t="inlineStr">
        <is>
          <t>USOU</t>
        </is>
      </c>
      <c r="CC26" s="5" t="n"/>
      <c r="CD26" s="44" t="inlineStr">
        <is>
          <t>Pendências</t>
        </is>
      </c>
      <c r="CE26" s="44" t="inlineStr">
        <is>
          <t>Pendências</t>
        </is>
      </c>
      <c r="CF26" s="5" t="n"/>
      <c r="CG26" s="12" t="inlineStr">
        <is>
          <t>Novo Pedido</t>
        </is>
      </c>
      <c r="CH26" s="824" t="n">
        <v>46161.48090514428</v>
      </c>
      <c r="CI26" s="794" t="n">
        <v>46149</v>
      </c>
      <c r="CJ26" s="794" t="n">
        <v>46142</v>
      </c>
      <c r="CK26" s="794" t="n">
        <v>46114</v>
      </c>
      <c r="CL26" s="794" t="n">
        <v>46107</v>
      </c>
      <c r="CM26" s="795" t="n">
        <v>46065</v>
      </c>
      <c r="CN26" s="794" t="n">
        <v>46099</v>
      </c>
      <c r="CO26" s="794" t="n">
        <v>46092</v>
      </c>
      <c r="CP26" s="796" t="n">
        <v>46045</v>
      </c>
      <c r="CQ26" s="794" t="n">
        <v>46084</v>
      </c>
      <c r="CR26" s="797" t="n">
        <v>46085</v>
      </c>
      <c r="CS26" s="794" t="n">
        <v>46077</v>
      </c>
      <c r="CT26" s="794" t="n">
        <v>46071</v>
      </c>
      <c r="CU26" s="794" t="n">
        <v>46056</v>
      </c>
      <c r="CV26" s="794" t="n">
        <v>46048</v>
      </c>
      <c r="CW26" s="794" t="n">
        <v>46056</v>
      </c>
      <c r="CX26" s="794" t="n">
        <v>46048</v>
      </c>
      <c r="CY26" s="794" t="n">
        <v>46043</v>
      </c>
      <c r="CZ26" s="794" t="n">
        <v>46035</v>
      </c>
      <c r="DA26" s="794" t="n">
        <v>46043</v>
      </c>
      <c r="DB26" s="794" t="n">
        <v>46035</v>
      </c>
      <c r="DC26" s="794" t="n">
        <v>46035</v>
      </c>
      <c r="DD26" s="794" t="n">
        <v>46029</v>
      </c>
      <c r="DE26" s="794" t="n">
        <v>46017</v>
      </c>
      <c r="DF26" s="794" t="n">
        <v>46007</v>
      </c>
      <c r="DG26" s="794" t="n">
        <v>46007</v>
      </c>
      <c r="DH26" s="794" t="n">
        <v>46001</v>
      </c>
      <c r="DI26" s="794" t="n">
        <v>46001</v>
      </c>
      <c r="DJ26" s="794" t="n">
        <v>45994</v>
      </c>
      <c r="DK26" s="794" t="n">
        <v>45994</v>
      </c>
      <c r="DL26" s="794" t="n">
        <v>45986</v>
      </c>
      <c r="DM26" s="794" t="n">
        <v>45980</v>
      </c>
      <c r="DN26" s="797" t="n">
        <v>45982</v>
      </c>
      <c r="DO26" s="794" t="n">
        <v>45973</v>
      </c>
      <c r="DP26" s="794" t="n">
        <v>45965</v>
      </c>
      <c r="DQ26" s="794" t="n">
        <v>45965</v>
      </c>
      <c r="DR26" s="794" t="n">
        <v>45960</v>
      </c>
      <c r="DS26" s="794" t="n">
        <v>45960</v>
      </c>
      <c r="DT26" s="794" t="n">
        <v>45951</v>
      </c>
      <c r="DU26" s="794" t="n">
        <v>45945</v>
      </c>
      <c r="DV26" s="737" t="n">
        <v>45903</v>
      </c>
      <c r="DW26" s="794" t="n">
        <v>45945</v>
      </c>
      <c r="DX26" s="794" t="n">
        <v>45937</v>
      </c>
      <c r="DY26" s="794" t="n">
        <v>45923</v>
      </c>
      <c r="DZ26" s="794" t="n">
        <v>45931</v>
      </c>
      <c r="EA26" s="794" t="n">
        <v>45931</v>
      </c>
      <c r="EB26" s="794" t="n">
        <v>45915</v>
      </c>
      <c r="EC26" s="794" t="n">
        <v>45923</v>
      </c>
      <c r="ED26" s="794" t="n">
        <v>45915</v>
      </c>
      <c r="EE26" s="797" t="n">
        <v>45918</v>
      </c>
      <c r="EF26" s="794" t="n">
        <v>45903</v>
      </c>
      <c r="EG26" s="738" t="n">
        <v>45903</v>
      </c>
      <c r="EH26" s="794" t="n">
        <v>45895</v>
      </c>
      <c r="EI26" s="797" t="n">
        <v>45896</v>
      </c>
      <c r="EJ26" s="794" t="n">
        <v>45888</v>
      </c>
      <c r="EK26" s="794" t="n">
        <v>45888</v>
      </c>
      <c r="EL26" s="794" t="n">
        <v>45881</v>
      </c>
      <c r="EM26" s="797" t="n">
        <v>45881</v>
      </c>
      <c r="EN26" s="794" t="n">
        <v>45874</v>
      </c>
      <c r="EO26" s="797" t="n">
        <v>45876</v>
      </c>
      <c r="EP26" s="794" t="n">
        <v>45867</v>
      </c>
      <c r="EQ26" s="794" t="n">
        <v>45860</v>
      </c>
      <c r="ER26" s="794" t="n">
        <v>45839</v>
      </c>
      <c r="ES26" s="797" t="n">
        <v>45861</v>
      </c>
      <c r="ET26" s="797" t="n">
        <v>45860</v>
      </c>
      <c r="EU26" s="794" t="n">
        <v>45853</v>
      </c>
      <c r="EV26" s="739" t="n">
        <v>45855</v>
      </c>
      <c r="EW26" s="794" t="n">
        <v>45848</v>
      </c>
      <c r="EX26" s="794" t="n">
        <v>45839</v>
      </c>
      <c r="EY26" s="739" t="n">
        <v>45791</v>
      </c>
      <c r="EZ26" s="797" t="n">
        <v>45835</v>
      </c>
      <c r="FA26" s="794" t="n">
        <v>45832</v>
      </c>
      <c r="FB26" s="794" t="n">
        <v>45825</v>
      </c>
      <c r="FC26" s="794" t="n">
        <v>45819</v>
      </c>
      <c r="FD26" s="794" t="n">
        <v>45813</v>
      </c>
      <c r="FE26" s="794" t="n">
        <v>45805</v>
      </c>
      <c r="FF26" s="797" t="n">
        <v>45811</v>
      </c>
      <c r="FG26" s="797" t="n">
        <v>45810</v>
      </c>
      <c r="FH26" s="794" t="n">
        <v>45798</v>
      </c>
      <c r="FI26" s="797" t="n">
        <v>45803</v>
      </c>
      <c r="FJ26" s="755" t="n">
        <v>45803</v>
      </c>
      <c r="FK26" s="797" t="n">
        <v>45800</v>
      </c>
      <c r="FL26" s="742" t="n">
        <v>45735</v>
      </c>
      <c r="FM26" s="797" t="n">
        <v>45796</v>
      </c>
      <c r="FN26" s="794" t="n">
        <v>45790</v>
      </c>
      <c r="FO26" s="794" t="n">
        <v>45784</v>
      </c>
      <c r="FP26" s="797" t="n">
        <v>45791</v>
      </c>
      <c r="FQ26" s="794" t="n">
        <v>45783</v>
      </c>
      <c r="FR26" s="794" t="n">
        <v>45770</v>
      </c>
      <c r="FS26" s="794" t="n">
        <v>45775</v>
      </c>
      <c r="FT26" s="794" t="n">
        <v>45770</v>
      </c>
      <c r="FU26" s="797" t="n">
        <v>45775</v>
      </c>
      <c r="FV26" s="794" t="n">
        <v>45756</v>
      </c>
      <c r="FW26" s="794" t="n">
        <v>45749</v>
      </c>
      <c r="FX26" s="797" t="n">
        <v>45751</v>
      </c>
      <c r="FY26" s="794" t="n">
        <v>45743</v>
      </c>
      <c r="FZ26" s="746" t="n">
        <v>45729</v>
      </c>
      <c r="GA26" s="794" t="n">
        <v>45722</v>
      </c>
      <c r="GB26" s="746" t="n">
        <v>45700</v>
      </c>
      <c r="GC26" s="797" t="n">
        <v>45722</v>
      </c>
      <c r="GD26" s="794" t="n">
        <v>45714</v>
      </c>
      <c r="GE26" s="794" t="n">
        <v>45706</v>
      </c>
      <c r="GF26" s="794" t="n">
        <v>45699</v>
      </c>
      <c r="GG26" s="794" t="n">
        <v>45693</v>
      </c>
      <c r="GH26" s="794" t="n">
        <v>45685</v>
      </c>
      <c r="GI26" s="797" t="n">
        <v>45687</v>
      </c>
      <c r="GJ26" s="794" t="n">
        <v>45664</v>
      </c>
      <c r="GK26" s="794" t="n">
        <v>45679</v>
      </c>
      <c r="GL26" s="797" t="n">
        <v>45684</v>
      </c>
      <c r="GM26" s="794" t="n">
        <v>45664</v>
      </c>
      <c r="GN26" s="794" t="n">
        <v>45660</v>
      </c>
      <c r="GO26" s="794" t="n">
        <v>45652</v>
      </c>
      <c r="GP26" s="794" t="n">
        <v>45643</v>
      </c>
      <c r="GQ26" s="794" t="n">
        <v>45638</v>
      </c>
      <c r="GS26" s="304" t="inlineStr">
        <is>
          <t>DIVERSOS VENDA</t>
        </is>
      </c>
      <c r="GT26" s="544" t="inlineStr">
        <is>
          <t>PCT</t>
        </is>
      </c>
      <c r="GU26" s="536" t="n">
        <v>45726</v>
      </c>
      <c r="GV26" s="536" t="n">
        <v>45733</v>
      </c>
      <c r="GW26" s="536" t="n">
        <v>45740</v>
      </c>
      <c r="GX26" s="536" t="n">
        <v>45747</v>
      </c>
      <c r="GY26" s="536" t="n">
        <v>45754</v>
      </c>
      <c r="GZ26" s="536" t="n">
        <v>45761</v>
      </c>
      <c r="HA26" s="536" t="n">
        <v>45768</v>
      </c>
      <c r="HB26" s="536" t="n">
        <v>45775</v>
      </c>
      <c r="HC26" s="536" t="n">
        <v>45782</v>
      </c>
      <c r="HD26" s="536" t="n">
        <v>45789</v>
      </c>
      <c r="HE26" s="536" t="n">
        <v>45796</v>
      </c>
      <c r="HF26" s="536" t="n">
        <v>45803</v>
      </c>
      <c r="HG26" s="536" t="n">
        <v>45810</v>
      </c>
      <c r="HH26" s="536" t="n">
        <v>45817</v>
      </c>
      <c r="HI26" s="536" t="n">
        <v>45824</v>
      </c>
      <c r="HJ26" s="536" t="n">
        <v>45831</v>
      </c>
      <c r="HK26" s="825" t="n">
        <v>46160</v>
      </c>
      <c r="HL26" s="536" t="n">
        <v>45838</v>
      </c>
      <c r="HM26" s="800" t="n">
        <v>46161.48025002315</v>
      </c>
      <c r="HN26" s="800" t="n">
        <v>46161.48090785836</v>
      </c>
      <c r="HO26" s="235" t="inlineStr">
        <is>
          <t>USOU</t>
        </is>
      </c>
      <c r="HQ26" s="366" t="inlineStr">
        <is>
          <t>DIVERSOS VENDA</t>
        </is>
      </c>
      <c r="HR26" s="524" t="inlineStr">
        <is>
          <t>PCT</t>
        </is>
      </c>
      <c r="HS26" s="511" t="n">
        <v>45796</v>
      </c>
      <c r="HT26" s="511" t="n">
        <v>45803</v>
      </c>
      <c r="HU26" s="398" t="n">
        <v>45810</v>
      </c>
      <c r="HV26" s="511" t="n">
        <v>45817</v>
      </c>
      <c r="HW26" s="511" t="n">
        <v>45824</v>
      </c>
      <c r="HX26" s="511" t="n">
        <v>45831</v>
      </c>
      <c r="HY26" s="511" t="n">
        <v>45838</v>
      </c>
      <c r="HZ26" s="806" t="n">
        <v>46160</v>
      </c>
      <c r="IA26" s="807" t="n">
        <v>46161.48024940972</v>
      </c>
      <c r="IB26" s="807" t="n">
        <v>46161.4809072912</v>
      </c>
      <c r="IC26" s="368" t="inlineStr">
        <is>
          <t>USOU</t>
        </is>
      </c>
      <c r="IE26" s="222" t="inlineStr">
        <is>
          <t>DIVERSOS VENDA</t>
        </is>
      </c>
      <c r="IF26" s="519" t="inlineStr">
        <is>
          <t>PCT</t>
        </is>
      </c>
      <c r="IG26" s="513" t="n">
        <v>45845</v>
      </c>
      <c r="IH26" s="513" t="n">
        <v>45852</v>
      </c>
      <c r="II26" s="513" t="n">
        <v>45859</v>
      </c>
      <c r="IJ26" s="513" t="n">
        <v>45866</v>
      </c>
      <c r="IK26" s="513" t="n">
        <v>45873</v>
      </c>
      <c r="IL26" s="513" t="n">
        <v>45880</v>
      </c>
      <c r="IM26" s="513" t="n">
        <v>45887</v>
      </c>
      <c r="IN26" s="513" t="n">
        <v>45894</v>
      </c>
      <c r="IO26" s="737" t="n">
        <v>46160</v>
      </c>
      <c r="IP26" s="812" t="n">
        <v>46161.4802487963</v>
      </c>
      <c r="IQ26" s="812" t="n">
        <v>46161.48090660538</v>
      </c>
      <c r="IR26" s="411" t="inlineStr">
        <is>
          <t>USOU</t>
        </is>
      </c>
      <c r="IT26" s="438" t="inlineStr">
        <is>
          <t>CAIXAS</t>
        </is>
      </c>
      <c r="IU26" s="829" t="inlineStr">
        <is>
          <t>PCT</t>
        </is>
      </c>
      <c r="IV26" s="513" t="n">
        <v>45950</v>
      </c>
      <c r="IW26" s="513" t="n">
        <v>45957</v>
      </c>
      <c r="IX26" s="513" t="n">
        <v>45964</v>
      </c>
      <c r="IY26" s="737" t="n">
        <v>46160</v>
      </c>
      <c r="IZ26" s="812" t="n">
        <v>46161.48024825232</v>
      </c>
      <c r="JA26" s="812" t="n">
        <v>46161.48090603393</v>
      </c>
      <c r="JB26" s="411" t="inlineStr">
        <is>
          <t>USOU</t>
        </is>
      </c>
    </row>
    <row r="27" customFormat="1" s="3">
      <c r="A27" s="37" t="inlineStr">
        <is>
          <t>KIT PAPEL SEDA (20 c/ 25 un)</t>
        </is>
      </c>
      <c r="B27" s="699" t="n">
        <v>500</v>
      </c>
      <c r="C27" s="762" t="n">
        <v>95.90000000000001</v>
      </c>
      <c r="D27" s="382" t="n">
        <v>15</v>
      </c>
      <c r="E27" s="726" t="n"/>
      <c r="F27" s="697" t="n">
        <v>22</v>
      </c>
      <c r="G27" s="697" t="n">
        <v>22</v>
      </c>
      <c r="H27" s="697" t="n">
        <v>21</v>
      </c>
      <c r="I27" s="697" t="n">
        <v>21</v>
      </c>
      <c r="J27" s="697" t="n">
        <v>21</v>
      </c>
      <c r="K27" s="697" t="n">
        <v>20</v>
      </c>
      <c r="L27" s="697" t="n">
        <v>20</v>
      </c>
      <c r="M27" s="697" t="n">
        <v>34</v>
      </c>
      <c r="N27" s="697" t="n">
        <v>34</v>
      </c>
      <c r="O27" s="697" t="n">
        <v>34</v>
      </c>
      <c r="P27" s="697" t="n">
        <v>30</v>
      </c>
      <c r="Q27" s="697" t="n">
        <v>28</v>
      </c>
      <c r="R27" s="697" t="n">
        <v>25</v>
      </c>
      <c r="S27" s="697">
        <f>23+FW27</f>
        <v/>
      </c>
      <c r="T27" s="697" t="n">
        <v>43</v>
      </c>
      <c r="U27" s="697" t="n">
        <v>42</v>
      </c>
      <c r="V27" s="697" t="n">
        <v>42</v>
      </c>
      <c r="W27" s="697" t="n">
        <v>41</v>
      </c>
      <c r="X27" s="697" t="n">
        <v>41</v>
      </c>
      <c r="Y27" s="697" t="n">
        <v>33</v>
      </c>
      <c r="Z27" s="697" t="n">
        <v>29</v>
      </c>
      <c r="AA27" s="697" t="n">
        <v>27</v>
      </c>
      <c r="AB27" s="697" t="n">
        <v>25</v>
      </c>
      <c r="AC27" s="697" t="n">
        <v>24</v>
      </c>
      <c r="AD27" s="697" t="n">
        <v>21</v>
      </c>
      <c r="AE27" s="697" t="n">
        <v>20</v>
      </c>
      <c r="AF27" s="697">
        <f>20+19</f>
        <v/>
      </c>
      <c r="AG27" s="697" t="n">
        <v>39</v>
      </c>
      <c r="AH27" s="697" t="n">
        <v>39</v>
      </c>
      <c r="AI27" s="697" t="n">
        <v>37</v>
      </c>
      <c r="AJ27" s="697" t="n">
        <v>36</v>
      </c>
      <c r="AK27" s="697" t="n">
        <v>36</v>
      </c>
      <c r="AL27" s="697" t="n">
        <v>31</v>
      </c>
      <c r="AM27" s="697" t="n">
        <v>30</v>
      </c>
      <c r="AN27" s="697" t="n">
        <v>29</v>
      </c>
      <c r="AO27" s="697" t="n">
        <v>29</v>
      </c>
      <c r="AP27" s="697" t="n">
        <v>25</v>
      </c>
      <c r="AQ27" s="697" t="n">
        <v>25</v>
      </c>
      <c r="AR27" s="697" t="n">
        <v>25</v>
      </c>
      <c r="AS27" s="697" t="n">
        <v>23</v>
      </c>
      <c r="AT27" s="697" t="n">
        <v>21</v>
      </c>
      <c r="AU27" s="697" t="n">
        <v>20</v>
      </c>
      <c r="AV27" s="697" t="n">
        <v>20</v>
      </c>
      <c r="AW27" s="697" t="n">
        <v>20</v>
      </c>
      <c r="AX27" s="697" t="n">
        <v>20</v>
      </c>
      <c r="AY27" s="697" t="n">
        <v>20</v>
      </c>
      <c r="AZ27" s="697" t="n">
        <v>20</v>
      </c>
      <c r="BA27" s="697" t="n">
        <v>20</v>
      </c>
      <c r="BB27" s="697" t="n">
        <v>20</v>
      </c>
      <c r="BC27" s="697" t="n">
        <v>20</v>
      </c>
      <c r="BD27" s="697" t="n">
        <v>20</v>
      </c>
      <c r="BE27" s="697" t="n">
        <v>20</v>
      </c>
      <c r="BF27" s="697" t="n">
        <v>20</v>
      </c>
      <c r="BG27" s="697" t="n">
        <v>20</v>
      </c>
      <c r="BH27" s="697" t="n">
        <v>20</v>
      </c>
      <c r="BI27" s="697" t="n">
        <v>0</v>
      </c>
      <c r="BJ27" s="697">
        <f>0+CV27</f>
        <v/>
      </c>
      <c r="BK27" s="697" t="n">
        <v>200</v>
      </c>
      <c r="BL27" s="697" t="n">
        <v>200</v>
      </c>
      <c r="BM27" s="697" t="n">
        <v>196</v>
      </c>
      <c r="BN27" s="697" t="n">
        <v>185</v>
      </c>
      <c r="BO27" s="697" t="n">
        <v>150</v>
      </c>
      <c r="BP27" s="697" t="n">
        <v>150</v>
      </c>
      <c r="BQ27" s="697" t="n">
        <v>140</v>
      </c>
      <c r="BR27" s="697" t="n">
        <v>140</v>
      </c>
      <c r="BS27" s="697" t="n"/>
      <c r="BT27" s="697" t="n"/>
      <c r="BU27" s="697" t="n"/>
      <c r="BV27" s="697" t="n"/>
      <c r="BW27" s="697" t="n"/>
      <c r="BX27" s="697" t="n">
        <v>140</v>
      </c>
      <c r="BY27" s="697" t="n">
        <v>140</v>
      </c>
      <c r="BZ27" s="699" t="n">
        <v>140</v>
      </c>
      <c r="CA27" s="699" t="n">
        <v>140</v>
      </c>
      <c r="CB27" s="192">
        <f>BZ27+IF(NOT(ISBLANK(OFFSET(CB27,0,6))),N(OFFSET(CB27,0,6)),N(OFFSET(CB27,0,7)))-CA27</f>
        <v/>
      </c>
      <c r="CC27" s="5" t="n"/>
      <c r="CD27" s="22" t="n"/>
      <c r="CE27" s="22" t="n"/>
      <c r="CF27" s="5" t="n"/>
      <c r="CG27" s="27" t="n"/>
      <c r="CH27" s="828" t="n">
        <v>0</v>
      </c>
      <c r="CI27" s="40" t="n">
        <v>0</v>
      </c>
      <c r="CJ27" s="40" t="n">
        <v>0</v>
      </c>
      <c r="CK27" s="40" t="n">
        <v>0</v>
      </c>
      <c r="CL27" s="40" t="n"/>
      <c r="CM27" s="419" t="n">
        <v>10</v>
      </c>
      <c r="CN27" s="40" t="n"/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>
        <v>200</v>
      </c>
      <c r="CY27" s="40" t="n"/>
      <c r="CZ27" s="40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219" t="n"/>
      <c r="DO27" s="40" t="n"/>
      <c r="DP27" s="40" t="n"/>
      <c r="DQ27" s="40" t="n"/>
      <c r="DR27" s="40" t="n"/>
      <c r="DS27" s="40" t="n"/>
      <c r="DT27" s="40" t="n"/>
      <c r="DU27" s="40" t="n"/>
      <c r="DV27" s="219" t="n">
        <v>150</v>
      </c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40" t="n"/>
      <c r="EV27" s="292" t="inlineStr">
        <is>
          <t>10 P/ CD</t>
        </is>
      </c>
      <c r="EW27" s="40" t="n"/>
      <c r="EX27" s="40" t="n"/>
      <c r="EY27" s="219" t="n">
        <v>20</v>
      </c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219" t="n"/>
      <c r="FK27" s="23" t="n"/>
      <c r="FL27" s="219" t="n">
        <v>20</v>
      </c>
      <c r="FM27" s="40" t="n"/>
      <c r="FN27" s="40" t="n"/>
      <c r="FO27" s="40" t="n"/>
      <c r="FP27" s="40" t="n"/>
      <c r="FQ27" s="40" t="n"/>
      <c r="FR27" s="40" t="n"/>
      <c r="FS27" s="40" t="n"/>
      <c r="FT27" s="40" t="n"/>
      <c r="FU27" s="40" t="n"/>
      <c r="FV27" s="40" t="n"/>
      <c r="FW27" s="40" t="n"/>
      <c r="FX27" s="40" t="n"/>
      <c r="FY27" s="40" t="n">
        <v>20</v>
      </c>
      <c r="FZ27" s="219" t="n"/>
      <c r="GA27" s="40" t="n"/>
      <c r="GB27" s="219" t="n">
        <v>10</v>
      </c>
      <c r="GC27" s="40" t="n"/>
      <c r="GD27" s="40" t="n"/>
      <c r="GE27" s="40" t="n"/>
      <c r="GF27" s="40" t="n"/>
      <c r="GG27" s="40" t="n"/>
      <c r="GH27" s="40" t="n"/>
      <c r="GI27" s="40" t="n"/>
      <c r="GJ27" s="40" t="n"/>
      <c r="GK27" s="40" t="n"/>
      <c r="GL27" s="40" t="n"/>
      <c r="GM27" s="40" t="n"/>
      <c r="GN27" s="40" t="n"/>
      <c r="GO27" s="40" t="n"/>
      <c r="GP27" s="40" t="n"/>
      <c r="GQ27" s="40" t="n"/>
      <c r="GS27" s="37" t="inlineStr">
        <is>
          <t>KIT PAPEL SEDA 10 PC C/ 20</t>
        </is>
      </c>
      <c r="GT27" s="208" t="n">
        <v>200</v>
      </c>
      <c r="GU27" s="699">
        <f>FZ27</f>
        <v/>
      </c>
      <c r="GV27" s="699" t="n">
        <v>10</v>
      </c>
      <c r="GW27" s="699" t="n">
        <v>6</v>
      </c>
      <c r="GX27" s="699" t="n">
        <v>0</v>
      </c>
      <c r="GY27" s="699" t="n">
        <v>0</v>
      </c>
      <c r="GZ27" s="699" t="n">
        <v>0</v>
      </c>
      <c r="HA27" s="699" t="n">
        <v>0</v>
      </c>
      <c r="HB27" s="699" t="n">
        <v>0</v>
      </c>
      <c r="HC27" s="699" t="n">
        <v>0</v>
      </c>
      <c r="HD27" s="699" t="n">
        <v>0</v>
      </c>
      <c r="HE27" s="699" t="n">
        <v>0</v>
      </c>
      <c r="HF27" s="699" t="n">
        <v>0</v>
      </c>
      <c r="HG27" s="699" t="n">
        <v>0</v>
      </c>
      <c r="HH27" s="699" t="n">
        <v>0</v>
      </c>
      <c r="HI27" s="699" t="n">
        <v>0</v>
      </c>
      <c r="HJ27" s="699" t="n">
        <v>0</v>
      </c>
      <c r="HK27" s="699" t="n"/>
      <c r="HL27" s="699" t="n">
        <v>0</v>
      </c>
      <c r="HM27" s="699" t="n"/>
      <c r="HN27" s="699" t="n"/>
      <c r="HO27" s="303" t="n">
        <v>0</v>
      </c>
      <c r="HQ27" s="37" t="inlineStr">
        <is>
          <t>KIT PAPEL SEDA 10 PC C/ 20</t>
        </is>
      </c>
      <c r="HR27" s="208" t="n">
        <v>200</v>
      </c>
      <c r="HS27" s="699">
        <f>FJ27</f>
        <v/>
      </c>
      <c r="HT27" s="699" t="n">
        <v>19</v>
      </c>
      <c r="HU27" s="699" t="n">
        <v>16</v>
      </c>
      <c r="HV27" s="699" t="n">
        <v>8</v>
      </c>
      <c r="HW27" s="699" t="n">
        <v>0</v>
      </c>
      <c r="HX27" s="699" t="n">
        <v>0</v>
      </c>
      <c r="HY27" s="699" t="n">
        <v>0</v>
      </c>
      <c r="HZ27" s="699" t="n"/>
      <c r="IA27" s="699" t="n"/>
      <c r="IB27" s="699" t="n"/>
      <c r="IC27" s="369">
        <f>IA27+IF(NOT(ISBLANK(OFFSET(IC27,0,6))),N(OFFSET(IC27,0,6)),N(OFFSET(IC27,0,7)))-IB27</f>
        <v/>
      </c>
      <c r="IE27" s="37" t="inlineStr">
        <is>
          <t>KIT PAPEL SEDA 10 PC C/ 20</t>
        </is>
      </c>
      <c r="IF27" s="208" t="n">
        <v>200</v>
      </c>
      <c r="IG27" s="699">
        <f>EW27</f>
        <v/>
      </c>
      <c r="IH27" s="699">
        <f>20-10</f>
        <v/>
      </c>
      <c r="II27" s="699" t="n">
        <v>10</v>
      </c>
      <c r="IJ27" s="699" t="n">
        <v>4</v>
      </c>
      <c r="IK27" s="699" t="n">
        <v>0</v>
      </c>
      <c r="IL27" s="699" t="n">
        <v>0</v>
      </c>
      <c r="IM27" s="699" t="n">
        <v>0</v>
      </c>
      <c r="IN27" s="699" t="n">
        <v>0</v>
      </c>
      <c r="IO27" s="699" t="n"/>
      <c r="IP27" s="699" t="n"/>
      <c r="IQ27" s="699" t="n"/>
      <c r="IR27" s="412" t="n">
        <v>0</v>
      </c>
      <c r="IS27" s="2" t="n"/>
      <c r="IT27" s="37" t="inlineStr">
        <is>
          <t xml:space="preserve">CAIXA P </t>
        </is>
      </c>
      <c r="IU27" s="208" t="n">
        <v>150</v>
      </c>
      <c r="IV27" s="699" t="n">
        <v>0</v>
      </c>
      <c r="IW27" s="699">
        <f>DT27</f>
        <v/>
      </c>
      <c r="IX27" s="162" t="n"/>
      <c r="IY27" s="162" t="n"/>
      <c r="IZ27" s="162" t="n"/>
      <c r="JA27" s="162" t="n"/>
      <c r="JB27" s="448" t="n"/>
      <c r="JD27" s="449" t="inlineStr">
        <is>
          <t>50 P/ CD</t>
        </is>
      </c>
    </row>
    <row r="28" customFormat="1" s="3">
      <c r="A28" s="37" t="inlineStr">
        <is>
          <t>KIT ETIQUETAS (50 c/50un)</t>
        </is>
      </c>
      <c r="B28" s="699" t="n">
        <v>2500</v>
      </c>
      <c r="C28" s="762" t="n">
        <v>66.87</v>
      </c>
      <c r="D28" s="382" t="n">
        <v>15</v>
      </c>
      <c r="E28" s="726" t="n"/>
      <c r="F28" s="31" t="n">
        <v>21</v>
      </c>
      <c r="G28" s="31" t="n">
        <v>20</v>
      </c>
      <c r="H28" s="31" t="n">
        <v>17</v>
      </c>
      <c r="I28" s="31" t="n">
        <v>17</v>
      </c>
      <c r="J28" s="31" t="n">
        <v>17</v>
      </c>
      <c r="K28" s="31" t="n">
        <v>16</v>
      </c>
      <c r="L28" s="31" t="n">
        <v>15</v>
      </c>
      <c r="M28" s="31">
        <f>14+GD28</f>
        <v/>
      </c>
      <c r="N28" s="31" t="n">
        <v>64</v>
      </c>
      <c r="O28" s="31" t="n">
        <v>62</v>
      </c>
      <c r="P28" s="31" t="n">
        <v>60</v>
      </c>
      <c r="Q28" s="31" t="n">
        <v>57</v>
      </c>
      <c r="R28" s="31" t="n">
        <v>56</v>
      </c>
      <c r="S28" s="31" t="n">
        <v>53</v>
      </c>
      <c r="T28" s="31" t="n">
        <v>53</v>
      </c>
      <c r="U28" s="31" t="n">
        <v>53</v>
      </c>
      <c r="V28" s="31" t="n">
        <v>53</v>
      </c>
      <c r="W28" s="31" t="n">
        <v>52</v>
      </c>
      <c r="X28" s="31" t="n">
        <v>46</v>
      </c>
      <c r="Y28" s="31" t="n">
        <v>32</v>
      </c>
      <c r="Z28" s="31" t="n">
        <v>27</v>
      </c>
      <c r="AA28" s="31" t="n">
        <v>24</v>
      </c>
      <c r="AB28" s="31" t="n">
        <v>23</v>
      </c>
      <c r="AC28" s="31" t="n">
        <v>47</v>
      </c>
      <c r="AD28" s="31" t="n">
        <v>47</v>
      </c>
      <c r="AE28" s="31" t="n">
        <v>46</v>
      </c>
      <c r="AF28" s="31">
        <f>45-15</f>
        <v/>
      </c>
      <c r="AG28" s="31" t="n">
        <v>30</v>
      </c>
      <c r="AH28" s="31" t="n">
        <v>29</v>
      </c>
      <c r="AI28" s="31" t="n">
        <v>26</v>
      </c>
      <c r="AJ28" s="31" t="n">
        <v>25</v>
      </c>
      <c r="AK28" s="31" t="n">
        <v>21</v>
      </c>
      <c r="AL28" s="31" t="n">
        <v>18</v>
      </c>
      <c r="AM28" s="420" t="n">
        <v>29</v>
      </c>
      <c r="AN28" s="697" t="n">
        <v>27</v>
      </c>
      <c r="AO28" s="697" t="n">
        <v>27</v>
      </c>
      <c r="AP28" s="697" t="n">
        <v>21</v>
      </c>
      <c r="AQ28" s="697" t="n">
        <v>20</v>
      </c>
      <c r="AR28" s="697" t="n">
        <v>19</v>
      </c>
      <c r="AS28" s="697" t="n">
        <v>19</v>
      </c>
      <c r="AT28" s="697" t="n">
        <v>17</v>
      </c>
      <c r="AU28" s="697" t="n">
        <v>14</v>
      </c>
      <c r="AV28" s="697" t="n">
        <v>13</v>
      </c>
      <c r="AW28" s="697" t="n">
        <v>13</v>
      </c>
      <c r="AX28" s="697" t="n">
        <v>2</v>
      </c>
      <c r="AY28" s="697">
        <f>1+5</f>
        <v/>
      </c>
      <c r="AZ28" s="697" t="n">
        <v>4</v>
      </c>
      <c r="BA28" s="697" t="n">
        <v>1</v>
      </c>
      <c r="BB28" s="697" t="n">
        <v>1</v>
      </c>
      <c r="BC28" s="697" t="n">
        <v>1</v>
      </c>
      <c r="BD28" s="697" t="n">
        <v>1</v>
      </c>
      <c r="BE28" s="697" t="n">
        <v>1</v>
      </c>
      <c r="BF28" s="697" t="n">
        <v>1</v>
      </c>
      <c r="BG28" s="697" t="n">
        <v>1</v>
      </c>
      <c r="BH28" s="697" t="n">
        <v>1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/>
      <c r="BT28" s="697" t="n"/>
      <c r="BU28" s="697" t="n"/>
      <c r="BV28" s="697" t="n"/>
      <c r="BW28" s="697" t="n"/>
      <c r="BX28" s="697" t="n">
        <v>0</v>
      </c>
      <c r="BY28" s="697" t="n">
        <v>0</v>
      </c>
      <c r="BZ28" s="699" t="n">
        <v>0</v>
      </c>
      <c r="CA28" s="699" t="n">
        <v>0</v>
      </c>
      <c r="CB28" s="192">
        <f>BZ28+IF(NOT(ISBLANK(OFFSET(CB28,0,6))),N(OFFSET(CB28,0,6)),N(OFFSET(CB28,0,7)))-CA28</f>
        <v/>
      </c>
      <c r="CC28" s="5" t="n"/>
      <c r="CD28" s="22" t="n"/>
      <c r="CE28" s="22" t="n"/>
      <c r="CF28" s="5" t="n"/>
      <c r="CG28" s="27" t="n"/>
      <c r="CH28" s="828" t="n">
        <v>0</v>
      </c>
      <c r="CI28" s="40" t="n">
        <v>0</v>
      </c>
      <c r="CJ28" s="40" t="n">
        <v>0</v>
      </c>
      <c r="CK28" s="40" t="n">
        <v>0</v>
      </c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192" t="inlineStr">
        <is>
          <t>05 DE CDB</t>
        </is>
      </c>
      <c r="DO28" s="40" t="n"/>
      <c r="DP28" s="40" t="n"/>
      <c r="DQ28" s="40" t="n"/>
      <c r="DR28" s="40" t="n"/>
      <c r="DS28" s="40" t="n"/>
      <c r="DT28" s="40" t="n"/>
      <c r="DU28" s="40" t="n"/>
      <c r="DV28" s="219" t="n">
        <v>200</v>
      </c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219" t="n"/>
      <c r="FK28" s="23" t="n"/>
      <c r="FL28" s="219" t="n">
        <v>15</v>
      </c>
      <c r="FM28" s="40" t="n"/>
      <c r="FN28" s="40" t="n"/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219" t="n"/>
      <c r="GA28" s="40" t="n"/>
      <c r="GB28" s="219" t="n"/>
      <c r="GC28" s="40" t="n"/>
      <c r="GD28" s="40" t="n"/>
      <c r="GE28" s="40" t="n"/>
      <c r="GF28" s="40" t="n">
        <v>50</v>
      </c>
      <c r="GG28" s="40" t="n"/>
      <c r="GH28" s="40" t="n"/>
      <c r="GI28" s="40" t="n"/>
      <c r="GJ28" s="40" t="n"/>
      <c r="GK28" s="40" t="n"/>
      <c r="GL28" s="40" t="n"/>
      <c r="GM28" s="40" t="n"/>
      <c r="GN28" s="40" t="n"/>
      <c r="GO28" s="40" t="n"/>
      <c r="GP28" s="40" t="n"/>
      <c r="GQ28" s="40" t="n"/>
      <c r="GS28" s="37" t="inlineStr">
        <is>
          <t>KIT TAGS 15 PC C/ 10</t>
        </is>
      </c>
      <c r="GT28" s="208" t="n">
        <v>150</v>
      </c>
      <c r="GU28" s="699" t="n">
        <v>0</v>
      </c>
      <c r="GV28" s="699" t="n">
        <v>0</v>
      </c>
      <c r="GW28" s="699" t="n">
        <v>0</v>
      </c>
      <c r="GX28" s="699" t="n">
        <v>0</v>
      </c>
      <c r="GY28" s="699" t="n">
        <v>0</v>
      </c>
      <c r="GZ28" s="699" t="n">
        <v>0</v>
      </c>
      <c r="HA28" s="699" t="n">
        <v>0</v>
      </c>
      <c r="HB28" s="699" t="n">
        <v>0</v>
      </c>
      <c r="HC28" s="699" t="n">
        <v>0</v>
      </c>
      <c r="HD28" s="699" t="n">
        <v>0</v>
      </c>
      <c r="HE28" s="699" t="n">
        <v>0</v>
      </c>
      <c r="HF28" s="699" t="n">
        <v>0</v>
      </c>
      <c r="HG28" s="699" t="n">
        <v>0</v>
      </c>
      <c r="HH28" s="699" t="n">
        <v>0</v>
      </c>
      <c r="HI28" s="699" t="n">
        <v>0</v>
      </c>
      <c r="HJ28" s="699" t="n">
        <v>0</v>
      </c>
      <c r="HK28" s="699" t="n"/>
      <c r="HL28" s="699" t="n">
        <v>0</v>
      </c>
      <c r="HM28" s="699" t="n"/>
      <c r="HN28" s="699" t="n"/>
      <c r="HO28" s="303" t="n">
        <v>0</v>
      </c>
      <c r="HQ28" s="37" t="inlineStr">
        <is>
          <t>KIT TAGS 15 PC C/ 10</t>
        </is>
      </c>
      <c r="HR28" s="208" t="n">
        <v>150</v>
      </c>
      <c r="HS28" s="699">
        <f>FJ28</f>
        <v/>
      </c>
      <c r="HT28" s="699" t="n">
        <v>14</v>
      </c>
      <c r="HU28" s="699" t="n">
        <v>11</v>
      </c>
      <c r="HV28" s="699" t="n">
        <v>6</v>
      </c>
      <c r="HW28" s="699" t="n">
        <v>3</v>
      </c>
      <c r="HX28" s="699" t="n">
        <v>2</v>
      </c>
      <c r="HY28" s="699" t="n">
        <v>2</v>
      </c>
      <c r="HZ28" s="699" t="n"/>
      <c r="IA28" s="699" t="n"/>
      <c r="IB28" s="699" t="n"/>
      <c r="IC28" s="369">
        <f>IA28+IF(NOT(ISBLANK(OFFSET(IC28,0,6))),N(OFFSET(IC28,0,6)),N(OFFSET(IC28,0,7)))-IB28</f>
        <v/>
      </c>
      <c r="IS28" s="2" t="n"/>
      <c r="IT28" s="37" t="inlineStr">
        <is>
          <t>CAIXA M</t>
        </is>
      </c>
      <c r="IU28" s="208" t="n">
        <v>100</v>
      </c>
      <c r="IV28" s="699" t="n">
        <v>0</v>
      </c>
      <c r="IW28" s="699">
        <f>DT28</f>
        <v/>
      </c>
      <c r="IX28" s="699" t="n"/>
      <c r="IY28" s="699" t="n"/>
      <c r="IZ28" s="699" t="n"/>
      <c r="JA28" s="699" t="n"/>
      <c r="JB28" s="445" t="n"/>
      <c r="JD28" s="449" t="inlineStr">
        <is>
          <t>50 P/ CD</t>
        </is>
      </c>
    </row>
    <row r="29" ht="20.25" customFormat="1" customHeight="1" s="3">
      <c r="A29" s="37" t="inlineStr">
        <is>
          <t>KIT TAGS  (21 c/ 50 un)</t>
        </is>
      </c>
      <c r="B29" s="699" t="n">
        <v>1050</v>
      </c>
      <c r="C29" s="762" t="n">
        <v>52.14</v>
      </c>
      <c r="D29" s="382" t="n">
        <v>10</v>
      </c>
      <c r="E29" s="2" t="n"/>
      <c r="F29" s="697" t="n">
        <v>33</v>
      </c>
      <c r="G29" s="697" t="n">
        <v>33</v>
      </c>
      <c r="H29" s="697" t="n">
        <v>33</v>
      </c>
      <c r="I29" s="697" t="n">
        <v>33</v>
      </c>
      <c r="J29" s="697" t="n">
        <v>33</v>
      </c>
      <c r="K29" s="697" t="n">
        <v>33</v>
      </c>
      <c r="L29" s="697" t="n">
        <v>33</v>
      </c>
      <c r="M29" s="697" t="n">
        <v>32</v>
      </c>
      <c r="N29" s="697" t="n">
        <v>32</v>
      </c>
      <c r="O29" s="697" t="n">
        <v>32</v>
      </c>
      <c r="P29" s="697" t="n">
        <v>32</v>
      </c>
      <c r="Q29" s="697" t="n">
        <v>32</v>
      </c>
      <c r="R29" s="697" t="n">
        <v>32</v>
      </c>
      <c r="S29" s="697" t="n">
        <v>32</v>
      </c>
      <c r="T29" s="697" t="n">
        <v>32</v>
      </c>
      <c r="U29" s="697" t="n">
        <v>32</v>
      </c>
      <c r="V29" s="697" t="n">
        <v>32</v>
      </c>
      <c r="W29" s="697" t="n">
        <v>32</v>
      </c>
      <c r="X29" s="697" t="n">
        <v>30</v>
      </c>
      <c r="Y29" s="697" t="n">
        <v>29</v>
      </c>
      <c r="Z29" s="697" t="n">
        <v>29</v>
      </c>
      <c r="AA29" s="697" t="n">
        <v>29</v>
      </c>
      <c r="AB29" s="697" t="n">
        <v>29</v>
      </c>
      <c r="AC29" s="697" t="n">
        <v>29</v>
      </c>
      <c r="AD29" s="697" t="n">
        <v>28</v>
      </c>
      <c r="AE29" s="697" t="n">
        <v>28</v>
      </c>
      <c r="AF29" s="697" t="n">
        <v>27</v>
      </c>
      <c r="AG29" s="697" t="n">
        <v>27</v>
      </c>
      <c r="AH29" s="697" t="n">
        <v>27</v>
      </c>
      <c r="AI29" s="697" t="n">
        <v>27</v>
      </c>
      <c r="AJ29" s="697" t="n">
        <v>27</v>
      </c>
      <c r="AK29" s="697" t="n">
        <v>27</v>
      </c>
      <c r="AL29" s="697" t="n">
        <v>26</v>
      </c>
      <c r="AM29" s="697" t="n">
        <v>26</v>
      </c>
      <c r="AN29" s="697" t="n">
        <v>26</v>
      </c>
      <c r="AO29" s="697" t="n">
        <v>26</v>
      </c>
      <c r="AP29" s="697" t="n">
        <v>26</v>
      </c>
      <c r="AQ29" s="697" t="n">
        <v>26</v>
      </c>
      <c r="AR29" s="697" t="n">
        <v>26</v>
      </c>
      <c r="AS29" s="697" t="n">
        <v>26</v>
      </c>
      <c r="AT29" s="697" t="n">
        <v>26</v>
      </c>
      <c r="AU29" s="697" t="n">
        <v>24</v>
      </c>
      <c r="AV29" s="697" t="n">
        <v>23</v>
      </c>
      <c r="AW29" s="697" t="n">
        <v>23</v>
      </c>
      <c r="AX29" s="697" t="n">
        <v>18</v>
      </c>
      <c r="AY29" s="697" t="n">
        <v>15</v>
      </c>
      <c r="AZ29" s="697" t="n">
        <v>13</v>
      </c>
      <c r="BA29" s="697" t="n">
        <v>6</v>
      </c>
      <c r="BB29" s="697" t="n">
        <v>5</v>
      </c>
      <c r="BC29" s="697" t="n">
        <v>5</v>
      </c>
      <c r="BD29" s="697" t="n">
        <v>1</v>
      </c>
      <c r="BE29" s="697" t="n">
        <v>0</v>
      </c>
      <c r="BF29" s="697" t="n">
        <v>0</v>
      </c>
      <c r="BG29" s="697" t="n">
        <v>0</v>
      </c>
      <c r="BH29" s="697" t="n">
        <v>0</v>
      </c>
      <c r="BI29" s="697" t="n">
        <v>0</v>
      </c>
      <c r="BJ29" s="697">
        <f>0+CV29</f>
        <v/>
      </c>
      <c r="BK29" s="697" t="n">
        <v>20</v>
      </c>
      <c r="BL29" s="697" t="n">
        <v>20</v>
      </c>
      <c r="BM29" s="697" t="n">
        <v>19</v>
      </c>
      <c r="BN29" s="697" t="n">
        <v>19</v>
      </c>
      <c r="BO29" s="697" t="n">
        <v>17</v>
      </c>
      <c r="BP29" s="697" t="n">
        <v>17</v>
      </c>
      <c r="BQ29" s="697" t="n">
        <v>15</v>
      </c>
      <c r="BR29" s="697" t="n">
        <v>15</v>
      </c>
      <c r="BS29" s="697" t="n"/>
      <c r="BT29" s="697" t="n"/>
      <c r="BU29" s="697" t="n"/>
      <c r="BV29" s="697" t="n"/>
      <c r="BW29" s="697" t="n"/>
      <c r="BX29" s="697" t="n">
        <v>10</v>
      </c>
      <c r="BY29" s="697" t="n">
        <v>0</v>
      </c>
      <c r="BZ29" s="699" t="n">
        <v>0</v>
      </c>
      <c r="CA29" s="699" t="n">
        <v>0</v>
      </c>
      <c r="CB29" s="192">
        <f>BZ29+IF(NOT(ISBLANK(OFFSET(CB29,0,6))),N(OFFSET(CB29,0,6)),N(OFFSET(CB29,0,7)))-CA29</f>
        <v/>
      </c>
      <c r="CC29" s="5" t="n"/>
      <c r="CD29" s="22" t="n"/>
      <c r="CE29" s="22" t="n"/>
      <c r="CF29" s="5" t="n"/>
      <c r="CG29" s="27" t="n"/>
      <c r="CH29" s="828" t="n">
        <v>0</v>
      </c>
      <c r="CI29" s="40" t="n">
        <v>0</v>
      </c>
      <c r="CJ29" s="40" t="n">
        <v>0</v>
      </c>
      <c r="CK29" s="40" t="n">
        <v>0</v>
      </c>
      <c r="CL29" s="40" t="n"/>
      <c r="CM29" s="40" t="n"/>
      <c r="CN29" s="40" t="n"/>
      <c r="CO29" s="40" t="n"/>
      <c r="CP29" s="40" t="n"/>
      <c r="CQ29" s="40" t="n"/>
      <c r="CR29" s="40" t="n"/>
      <c r="CS29" s="40" t="n"/>
      <c r="CT29" s="40" t="n"/>
      <c r="CU29" s="40" t="n"/>
      <c r="CV29" s="40" t="n"/>
      <c r="CW29" s="40" t="n"/>
      <c r="CX29" s="40" t="n">
        <v>20</v>
      </c>
      <c r="CY29" s="40" t="n"/>
      <c r="CZ29" s="40" t="n"/>
      <c r="DA29" s="40" t="n"/>
      <c r="DB29" s="40" t="n"/>
      <c r="DC29" s="40" t="n"/>
      <c r="DD29" s="40" t="n"/>
      <c r="DE29" s="40" t="n"/>
      <c r="DF29" s="40" t="n"/>
      <c r="DG29" s="40" t="n"/>
      <c r="DH29" s="40" t="n"/>
      <c r="DI29" s="40" t="n"/>
      <c r="DJ29" s="40" t="n"/>
      <c r="DK29" s="40" t="n"/>
      <c r="DL29" s="40" t="n"/>
      <c r="DM29" s="40" t="n"/>
      <c r="DN29" s="219" t="n"/>
      <c r="DO29" s="40" t="n"/>
      <c r="DP29" s="40" t="n"/>
      <c r="DQ29" s="40" t="n"/>
      <c r="DR29" s="40" t="n"/>
      <c r="DS29" s="40" t="n"/>
      <c r="DT29" s="40" t="n"/>
      <c r="DU29" s="40" t="n"/>
      <c r="DV29" s="219" t="n">
        <v>200</v>
      </c>
      <c r="DW29" s="40" t="n"/>
      <c r="DX29" s="40" t="n"/>
      <c r="DY29" s="40" t="n"/>
      <c r="DZ29" s="40" t="n"/>
      <c r="EA29" s="40" t="n"/>
      <c r="EB29" s="40" t="n"/>
      <c r="EC29" s="40" t="n"/>
      <c r="ED29" s="40" t="n"/>
      <c r="EE29" s="40" t="n"/>
      <c r="EF29" s="40" t="n"/>
      <c r="EG29" s="40" t="n"/>
      <c r="EH29" s="40" t="n"/>
      <c r="EI29" s="40" t="n"/>
      <c r="EJ29" s="40" t="n"/>
      <c r="EK29" s="40" t="n"/>
      <c r="EL29" s="40" t="n"/>
      <c r="EM29" s="40" t="n"/>
      <c r="EN29" s="40" t="n"/>
      <c r="EO29" s="40" t="n"/>
      <c r="EP29" s="40" t="n"/>
      <c r="EQ29" s="40" t="n"/>
      <c r="ER29" s="40" t="n"/>
      <c r="ES29" s="40" t="n"/>
      <c r="ET29" s="40" t="n"/>
      <c r="EU29" s="40" t="n"/>
      <c r="EV29" s="40" t="n"/>
      <c r="EW29" s="40" t="n"/>
      <c r="EX29" s="40" t="n"/>
      <c r="EY29" s="40" t="n"/>
      <c r="EZ29" s="40" t="n"/>
      <c r="FA29" s="40" t="n"/>
      <c r="FB29" s="40" t="n"/>
      <c r="FC29" s="40" t="n"/>
      <c r="FD29" s="40" t="n"/>
      <c r="FE29" s="40" t="n"/>
      <c r="FF29" s="40" t="n"/>
      <c r="FG29" s="40" t="n"/>
      <c r="FH29" s="40" t="n"/>
      <c r="FI29" s="40" t="n"/>
      <c r="FJ29" s="40" t="n"/>
      <c r="FK29" s="23" t="n"/>
      <c r="FL29" s="219" t="n"/>
      <c r="FM29" s="40" t="n"/>
      <c r="FN29" s="40" t="n"/>
      <c r="FO29" s="40" t="n"/>
      <c r="FP29" s="40" t="n"/>
      <c r="FQ29" s="40" t="n"/>
      <c r="FR29" s="40" t="n"/>
      <c r="FS29" s="40" t="n"/>
      <c r="FT29" s="40" t="n"/>
      <c r="FU29" s="40" t="n"/>
      <c r="FV29" s="40" t="n"/>
      <c r="FW29" s="40" t="n"/>
      <c r="FX29" s="40" t="n"/>
      <c r="FY29" s="40" t="n"/>
      <c r="FZ29" s="219" t="n"/>
      <c r="GA29" s="40" t="n"/>
      <c r="GB29" s="219" t="n"/>
      <c r="GC29" s="40" t="n"/>
      <c r="GD29" s="40" t="n"/>
      <c r="GE29" s="40" t="n"/>
      <c r="GF29" s="40" t="n"/>
      <c r="GG29" s="40" t="n"/>
      <c r="GH29" s="40" t="n"/>
      <c r="GI29" s="40" t="n"/>
      <c r="GJ29" s="40" t="n"/>
      <c r="GK29" s="40" t="n"/>
      <c r="GL29" s="40" t="n"/>
      <c r="GM29" s="40" t="n"/>
      <c r="GN29" s="40" t="n"/>
      <c r="GO29" s="40" t="n"/>
      <c r="GP29" s="40" t="n"/>
      <c r="GQ29" s="40" t="n"/>
      <c r="GS29" s="35" t="n"/>
      <c r="HQ29" s="35" t="n"/>
      <c r="IE29" s="35" t="n"/>
      <c r="IT29" s="37" t="inlineStr">
        <is>
          <t>CARTUCHO P</t>
        </is>
      </c>
      <c r="IU29" s="208" t="n">
        <v>200</v>
      </c>
      <c r="IV29" s="699" t="n">
        <v>0</v>
      </c>
      <c r="IW29" s="699">
        <f>DT29</f>
        <v/>
      </c>
      <c r="IX29" s="699" t="n"/>
      <c r="IY29" s="699" t="n"/>
      <c r="IZ29" s="699" t="n"/>
      <c r="JA29" s="699" t="n"/>
      <c r="JB29" s="445" t="n"/>
    </row>
    <row r="30" ht="20.25" customFormat="1" customHeight="1" s="3">
      <c r="A30" s="35" t="n"/>
      <c r="B30" s="2" t="n"/>
      <c r="C30" s="759" t="n"/>
      <c r="D30" s="450" t="n"/>
      <c r="E30" s="2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  <c r="AA30" s="4" t="n"/>
      <c r="AB30" s="4" t="n"/>
      <c r="AC30" s="4" t="n"/>
      <c r="AD30" s="4" t="n"/>
      <c r="AE30" s="4" t="n"/>
      <c r="AF30" s="4" t="n"/>
      <c r="AG30" s="4" t="n"/>
      <c r="AH30" s="4" t="n"/>
      <c r="AI30" s="4" t="n"/>
      <c r="AJ30" s="4" t="n"/>
      <c r="AK30" s="4" t="n"/>
      <c r="AL30" s="4" t="n"/>
      <c r="AM30" s="4" t="n"/>
      <c r="AN30" s="4" t="n"/>
      <c r="AO30" s="4" t="n"/>
      <c r="AP30" s="4" t="n"/>
      <c r="AQ30" s="4" t="n"/>
      <c r="AR30" s="4" t="n"/>
      <c r="AS30" s="4" t="n"/>
      <c r="AT30" s="4" t="n"/>
      <c r="AU30" s="4" t="n"/>
      <c r="AV30" s="4" t="n"/>
      <c r="AW30" s="4" t="n"/>
      <c r="AX30" s="4" t="n"/>
      <c r="AY30" s="4" t="n"/>
      <c r="AZ30" s="4" t="n"/>
      <c r="BA30" s="4" t="n"/>
      <c r="BB30" s="4" t="n"/>
      <c r="BC30" s="4" t="n"/>
      <c r="BD30" s="4" t="n"/>
      <c r="BE30" s="4" t="n"/>
      <c r="BF30" s="4" t="n"/>
      <c r="BG30" s="4" t="n"/>
      <c r="BH30" s="4" t="n"/>
      <c r="BI30" s="4" t="n"/>
      <c r="BJ30" s="4" t="n"/>
      <c r="BK30" s="4" t="n"/>
      <c r="BL30" s="4" t="n"/>
      <c r="BM30" s="4" t="n"/>
      <c r="BN30" s="4" t="n"/>
      <c r="BO30" s="4" t="n"/>
      <c r="BP30" s="4" t="n"/>
      <c r="BQ30" s="4" t="n"/>
      <c r="BR30" s="4" t="n"/>
      <c r="BS30" s="4" t="n"/>
      <c r="BT30" s="4" t="n"/>
      <c r="BU30" s="4" t="n"/>
      <c r="BV30" s="4" t="n"/>
      <c r="BW30" s="4" t="n"/>
      <c r="BX30" s="4" t="n"/>
      <c r="BY30" s="4" t="n"/>
      <c r="BZ30" s="2" t="n"/>
      <c r="CA30" s="2" t="n"/>
      <c r="CE30" s="150" t="n"/>
      <c r="CF30" s="5" t="n"/>
      <c r="CG30" s="18" t="n"/>
      <c r="CH30" s="823" t="n"/>
      <c r="CI30" s="20" t="n"/>
      <c r="CJ30" s="20" t="n"/>
      <c r="CK30" s="20" t="n"/>
      <c r="CL30" s="20" t="n"/>
      <c r="CM30" s="20" t="n"/>
      <c r="CN30" s="20" t="n"/>
      <c r="CO30" s="20" t="n"/>
      <c r="CP30" s="20" t="n"/>
      <c r="CQ30" s="20" t="n"/>
      <c r="CR30" s="20" t="n"/>
      <c r="CS30" s="20" t="n"/>
      <c r="CT30" s="20" t="n"/>
      <c r="CU30" s="20" t="n"/>
      <c r="CV30" s="20" t="n"/>
      <c r="CW30" s="20" t="n"/>
      <c r="CX30" s="20" t="n"/>
      <c r="CY30" s="20" t="n"/>
      <c r="CZ30" s="20" t="n"/>
      <c r="DA30" s="20" t="n"/>
      <c r="DB30" s="20" t="n"/>
      <c r="DC30" s="20" t="n"/>
      <c r="DD30" s="20" t="n"/>
      <c r="DE30" s="20" t="n"/>
      <c r="DF30" s="20" t="n"/>
      <c r="DG30" s="20" t="n"/>
      <c r="DH30" s="20" t="n"/>
      <c r="DI30" s="20" t="n"/>
      <c r="DJ30" s="20" t="n"/>
      <c r="DK30" s="20" t="n"/>
      <c r="DL30" s="20" t="n"/>
      <c r="DM30" s="20" t="n"/>
      <c r="DN30" s="308" t="n"/>
      <c r="DO30" s="20" t="n"/>
      <c r="DP30" s="20" t="n"/>
      <c r="DQ30" s="20" t="n"/>
      <c r="DR30" s="20" t="n"/>
      <c r="DS30" s="20" t="n"/>
      <c r="DT30" s="20" t="n"/>
      <c r="DU30" s="20" t="n"/>
      <c r="DV30" s="219" t="n">
        <v>150</v>
      </c>
      <c r="DW30" s="20" t="n"/>
      <c r="DX30" s="20" t="n"/>
      <c r="DY30" s="20" t="n"/>
      <c r="DZ30" s="20" t="n"/>
      <c r="EA30" s="20" t="n"/>
      <c r="EB30" s="20" t="n"/>
      <c r="EC30" s="20" t="n"/>
      <c r="ED30" s="20" t="n"/>
      <c r="EE30" s="20" t="n"/>
      <c r="EF30" s="20" t="n"/>
      <c r="EG30" s="20" t="n"/>
      <c r="EH30" s="20" t="n"/>
      <c r="EI30" s="20" t="n"/>
      <c r="EJ30" s="20" t="n"/>
      <c r="EK30" s="20" t="n"/>
      <c r="EL30" s="20" t="n"/>
      <c r="EM30" s="20" t="n"/>
      <c r="EN30" s="20" t="n"/>
      <c r="EO30" s="20" t="n"/>
      <c r="EP30" s="20" t="n"/>
      <c r="EQ30" s="20" t="n"/>
      <c r="ER30" s="20" t="n"/>
      <c r="ES30" s="20" t="n"/>
      <c r="ET30" s="20" t="n"/>
      <c r="EU30" s="20" t="n"/>
      <c r="EV30" s="20" t="n"/>
      <c r="EW30" s="20" t="n"/>
      <c r="EX30" s="20" t="n"/>
      <c r="EY30" s="20" t="n"/>
      <c r="EZ30" s="20" t="n"/>
      <c r="FA30" s="20" t="n"/>
      <c r="FB30" s="20" t="n"/>
      <c r="FC30" s="20" t="n"/>
      <c r="FD30" s="20" t="n"/>
      <c r="FE30" s="20" t="n"/>
      <c r="FF30" s="20" t="n"/>
      <c r="FG30" s="20" t="n"/>
      <c r="FH30" s="20" t="n"/>
      <c r="FI30" s="20" t="n"/>
      <c r="FJ30" s="20" t="n"/>
      <c r="FK30" s="47" t="n"/>
      <c r="FL30" s="308" t="n"/>
      <c r="FM30" s="20" t="n"/>
      <c r="FN30" s="20" t="n"/>
      <c r="FO30" s="20" t="n"/>
      <c r="FP30" s="20" t="n"/>
      <c r="FQ30" s="20" t="n"/>
      <c r="FR30" s="20" t="n"/>
      <c r="FS30" s="20" t="n"/>
      <c r="FT30" s="20" t="n"/>
      <c r="FU30" s="20" t="n"/>
      <c r="FV30" s="20" t="n"/>
      <c r="FW30" s="20" t="n"/>
      <c r="FX30" s="20" t="n"/>
      <c r="FY30" s="20" t="n"/>
      <c r="FZ30" s="308" t="n"/>
      <c r="GA30" s="20" t="n"/>
      <c r="GB30" s="308" t="n"/>
      <c r="GC30" s="20" t="n"/>
      <c r="GD30" s="20" t="n"/>
      <c r="GE30" s="20" t="n"/>
      <c r="GF30" s="20" t="n"/>
      <c r="GG30" s="20" t="n"/>
      <c r="GH30" s="20" t="n"/>
      <c r="GI30" s="20" t="n"/>
      <c r="GJ30" s="20" t="n"/>
      <c r="GK30" s="20" t="n"/>
      <c r="GL30" s="20" t="n"/>
      <c r="GM30" s="20" t="n"/>
      <c r="GN30" s="20" t="n"/>
      <c r="GO30" s="20" t="n"/>
      <c r="GP30" s="20" t="n"/>
      <c r="GQ30" s="20" t="n"/>
      <c r="GS30" s="35" t="n"/>
      <c r="HQ30" s="35" t="n"/>
      <c r="IE30" s="35" t="n"/>
      <c r="IT30" s="37" t="inlineStr">
        <is>
          <t>CARTUCHO M</t>
        </is>
      </c>
      <c r="IU30" s="208" t="n">
        <v>150</v>
      </c>
      <c r="IV30" s="699" t="n">
        <v>0</v>
      </c>
      <c r="IW30" s="699">
        <f>DT30</f>
        <v/>
      </c>
      <c r="IX30" s="699" t="n"/>
      <c r="IY30" s="699" t="n"/>
      <c r="IZ30" s="699" t="n"/>
      <c r="JA30" s="699" t="n"/>
      <c r="JB30" s="445" t="n"/>
    </row>
    <row r="31" customFormat="1" s="3">
      <c r="A31" s="36" t="inlineStr">
        <is>
          <t>CAIXAS BOTICÁRIO</t>
        </is>
      </c>
      <c r="B31" s="13" t="n"/>
      <c r="C31" s="13" t="n"/>
      <c r="D31" s="13" t="n"/>
      <c r="E31" s="2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45915</v>
      </c>
      <c r="AQ31" s="746" t="n">
        <v>45922</v>
      </c>
      <c r="AR31" s="746" t="n">
        <v>45929</v>
      </c>
      <c r="AS31" s="746" t="n">
        <v>45936</v>
      </c>
      <c r="AT31" s="746" t="n">
        <v>45943</v>
      </c>
      <c r="AU31" s="746" t="n">
        <v>45950</v>
      </c>
      <c r="AV31" s="746" t="n">
        <v>45957</v>
      </c>
      <c r="AW31" s="746" t="n">
        <v>45964</v>
      </c>
      <c r="AX31" s="746" t="n">
        <v>45971</v>
      </c>
      <c r="AY31" s="746" t="n">
        <v>45978</v>
      </c>
      <c r="AZ31" s="746" t="n">
        <v>45985</v>
      </c>
      <c r="BA31" s="746" t="n">
        <v>45992</v>
      </c>
      <c r="BB31" s="746" t="n">
        <v>45999</v>
      </c>
      <c r="BC31" s="746" t="n">
        <v>46006</v>
      </c>
      <c r="BD31" s="746" t="n">
        <v>46013</v>
      </c>
      <c r="BE31" s="746" t="n">
        <v>46020</v>
      </c>
      <c r="BF31" s="746" t="n">
        <v>46027</v>
      </c>
      <c r="BG31" s="746" t="n">
        <v>46034</v>
      </c>
      <c r="BH31" s="746" t="n">
        <v>46041</v>
      </c>
      <c r="BI31" s="746" t="n">
        <v>46048</v>
      </c>
      <c r="BJ31" s="746" t="n">
        <v>46055</v>
      </c>
      <c r="BK31" s="746" t="n">
        <v>46062</v>
      </c>
      <c r="BL31" s="746" t="n">
        <v>46069</v>
      </c>
      <c r="BM31" s="746" t="n">
        <v>46076</v>
      </c>
      <c r="BN31" s="746" t="n">
        <v>46083</v>
      </c>
      <c r="BO31" s="746" t="n">
        <v>46090</v>
      </c>
      <c r="BP31" s="746" t="n">
        <v>46097</v>
      </c>
      <c r="BQ31" s="746" t="n">
        <v>46104</v>
      </c>
      <c r="BR31" s="746" t="n">
        <v>46111</v>
      </c>
      <c r="BS31" s="746" t="n">
        <v>46118</v>
      </c>
      <c r="BT31" s="746" t="n">
        <v>46125</v>
      </c>
      <c r="BU31" s="746" t="n">
        <v>46132</v>
      </c>
      <c r="BV31" s="746" t="n">
        <v>46139</v>
      </c>
      <c r="BW31" s="746" t="n">
        <v>46146</v>
      </c>
      <c r="BX31" s="746" t="n">
        <v>46154</v>
      </c>
      <c r="BY31" s="746" t="n">
        <v>46160</v>
      </c>
      <c r="BZ31" s="747" t="n">
        <v>46161.48025125</v>
      </c>
      <c r="CA31" s="747" t="n">
        <v>46161.4809090667</v>
      </c>
      <c r="CB31" s="748" t="inlineStr">
        <is>
          <t>USOU</t>
        </is>
      </c>
      <c r="CD31" s="44" t="inlineStr">
        <is>
          <t>Pendências</t>
        </is>
      </c>
      <c r="CE31" s="44" t="inlineStr">
        <is>
          <t>Pendências</t>
        </is>
      </c>
      <c r="CF31" s="5" t="n"/>
      <c r="CG31" s="12" t="inlineStr">
        <is>
          <t>Novo Pedido</t>
        </is>
      </c>
      <c r="CH31" s="793" t="n">
        <v>46161.48090514453</v>
      </c>
      <c r="CI31" s="794" t="n">
        <v>46149</v>
      </c>
      <c r="CJ31" s="794" t="n">
        <v>46142</v>
      </c>
      <c r="CK31" s="794" t="n">
        <v>46114</v>
      </c>
      <c r="CL31" s="794" t="n">
        <v>46107</v>
      </c>
      <c r="CM31" s="795" t="n">
        <v>46065</v>
      </c>
      <c r="CN31" s="794" t="n">
        <v>46099</v>
      </c>
      <c r="CO31" s="794" t="n">
        <v>46092</v>
      </c>
      <c r="CP31" s="796" t="n">
        <v>46045</v>
      </c>
      <c r="CQ31" s="794" t="n">
        <v>46084</v>
      </c>
      <c r="CR31" s="797" t="n">
        <v>46085</v>
      </c>
      <c r="CS31" s="794" t="n">
        <v>46077</v>
      </c>
      <c r="CT31" s="794" t="n">
        <v>46071</v>
      </c>
      <c r="CU31" s="794" t="n">
        <v>46056</v>
      </c>
      <c r="CV31" s="794" t="n">
        <v>46048</v>
      </c>
      <c r="CW31" s="794" t="n">
        <v>46056</v>
      </c>
      <c r="CX31" s="794" t="n">
        <v>46048</v>
      </c>
      <c r="CY31" s="794" t="n">
        <v>46043</v>
      </c>
      <c r="CZ31" s="794" t="n">
        <v>46035</v>
      </c>
      <c r="DA31" s="794" t="n">
        <v>46043</v>
      </c>
      <c r="DB31" s="794" t="n">
        <v>46035</v>
      </c>
      <c r="DC31" s="794" t="n">
        <v>46035</v>
      </c>
      <c r="DD31" s="794" t="n">
        <v>46029</v>
      </c>
      <c r="DE31" s="794" t="n">
        <v>46017</v>
      </c>
      <c r="DF31" s="794" t="n">
        <v>46007</v>
      </c>
      <c r="DG31" s="794" t="n">
        <v>46007</v>
      </c>
      <c r="DH31" s="794" t="n">
        <v>46001</v>
      </c>
      <c r="DI31" s="794" t="n">
        <v>46001</v>
      </c>
      <c r="DJ31" s="794" t="n">
        <v>45994</v>
      </c>
      <c r="DK31" s="794" t="n">
        <v>45994</v>
      </c>
      <c r="DL31" s="794" t="n">
        <v>45986</v>
      </c>
      <c r="DM31" s="794" t="n">
        <v>45980</v>
      </c>
      <c r="DN31" s="797" t="n">
        <v>45982</v>
      </c>
      <c r="DO31" s="794" t="n">
        <v>45973</v>
      </c>
      <c r="DP31" s="794" t="n">
        <v>45965</v>
      </c>
      <c r="DQ31" s="794" t="n">
        <v>45965</v>
      </c>
      <c r="DR31" s="794" t="n">
        <v>45960</v>
      </c>
      <c r="DS31" s="794" t="n">
        <v>45960</v>
      </c>
      <c r="DT31" s="794" t="n">
        <v>45951</v>
      </c>
      <c r="DU31" s="794" t="n">
        <v>45945</v>
      </c>
      <c r="DV31" s="737" t="n">
        <v>45903</v>
      </c>
      <c r="DW31" s="794" t="n">
        <v>45945</v>
      </c>
      <c r="DX31" s="794" t="n">
        <v>45937</v>
      </c>
      <c r="DY31" s="794" t="n">
        <v>45923</v>
      </c>
      <c r="DZ31" s="794" t="n">
        <v>45931</v>
      </c>
      <c r="EA31" s="794" t="n">
        <v>45931</v>
      </c>
      <c r="EB31" s="794" t="n">
        <v>45915</v>
      </c>
      <c r="EC31" s="794" t="n">
        <v>45923</v>
      </c>
      <c r="ED31" s="794" t="n">
        <v>45915</v>
      </c>
      <c r="EE31" s="797" t="n">
        <v>45918</v>
      </c>
      <c r="EF31" s="794" t="n">
        <v>45903</v>
      </c>
      <c r="EG31" s="738" t="n">
        <v>45903</v>
      </c>
      <c r="EH31" s="794" t="n">
        <v>45895</v>
      </c>
      <c r="EI31" s="797" t="n">
        <v>45896</v>
      </c>
      <c r="EJ31" s="794" t="n">
        <v>45888</v>
      </c>
      <c r="EK31" s="794" t="n">
        <v>45888</v>
      </c>
      <c r="EL31" s="794" t="n">
        <v>45881</v>
      </c>
      <c r="EM31" s="797" t="n">
        <v>45881</v>
      </c>
      <c r="EN31" s="794" t="n">
        <v>45874</v>
      </c>
      <c r="EO31" s="797" t="n">
        <v>45876</v>
      </c>
      <c r="EP31" s="794" t="n">
        <v>45867</v>
      </c>
      <c r="EQ31" s="794" t="n">
        <v>45860</v>
      </c>
      <c r="ER31" s="794" t="n">
        <v>45839</v>
      </c>
      <c r="ES31" s="797" t="n">
        <v>45861</v>
      </c>
      <c r="ET31" s="797" t="n">
        <v>45860</v>
      </c>
      <c r="EU31" s="794" t="n">
        <v>45853</v>
      </c>
      <c r="EV31" s="739" t="n">
        <v>45855</v>
      </c>
      <c r="EW31" s="794" t="n">
        <v>45848</v>
      </c>
      <c r="EX31" s="794" t="n">
        <v>45839</v>
      </c>
      <c r="EY31" s="739" t="n">
        <v>45791</v>
      </c>
      <c r="EZ31" s="797" t="n">
        <v>45835</v>
      </c>
      <c r="FA31" s="794" t="n">
        <v>45832</v>
      </c>
      <c r="FB31" s="794" t="n">
        <v>45825</v>
      </c>
      <c r="FC31" s="794" t="n">
        <v>45819</v>
      </c>
      <c r="FD31" s="794" t="n">
        <v>45813</v>
      </c>
      <c r="FE31" s="794" t="n">
        <v>45805</v>
      </c>
      <c r="FF31" s="797" t="n">
        <v>45811</v>
      </c>
      <c r="FG31" s="797" t="n">
        <v>45810</v>
      </c>
      <c r="FH31" s="794" t="n">
        <v>45798</v>
      </c>
      <c r="FI31" s="797" t="n">
        <v>45803</v>
      </c>
      <c r="FJ31" s="755" t="n">
        <v>45803</v>
      </c>
      <c r="FK31" s="797" t="n">
        <v>45800</v>
      </c>
      <c r="FL31" s="742" t="n">
        <v>45735</v>
      </c>
      <c r="FM31" s="797" t="n">
        <v>45796</v>
      </c>
      <c r="FN31" s="794" t="n">
        <v>45790</v>
      </c>
      <c r="FO31" s="794" t="n">
        <v>45784</v>
      </c>
      <c r="FP31" s="797" t="n">
        <v>45791</v>
      </c>
      <c r="FQ31" s="794" t="n">
        <v>45783</v>
      </c>
      <c r="FR31" s="794" t="n">
        <v>45770</v>
      </c>
      <c r="FS31" s="794" t="n">
        <v>45775</v>
      </c>
      <c r="FT31" s="794" t="n">
        <v>45770</v>
      </c>
      <c r="FU31" s="797" t="n">
        <v>45775</v>
      </c>
      <c r="FV31" s="794" t="n">
        <v>45756</v>
      </c>
      <c r="FW31" s="794" t="n">
        <v>45749</v>
      </c>
      <c r="FX31" s="797" t="n">
        <v>45751</v>
      </c>
      <c r="FY31" s="794" t="n">
        <v>45743</v>
      </c>
      <c r="FZ31" s="746" t="n">
        <v>45729</v>
      </c>
      <c r="GA31" s="794" t="n">
        <v>45722</v>
      </c>
      <c r="GB31" s="746" t="n">
        <v>45700</v>
      </c>
      <c r="GC31" s="797" t="n">
        <v>45722</v>
      </c>
      <c r="GD31" s="794" t="n">
        <v>45714</v>
      </c>
      <c r="GE31" s="794" t="n">
        <v>45706</v>
      </c>
      <c r="GF31" s="794" t="n">
        <v>45699</v>
      </c>
      <c r="GG31" s="794" t="n">
        <v>45693</v>
      </c>
      <c r="GH31" s="794" t="n">
        <v>45685</v>
      </c>
      <c r="GI31" s="797" t="n">
        <v>45687</v>
      </c>
      <c r="GJ31" s="794" t="n">
        <v>45664</v>
      </c>
      <c r="GK31" s="794" t="n">
        <v>45679</v>
      </c>
      <c r="GL31" s="797" t="n">
        <v>45684</v>
      </c>
      <c r="GM31" s="794" t="n">
        <v>45664</v>
      </c>
      <c r="GN31" s="794" t="n">
        <v>45660</v>
      </c>
      <c r="GO31" s="794" t="n">
        <v>45652</v>
      </c>
      <c r="GP31" s="794" t="n">
        <v>45643</v>
      </c>
      <c r="GQ31" s="794" t="n">
        <v>45638</v>
      </c>
      <c r="GR31" s="5" t="n"/>
      <c r="GS31" s="304" t="inlineStr">
        <is>
          <t>CAIXAS</t>
        </is>
      </c>
      <c r="GT31" s="544" t="inlineStr">
        <is>
          <t>PCT</t>
        </is>
      </c>
      <c r="GU31" s="536" t="n">
        <v>45726</v>
      </c>
      <c r="GV31" s="536" t="n">
        <v>45733</v>
      </c>
      <c r="GW31" s="536" t="n">
        <v>45740</v>
      </c>
      <c r="GX31" s="536" t="n">
        <v>45747</v>
      </c>
      <c r="GY31" s="536" t="n">
        <v>45754</v>
      </c>
      <c r="GZ31" s="536" t="n">
        <v>45761</v>
      </c>
      <c r="HA31" s="536" t="n">
        <v>45768</v>
      </c>
      <c r="HB31" s="536" t="n">
        <v>45775</v>
      </c>
      <c r="HC31" s="536" t="n">
        <v>45782</v>
      </c>
      <c r="HD31" s="536" t="n">
        <v>45789</v>
      </c>
      <c r="HE31" s="536" t="n">
        <v>45796</v>
      </c>
      <c r="HF31" s="536" t="n">
        <v>45803</v>
      </c>
      <c r="HG31" s="536" t="n">
        <v>45810</v>
      </c>
      <c r="HH31" s="536" t="n">
        <v>45817</v>
      </c>
      <c r="HI31" s="536" t="n">
        <v>45824</v>
      </c>
      <c r="HJ31" s="536" t="n">
        <v>45831</v>
      </c>
      <c r="HK31" s="825" t="n">
        <v>46160</v>
      </c>
      <c r="HL31" s="536" t="n">
        <v>45838</v>
      </c>
      <c r="HM31" s="800" t="n">
        <v>46161.48025002315</v>
      </c>
      <c r="HN31" s="800" t="n">
        <v>46161.48090785846</v>
      </c>
      <c r="HO31" s="235" t="inlineStr">
        <is>
          <t>USOU</t>
        </is>
      </c>
      <c r="HQ31" s="369" t="inlineStr">
        <is>
          <t>CAIXAS</t>
        </is>
      </c>
      <c r="HR31" s="805" t="inlineStr">
        <is>
          <t>PCT</t>
        </is>
      </c>
      <c r="HS31" s="398" t="n">
        <v>45796</v>
      </c>
      <c r="HT31" s="398" t="n">
        <v>45803</v>
      </c>
      <c r="HU31" s="398" t="n">
        <v>45810</v>
      </c>
      <c r="HV31" s="398" t="n">
        <v>45817</v>
      </c>
      <c r="HW31" s="398" t="n">
        <v>45824</v>
      </c>
      <c r="HX31" s="398" t="n">
        <v>45831</v>
      </c>
      <c r="HY31" s="398" t="n">
        <v>45838</v>
      </c>
      <c r="HZ31" s="806" t="n">
        <v>46160</v>
      </c>
      <c r="IA31" s="888" t="n">
        <v>46161.48024940972</v>
      </c>
      <c r="IB31" s="888" t="n">
        <v>46161.4809072913</v>
      </c>
      <c r="IC31" s="368" t="inlineStr">
        <is>
          <t>USOU</t>
        </is>
      </c>
      <c r="IE31" s="412" t="inlineStr">
        <is>
          <t>CAIXAS</t>
        </is>
      </c>
      <c r="IF31" s="810" t="inlineStr">
        <is>
          <t>PCT</t>
        </is>
      </c>
      <c r="IG31" s="811" t="n">
        <v>45845</v>
      </c>
      <c r="IH31" s="811" t="n">
        <v>45852</v>
      </c>
      <c r="II31" s="811" t="n">
        <v>45859</v>
      </c>
      <c r="IJ31" s="811" t="n">
        <v>45866</v>
      </c>
      <c r="IK31" s="811" t="n">
        <v>45873</v>
      </c>
      <c r="IL31" s="811" t="n">
        <v>45880</v>
      </c>
      <c r="IM31" s="811" t="n">
        <v>45887</v>
      </c>
      <c r="IN31" s="811" t="n">
        <v>45894</v>
      </c>
      <c r="IO31" s="737" t="n">
        <v>46160</v>
      </c>
      <c r="IP31" s="812" t="n">
        <v>46161.4802487963</v>
      </c>
      <c r="IQ31" s="812" t="n">
        <v>46161.48090660551</v>
      </c>
      <c r="IR31" s="411" t="inlineStr">
        <is>
          <t>USOU</t>
        </is>
      </c>
      <c r="IT31" s="5" t="n"/>
      <c r="IU31" s="5" t="n"/>
      <c r="IV31" s="5" t="n"/>
      <c r="IW31" s="5" t="n"/>
      <c r="IX31" s="5" t="n"/>
      <c r="IY31" s="5" t="n"/>
      <c r="IZ31" s="5" t="n"/>
      <c r="JA31" s="5" t="n"/>
      <c r="JB31" s="5" t="n"/>
    </row>
    <row r="32" ht="19.5" customFormat="1" customHeight="1" s="3">
      <c r="A32" s="37" t="inlineStr">
        <is>
          <t>KIT CAIXA P INST 2021 VERDE VD</t>
        </is>
      </c>
      <c r="B32" s="162" t="n">
        <v>75</v>
      </c>
      <c r="C32" s="765" t="n">
        <v>239.21</v>
      </c>
      <c r="D32" s="382" t="n">
        <v>20</v>
      </c>
      <c r="E32" s="2" t="n"/>
      <c r="F32" s="697" t="n">
        <v>57</v>
      </c>
      <c r="G32" s="697" t="n">
        <v>55</v>
      </c>
      <c r="H32" s="697" t="n">
        <v>52</v>
      </c>
      <c r="I32" s="697" t="n">
        <v>51</v>
      </c>
      <c r="J32" s="697" t="n">
        <v>51</v>
      </c>
      <c r="K32" s="697" t="n">
        <v>50</v>
      </c>
      <c r="L32" s="697" t="n">
        <v>49</v>
      </c>
      <c r="M32" s="697" t="n">
        <v>47</v>
      </c>
      <c r="N32" s="697" t="n">
        <v>46</v>
      </c>
      <c r="O32" s="697" t="n">
        <v>45</v>
      </c>
      <c r="P32" s="697" t="n">
        <v>42</v>
      </c>
      <c r="Q32" s="697" t="n">
        <v>42</v>
      </c>
      <c r="R32" s="697" t="n">
        <v>38</v>
      </c>
      <c r="S32" s="697" t="n">
        <v>37</v>
      </c>
      <c r="T32" s="697" t="n">
        <v>36</v>
      </c>
      <c r="U32" s="697" t="n">
        <v>33</v>
      </c>
      <c r="V32" s="697" t="n">
        <v>32</v>
      </c>
      <c r="W32" s="697" t="n">
        <v>31</v>
      </c>
      <c r="X32" s="697" t="n">
        <v>30</v>
      </c>
      <c r="Y32" s="697" t="n">
        <v>27</v>
      </c>
      <c r="Z32" s="697" t="n">
        <v>24</v>
      </c>
      <c r="AA32" s="697" t="n">
        <v>17</v>
      </c>
      <c r="AB32" s="697">
        <f>16+20</f>
        <v/>
      </c>
      <c r="AC32" s="697" t="n">
        <v>34</v>
      </c>
      <c r="AD32" s="697" t="n">
        <v>24</v>
      </c>
      <c r="AE32" s="697" t="n">
        <v>21</v>
      </c>
      <c r="AF32" s="697" t="n">
        <v>20</v>
      </c>
      <c r="AG32" s="697" t="n">
        <v>18</v>
      </c>
      <c r="AH32" s="697" t="n">
        <v>15</v>
      </c>
      <c r="AI32" s="697">
        <f>8+10</f>
        <v/>
      </c>
      <c r="AJ32" s="697" t="n">
        <v>13</v>
      </c>
      <c r="AK32" s="697">
        <f>9+20</f>
        <v/>
      </c>
      <c r="AL32" s="697" t="n">
        <v>12</v>
      </c>
      <c r="AM32" s="697" t="n">
        <v>10</v>
      </c>
      <c r="AN32" s="697" t="n">
        <v>2</v>
      </c>
      <c r="AO32" s="697">
        <f>2+EF32</f>
        <v/>
      </c>
      <c r="AP32" s="697" t="n">
        <v>72</v>
      </c>
      <c r="AQ32" s="697" t="n">
        <v>71</v>
      </c>
      <c r="AR32" s="697" t="n">
        <v>69</v>
      </c>
      <c r="AS32" s="697" t="n">
        <v>61</v>
      </c>
      <c r="AT32" s="697" t="n">
        <v>57</v>
      </c>
      <c r="AU32" s="697" t="n">
        <v>54</v>
      </c>
      <c r="AV32" s="697" t="n">
        <v>53</v>
      </c>
      <c r="AW32" s="697" t="n">
        <v>53</v>
      </c>
      <c r="AX32" s="697" t="n">
        <v>47</v>
      </c>
      <c r="AY32" s="697">
        <f>40-20</f>
        <v/>
      </c>
      <c r="AZ32" s="697" t="n">
        <v>15</v>
      </c>
      <c r="BA32" s="697" t="n">
        <v>14</v>
      </c>
      <c r="BB32" s="697" t="n">
        <v>13</v>
      </c>
      <c r="BC32" s="697" t="n">
        <v>12</v>
      </c>
      <c r="BD32" s="697" t="n">
        <v>0</v>
      </c>
      <c r="BE32" s="697" t="n">
        <v>0</v>
      </c>
      <c r="BF32" s="697" t="n">
        <v>0</v>
      </c>
      <c r="BG32" s="697" t="n">
        <v>0</v>
      </c>
      <c r="BH32" s="697" t="n">
        <v>0</v>
      </c>
      <c r="BI32" s="697" t="n">
        <v>0</v>
      </c>
      <c r="BJ32" s="697">
        <f>0+CV32</f>
        <v/>
      </c>
      <c r="BK32" s="697" t="n">
        <v>143</v>
      </c>
      <c r="BL32" s="697" t="n">
        <v>142</v>
      </c>
      <c r="BM32" s="697" t="n">
        <v>140</v>
      </c>
      <c r="BN32" s="697" t="n">
        <v>139</v>
      </c>
      <c r="BO32" s="697" t="n">
        <v>137</v>
      </c>
      <c r="BP32" s="697" t="n">
        <v>133</v>
      </c>
      <c r="BQ32" s="697" t="n">
        <v>125</v>
      </c>
      <c r="BR32" s="697" t="n">
        <v>121</v>
      </c>
      <c r="BS32" s="697" t="n"/>
      <c r="BT32" s="697" t="n"/>
      <c r="BU32" s="697" t="n"/>
      <c r="BV32" s="697" t="n"/>
      <c r="BW32" s="697" t="n"/>
      <c r="BX32" s="697" t="n">
        <v>104</v>
      </c>
      <c r="BY32" s="697" t="n">
        <v>104</v>
      </c>
      <c r="BZ32" s="699" t="n">
        <v>104</v>
      </c>
      <c r="CA32" s="699" t="n">
        <v>104</v>
      </c>
      <c r="CB32" s="192">
        <f>BZ32+IF(NOT(ISBLANK(OFFSET(CB32,0,6))),N(OFFSET(CB32,0,6)),N(OFFSET(CB32,0,7)))-CA32</f>
        <v/>
      </c>
      <c r="CD32" s="22" t="n"/>
      <c r="CE32" s="22" t="n"/>
      <c r="CF32" s="5" t="n"/>
      <c r="CG32" s="27" t="n"/>
      <c r="CH32" s="830" t="n">
        <v>0</v>
      </c>
      <c r="CI32" s="40" t="n">
        <v>0</v>
      </c>
      <c r="CJ32" s="40" t="n">
        <v>0</v>
      </c>
      <c r="CK32" s="40" t="n">
        <v>0</v>
      </c>
      <c r="CL32" s="40" t="n"/>
      <c r="CM32" s="40" t="n"/>
      <c r="CN32" s="40" t="n"/>
      <c r="CO32" s="40" t="n"/>
      <c r="CP32" s="40" t="n"/>
      <c r="CQ32" s="40" t="n"/>
      <c r="CR32" s="40" t="n"/>
      <c r="CS32" s="40" t="n"/>
      <c r="CT32" s="40" t="n"/>
      <c r="CU32" s="40" t="n"/>
      <c r="CV32" s="40" t="n"/>
      <c r="CW32" s="40" t="n"/>
      <c r="CX32" s="40" t="n">
        <v>150</v>
      </c>
      <c r="CY32" s="40" t="n"/>
      <c r="CZ32" s="40" t="n"/>
      <c r="DA32" s="40" t="n"/>
      <c r="DB32" s="40" t="n"/>
      <c r="DC32" s="40" t="n"/>
      <c r="DD32" s="40" t="n"/>
      <c r="DE32" s="40" t="n"/>
      <c r="DF32" s="40" t="n"/>
      <c r="DG32" s="40" t="n"/>
      <c r="DH32" s="40" t="n"/>
      <c r="DI32" s="40" t="n"/>
      <c r="DJ32" s="40" t="n"/>
      <c r="DK32" s="40" t="n"/>
      <c r="DL32" s="40" t="n"/>
      <c r="DM32" s="40" t="n"/>
      <c r="DN32" s="192" t="inlineStr">
        <is>
          <t>20 P/ CDB</t>
        </is>
      </c>
      <c r="DO32" s="40" t="n"/>
      <c r="DP32" s="40" t="n"/>
      <c r="DQ32" s="40" t="n"/>
      <c r="DR32" s="40" t="n"/>
      <c r="DS32" s="40" t="n"/>
      <c r="DT32" s="40" t="n"/>
      <c r="DU32" s="40" t="n"/>
      <c r="DV32" s="40" t="n"/>
      <c r="DW32" s="40" t="n"/>
      <c r="DX32" s="40" t="n"/>
      <c r="DY32" s="40" t="n"/>
      <c r="DZ32" s="40" t="n"/>
      <c r="EA32" s="40" t="n"/>
      <c r="EB32" s="40" t="n"/>
      <c r="EC32" s="40" t="n"/>
      <c r="ED32" s="40" t="n"/>
      <c r="EE32" s="40" t="n"/>
      <c r="EF32" s="40" t="n"/>
      <c r="EG32" s="40" t="n"/>
      <c r="EH32" s="40" t="n">
        <v>75</v>
      </c>
      <c r="EI32" s="40" t="n"/>
      <c r="EJ32" s="40" t="n"/>
      <c r="EK32" s="40" t="n"/>
      <c r="EL32" s="40" t="n"/>
      <c r="EM32" s="40" t="n"/>
      <c r="EN32" s="40" t="n"/>
      <c r="EO32" s="192" t="inlineStr">
        <is>
          <t>20 DE CD</t>
        </is>
      </c>
      <c r="EP32" s="40" t="n"/>
      <c r="EQ32" s="40" t="n"/>
      <c r="ER32" s="40" t="n"/>
      <c r="ES32" s="40" t="n"/>
      <c r="ET32" s="282" t="inlineStr">
        <is>
          <t>10 DE CD</t>
        </is>
      </c>
      <c r="EU32" s="40" t="n"/>
      <c r="EV32" s="40" t="n"/>
      <c r="EW32" s="40" t="n"/>
      <c r="EX32" s="40" t="n"/>
      <c r="EY32" s="40" t="n"/>
      <c r="EZ32" s="40" t="n"/>
      <c r="FA32" s="40" t="n"/>
      <c r="FB32" s="40" t="n"/>
      <c r="FC32" s="40" t="n"/>
      <c r="FD32" s="40" t="n"/>
      <c r="FE32" s="40" t="n"/>
      <c r="FF32" s="282" t="inlineStr">
        <is>
          <t>20 DE CD</t>
        </is>
      </c>
      <c r="FG32" s="40" t="n"/>
      <c r="FH32" s="40" t="n"/>
      <c r="FI32" s="40" t="n"/>
      <c r="FJ32" s="40" t="n"/>
      <c r="FK32" s="23" t="n"/>
      <c r="FL32" s="219" t="n"/>
      <c r="FM32" s="40" t="n"/>
      <c r="FN32" s="40" t="n"/>
      <c r="FO32" s="40" t="n"/>
      <c r="FP32" s="40" t="n"/>
      <c r="FQ32" s="40" t="n"/>
      <c r="FR32" s="40" t="n"/>
      <c r="FS32" s="40" t="n"/>
      <c r="FT32" s="40" t="n"/>
      <c r="FU32" s="40" t="n"/>
      <c r="FV32" s="40" t="n"/>
      <c r="FW32" s="40" t="n"/>
      <c r="FX32" s="40" t="n"/>
      <c r="FY32" s="40" t="n"/>
      <c r="FZ32" s="292" t="inlineStr">
        <is>
          <t>50 DE CD</t>
        </is>
      </c>
      <c r="GA32" s="40" t="n"/>
      <c r="GB32" s="219" t="n"/>
      <c r="GC32" s="40" t="n"/>
      <c r="GD32" s="40" t="n"/>
      <c r="GE32" s="40" t="n"/>
      <c r="GF32" s="40" t="n"/>
      <c r="GG32" s="40" t="n"/>
      <c r="GH32" s="40" t="n"/>
      <c r="GI32" s="40" t="n"/>
      <c r="GJ32" s="40" t="n"/>
      <c r="GK32" s="40" t="n"/>
      <c r="GL32" s="40" t="n"/>
      <c r="GM32" s="40" t="n"/>
      <c r="GN32" s="40" t="n"/>
      <c r="GO32" s="40" t="n"/>
      <c r="GP32" s="40" t="n"/>
      <c r="GQ32" s="40" t="n"/>
      <c r="GR32" s="5" t="n"/>
      <c r="GS32" s="37" t="inlineStr">
        <is>
          <t>KIT CAIXA P</t>
        </is>
      </c>
      <c r="GT32" s="208" t="n">
        <v>150</v>
      </c>
      <c r="GU32" s="699" t="n">
        <v>0</v>
      </c>
      <c r="GV32" s="699">
        <f>0+50</f>
        <v/>
      </c>
      <c r="GW32" s="699" t="n">
        <v>48</v>
      </c>
      <c r="GX32" s="699" t="n">
        <v>40</v>
      </c>
      <c r="GY32" s="699" t="n">
        <v>36</v>
      </c>
      <c r="GZ32" s="699" t="n">
        <v>33</v>
      </c>
      <c r="HA32" s="218" t="n">
        <v>58</v>
      </c>
      <c r="HB32" s="699" t="n">
        <v>55</v>
      </c>
      <c r="HC32" s="699" t="n">
        <v>46</v>
      </c>
      <c r="HD32" s="699" t="n">
        <v>48</v>
      </c>
      <c r="HE32" s="699" t="n">
        <v>31</v>
      </c>
      <c r="HF32" s="699" t="n">
        <v>23</v>
      </c>
      <c r="HG32" s="699" t="n">
        <v>14</v>
      </c>
      <c r="HH32" s="699" t="n">
        <v>11</v>
      </c>
      <c r="HI32" s="699" t="n">
        <v>6</v>
      </c>
      <c r="HJ32" s="699" t="n">
        <v>4</v>
      </c>
      <c r="HK32" s="699" t="n"/>
      <c r="HL32" s="699" t="n">
        <v>3</v>
      </c>
      <c r="HM32" s="699" t="n"/>
      <c r="HN32" s="699" t="n"/>
      <c r="HO32" s="745" t="n"/>
      <c r="HQ32" s="745" t="n"/>
      <c r="HR32" s="745" t="n"/>
      <c r="HS32" s="745" t="n"/>
      <c r="HT32" s="745" t="n"/>
      <c r="HU32" s="745" t="n"/>
      <c r="HV32" s="745" t="n"/>
      <c r="HW32" s="745" t="n"/>
      <c r="HX32" s="745" t="n"/>
      <c r="HY32" s="745" t="n"/>
      <c r="HZ32" s="512" t="n"/>
      <c r="IA32" s="745" t="n"/>
      <c r="IB32" s="890" t="n"/>
      <c r="IC32" s="745" t="n"/>
      <c r="IE32" s="745" t="n"/>
      <c r="IF32" s="745" t="n"/>
      <c r="IG32" s="745" t="n"/>
      <c r="IH32" s="745" t="n"/>
      <c r="II32" s="745" t="n"/>
      <c r="IJ32" s="745" t="n"/>
      <c r="IK32" s="745" t="n"/>
      <c r="IL32" s="745" t="n"/>
      <c r="IM32" s="745" t="n"/>
      <c r="IN32" s="745" t="n"/>
      <c r="IO32" s="514" t="n"/>
      <c r="IP32" s="821" t="n"/>
      <c r="IQ32" s="821" t="n"/>
      <c r="IR32" s="745" t="n"/>
      <c r="IT32" s="5" t="n"/>
      <c r="IU32" s="5" t="n"/>
      <c r="IV32" s="5" t="n"/>
      <c r="IW32" s="5" t="n"/>
      <c r="IX32" s="5" t="n"/>
      <c r="IY32" s="5" t="n"/>
      <c r="IZ32" s="5" t="n"/>
      <c r="JA32" s="5" t="n"/>
      <c r="JB32" s="5" t="n"/>
    </row>
    <row r="33" ht="19.5" customFormat="1" customHeight="1" s="3">
      <c r="A33" s="37" t="inlineStr">
        <is>
          <t>KIT CAIXA M INST 2021 VERDE VD</t>
        </is>
      </c>
      <c r="B33" s="162" t="n">
        <v>75</v>
      </c>
      <c r="C33" s="762" t="n">
        <v>312.27</v>
      </c>
      <c r="D33" s="382" t="n">
        <v>20</v>
      </c>
      <c r="E33" s="2" t="n"/>
      <c r="F33" s="697" t="n">
        <v>62</v>
      </c>
      <c r="G33" s="697" t="n">
        <v>59</v>
      </c>
      <c r="H33" s="697" t="n">
        <v>54</v>
      </c>
      <c r="I33" s="697" t="n">
        <v>52</v>
      </c>
      <c r="J33" s="697" t="n">
        <v>48</v>
      </c>
      <c r="K33" s="697" t="n">
        <v>43</v>
      </c>
      <c r="L33" s="697" t="n">
        <v>41</v>
      </c>
      <c r="M33" s="697" t="n">
        <v>35</v>
      </c>
      <c r="N33" s="697" t="n">
        <v>34</v>
      </c>
      <c r="O33" s="697" t="n">
        <v>25</v>
      </c>
      <c r="P33" s="697">
        <f>21+FY33</f>
        <v/>
      </c>
      <c r="Q33" s="697" t="n">
        <v>87</v>
      </c>
      <c r="R33" s="697" t="n">
        <v>83</v>
      </c>
      <c r="S33" s="697" t="n">
        <v>76</v>
      </c>
      <c r="T33" s="697" t="n">
        <v>76</v>
      </c>
      <c r="U33" s="697" t="n">
        <v>68</v>
      </c>
      <c r="V33" s="697" t="n">
        <v>65</v>
      </c>
      <c r="W33" s="697" t="n">
        <v>61</v>
      </c>
      <c r="X33" s="697" t="n">
        <v>60</v>
      </c>
      <c r="Y33" s="697" t="n">
        <v>52</v>
      </c>
      <c r="Z33" s="697" t="n">
        <v>50</v>
      </c>
      <c r="AA33" s="697" t="n">
        <v>47</v>
      </c>
      <c r="AB33" s="697" t="n">
        <v>46</v>
      </c>
      <c r="AC33" s="697" t="n">
        <v>45</v>
      </c>
      <c r="AD33" s="697" t="n">
        <v>38</v>
      </c>
      <c r="AE33" s="697" t="n">
        <v>29</v>
      </c>
      <c r="AF33" s="697" t="n">
        <v>28</v>
      </c>
      <c r="AG33" s="697" t="n">
        <v>25</v>
      </c>
      <c r="AH33" s="697" t="n">
        <v>24</v>
      </c>
      <c r="AI33" s="697" t="n">
        <v>16</v>
      </c>
      <c r="AJ33" s="697" t="n">
        <v>85</v>
      </c>
      <c r="AK33" s="697" t="n">
        <v>81</v>
      </c>
      <c r="AL33" s="697" t="n">
        <v>51</v>
      </c>
      <c r="AM33" s="697" t="n">
        <v>44</v>
      </c>
      <c r="AN33" s="697" t="n">
        <v>34</v>
      </c>
      <c r="AO33" s="697" t="n">
        <v>24</v>
      </c>
      <c r="AP33" s="697" t="n">
        <v>15</v>
      </c>
      <c r="AQ33" s="697" t="n">
        <v>14</v>
      </c>
      <c r="AR33" s="697" t="n">
        <v>9</v>
      </c>
      <c r="AS33" s="697" t="n">
        <v>4</v>
      </c>
      <c r="AT33" s="697" t="n">
        <v>1</v>
      </c>
      <c r="AU33" s="697" t="n">
        <v>0</v>
      </c>
      <c r="AV33" s="697" t="n">
        <v>0</v>
      </c>
      <c r="AW33" s="697" t="n">
        <v>0</v>
      </c>
      <c r="AX33" s="697" t="n">
        <v>0</v>
      </c>
      <c r="AY33" s="697" t="n">
        <v>0</v>
      </c>
      <c r="AZ33" s="697" t="n">
        <v>0</v>
      </c>
      <c r="BA33" s="697" t="n">
        <v>0</v>
      </c>
      <c r="BB33" s="697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>
        <v>0</v>
      </c>
      <c r="BH33" s="697" t="n">
        <v>0</v>
      </c>
      <c r="BI33" s="697" t="n">
        <v>0</v>
      </c>
      <c r="BJ33" s="697" t="n">
        <v>0</v>
      </c>
      <c r="BK33" s="697" t="n">
        <v>0</v>
      </c>
      <c r="BL33" s="697" t="n">
        <v>0</v>
      </c>
      <c r="BM33" s="697" t="n">
        <v>0</v>
      </c>
      <c r="BN33" s="697" t="n">
        <v>0</v>
      </c>
      <c r="BO33" s="697" t="n">
        <v>0</v>
      </c>
      <c r="BP33" s="697" t="n">
        <v>0</v>
      </c>
      <c r="BQ33" s="697" t="n">
        <v>0</v>
      </c>
      <c r="BR33" s="697" t="n">
        <v>0</v>
      </c>
      <c r="BS33" s="697" t="n"/>
      <c r="BT33" s="697" t="n"/>
      <c r="BU33" s="697" t="n"/>
      <c r="BV33" s="697" t="n"/>
      <c r="BW33" s="697" t="n"/>
      <c r="BX33" s="697" t="n">
        <v>0</v>
      </c>
      <c r="BY33" s="697" t="n">
        <v>0</v>
      </c>
      <c r="BZ33" s="699" t="n">
        <v>0</v>
      </c>
      <c r="CA33" s="699" t="n">
        <v>0</v>
      </c>
      <c r="CB33" s="192">
        <f>BZ33+IF(NOT(ISBLANK(OFFSET(CB33,0,6))),N(OFFSET(CB33,0,6)),N(OFFSET(CB33,0,7)))-CA33</f>
        <v/>
      </c>
      <c r="CD33" s="22" t="inlineStr">
        <is>
          <t>50 DE CDB</t>
        </is>
      </c>
      <c r="CE33" s="22" t="n"/>
      <c r="CF33" s="5" t="n"/>
      <c r="CG33" s="27" t="n">
        <v>100</v>
      </c>
      <c r="CH33" s="830" t="n">
        <v>0</v>
      </c>
      <c r="CI33" s="40" t="n">
        <v>0</v>
      </c>
      <c r="CJ33" s="40" t="n">
        <v>0</v>
      </c>
      <c r="CK33" s="40" t="n">
        <v>0</v>
      </c>
      <c r="CL33" s="40" t="n"/>
      <c r="CM33" s="40" t="n"/>
      <c r="CN33" s="40" t="n"/>
      <c r="CO33" s="40" t="n"/>
      <c r="CP33" s="40" t="n"/>
      <c r="CQ33" s="40" t="n"/>
      <c r="CR33" s="40" t="n"/>
      <c r="CS33" s="40" t="n"/>
      <c r="CT33" s="40" t="n"/>
      <c r="CU33" s="40" t="n"/>
      <c r="CV33" s="40" t="n"/>
      <c r="CW33" s="40" t="n"/>
      <c r="CX33" s="40" t="n"/>
      <c r="CY33" s="40" t="n"/>
      <c r="CZ33" s="40" t="n"/>
      <c r="DA33" s="40" t="n"/>
      <c r="DB33" s="40" t="n"/>
      <c r="DC33" s="40" t="n"/>
      <c r="DD33" s="40" t="n"/>
      <c r="DE33" s="40" t="n"/>
      <c r="DF33" s="40" t="n"/>
      <c r="DG33" s="40" t="n"/>
      <c r="DH33" s="40" t="n"/>
      <c r="DI33" s="40" t="n"/>
      <c r="DJ33" s="40" t="n"/>
      <c r="DK33" s="40" t="n"/>
      <c r="DL33" s="40" t="n"/>
      <c r="DM33" s="40" t="n"/>
      <c r="DN33" s="219" t="n"/>
      <c r="DO33" s="40" t="n"/>
      <c r="DP33" s="40" t="n"/>
      <c r="DQ33" s="40" t="n"/>
      <c r="DR33" s="40" t="n"/>
      <c r="DS33" s="40" t="n"/>
      <c r="DT33" s="40" t="n"/>
      <c r="DU33" s="40" t="n"/>
      <c r="DV33" s="40" t="n"/>
      <c r="DW33" s="40" t="n"/>
      <c r="DX33" s="40" t="n"/>
      <c r="DY33" s="40" t="n"/>
      <c r="DZ33" s="40" t="n"/>
      <c r="EA33" s="40" t="n"/>
      <c r="EB33" s="40" t="n"/>
      <c r="EC33" s="40" t="n"/>
      <c r="ED33" s="40" t="n"/>
      <c r="EE33" s="40" t="n"/>
      <c r="EF33" s="40" t="n"/>
      <c r="EG33" s="40" t="n"/>
      <c r="EH33" s="40" t="n"/>
      <c r="EI33" s="40" t="n"/>
      <c r="EJ33" s="40" t="n"/>
      <c r="EK33" s="40" t="n"/>
      <c r="EL33" s="40" t="n"/>
      <c r="EM33" s="40" t="n"/>
      <c r="EN33" s="40" t="n"/>
      <c r="EO33" s="40" t="n"/>
      <c r="EP33" s="40" t="n"/>
      <c r="EQ33" s="40" t="n">
        <v>75</v>
      </c>
      <c r="ER33" s="40" t="n"/>
      <c r="ES33" s="40" t="n"/>
      <c r="ET33" s="40" t="n"/>
      <c r="EU33" s="40" t="n"/>
      <c r="EV33" s="40" t="n"/>
      <c r="EW33" s="40" t="n"/>
      <c r="EX33" s="40" t="n"/>
      <c r="EY33" s="40" t="n"/>
      <c r="EZ33" s="40" t="n"/>
      <c r="FA33" s="40" t="n"/>
      <c r="FB33" s="40" t="n"/>
      <c r="FC33" s="40" t="n"/>
      <c r="FD33" s="40" t="n"/>
      <c r="FE33" s="40" t="n"/>
      <c r="FF33" s="40" t="n"/>
      <c r="FG33" s="40" t="n"/>
      <c r="FH33" s="40" t="n"/>
      <c r="FI33" s="40" t="n"/>
      <c r="FJ33" s="376" t="inlineStr">
        <is>
          <t>50 P/ CDB</t>
        </is>
      </c>
      <c r="FK33" s="23" t="n"/>
      <c r="FL33" s="219" t="n">
        <v>100</v>
      </c>
      <c r="FM33" s="40" t="n"/>
      <c r="FN33" s="40" t="n"/>
      <c r="FO33" s="40" t="n"/>
      <c r="FP33" s="40" t="n"/>
      <c r="FQ33" s="40" t="n"/>
      <c r="FR33" s="40" t="n"/>
      <c r="FS33" s="40" t="n"/>
      <c r="FT33" s="40" t="n"/>
      <c r="FU33" s="40" t="n"/>
      <c r="FV33" s="40" t="n"/>
      <c r="FW33" s="40" t="n"/>
      <c r="FX33" s="40" t="n"/>
      <c r="FY33" s="40" t="n"/>
      <c r="FZ33" s="292" t="inlineStr">
        <is>
          <t>50 DE CD</t>
        </is>
      </c>
      <c r="GA33" s="40" t="n">
        <v>75</v>
      </c>
      <c r="GB33" s="219" t="n"/>
      <c r="GC33" s="40" t="n"/>
      <c r="GD33" s="40" t="n"/>
      <c r="GE33" s="40" t="n"/>
      <c r="GF33" s="40" t="n"/>
      <c r="GG33" s="40" t="n"/>
      <c r="GH33" s="40" t="n"/>
      <c r="GI33" s="40" t="n"/>
      <c r="GJ33" s="40" t="n"/>
      <c r="GK33" s="40" t="n"/>
      <c r="GL33" s="40" t="n"/>
      <c r="GM33" s="40" t="n"/>
      <c r="GN33" s="40" t="n"/>
      <c r="GO33" s="40" t="n"/>
      <c r="GP33" s="40" t="n"/>
      <c r="GQ33" s="40" t="n"/>
      <c r="GR33" s="5" t="n"/>
      <c r="GS33" s="37" t="inlineStr">
        <is>
          <t>KIT CAIXA M</t>
        </is>
      </c>
      <c r="GT33" s="208" t="n">
        <v>100</v>
      </c>
      <c r="GU33" s="699" t="n">
        <v>0</v>
      </c>
      <c r="GV33" s="699">
        <f>0+50</f>
        <v/>
      </c>
      <c r="GW33" s="699" t="n">
        <v>42</v>
      </c>
      <c r="GX33" s="699" t="n">
        <v>33</v>
      </c>
      <c r="GY33" s="699" t="n">
        <v>32</v>
      </c>
      <c r="GZ33" s="699" t="n">
        <v>28</v>
      </c>
      <c r="HA33" s="218" t="n">
        <v>36</v>
      </c>
      <c r="HB33" s="699" t="n">
        <v>31</v>
      </c>
      <c r="HC33" s="699" t="n">
        <v>19</v>
      </c>
      <c r="HD33" s="699" t="n">
        <v>3</v>
      </c>
      <c r="HE33" s="699" t="n">
        <v>2</v>
      </c>
      <c r="HF33" s="699" t="n">
        <v>2</v>
      </c>
      <c r="HG33" s="699" t="n">
        <v>2</v>
      </c>
      <c r="HH33" s="699" t="n">
        <v>2</v>
      </c>
      <c r="HI33" s="699" t="n">
        <v>2</v>
      </c>
      <c r="HJ33" s="699" t="n">
        <v>2</v>
      </c>
      <c r="HK33" s="699" t="n"/>
      <c r="HL33" s="699" t="n">
        <v>2</v>
      </c>
      <c r="HM33" s="699" t="n"/>
      <c r="HN33" s="699" t="n"/>
      <c r="HO33" s="303">
        <f>HM33+IF(NOT(ISBLANK(OFFSET(HO33,0,6))),N(OFFSET(HO33,0,6)),N(OFFSET(HO33,0,7)))-HN33</f>
        <v/>
      </c>
      <c r="HQ33" s="37" t="inlineStr">
        <is>
          <t>CAIXA M</t>
        </is>
      </c>
      <c r="HR33" s="208" t="n">
        <v>100</v>
      </c>
      <c r="HS33" s="699">
        <f>FJ33-50</f>
        <v/>
      </c>
      <c r="HT33" s="699" t="n">
        <v>48</v>
      </c>
      <c r="HU33" s="699" t="n">
        <v>36</v>
      </c>
      <c r="HV33" s="699" t="n">
        <v>24</v>
      </c>
      <c r="HW33" s="699" t="n">
        <v>0</v>
      </c>
      <c r="HX33" s="699" t="n">
        <v>0</v>
      </c>
      <c r="HY33" s="699" t="n">
        <v>0</v>
      </c>
      <c r="HZ33" s="699" t="n"/>
      <c r="IA33" s="699" t="n"/>
      <c r="IB33" s="699" t="n"/>
      <c r="IC33" s="369" t="n">
        <v>0</v>
      </c>
      <c r="IE33" s="37" t="inlineStr">
        <is>
          <t>CAIXA M/24</t>
        </is>
      </c>
      <c r="IF33" s="208" t="n">
        <v>100</v>
      </c>
      <c r="IG33" s="699" t="n">
        <v>30</v>
      </c>
      <c r="IH33" s="699" t="n">
        <v>30</v>
      </c>
      <c r="II33" s="699" t="n">
        <v>29</v>
      </c>
      <c r="IJ33" s="699" t="n">
        <v>26</v>
      </c>
      <c r="IK33" s="699" t="n">
        <v>25</v>
      </c>
      <c r="IL33" s="699" t="n">
        <v>8</v>
      </c>
      <c r="IM33" s="699" t="n">
        <v>7</v>
      </c>
      <c r="IN33" s="699" t="n"/>
      <c r="IO33" s="699" t="n"/>
      <c r="IP33" s="699" t="n"/>
      <c r="IQ33" s="699" t="n"/>
      <c r="IR33" s="412">
        <f>IP33+IF(NOT(ISBLANK(OFFSET(IR33,0,6))),N(OFFSET(IR33,0,6)),N(OFFSET(IR33,0,7)))-IQ33</f>
        <v/>
      </c>
      <c r="IT33" s="5" t="n"/>
      <c r="IU33" s="5" t="n"/>
      <c r="IV33" s="5" t="n"/>
      <c r="IW33" s="5" t="n"/>
      <c r="IX33" s="5" t="n"/>
      <c r="IY33" s="5" t="n"/>
      <c r="IZ33" s="5" t="n"/>
      <c r="JA33" s="5" t="n"/>
      <c r="JB33" s="5" t="n"/>
    </row>
    <row r="34" ht="20.25" customHeight="1">
      <c r="A34" s="37" t="inlineStr">
        <is>
          <t>KIT CAIXA G INST 2021 VERDE VD</t>
        </is>
      </c>
      <c r="B34" s="162" t="n">
        <v>50</v>
      </c>
      <c r="C34" s="762" t="n">
        <v>367.65</v>
      </c>
      <c r="D34" s="382" t="n">
        <v>10</v>
      </c>
      <c r="F34" s="697" t="n">
        <v>11</v>
      </c>
      <c r="G34" s="697" t="n">
        <v>9</v>
      </c>
      <c r="H34" s="697" t="n">
        <v>9</v>
      </c>
      <c r="I34" s="697" t="n">
        <v>8</v>
      </c>
      <c r="J34" s="697" t="n">
        <v>6</v>
      </c>
      <c r="K34" s="697" t="n">
        <v>54</v>
      </c>
      <c r="L34" s="697" t="n">
        <v>52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50</v>
      </c>
      <c r="S34" s="697" t="n">
        <v>50</v>
      </c>
      <c r="T34" s="697" t="n">
        <v>50</v>
      </c>
      <c r="U34" s="697" t="n">
        <v>50</v>
      </c>
      <c r="V34" s="697" t="n">
        <v>50</v>
      </c>
      <c r="W34" s="697" t="n">
        <v>50</v>
      </c>
      <c r="X34" s="697" t="n">
        <v>49</v>
      </c>
      <c r="Y34" s="697" t="n">
        <v>40</v>
      </c>
      <c r="Z34" s="697" t="n">
        <v>40</v>
      </c>
      <c r="AA34" s="697" t="n">
        <v>33</v>
      </c>
      <c r="AB34" s="697" t="n">
        <v>32</v>
      </c>
      <c r="AC34" s="697" t="n">
        <v>32</v>
      </c>
      <c r="AD34" s="697" t="n">
        <v>31</v>
      </c>
      <c r="AE34" s="697" t="n">
        <v>31</v>
      </c>
      <c r="AF34" s="697" t="n">
        <v>31</v>
      </c>
      <c r="AG34" s="697" t="n">
        <v>31</v>
      </c>
      <c r="AH34" s="697" t="n">
        <v>31</v>
      </c>
      <c r="AI34" s="697" t="n">
        <v>31</v>
      </c>
      <c r="AJ34" s="697" t="n">
        <v>27</v>
      </c>
      <c r="AK34" s="697" t="n">
        <v>27</v>
      </c>
      <c r="AL34" s="697" t="n">
        <v>27</v>
      </c>
      <c r="AM34" s="697" t="n">
        <v>27</v>
      </c>
      <c r="AN34" s="697" t="n">
        <v>27</v>
      </c>
      <c r="AO34" s="697" t="n">
        <v>27</v>
      </c>
      <c r="AP34" s="697" t="n">
        <v>26</v>
      </c>
      <c r="AQ34" s="697" t="n">
        <v>25</v>
      </c>
      <c r="AR34" s="697" t="n">
        <v>25</v>
      </c>
      <c r="AS34" s="697" t="n">
        <v>23</v>
      </c>
      <c r="AT34" s="697" t="n">
        <v>23</v>
      </c>
      <c r="AU34" s="697" t="n">
        <v>20</v>
      </c>
      <c r="AV34" s="697" t="n">
        <v>17</v>
      </c>
      <c r="AW34" s="697" t="n">
        <v>17</v>
      </c>
      <c r="AX34" s="697" t="n">
        <v>17</v>
      </c>
      <c r="AY34" s="697" t="n">
        <v>17</v>
      </c>
      <c r="AZ34" s="697" t="n">
        <v>16</v>
      </c>
      <c r="BA34" s="697" t="n">
        <v>15</v>
      </c>
      <c r="BB34" s="697" t="n">
        <v>15</v>
      </c>
      <c r="BC34" s="697" t="n">
        <v>11</v>
      </c>
      <c r="BD34" s="697" t="n">
        <v>8</v>
      </c>
      <c r="BE34" s="697" t="n">
        <v>3</v>
      </c>
      <c r="BF34" s="697" t="n">
        <v>3</v>
      </c>
      <c r="BG34" s="697" t="n">
        <v>2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>
        <v>0</v>
      </c>
      <c r="BS34" s="697" t="n"/>
      <c r="BT34" s="697" t="n"/>
      <c r="BU34" s="697" t="n"/>
      <c r="BV34" s="697" t="n"/>
      <c r="BW34" s="697" t="n"/>
      <c r="BX34" s="697" t="n">
        <v>0</v>
      </c>
      <c r="BY34" s="697" t="n">
        <v>0</v>
      </c>
      <c r="BZ34" s="699" t="n">
        <v>0</v>
      </c>
      <c r="CA34" s="699" t="n">
        <v>0</v>
      </c>
      <c r="CB34" s="192">
        <f>BZ34+IF(NOT(ISBLANK(OFFSET(CB34,0,6))),N(OFFSET(CB34,0,6)),N(OFFSET(CB34,0,7)))-CA34</f>
        <v/>
      </c>
      <c r="CD34" s="22" t="n"/>
      <c r="CE34" s="161" t="n"/>
      <c r="CG34" s="27" t="n"/>
      <c r="CH34" s="830" t="n">
        <v>0</v>
      </c>
      <c r="CI34" s="40" t="n">
        <v>0</v>
      </c>
      <c r="CJ34" s="40" t="n">
        <v>0</v>
      </c>
      <c r="CK34" s="40" t="n">
        <v>0</v>
      </c>
      <c r="CL34" s="40" t="n"/>
      <c r="CM34" s="40" t="n"/>
      <c r="CN34" s="40" t="n"/>
      <c r="CO34" s="40" t="n"/>
      <c r="CP34" s="40" t="n"/>
      <c r="CQ34" s="40" t="n"/>
      <c r="CR34" s="40" t="n"/>
      <c r="CS34" s="40" t="n"/>
      <c r="CT34" s="40" t="n"/>
      <c r="CU34" s="40" t="n"/>
      <c r="CV34" s="40" t="n"/>
      <c r="CW34" s="40" t="n"/>
      <c r="CX34" s="40" t="n"/>
      <c r="CY34" s="40" t="n"/>
      <c r="CZ34" s="40" t="n"/>
      <c r="DA34" s="40" t="n"/>
      <c r="DB34" s="40" t="n"/>
      <c r="DC34" s="40" t="n"/>
      <c r="DD34" s="40" t="n"/>
      <c r="DE34" s="40" t="n"/>
      <c r="DF34" s="40" t="n"/>
      <c r="DG34" s="40" t="n"/>
      <c r="DH34" s="40" t="n"/>
      <c r="DI34" s="40" t="n"/>
      <c r="DJ34" s="40" t="n"/>
      <c r="DK34" s="40" t="n"/>
      <c r="DL34" s="40" t="n"/>
      <c r="DM34" s="40" t="n"/>
      <c r="DN34" s="219" t="n"/>
      <c r="DO34" s="40" t="n"/>
      <c r="DP34" s="40" t="n"/>
      <c r="DQ34" s="40" t="n"/>
      <c r="DR34" s="40" t="n"/>
      <c r="DS34" s="40" t="n"/>
      <c r="DT34" s="40" t="n"/>
      <c r="DU34" s="40" t="n"/>
      <c r="DV34" s="40" t="n"/>
      <c r="DW34" s="40" t="n"/>
      <c r="DX34" s="40" t="n"/>
      <c r="DY34" s="40" t="n"/>
      <c r="DZ34" s="40" t="n"/>
      <c r="EA34" s="40" t="n"/>
      <c r="EB34" s="40" t="n"/>
      <c r="EC34" s="40" t="n"/>
      <c r="ED34" s="40" t="n"/>
      <c r="EE34" s="40" t="n"/>
      <c r="EF34" s="40" t="n"/>
      <c r="EG34" s="40" t="n"/>
      <c r="EH34" s="40" t="n"/>
      <c r="EI34" s="40" t="n"/>
      <c r="EJ34" s="40" t="n"/>
      <c r="EK34" s="40" t="n"/>
      <c r="EL34" s="40" t="n"/>
      <c r="EM34" s="40" t="n"/>
      <c r="EN34" s="40" t="n"/>
      <c r="EO34" s="40" t="n"/>
      <c r="EP34" s="40" t="n"/>
      <c r="EQ34" s="40" t="n"/>
      <c r="ER34" s="40" t="n"/>
      <c r="ES34" s="40" t="n"/>
      <c r="ET34" s="40" t="n"/>
      <c r="EU34" s="40" t="n"/>
      <c r="EV34" s="292" t="inlineStr">
        <is>
          <t>75 P/ CD</t>
        </is>
      </c>
      <c r="EW34" s="40" t="n"/>
      <c r="EX34" s="40" t="n"/>
      <c r="EY34" s="219" t="n">
        <v>150</v>
      </c>
      <c r="EZ34" s="40" t="n"/>
      <c r="FA34" s="40" t="n"/>
      <c r="FB34" s="40" t="n"/>
      <c r="FC34" s="40" t="n"/>
      <c r="FD34" s="40" t="n"/>
      <c r="FE34" s="40" t="n"/>
      <c r="FF34" s="40" t="n"/>
      <c r="FG34" s="40" t="n"/>
      <c r="FH34" s="40" t="n"/>
      <c r="FI34" s="40" t="n"/>
      <c r="FJ34" s="376" t="inlineStr">
        <is>
          <t>50 P/ CDB</t>
        </is>
      </c>
      <c r="FK34" s="23" t="n"/>
      <c r="FL34" s="219" t="n">
        <v>100</v>
      </c>
      <c r="FM34" s="40" t="n"/>
      <c r="FN34" s="40" t="n"/>
      <c r="FO34" s="40" t="n"/>
      <c r="FP34" s="40" t="n"/>
      <c r="FQ34" s="40" t="n"/>
      <c r="FR34" s="40" t="n"/>
      <c r="FS34" s="40" t="n"/>
      <c r="FT34" s="40" t="n"/>
      <c r="FU34" s="40" t="n"/>
      <c r="FV34" s="40" t="n"/>
      <c r="FW34" s="40" t="n"/>
      <c r="FX34" s="40" t="n"/>
      <c r="FY34" s="40" t="n"/>
      <c r="FZ34" s="292" t="inlineStr">
        <is>
          <t>80 DE CD</t>
        </is>
      </c>
      <c r="GA34" s="40" t="n"/>
      <c r="GB34" s="219" t="n"/>
      <c r="GC34" s="40" t="n"/>
      <c r="GD34" s="40" t="n"/>
      <c r="GE34" s="40" t="n"/>
      <c r="GF34" s="40" t="n"/>
      <c r="GG34" s="40" t="n"/>
      <c r="GH34" s="40" t="n"/>
      <c r="GI34" s="40" t="n"/>
      <c r="GJ34" s="40" t="n">
        <v>50</v>
      </c>
      <c r="GK34" s="40" t="n"/>
      <c r="GL34" s="40" t="n"/>
      <c r="GM34" s="40" t="n"/>
      <c r="GN34" s="40" t="n"/>
      <c r="GO34" s="40" t="n"/>
      <c r="GP34" s="40" t="n"/>
      <c r="GQ34" s="40" t="n"/>
      <c r="GS34" s="37" t="inlineStr">
        <is>
          <t>ENVELOPE C/ VISOR P</t>
        </is>
      </c>
      <c r="GT34" s="208" t="n">
        <v>200</v>
      </c>
      <c r="GU34" s="699">
        <f>GB34</f>
        <v/>
      </c>
      <c r="GV34" s="699">
        <f>0+80</f>
        <v/>
      </c>
      <c r="GW34" s="699" t="n">
        <v>78</v>
      </c>
      <c r="GX34" s="699" t="n">
        <v>60</v>
      </c>
      <c r="GY34" s="699" t="n">
        <v>48</v>
      </c>
      <c r="GZ34" s="699" t="n">
        <v>38</v>
      </c>
      <c r="HA34" s="218" t="n">
        <v>65</v>
      </c>
      <c r="HB34" s="699" t="n">
        <v>57</v>
      </c>
      <c r="HC34" s="699" t="n">
        <v>48</v>
      </c>
      <c r="HD34" s="699" t="n">
        <v>23</v>
      </c>
      <c r="HE34" s="699" t="n">
        <v>23</v>
      </c>
      <c r="HF34" s="699" t="n">
        <v>19</v>
      </c>
      <c r="HG34" s="699" t="n">
        <v>17</v>
      </c>
      <c r="HH34" s="699" t="n">
        <v>12</v>
      </c>
      <c r="HI34" s="699" t="n">
        <v>0</v>
      </c>
      <c r="HJ34" s="699" t="n">
        <v>0</v>
      </c>
      <c r="HK34" s="699" t="n"/>
      <c r="HL34" s="699" t="n">
        <v>0</v>
      </c>
      <c r="HM34" s="699" t="n"/>
      <c r="HN34" s="699" t="n"/>
      <c r="HO34" s="303">
        <f>HM34+IF(NOT(ISBLANK(OFFSET(HO34,0,6))),N(OFFSET(HO34,0,6)),N(OFFSET(HO34,0,7)))-HN34</f>
        <v/>
      </c>
      <c r="HQ34" s="37" t="inlineStr">
        <is>
          <t>ENVELOPE C/ VISOR M</t>
        </is>
      </c>
      <c r="HR34" s="208" t="n">
        <v>100</v>
      </c>
      <c r="HS34" s="699">
        <f>FJ34-50</f>
        <v/>
      </c>
      <c r="HT34" s="699" t="n">
        <v>48</v>
      </c>
      <c r="HU34" s="699" t="n">
        <v>28</v>
      </c>
      <c r="HV34" s="699" t="n">
        <v>0</v>
      </c>
      <c r="HW34" s="699" t="n">
        <v>0</v>
      </c>
      <c r="HX34" s="699" t="n">
        <v>0</v>
      </c>
      <c r="HY34" s="699" t="n">
        <v>0</v>
      </c>
      <c r="HZ34" s="699" t="n"/>
      <c r="IA34" s="699" t="n"/>
      <c r="IB34" s="699" t="n"/>
      <c r="IC34" s="369" t="n">
        <v>0</v>
      </c>
      <c r="IE34" s="37" t="inlineStr">
        <is>
          <t>ENVELOPE C/ VISOR M</t>
        </is>
      </c>
      <c r="IF34" s="208" t="n">
        <v>150</v>
      </c>
      <c r="IG34" s="699">
        <f>EW34</f>
        <v/>
      </c>
      <c r="IH34" s="699">
        <f>150-75</f>
        <v/>
      </c>
      <c r="II34" s="699" t="n">
        <v>75</v>
      </c>
      <c r="IJ34" s="699" t="n">
        <v>54</v>
      </c>
      <c r="IK34" s="699" t="n">
        <v>41</v>
      </c>
      <c r="IL34" s="699" t="n">
        <v>52</v>
      </c>
      <c r="IM34" s="699" t="n">
        <v>47</v>
      </c>
      <c r="IN34" s="699" t="n"/>
      <c r="IO34" s="699" t="n"/>
      <c r="IP34" s="699" t="n"/>
      <c r="IQ34" s="699" t="n"/>
      <c r="IR34" s="412">
        <f>IP34+IF(NOT(ISBLANK(OFFSET(IR34,0,6))),N(OFFSET(IR34,0,6)),N(OFFSET(IR34,0,7)))-IQ34</f>
        <v/>
      </c>
      <c r="IT34" s="573" t="n"/>
      <c r="IU34" s="573" t="n"/>
      <c r="IV34" s="573" t="n"/>
      <c r="IW34" s="573" t="n"/>
      <c r="IX34" s="573" t="n"/>
      <c r="IY34" s="573" t="n"/>
      <c r="IZ34" s="573" t="n"/>
      <c r="JA34" s="573" t="n"/>
      <c r="JB34" s="573" t="n"/>
    </row>
    <row r="35">
      <c r="A35" s="35" t="n"/>
      <c r="B35" s="2" t="n"/>
      <c r="C35" s="759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2" t="n"/>
      <c r="CA35" s="2" t="n"/>
      <c r="CD35" s="313" t="n"/>
      <c r="CE35" s="313" t="n"/>
      <c r="CG35" s="18" t="n"/>
      <c r="CH35" s="827" t="n"/>
      <c r="CI35" s="20" t="n"/>
      <c r="CJ35" s="20" t="n"/>
      <c r="CK35" s="20" t="n"/>
      <c r="CL35" s="20" t="n"/>
      <c r="CM35" s="20" t="n"/>
      <c r="CN35" s="20" t="n"/>
      <c r="CO35" s="20" t="n"/>
      <c r="CP35" s="20" t="n"/>
      <c r="CQ35" s="20" t="n"/>
      <c r="CR35" s="20" t="n"/>
      <c r="CS35" s="20" t="n"/>
      <c r="CT35" s="20" t="n"/>
      <c r="CU35" s="20" t="n"/>
      <c r="CV35" s="20" t="n"/>
      <c r="CW35" s="20" t="n"/>
      <c r="CX35" s="20" t="n"/>
      <c r="CY35" s="20" t="n"/>
      <c r="CZ35" s="20" t="n"/>
      <c r="DA35" s="20" t="n"/>
      <c r="DB35" s="20" t="n"/>
      <c r="DC35" s="20" t="n"/>
      <c r="DD35" s="20" t="n"/>
      <c r="DE35" s="20" t="n"/>
      <c r="DF35" s="20" t="n"/>
      <c r="DG35" s="20" t="n"/>
      <c r="DH35" s="20" t="n"/>
      <c r="DI35" s="20" t="n"/>
      <c r="DJ35" s="20" t="n"/>
      <c r="DK35" s="20" t="n"/>
      <c r="DL35" s="20" t="n"/>
      <c r="DM35" s="20" t="n"/>
      <c r="DN35" s="308" t="n"/>
      <c r="DO35" s="20" t="n"/>
      <c r="DP35" s="20" t="n"/>
      <c r="DQ35" s="20" t="n"/>
      <c r="DR35" s="20" t="n"/>
      <c r="DS35" s="20" t="n"/>
      <c r="DT35" s="20" t="n"/>
      <c r="DU35" s="20" t="n"/>
      <c r="DV35" s="20" t="n"/>
      <c r="DW35" s="20" t="n"/>
      <c r="DX35" s="20" t="n"/>
      <c r="DY35" s="20" t="n"/>
      <c r="DZ35" s="20" t="n"/>
      <c r="EA35" s="20" t="n"/>
      <c r="EB35" s="20" t="n"/>
      <c r="EC35" s="20" t="n"/>
      <c r="ED35" s="20" t="n"/>
      <c r="EE35" s="20" t="n"/>
      <c r="EF35" s="20" t="n"/>
      <c r="EG35" s="20" t="n"/>
      <c r="EH35" s="20" t="n"/>
      <c r="EI35" s="20" t="n"/>
      <c r="EJ35" s="20" t="n"/>
      <c r="EK35" s="20" t="n"/>
      <c r="EL35" s="20" t="n"/>
      <c r="EM35" s="20" t="n"/>
      <c r="EN35" s="20" t="n"/>
      <c r="EO35" s="20" t="n"/>
      <c r="EP35" s="20" t="n"/>
      <c r="EQ35" s="20" t="n"/>
      <c r="ER35" s="20" t="n"/>
      <c r="ES35" s="20" t="n"/>
      <c r="ET35" s="20" t="n"/>
      <c r="EU35" s="20" t="n"/>
      <c r="EV35" s="20" t="n"/>
      <c r="EW35" s="20" t="n"/>
      <c r="EX35" s="20" t="n"/>
      <c r="EY35" s="20" t="n"/>
      <c r="EZ35" s="20" t="n"/>
      <c r="FA35" s="20" t="n"/>
      <c r="FB35" s="20" t="n"/>
      <c r="FC35" s="20" t="n"/>
      <c r="FD35" s="20" t="n"/>
      <c r="FE35" s="20" t="n"/>
      <c r="FF35" s="20" t="n"/>
      <c r="FG35" s="20" t="n"/>
      <c r="FH35" s="20" t="n"/>
      <c r="FI35" s="20" t="n"/>
      <c r="FJ35" s="20" t="n"/>
      <c r="FK35" s="47" t="n"/>
      <c r="FL35" s="20" t="n"/>
      <c r="FM35" s="20" t="n"/>
      <c r="FN35" s="20" t="n"/>
      <c r="FO35" s="20" t="n"/>
      <c r="FP35" s="20" t="n"/>
      <c r="FQ35" s="20" t="n"/>
      <c r="FR35" s="20" t="n"/>
      <c r="FS35" s="20" t="n"/>
      <c r="FT35" s="20" t="n"/>
      <c r="FU35" s="20" t="n"/>
      <c r="FV35" s="20" t="n"/>
      <c r="FW35" s="20" t="n"/>
      <c r="FX35" s="20" t="n"/>
      <c r="FY35" s="20" t="n"/>
      <c r="FZ35" s="292" t="inlineStr">
        <is>
          <t>60 DE CD</t>
        </is>
      </c>
      <c r="GA35" s="20" t="n"/>
      <c r="GB35" s="219" t="n"/>
      <c r="GD35" s="20" t="n"/>
      <c r="GE35" s="20" t="n"/>
      <c r="GS35" s="37" t="inlineStr">
        <is>
          <t>ENVELOPE C/ VISOR M</t>
        </is>
      </c>
      <c r="GT35" s="208" t="n">
        <v>150</v>
      </c>
      <c r="GU35" s="699">
        <f>#REF!</f>
        <v/>
      </c>
      <c r="GV35" s="699">
        <f>0+60</f>
        <v/>
      </c>
      <c r="GW35" s="699" t="n">
        <v>55</v>
      </c>
      <c r="GX35" s="699" t="n">
        <v>38</v>
      </c>
      <c r="GY35" s="699" t="n">
        <v>31</v>
      </c>
      <c r="GZ35" s="699" t="n">
        <v>20</v>
      </c>
      <c r="HA35" s="218" t="n">
        <v>44</v>
      </c>
      <c r="HB35" s="699" t="n">
        <v>39</v>
      </c>
      <c r="HC35" s="699" t="n">
        <v>26</v>
      </c>
      <c r="HD35" s="699" t="n">
        <v>1</v>
      </c>
      <c r="HE35" s="699" t="n">
        <v>0</v>
      </c>
      <c r="HF35" s="699" t="n">
        <v>0</v>
      </c>
      <c r="HG35" s="699" t="n">
        <v>0</v>
      </c>
      <c r="HH35" s="699" t="n">
        <v>0</v>
      </c>
      <c r="HI35" s="699" t="n">
        <v>0</v>
      </c>
      <c r="HJ35" s="699" t="n">
        <v>0</v>
      </c>
      <c r="HK35" s="699" t="n"/>
      <c r="HL35" s="699" t="n">
        <v>0</v>
      </c>
      <c r="HM35" s="699" t="n"/>
      <c r="HN35" s="699" t="n"/>
      <c r="HO35" s="303">
        <f>HM35+IF(NOT(ISBLANK(OFFSET(HO35,0,6))),N(OFFSET(HO35,0,6)),N(OFFSET(HO35,0,7)))-HN35</f>
        <v/>
      </c>
      <c r="HQ35" s="35" t="n"/>
      <c r="HS35" s="2" t="n"/>
      <c r="HT35" s="2" t="n"/>
      <c r="HU35" s="2" t="n"/>
      <c r="HV35" s="2" t="n"/>
      <c r="HW35" s="2" t="n"/>
      <c r="HX35" s="2" t="n"/>
      <c r="HY35" s="2" t="n"/>
      <c r="HZ35" s="2" t="n"/>
      <c r="IA35" s="2" t="n"/>
      <c r="IB35" s="2" t="n"/>
      <c r="IE35" s="35" t="n"/>
      <c r="IG35" s="2" t="n"/>
      <c r="IH35" s="2" t="n"/>
      <c r="II35" s="2" t="n"/>
      <c r="IJ35" s="2" t="n"/>
      <c r="IK35" s="2" t="n"/>
      <c r="IL35" s="2" t="n"/>
      <c r="IM35" s="2" t="n"/>
      <c r="IN35" s="2" t="n"/>
      <c r="IO35" s="2" t="n"/>
      <c r="IP35" s="2" t="n"/>
      <c r="IQ35" s="2" t="n"/>
      <c r="IT35" s="573" t="n"/>
      <c r="IU35" s="573" t="n"/>
      <c r="IV35" s="573" t="n"/>
      <c r="IW35" s="573" t="n"/>
      <c r="IX35" s="573" t="n"/>
      <c r="IY35" s="573" t="n"/>
      <c r="IZ35" s="573" t="n"/>
      <c r="JA35" s="573" t="n"/>
      <c r="JB35" s="573" t="n"/>
    </row>
    <row r="36" hidden="1">
      <c r="A36" s="36" t="inlineStr">
        <is>
          <t>SACOLAS OMNI BOTICÁRIO</t>
        </is>
      </c>
      <c r="B36" s="13" t="inlineStr">
        <is>
          <t>PC</t>
        </is>
      </c>
      <c r="C36" s="13" t="n"/>
      <c r="D36" s="13" t="inlineStr">
        <is>
          <t>Estoque Ideal</t>
        </is>
      </c>
      <c r="E36" s="573" t="n"/>
      <c r="F36" s="746" t="n">
        <v>45656</v>
      </c>
      <c r="G36" s="746" t="n">
        <v>45663</v>
      </c>
      <c r="H36" s="746" t="n">
        <v>45670</v>
      </c>
      <c r="I36" s="746" t="n">
        <v>45677</v>
      </c>
      <c r="J36" s="746" t="n">
        <v>45684</v>
      </c>
      <c r="K36" s="746" t="n">
        <v>45691</v>
      </c>
      <c r="L36" s="746" t="n">
        <v>45698</v>
      </c>
      <c r="M36" s="746" t="n">
        <v>45705</v>
      </c>
      <c r="N36" s="746" t="n">
        <v>45712</v>
      </c>
      <c r="O36" s="746" t="n">
        <v>45719</v>
      </c>
      <c r="P36" s="746" t="n">
        <v>45726</v>
      </c>
      <c r="Q36" s="746" t="n">
        <v>45733</v>
      </c>
      <c r="R36" s="746" t="n">
        <v>45740</v>
      </c>
      <c r="S36" s="746" t="n">
        <v>45747</v>
      </c>
      <c r="T36" s="746" t="n">
        <v>45754</v>
      </c>
      <c r="U36" s="746" t="n">
        <v>45761</v>
      </c>
      <c r="V36" s="746" t="n">
        <v>45768</v>
      </c>
      <c r="W36" s="746" t="n">
        <v>45775</v>
      </c>
      <c r="X36" s="746" t="n">
        <v>45782</v>
      </c>
      <c r="Y36" s="746" t="n">
        <v>45789</v>
      </c>
      <c r="Z36" s="746" t="n">
        <v>45796</v>
      </c>
      <c r="AA36" s="746" t="n">
        <v>45803</v>
      </c>
      <c r="AB36" s="746" t="n">
        <v>45810</v>
      </c>
      <c r="AC36" s="746" t="n">
        <v>45817</v>
      </c>
      <c r="AD36" s="746" t="n">
        <v>45824</v>
      </c>
      <c r="AE36" s="746" t="n">
        <v>45831</v>
      </c>
      <c r="AF36" s="746" t="n">
        <v>45838</v>
      </c>
      <c r="AG36" s="746" t="n">
        <v>45845</v>
      </c>
      <c r="AH36" s="746" t="n">
        <v>45852</v>
      </c>
      <c r="AI36" s="746" t="n">
        <v>45859</v>
      </c>
      <c r="AJ36" s="746" t="n">
        <v>45866</v>
      </c>
      <c r="AK36" s="746" t="n">
        <v>45873</v>
      </c>
      <c r="AL36" s="746" t="n">
        <v>45880</v>
      </c>
      <c r="AM36" s="746" t="n">
        <v>45887</v>
      </c>
      <c r="AN36" s="746" t="n">
        <v>45894</v>
      </c>
      <c r="AO36" s="746" t="n">
        <v>45901</v>
      </c>
      <c r="AP36" s="746" t="n">
        <v>45915</v>
      </c>
      <c r="AQ36" s="746" t="n">
        <v>45922</v>
      </c>
      <c r="AR36" s="746" t="n">
        <v>45929</v>
      </c>
      <c r="AS36" s="746" t="n">
        <v>45936</v>
      </c>
      <c r="AT36" s="746" t="n">
        <v>45943</v>
      </c>
      <c r="AU36" s="746" t="n">
        <v>45950</v>
      </c>
      <c r="AV36" s="746" t="n">
        <v>45957</v>
      </c>
      <c r="AW36" s="746" t="n">
        <v>45964</v>
      </c>
      <c r="AX36" s="746" t="n">
        <v>45971</v>
      </c>
      <c r="AY36" s="746" t="n">
        <v>45978</v>
      </c>
      <c r="AZ36" s="746" t="n">
        <v>45985</v>
      </c>
      <c r="BA36" s="746" t="n">
        <v>45992</v>
      </c>
      <c r="BB36" s="746" t="n">
        <v>45999</v>
      </c>
      <c r="BC36" s="746" t="n">
        <v>46006</v>
      </c>
      <c r="BD36" s="746" t="n">
        <v>46013</v>
      </c>
      <c r="BE36" s="746" t="n">
        <v>46020</v>
      </c>
      <c r="BF36" s="746" t="n">
        <v>46027</v>
      </c>
      <c r="BG36" s="746" t="n">
        <v>46034</v>
      </c>
      <c r="BH36" s="746" t="n">
        <v>46041</v>
      </c>
      <c r="BI36" s="746" t="n">
        <v>46048</v>
      </c>
      <c r="BJ36" s="746" t="n">
        <v>46055</v>
      </c>
      <c r="BK36" s="746" t="n">
        <v>46062</v>
      </c>
      <c r="BL36" s="746" t="n">
        <v>46069</v>
      </c>
      <c r="BM36" s="746" t="n">
        <v>46076</v>
      </c>
      <c r="BN36" s="746" t="n"/>
      <c r="BO36" s="746" t="n"/>
      <c r="BP36" s="746" t="n"/>
      <c r="BQ36" s="746" t="n"/>
      <c r="BR36" s="746" t="n"/>
      <c r="BS36" s="746" t="n"/>
      <c r="BT36" s="746" t="n"/>
      <c r="BU36" s="746" t="n"/>
      <c r="BV36" s="746" t="n"/>
      <c r="BW36" s="746" t="n"/>
      <c r="BX36" s="746" t="n"/>
      <c r="BY36" s="746" t="n"/>
      <c r="BZ36" s="746" t="n"/>
      <c r="CA36" s="746" t="n"/>
      <c r="CB36" s="748" t="inlineStr">
        <is>
          <t>USOU</t>
        </is>
      </c>
      <c r="CD36" s="44" t="inlineStr">
        <is>
          <t>Pendências</t>
        </is>
      </c>
      <c r="CE36" s="44" t="inlineStr">
        <is>
          <t>Pendências</t>
        </is>
      </c>
      <c r="CG36" s="12" t="inlineStr">
        <is>
          <t>Novo Pedido</t>
        </is>
      </c>
      <c r="CH36" s="794" t="n"/>
      <c r="CI36" s="794" t="n"/>
      <c r="CJ36" s="794" t="n"/>
      <c r="CK36" s="794" t="n"/>
      <c r="CL36" s="794" t="n"/>
      <c r="CM36" s="794" t="n"/>
      <c r="CN36" s="794" t="n"/>
      <c r="CO36" s="794" t="n"/>
      <c r="CP36" s="794" t="n"/>
      <c r="CQ36" s="794" t="n"/>
      <c r="CR36" s="794" t="n"/>
      <c r="CS36" s="794" t="n"/>
      <c r="CT36" s="794" t="n">
        <v>46071</v>
      </c>
      <c r="CU36" s="794" t="n">
        <v>46056</v>
      </c>
      <c r="CV36" s="794" t="n">
        <v>46048</v>
      </c>
      <c r="CW36" s="794" t="n">
        <v>46056</v>
      </c>
      <c r="CX36" s="794" t="n">
        <v>46048</v>
      </c>
      <c r="CY36" s="794" t="n">
        <v>46043</v>
      </c>
      <c r="CZ36" s="794" t="n">
        <v>46035</v>
      </c>
      <c r="DA36" s="794" t="n">
        <v>46043</v>
      </c>
      <c r="DB36" s="794" t="n">
        <v>46035</v>
      </c>
      <c r="DC36" s="794" t="n">
        <v>46035</v>
      </c>
      <c r="DD36" s="794" t="n">
        <v>46029</v>
      </c>
      <c r="DE36" s="794" t="n">
        <v>46017</v>
      </c>
      <c r="DF36" s="794" t="n">
        <v>46007</v>
      </c>
      <c r="DG36" s="794" t="n">
        <v>46007</v>
      </c>
      <c r="DH36" s="794" t="n">
        <v>46001</v>
      </c>
      <c r="DI36" s="794" t="n">
        <v>46001</v>
      </c>
      <c r="DJ36" s="794" t="n">
        <v>45994</v>
      </c>
      <c r="DK36" s="794" t="n">
        <v>45994</v>
      </c>
      <c r="DL36" s="794" t="n">
        <v>45986</v>
      </c>
      <c r="DM36" s="794" t="n">
        <v>45980</v>
      </c>
      <c r="DN36" s="797" t="n">
        <v>45982</v>
      </c>
      <c r="DO36" s="794" t="n">
        <v>45973</v>
      </c>
      <c r="DP36" s="794" t="n">
        <v>45965</v>
      </c>
      <c r="DQ36" s="794" t="n">
        <v>45965</v>
      </c>
      <c r="DR36" s="794" t="n">
        <v>45960</v>
      </c>
      <c r="DS36" s="794" t="n">
        <v>45960</v>
      </c>
      <c r="DT36" s="794" t="n">
        <v>45951</v>
      </c>
      <c r="DU36" s="794" t="n">
        <v>45945</v>
      </c>
      <c r="DV36" s="737" t="n">
        <v>45903</v>
      </c>
      <c r="DW36" s="794" t="n">
        <v>45945</v>
      </c>
      <c r="DX36" s="794" t="n">
        <v>45937</v>
      </c>
      <c r="DY36" s="794" t="n">
        <v>45923</v>
      </c>
      <c r="DZ36" s="794" t="n">
        <v>45931</v>
      </c>
      <c r="EA36" s="794" t="n">
        <v>45931</v>
      </c>
      <c r="EB36" s="794" t="n">
        <v>45915</v>
      </c>
      <c r="EC36" s="794" t="n">
        <v>45923</v>
      </c>
      <c r="ED36" s="794" t="n">
        <v>45915</v>
      </c>
      <c r="EE36" s="797" t="n">
        <v>45918</v>
      </c>
      <c r="EF36" s="794" t="n">
        <v>45903</v>
      </c>
      <c r="EG36" s="738" t="n">
        <v>45903</v>
      </c>
      <c r="EH36" s="794" t="n">
        <v>45895</v>
      </c>
      <c r="EI36" s="797" t="n">
        <v>45896</v>
      </c>
      <c r="EJ36" s="794" t="n">
        <v>45888</v>
      </c>
      <c r="EK36" s="794" t="n">
        <v>45888</v>
      </c>
      <c r="EL36" s="794" t="n">
        <v>45881</v>
      </c>
      <c r="EM36" s="797" t="n">
        <v>45881</v>
      </c>
      <c r="EN36" s="794" t="n">
        <v>45874</v>
      </c>
      <c r="EO36" s="797" t="n">
        <v>45876</v>
      </c>
      <c r="EP36" s="794" t="n">
        <v>45867</v>
      </c>
      <c r="EQ36" s="794" t="n">
        <v>45860</v>
      </c>
      <c r="ER36" s="794" t="n">
        <v>45839</v>
      </c>
      <c r="ES36" s="797" t="n">
        <v>45861</v>
      </c>
      <c r="ET36" s="797" t="n">
        <v>45860</v>
      </c>
      <c r="EU36" s="794" t="n">
        <v>45853</v>
      </c>
      <c r="EV36" s="739" t="n">
        <v>45855</v>
      </c>
      <c r="EW36" s="794" t="n">
        <v>45848</v>
      </c>
      <c r="EX36" s="794" t="n">
        <v>45839</v>
      </c>
      <c r="EY36" s="739" t="n">
        <v>45791</v>
      </c>
      <c r="EZ36" s="797" t="n">
        <v>45835</v>
      </c>
      <c r="FA36" s="794" t="n">
        <v>45832</v>
      </c>
      <c r="FB36" s="794" t="n">
        <v>45825</v>
      </c>
      <c r="FC36" s="794" t="n">
        <v>45819</v>
      </c>
      <c r="FD36" s="794" t="n">
        <v>45813</v>
      </c>
      <c r="FE36" s="794" t="n">
        <v>45805</v>
      </c>
      <c r="FF36" s="797" t="n">
        <v>45811</v>
      </c>
      <c r="FG36" s="797" t="n">
        <v>45810</v>
      </c>
      <c r="FH36" s="794" t="n">
        <v>45798</v>
      </c>
      <c r="FI36" s="797" t="n">
        <v>45803</v>
      </c>
      <c r="FJ36" s="755" t="n">
        <v>45803</v>
      </c>
      <c r="FK36" s="797" t="n">
        <v>45800</v>
      </c>
      <c r="FL36" s="742" t="n">
        <v>45735</v>
      </c>
      <c r="FM36" s="797" t="n">
        <v>45796</v>
      </c>
      <c r="FN36" s="794" t="n">
        <v>45790</v>
      </c>
      <c r="FO36" s="794" t="n">
        <v>45784</v>
      </c>
      <c r="FP36" s="797" t="n">
        <v>45791</v>
      </c>
      <c r="FQ36" s="794" t="n">
        <v>45783</v>
      </c>
      <c r="FR36" s="794" t="n">
        <v>45770</v>
      </c>
      <c r="FS36" s="794" t="n">
        <v>45775</v>
      </c>
      <c r="FT36" s="794" t="n">
        <v>45770</v>
      </c>
      <c r="FU36" s="797" t="n">
        <v>45775</v>
      </c>
      <c r="FV36" s="794" t="n">
        <v>45756</v>
      </c>
      <c r="FW36" s="794" t="n">
        <v>45749</v>
      </c>
      <c r="FX36" s="797" t="n">
        <v>45751</v>
      </c>
      <c r="FY36" s="794" t="n">
        <v>45743</v>
      </c>
      <c r="FZ36" s="746" t="n">
        <v>45729</v>
      </c>
      <c r="GA36" s="794" t="n">
        <v>45722</v>
      </c>
      <c r="GB36" s="746" t="n">
        <v>45700</v>
      </c>
      <c r="GC36" s="797" t="n">
        <v>45722</v>
      </c>
      <c r="GD36" s="794" t="n">
        <v>45714</v>
      </c>
      <c r="GE36" s="794" t="n">
        <v>45706</v>
      </c>
      <c r="GF36" s="794" t="n">
        <v>45699</v>
      </c>
      <c r="GG36" s="794" t="n">
        <v>45693</v>
      </c>
      <c r="GH36" s="794" t="n">
        <v>45685</v>
      </c>
      <c r="GI36" s="797" t="n">
        <v>45687</v>
      </c>
      <c r="GJ36" s="794" t="n">
        <v>45664</v>
      </c>
      <c r="GK36" s="794" t="n">
        <v>45679</v>
      </c>
      <c r="GL36" s="797" t="n">
        <v>45684</v>
      </c>
      <c r="GM36" s="794" t="n">
        <v>45664</v>
      </c>
      <c r="GN36" s="794" t="n">
        <v>45660</v>
      </c>
      <c r="GO36" s="794" t="n">
        <v>45652</v>
      </c>
      <c r="GP36" s="794" t="n">
        <v>45643</v>
      </c>
      <c r="GQ36" s="794" t="n">
        <v>45638</v>
      </c>
      <c r="GR36" s="573" t="n"/>
      <c r="IT36" s="573" t="n"/>
      <c r="IU36" s="573" t="n"/>
      <c r="IV36" s="573" t="n"/>
      <c r="IW36" s="573" t="n"/>
      <c r="IX36" s="573" t="n"/>
      <c r="IY36" s="573" t="n"/>
      <c r="IZ36" s="573" t="n"/>
      <c r="JA36" s="573" t="n"/>
      <c r="JB36" s="573" t="n"/>
    </row>
    <row r="37" hidden="1" ht="17.25" customHeight="1">
      <c r="A37" s="37" t="inlineStr">
        <is>
          <t>KIT OVERBAG OMNI P</t>
        </is>
      </c>
      <c r="B37" s="699" t="n">
        <v>25</v>
      </c>
      <c r="C37" s="762" t="n">
        <v>41.75</v>
      </c>
      <c r="D37" s="382" t="n">
        <v>20</v>
      </c>
      <c r="F37" s="154">
        <f>55+GM37</f>
        <v/>
      </c>
      <c r="G37" s="154" t="n">
        <v>80</v>
      </c>
      <c r="H37" s="154" t="n">
        <v>69</v>
      </c>
      <c r="I37" s="154" t="n">
        <v>48</v>
      </c>
      <c r="J37" s="154">
        <f>47+GI37</f>
        <v/>
      </c>
      <c r="K37" s="154" t="n">
        <v>92</v>
      </c>
      <c r="L37" s="154" t="n">
        <v>92</v>
      </c>
      <c r="M37" s="154" t="n">
        <v>91</v>
      </c>
      <c r="N37" s="154" t="n">
        <v>91</v>
      </c>
      <c r="O37" s="154" t="n">
        <v>91</v>
      </c>
      <c r="P37" s="154" t="n">
        <v>89</v>
      </c>
      <c r="Q37" s="154" t="n">
        <v>85</v>
      </c>
      <c r="R37" s="154" t="n">
        <v>85</v>
      </c>
      <c r="S37" s="154" t="n">
        <v>85</v>
      </c>
      <c r="T37" s="154" t="n">
        <v>85</v>
      </c>
      <c r="U37" s="154" t="n">
        <v>85</v>
      </c>
      <c r="V37" s="154" t="n">
        <v>85</v>
      </c>
      <c r="W37" s="154" t="n">
        <v>85</v>
      </c>
      <c r="X37" s="154" t="n">
        <v>85</v>
      </c>
      <c r="Y37" s="154" t="n">
        <v>83</v>
      </c>
      <c r="Z37" s="154" t="n">
        <v>83</v>
      </c>
      <c r="AA37" s="154" t="n">
        <v>83</v>
      </c>
      <c r="AB37" s="154" t="n">
        <v>83</v>
      </c>
      <c r="AC37" s="154" t="n">
        <v>82</v>
      </c>
      <c r="AD37" s="154" t="n">
        <v>82</v>
      </c>
      <c r="AE37" s="154" t="n">
        <v>82</v>
      </c>
      <c r="AF37" s="154" t="n">
        <v>82</v>
      </c>
      <c r="AG37" s="154" t="n">
        <v>71</v>
      </c>
      <c r="AH37" s="154" t="n">
        <v>51</v>
      </c>
      <c r="AI37" s="154">
        <f>45-10</f>
        <v/>
      </c>
      <c r="AJ37" s="154" t="n">
        <v>35</v>
      </c>
      <c r="AK37" s="154" t="n">
        <v>35</v>
      </c>
      <c r="AL37" s="154">
        <f>35+EL37</f>
        <v/>
      </c>
      <c r="AM37" s="154" t="n">
        <v>32</v>
      </c>
      <c r="AN37" s="154" t="n">
        <v>32</v>
      </c>
      <c r="AO37" s="154" t="n">
        <v>32</v>
      </c>
      <c r="AP37" s="154" t="n">
        <v>22</v>
      </c>
      <c r="AQ37" s="154" t="n">
        <v>22</v>
      </c>
      <c r="AR37" s="154" t="n">
        <v>22</v>
      </c>
      <c r="AS37" s="154" t="n">
        <v>22</v>
      </c>
      <c r="AT37" s="154" t="n">
        <v>21</v>
      </c>
      <c r="AU37" s="154" t="n">
        <v>21</v>
      </c>
      <c r="AV37" s="154" t="n">
        <v>14</v>
      </c>
      <c r="AW37" s="154" t="n">
        <v>14</v>
      </c>
      <c r="AX37" s="154" t="n">
        <v>14</v>
      </c>
      <c r="AY37" s="154">
        <f>13-5</f>
        <v/>
      </c>
      <c r="AZ37" s="154" t="n">
        <v>7</v>
      </c>
      <c r="BA37" s="154" t="n">
        <v>0</v>
      </c>
      <c r="BB37" s="154" t="n">
        <v>0</v>
      </c>
      <c r="BC37" s="154" t="n">
        <v>0</v>
      </c>
      <c r="BD37" s="154" t="n">
        <v>0</v>
      </c>
      <c r="BE37" s="154" t="n">
        <v>0</v>
      </c>
      <c r="BF37" s="154" t="n">
        <v>0</v>
      </c>
      <c r="BG37" s="154" t="n">
        <v>0</v>
      </c>
      <c r="BH37" s="154" t="n">
        <v>0</v>
      </c>
      <c r="BI37" s="154" t="n">
        <v>0</v>
      </c>
      <c r="BJ37" s="154" t="n">
        <v>0</v>
      </c>
      <c r="BK37" s="154" t="n">
        <v>0</v>
      </c>
      <c r="BL37" s="154" t="n">
        <v>0</v>
      </c>
      <c r="BM37" s="154" t="n">
        <v>0</v>
      </c>
      <c r="BN37" s="154" t="n"/>
      <c r="BO37" s="154" t="n"/>
      <c r="BP37" s="154" t="n"/>
      <c r="BQ37" s="154" t="n"/>
      <c r="BR37" s="154" t="n"/>
      <c r="BS37" s="154" t="n"/>
      <c r="BT37" s="154" t="n"/>
      <c r="BU37" s="154" t="n"/>
      <c r="BV37" s="154" t="n"/>
      <c r="BW37" s="154" t="n"/>
      <c r="BX37" s="154" t="n"/>
      <c r="BY37" s="154" t="n"/>
      <c r="BZ37" s="154" t="n"/>
      <c r="CA37" s="154" t="n"/>
      <c r="CB37" s="198">
        <f>BZ37+IF(NOT(ISBLANK(OFFSET(CB37,0,6))),N(OFFSET(CB37,0,6)),N(OFFSET(CB37,0,7)))-CA37</f>
        <v/>
      </c>
      <c r="CD37" s="22" t="n"/>
      <c r="CE37" s="22" t="n"/>
      <c r="CG37" s="252" t="n"/>
      <c r="CH37" s="831" t="n"/>
      <c r="CI37" s="135" t="n"/>
      <c r="CJ37" s="135" t="n"/>
      <c r="CK37" s="135" t="n"/>
      <c r="CL37" s="135" t="n"/>
      <c r="CM37" s="135" t="n"/>
      <c r="CN37" s="135" t="n"/>
      <c r="CO37" s="135" t="n"/>
      <c r="CP37" s="135" t="n"/>
      <c r="CQ37" s="135" t="n"/>
      <c r="CR37" s="135" t="n"/>
      <c r="CS37" s="135" t="n"/>
      <c r="CT37" s="135" t="n"/>
      <c r="CU37" s="135" t="n"/>
      <c r="CV37" s="135" t="n"/>
      <c r="CW37" s="135" t="n"/>
      <c r="CX37" s="135" t="n"/>
      <c r="CY37" s="135" t="n"/>
      <c r="CZ37" s="135" t="n"/>
      <c r="DA37" s="135" t="n"/>
      <c r="DB37" s="135" t="n"/>
      <c r="DC37" s="135" t="n"/>
      <c r="DD37" s="135" t="n"/>
      <c r="DE37" s="135" t="n"/>
      <c r="DF37" s="135" t="n"/>
      <c r="DG37" s="135" t="n"/>
      <c r="DH37" s="135" t="n"/>
      <c r="DI37" s="135" t="n"/>
      <c r="DJ37" s="135" t="n"/>
      <c r="DK37" s="135" t="n"/>
      <c r="DL37" s="135" t="n"/>
      <c r="DM37" s="135" t="n"/>
      <c r="DN37" s="192" t="inlineStr">
        <is>
          <t>05 P/ CDB</t>
        </is>
      </c>
      <c r="DO37" s="135" t="n"/>
      <c r="DP37" s="135" t="n"/>
      <c r="DQ37" s="135" t="n"/>
      <c r="DR37" s="135" t="n"/>
      <c r="DS37" s="135" t="n"/>
      <c r="DT37" s="135" t="n"/>
      <c r="DU37" s="135" t="n"/>
      <c r="DV37" s="135" t="n"/>
      <c r="DW37" s="135" t="n"/>
      <c r="DX37" s="135" t="n"/>
      <c r="DY37" s="135" t="n"/>
      <c r="DZ37" s="135" t="n"/>
      <c r="EA37" s="135" t="n"/>
      <c r="EB37" s="135" t="n"/>
      <c r="EC37" s="135" t="n"/>
      <c r="ED37" s="135" t="n"/>
      <c r="EE37" s="135" t="n"/>
      <c r="EF37" s="135" t="n"/>
      <c r="EG37" s="135" t="n"/>
      <c r="EH37" s="135" t="n"/>
      <c r="EI37" s="135" t="n"/>
      <c r="EJ37" s="135" t="n"/>
      <c r="EK37" s="135" t="n"/>
      <c r="EL37" s="135" t="n"/>
      <c r="EM37" s="135" t="n"/>
      <c r="EN37" s="135" t="n">
        <v>50</v>
      </c>
      <c r="EO37" s="135" t="n"/>
      <c r="EP37" s="135" t="n"/>
      <c r="EQ37" s="135" t="n"/>
      <c r="ER37" s="135" t="n"/>
      <c r="ES37" s="406" t="inlineStr">
        <is>
          <t>10 P/ CD</t>
        </is>
      </c>
      <c r="ET37" s="135" t="n"/>
      <c r="EU37" s="135" t="n"/>
      <c r="EV37" s="135" t="n"/>
      <c r="EW37" s="135" t="n"/>
      <c r="EX37" s="135" t="n"/>
      <c r="EY37" s="135" t="n"/>
      <c r="EZ37" s="135" t="n"/>
      <c r="FA37" s="135" t="n"/>
      <c r="FB37" s="135" t="n"/>
      <c r="FC37" s="135" t="n"/>
      <c r="FD37" s="135" t="n"/>
      <c r="FE37" s="135" t="n"/>
      <c r="FF37" s="135" t="n"/>
      <c r="FG37" s="135" t="n"/>
      <c r="FH37" s="135" t="n"/>
      <c r="FI37" s="135" t="n"/>
      <c r="FJ37" s="135" t="n"/>
      <c r="FK37" s="23" t="n"/>
      <c r="FL37" s="374" t="n"/>
      <c r="FM37" s="135" t="n"/>
      <c r="FN37" s="135" t="n"/>
      <c r="FO37" s="135" t="n"/>
      <c r="FP37" s="135" t="n"/>
      <c r="FQ37" s="135" t="n"/>
      <c r="FR37" s="135" t="n"/>
      <c r="FS37" s="135" t="n"/>
      <c r="FT37" s="135" t="n"/>
      <c r="FU37" s="135" t="n"/>
      <c r="FV37" s="135" t="n"/>
      <c r="FW37" s="135" t="n"/>
      <c r="FX37" s="135" t="n"/>
      <c r="FY37" s="135" t="n"/>
      <c r="FZ37" s="219" t="n"/>
      <c r="GA37" s="135" t="n"/>
      <c r="GB37" s="219" t="n"/>
      <c r="GC37" s="135" t="n"/>
      <c r="GD37" s="135" t="n"/>
      <c r="GE37" s="135" t="n"/>
      <c r="GF37" s="135" t="n"/>
      <c r="GG37" s="135" t="n"/>
      <c r="GH37" s="135" t="n"/>
      <c r="GI37" s="135" t="n"/>
      <c r="GJ37" s="135" t="n"/>
      <c r="GK37" s="135" t="n">
        <v>50</v>
      </c>
      <c r="GL37" s="135" t="n"/>
      <c r="GM37" s="135" t="n"/>
      <c r="GN37" s="135" t="n"/>
      <c r="GO37" s="135" t="n">
        <v>25</v>
      </c>
      <c r="GP37" s="135" t="n"/>
      <c r="GQ37" s="135" t="n"/>
      <c r="GR37" s="573" t="n"/>
      <c r="HO37" s="573" t="n"/>
      <c r="IT37" s="41" t="n"/>
      <c r="IU37" s="41" t="n"/>
      <c r="IV37" s="41" t="n"/>
      <c r="IW37" s="41" t="n"/>
      <c r="IX37" s="41" t="n"/>
      <c r="IY37" s="41" t="n"/>
      <c r="IZ37" s="41" t="n"/>
      <c r="JA37" s="41" t="n"/>
      <c r="JB37" s="41" t="n"/>
    </row>
    <row r="38" hidden="1">
      <c r="A38" s="37" t="inlineStr">
        <is>
          <t>KIT OVERBAG OMNI M</t>
        </is>
      </c>
      <c r="B38" s="699" t="n">
        <v>25</v>
      </c>
      <c r="C38" s="762" t="n">
        <v>57</v>
      </c>
      <c r="D38" s="382" t="n">
        <v>20</v>
      </c>
      <c r="E38" s="573" t="n"/>
      <c r="F38" s="153" t="n">
        <v>76</v>
      </c>
      <c r="G38" s="153" t="n">
        <v>75</v>
      </c>
      <c r="H38" s="153" t="n">
        <v>140</v>
      </c>
      <c r="I38" s="153" t="n">
        <v>140</v>
      </c>
      <c r="J38" s="153" t="n">
        <v>140</v>
      </c>
      <c r="K38" s="153" t="n">
        <v>136</v>
      </c>
      <c r="L38" s="153" t="n">
        <v>136</v>
      </c>
      <c r="M38" s="153" t="n">
        <v>134</v>
      </c>
      <c r="N38" s="153" t="n">
        <v>133</v>
      </c>
      <c r="O38" s="153" t="n">
        <v>133</v>
      </c>
      <c r="P38" s="153" t="n">
        <v>133</v>
      </c>
      <c r="Q38" s="153" t="n">
        <v>132</v>
      </c>
      <c r="R38" s="153" t="n">
        <v>131</v>
      </c>
      <c r="S38" s="153" t="n">
        <v>131</v>
      </c>
      <c r="T38" s="153" t="n">
        <v>131</v>
      </c>
      <c r="U38" s="153" t="n">
        <v>128</v>
      </c>
      <c r="V38" s="153" t="n">
        <v>127</v>
      </c>
      <c r="W38" s="153" t="n">
        <v>124</v>
      </c>
      <c r="X38" s="153" t="n">
        <v>121</v>
      </c>
      <c r="Y38" s="153" t="n">
        <v>120</v>
      </c>
      <c r="Z38" s="153" t="n">
        <v>119</v>
      </c>
      <c r="AA38" s="153" t="n">
        <v>119</v>
      </c>
      <c r="AB38" s="153" t="n">
        <v>119</v>
      </c>
      <c r="AC38" s="153" t="n">
        <v>118</v>
      </c>
      <c r="AD38" s="153" t="n">
        <v>117</v>
      </c>
      <c r="AE38" s="153" t="n">
        <v>116</v>
      </c>
      <c r="AF38" s="153" t="n">
        <v>116</v>
      </c>
      <c r="AG38" s="153" t="n">
        <v>105</v>
      </c>
      <c r="AH38" s="153" t="n">
        <v>95</v>
      </c>
      <c r="AI38" s="153" t="n">
        <v>94</v>
      </c>
      <c r="AJ38" s="153" t="n">
        <v>94</v>
      </c>
      <c r="AK38" s="153" t="n">
        <v>94</v>
      </c>
      <c r="AL38" s="153" t="n">
        <v>94</v>
      </c>
      <c r="AM38" s="153" t="n">
        <v>25</v>
      </c>
      <c r="AN38" s="153" t="n">
        <v>25</v>
      </c>
      <c r="AO38" s="153" t="n">
        <v>25</v>
      </c>
      <c r="AP38" s="153" t="n">
        <v>17</v>
      </c>
      <c r="AQ38" s="153" t="n">
        <v>17</v>
      </c>
      <c r="AR38" s="153" t="n">
        <v>13</v>
      </c>
      <c r="AS38" s="153" t="n">
        <v>11</v>
      </c>
      <c r="AT38" s="153" t="n">
        <v>11</v>
      </c>
      <c r="AU38" s="153" t="n">
        <v>11</v>
      </c>
      <c r="AV38" s="153" t="n">
        <v>6</v>
      </c>
      <c r="AW38" s="153" t="n">
        <v>6</v>
      </c>
      <c r="AX38" s="153" t="n">
        <v>2</v>
      </c>
      <c r="AY38" s="153">
        <f>2+10</f>
        <v/>
      </c>
      <c r="AZ38" s="153" t="n">
        <v>12</v>
      </c>
      <c r="BA38" s="153" t="n">
        <v>12</v>
      </c>
      <c r="BB38" s="153" t="n">
        <v>9</v>
      </c>
      <c r="BC38" s="153" t="n">
        <v>9</v>
      </c>
      <c r="BD38" s="153" t="n">
        <v>9</v>
      </c>
      <c r="BE38" s="153" t="n">
        <v>9</v>
      </c>
      <c r="BF38" s="153" t="n">
        <v>9</v>
      </c>
      <c r="BG38" s="153" t="n">
        <v>9</v>
      </c>
      <c r="BH38" s="153" t="n">
        <v>4</v>
      </c>
      <c r="BI38" s="153" t="n">
        <v>1</v>
      </c>
      <c r="BJ38" s="153" t="n">
        <v>1</v>
      </c>
      <c r="BK38" s="153" t="n">
        <v>0</v>
      </c>
      <c r="BL38" s="153" t="n">
        <v>0</v>
      </c>
      <c r="BM38" s="153" t="n">
        <v>0</v>
      </c>
      <c r="BN38" s="153" t="n"/>
      <c r="BO38" s="153" t="n"/>
      <c r="BP38" s="153" t="n"/>
      <c r="BQ38" s="153" t="n"/>
      <c r="BR38" s="153" t="n"/>
      <c r="BS38" s="153" t="n"/>
      <c r="BT38" s="153" t="n"/>
      <c r="BU38" s="153" t="n"/>
      <c r="BV38" s="153" t="n"/>
      <c r="BW38" s="153" t="n"/>
      <c r="BX38" s="153" t="n"/>
      <c r="BY38" s="153" t="n"/>
      <c r="BZ38" s="153" t="n"/>
      <c r="CA38" s="153" t="n"/>
      <c r="CB38" s="198">
        <f>BZ38+IF(NOT(ISBLANK(OFFSET(CB38,0,6))),N(OFFSET(CB38,0,6)),N(OFFSET(CB38,0,7)))-CA38</f>
        <v/>
      </c>
      <c r="CD38" s="22" t="n"/>
      <c r="CE38" s="22" t="n"/>
      <c r="CG38" s="252" t="n"/>
      <c r="CH38" s="831" t="n"/>
      <c r="CI38" s="135" t="n"/>
      <c r="CJ38" s="135" t="n"/>
      <c r="CK38" s="135" t="n"/>
      <c r="CL38" s="135" t="n"/>
      <c r="CM38" s="135" t="n"/>
      <c r="CN38" s="135" t="n"/>
      <c r="CO38" s="135" t="n"/>
      <c r="CP38" s="135" t="n"/>
      <c r="CQ38" s="135" t="n"/>
      <c r="CR38" s="135" t="n"/>
      <c r="CS38" s="135" t="n"/>
      <c r="CT38" s="135" t="n"/>
      <c r="CU38" s="135" t="n"/>
      <c r="CV38" s="135" t="n"/>
      <c r="CW38" s="135" t="n"/>
      <c r="CX38" s="135" t="n"/>
      <c r="CY38" s="135" t="n"/>
      <c r="CZ38" s="135" t="n"/>
      <c r="DA38" s="135" t="n"/>
      <c r="DB38" s="135" t="n"/>
      <c r="DC38" s="135" t="n"/>
      <c r="DD38" s="135" t="n"/>
      <c r="DE38" s="135" t="n"/>
      <c r="DF38" s="135" t="n"/>
      <c r="DG38" s="135" t="n"/>
      <c r="DH38" s="135" t="n"/>
      <c r="DI38" s="135" t="n"/>
      <c r="DJ38" s="135" t="n"/>
      <c r="DK38" s="135" t="n"/>
      <c r="DL38" s="135" t="n"/>
      <c r="DM38" s="135" t="n"/>
      <c r="DN38" s="192" t="inlineStr">
        <is>
          <t>10 DE CDB</t>
        </is>
      </c>
      <c r="DO38" s="135" t="n"/>
      <c r="DP38" s="135" t="n"/>
      <c r="DQ38" s="135" t="n"/>
      <c r="DR38" s="135" t="n"/>
      <c r="DS38" s="135" t="n"/>
      <c r="DT38" s="135" t="n"/>
      <c r="DU38" s="135" t="n"/>
      <c r="DV38" s="135" t="n"/>
      <c r="DW38" s="135" t="n"/>
      <c r="DX38" s="135" t="n"/>
      <c r="DY38" s="135" t="n"/>
      <c r="DZ38" s="135" t="n"/>
      <c r="EA38" s="135" t="n"/>
      <c r="EB38" s="135" t="n"/>
      <c r="EC38" s="135" t="n"/>
      <c r="ED38" s="135" t="n"/>
      <c r="EE38" s="135" t="n"/>
      <c r="EF38" s="135" t="n"/>
      <c r="EG38" s="135" t="n"/>
      <c r="EH38" s="135" t="n"/>
      <c r="EI38" s="135" t="n"/>
      <c r="EJ38" s="135" t="n"/>
      <c r="EK38" s="135" t="n"/>
      <c r="EL38" s="135" t="n"/>
      <c r="EM38" s="135" t="n"/>
      <c r="EN38" s="135" t="n"/>
      <c r="EO38" s="135" t="n"/>
      <c r="EP38" s="135" t="n"/>
      <c r="EQ38" s="135" t="n"/>
      <c r="ER38" s="135" t="n"/>
      <c r="ES38" s="135" t="n"/>
      <c r="ET38" s="135" t="n"/>
      <c r="EU38" s="135" t="n"/>
      <c r="EV38" s="135" t="n"/>
      <c r="EW38" s="135" t="n"/>
      <c r="EX38" s="135" t="n"/>
      <c r="EY38" s="135" t="n"/>
      <c r="EZ38" s="135" t="n"/>
      <c r="FA38" s="135" t="n"/>
      <c r="FB38" s="135" t="n"/>
      <c r="FC38" s="135" t="n"/>
      <c r="FD38" s="135" t="n"/>
      <c r="FE38" s="135" t="n"/>
      <c r="FF38" s="135" t="n"/>
      <c r="FG38" s="135" t="n"/>
      <c r="FH38" s="135" t="n"/>
      <c r="FI38" s="135" t="n"/>
      <c r="FJ38" s="135" t="n"/>
      <c r="FK38" s="23" t="n"/>
      <c r="FL38" s="374" t="n"/>
      <c r="FM38" s="135" t="n"/>
      <c r="FN38" s="135" t="n"/>
      <c r="FO38" s="135" t="n"/>
      <c r="FP38" s="135" t="n"/>
      <c r="FQ38" s="135" t="n"/>
      <c r="FR38" s="135" t="n"/>
      <c r="FS38" s="135" t="n"/>
      <c r="FT38" s="135" t="n"/>
      <c r="FU38" s="135" t="n"/>
      <c r="FV38" s="135" t="n"/>
      <c r="FW38" s="135" t="n"/>
      <c r="FX38" s="135" t="n"/>
      <c r="FY38" s="135" t="n"/>
      <c r="FZ38" s="219" t="n"/>
      <c r="GA38" s="135" t="n"/>
      <c r="GB38" s="219" t="n"/>
      <c r="GC38" s="135" t="n"/>
      <c r="GD38" s="135" t="n"/>
      <c r="GE38" s="135" t="n"/>
      <c r="GF38" s="135" t="n"/>
      <c r="GG38" s="135" t="n"/>
      <c r="GH38" s="135" t="n"/>
      <c r="GI38" s="135" t="n"/>
      <c r="GJ38" s="135" t="n"/>
      <c r="GK38" s="135" t="n"/>
      <c r="GL38" s="135" t="n"/>
      <c r="GM38" s="135" t="n"/>
      <c r="GN38" s="135" t="n"/>
      <c r="GO38" s="135" t="n"/>
      <c r="GP38" s="135" t="n"/>
      <c r="GQ38" s="135" t="n"/>
      <c r="GR38" s="573" t="n"/>
      <c r="HQ38" s="573" t="n"/>
      <c r="HR38" s="573" t="n"/>
      <c r="HS38" s="573" t="n"/>
      <c r="HT38" s="573" t="n"/>
      <c r="HU38" s="573" t="n"/>
      <c r="HV38" s="573" t="n"/>
      <c r="HW38" s="573" t="n"/>
      <c r="HX38" s="573" t="n"/>
      <c r="HY38" s="573" t="n"/>
      <c r="HZ38" s="573" t="n"/>
      <c r="IA38" s="573" t="n"/>
      <c r="IB38" s="573" t="n"/>
      <c r="IC38" s="573" t="n"/>
      <c r="IE38" s="573" t="n"/>
      <c r="IF38" s="573" t="n"/>
      <c r="IG38" s="573" t="n"/>
      <c r="IH38" s="573" t="n"/>
      <c r="II38" s="573" t="n"/>
      <c r="IJ38" s="573" t="n"/>
      <c r="IK38" s="573" t="n"/>
      <c r="IL38" s="573" t="n"/>
      <c r="IM38" s="573" t="n"/>
      <c r="IN38" s="573" t="n"/>
      <c r="IO38" s="573" t="n"/>
      <c r="IP38" s="573" t="n"/>
      <c r="IQ38" s="573" t="n"/>
      <c r="IR38" s="573" t="n"/>
      <c r="IT38" s="41" t="n"/>
      <c r="IU38" s="41" t="n"/>
      <c r="IV38" s="41" t="n"/>
      <c r="IW38" s="41" t="n"/>
      <c r="IX38" s="41" t="n"/>
      <c r="IY38" s="41" t="n"/>
      <c r="IZ38" s="41" t="n"/>
      <c r="JA38" s="41" t="n"/>
      <c r="JB38" s="41" t="n"/>
    </row>
    <row r="39" hidden="1">
      <c r="B39" s="573" t="n"/>
      <c r="E39" s="573" t="n"/>
      <c r="F39" s="573" t="n"/>
      <c r="G39" s="573" t="n"/>
      <c r="H39" s="573" t="n"/>
      <c r="I39" s="573" t="n"/>
      <c r="J39" s="573" t="n"/>
      <c r="K39" s="573" t="n"/>
      <c r="L39" s="573" t="n"/>
      <c r="M39" s="573" t="n"/>
      <c r="N39" s="573" t="n"/>
      <c r="O39" s="573" t="n"/>
      <c r="P39" s="573" t="n"/>
      <c r="Q39" s="573" t="n"/>
      <c r="R39" s="573" t="n"/>
      <c r="S39" s="573" t="n"/>
      <c r="T39" s="573" t="n"/>
      <c r="U39" s="573" t="n"/>
      <c r="V39" s="573" t="n"/>
      <c r="W39" s="573" t="n"/>
      <c r="X39" s="573" t="n"/>
      <c r="Y39" s="573" t="n"/>
      <c r="Z39" s="573" t="n"/>
      <c r="AA39" s="573" t="n"/>
      <c r="AB39" s="573" t="n"/>
      <c r="AC39" s="573" t="n"/>
      <c r="AD39" s="573" t="n"/>
      <c r="AE39" s="573" t="n"/>
      <c r="AF39" s="573" t="n"/>
      <c r="AG39" s="573" t="n"/>
      <c r="AH39" s="573" t="n"/>
      <c r="AI39" s="573" t="n"/>
      <c r="AJ39" s="573" t="n"/>
      <c r="AK39" s="573" t="n"/>
      <c r="AL39" s="573" t="n"/>
      <c r="AM39" s="573" t="n"/>
      <c r="AN39" s="573" t="n"/>
      <c r="AO39" s="573" t="n"/>
      <c r="AP39" s="573" t="n"/>
      <c r="AQ39" s="573" t="n"/>
      <c r="AR39" s="573" t="n"/>
      <c r="AS39" s="573" t="n"/>
      <c r="AT39" s="573" t="n"/>
      <c r="AU39" s="573" t="n"/>
      <c r="AV39" s="573" t="n"/>
      <c r="AW39" s="573" t="n"/>
      <c r="AX39" s="573" t="n"/>
      <c r="AY39" s="573" t="n"/>
      <c r="AZ39" s="573" t="n"/>
      <c r="BA39" s="573" t="n"/>
      <c r="BB39" s="573" t="n"/>
      <c r="BC39" s="573" t="n"/>
      <c r="BD39" s="573" t="n"/>
      <c r="BE39" s="573" t="n"/>
      <c r="BF39" s="573" t="n"/>
      <c r="BG39" s="573" t="n"/>
      <c r="BH39" s="573" t="n"/>
      <c r="BI39" s="573" t="n"/>
      <c r="BJ39" s="573" t="n"/>
      <c r="BK39" s="573" t="n"/>
      <c r="BL39" s="573" t="n"/>
      <c r="BM39" s="573" t="n"/>
      <c r="BN39" s="573" t="n"/>
      <c r="BO39" s="573" t="n"/>
      <c r="BP39" s="573" t="n"/>
      <c r="BQ39" s="573" t="n"/>
      <c r="BR39" s="573" t="n"/>
      <c r="BS39" s="573" t="n"/>
      <c r="BT39" s="573" t="n"/>
      <c r="BU39" s="573" t="n"/>
      <c r="BV39" s="573" t="n"/>
      <c r="BW39" s="573" t="n"/>
      <c r="BX39" s="573" t="n"/>
      <c r="BY39" s="573" t="n"/>
      <c r="BZ39" s="573" t="n"/>
      <c r="CA39" s="573" t="n"/>
      <c r="CB39" s="573" t="n"/>
      <c r="CH39" s="749" t="n"/>
      <c r="CI39" s="749" t="n"/>
      <c r="CJ39" s="749" t="n"/>
      <c r="CK39" s="749" t="n"/>
      <c r="CL39" s="749" t="n"/>
      <c r="CM39" s="749" t="n"/>
      <c r="CN39" s="749" t="n"/>
      <c r="CO39" s="749" t="n"/>
      <c r="CP39" s="749" t="n"/>
      <c r="CQ39" s="749" t="n"/>
      <c r="CR39" s="749" t="n"/>
      <c r="CS39" s="749" t="n"/>
      <c r="CT39" s="749" t="n"/>
      <c r="CU39" s="749" t="n"/>
      <c r="CV39" s="749" t="n"/>
      <c r="CW39" s="749" t="n"/>
      <c r="CX39" s="749" t="n"/>
      <c r="CY39" s="749" t="n"/>
      <c r="CZ39" s="749" t="n"/>
      <c r="DA39" s="749" t="n"/>
      <c r="DB39" s="749" t="n"/>
      <c r="DC39" s="749" t="n"/>
      <c r="DD39" s="749" t="n"/>
      <c r="DE39" s="749" t="n"/>
      <c r="DF39" s="749" t="n"/>
      <c r="DG39" s="749" t="n"/>
      <c r="DH39" s="749" t="n"/>
      <c r="DI39" s="749" t="n"/>
      <c r="DJ39" s="749" t="n"/>
      <c r="DK39" s="749" t="n"/>
      <c r="DL39" s="749" t="n"/>
      <c r="DM39" s="749" t="n"/>
      <c r="DN39" s="749" t="n"/>
      <c r="DO39" s="749" t="n"/>
      <c r="DP39" s="749" t="n"/>
      <c r="DQ39" s="749" t="n"/>
      <c r="DR39" s="749" t="n"/>
      <c r="DS39" s="749" t="n"/>
      <c r="DT39" s="749" t="n"/>
      <c r="DU39" s="749" t="n"/>
      <c r="DV39" s="749" t="n"/>
      <c r="DW39" s="749" t="n"/>
      <c r="DX39" s="749" t="n"/>
      <c r="DY39" s="749" t="n"/>
      <c r="DZ39" s="749" t="n"/>
      <c r="EA39" s="749" t="n"/>
      <c r="EB39" s="749" t="n"/>
      <c r="EC39" s="749" t="n"/>
      <c r="ED39" s="749" t="n"/>
      <c r="EE39" s="749" t="n"/>
      <c r="EF39" s="749" t="n"/>
      <c r="EG39" s="749" t="n"/>
      <c r="EH39" s="749" t="n"/>
      <c r="EI39" s="749" t="n"/>
      <c r="EJ39" s="749" t="n"/>
      <c r="EK39" s="749" t="n"/>
      <c r="EL39" s="749" t="n"/>
      <c r="EM39" s="749" t="n"/>
      <c r="EN39" s="749" t="n"/>
      <c r="EO39" s="749" t="n"/>
      <c r="EP39" s="749" t="n"/>
      <c r="EQ39" s="749" t="n"/>
      <c r="ER39" s="749" t="n"/>
      <c r="ES39" s="749" t="n"/>
      <c r="ET39" s="749" t="n"/>
      <c r="EU39" s="749" t="n"/>
      <c r="EV39" s="749" t="n"/>
      <c r="EW39" s="749" t="n"/>
      <c r="EX39" s="749" t="n"/>
      <c r="EY39" s="749" t="n"/>
      <c r="EZ39" s="749" t="n"/>
      <c r="FA39" s="749" t="n"/>
      <c r="FB39" s="749" t="n"/>
      <c r="FC39" s="749" t="n"/>
      <c r="FD39" s="749" t="n"/>
      <c r="FE39" s="749" t="n"/>
      <c r="FF39" s="749" t="n"/>
      <c r="FG39" s="749" t="n"/>
      <c r="FH39" s="749" t="n"/>
      <c r="FI39" s="749" t="n"/>
      <c r="FJ39" s="749" t="n"/>
      <c r="FK39" s="47" t="n"/>
      <c r="FL39" s="749" t="n"/>
      <c r="FM39" s="749" t="n"/>
      <c r="FN39" s="749" t="n"/>
      <c r="FO39" s="749" t="n"/>
      <c r="FP39" s="749" t="n"/>
      <c r="FQ39" s="749" t="n"/>
      <c r="FR39" s="749" t="n"/>
      <c r="FS39" s="749" t="n"/>
      <c r="FT39" s="749" t="n"/>
      <c r="FU39" s="749" t="n"/>
      <c r="FV39" s="749" t="n"/>
      <c r="FW39" s="749" t="n"/>
      <c r="FX39" s="749" t="n"/>
      <c r="FY39" s="749" t="n"/>
      <c r="GA39" s="749" t="n"/>
      <c r="GC39" s="749" t="n"/>
      <c r="GD39" s="749" t="n"/>
      <c r="GE39" s="749" t="n"/>
      <c r="GF39" s="749" t="n"/>
      <c r="GG39" s="749" t="n"/>
      <c r="GH39" s="749" t="n"/>
      <c r="GI39" s="749" t="n"/>
      <c r="GJ39" s="749" t="n"/>
      <c r="GK39" s="749" t="n"/>
      <c r="GL39" s="749" t="n"/>
      <c r="GM39" s="749" t="n"/>
      <c r="GN39" s="749" t="n"/>
      <c r="GO39" s="749" t="n"/>
      <c r="GP39" s="749" t="n"/>
      <c r="GQ39" s="749" t="n"/>
      <c r="GR39" s="573" t="n"/>
      <c r="GS39" s="573" t="n"/>
      <c r="GT39" s="573" t="n"/>
      <c r="GU39" s="573" t="n"/>
      <c r="GV39" s="573" t="n"/>
      <c r="GW39" s="573" t="n"/>
      <c r="GX39" s="573" t="n"/>
      <c r="GY39" s="573" t="n"/>
      <c r="GZ39" s="573" t="n"/>
      <c r="HA39" s="573" t="n"/>
      <c r="HB39" s="573" t="n"/>
      <c r="HC39" s="573" t="n"/>
      <c r="HD39" s="573" t="n"/>
      <c r="HE39" s="573" t="n"/>
      <c r="HF39" s="573" t="n"/>
      <c r="HG39" s="573" t="n"/>
      <c r="HH39" s="573" t="n"/>
      <c r="HI39" s="573" t="n"/>
      <c r="HJ39" s="573" t="n"/>
      <c r="HK39" s="573" t="n"/>
      <c r="HL39" s="573" t="n"/>
      <c r="HM39" s="573" t="n"/>
      <c r="HN39" s="573" t="n"/>
      <c r="HO39" s="573" t="n"/>
      <c r="HQ39" s="573" t="n"/>
      <c r="HR39" s="573" t="n"/>
      <c r="HS39" s="573" t="n"/>
      <c r="HT39" s="573" t="n"/>
      <c r="HU39" s="573" t="n"/>
      <c r="HV39" s="573" t="n"/>
      <c r="HW39" s="573" t="n"/>
      <c r="HX39" s="573" t="n"/>
      <c r="HY39" s="573" t="n"/>
      <c r="HZ39" s="573" t="n"/>
      <c r="IA39" s="573" t="n"/>
      <c r="IB39" s="573" t="n"/>
      <c r="IC39" s="573" t="n"/>
      <c r="IE39" s="573" t="n"/>
      <c r="IF39" s="573" t="n"/>
      <c r="IG39" s="573" t="n"/>
      <c r="IH39" s="573" t="n"/>
      <c r="II39" s="573" t="n"/>
      <c r="IJ39" s="573" t="n"/>
      <c r="IK39" s="573" t="n"/>
      <c r="IL39" s="573" t="n"/>
      <c r="IM39" s="573" t="n"/>
      <c r="IN39" s="573" t="n"/>
      <c r="IO39" s="573" t="n"/>
      <c r="IP39" s="573" t="n"/>
      <c r="IQ39" s="573" t="n"/>
      <c r="IR39" s="573" t="n"/>
    </row>
    <row r="40">
      <c r="A40" s="166" t="inlineStr">
        <is>
          <t>SACOLAS/SACO/DIVERSOS OUI</t>
        </is>
      </c>
      <c r="B40" s="166" t="n"/>
      <c r="C40" s="166" t="n"/>
      <c r="D40" s="166" t="n"/>
      <c r="E40" s="2" t="n"/>
      <c r="F40" s="746" t="n">
        <v>45656</v>
      </c>
      <c r="G40" s="746" t="n">
        <v>45663</v>
      </c>
      <c r="H40" s="746" t="n">
        <v>45670</v>
      </c>
      <c r="I40" s="746" t="n">
        <v>45677</v>
      </c>
      <c r="J40" s="746" t="n">
        <v>45684</v>
      </c>
      <c r="K40" s="746" t="n">
        <v>45691</v>
      </c>
      <c r="L40" s="746" t="n">
        <v>45698</v>
      </c>
      <c r="M40" s="746" t="n">
        <v>45705</v>
      </c>
      <c r="N40" s="746" t="n">
        <v>45712</v>
      </c>
      <c r="O40" s="746" t="n">
        <v>45719</v>
      </c>
      <c r="P40" s="746" t="n">
        <v>45726</v>
      </c>
      <c r="Q40" s="746" t="n">
        <v>45733</v>
      </c>
      <c r="R40" s="746" t="n">
        <v>45740</v>
      </c>
      <c r="S40" s="746" t="n">
        <v>45747</v>
      </c>
      <c r="T40" s="746" t="n">
        <v>45754</v>
      </c>
      <c r="U40" s="746" t="n">
        <v>45761</v>
      </c>
      <c r="V40" s="746" t="n">
        <v>45768</v>
      </c>
      <c r="W40" s="746" t="n">
        <v>45775</v>
      </c>
      <c r="X40" s="746" t="n">
        <v>45782</v>
      </c>
      <c r="Y40" s="746" t="n">
        <v>45789</v>
      </c>
      <c r="Z40" s="746" t="n">
        <v>45796</v>
      </c>
      <c r="AA40" s="746" t="n">
        <v>45803</v>
      </c>
      <c r="AB40" s="746" t="n">
        <v>45810</v>
      </c>
      <c r="AC40" s="746" t="n">
        <v>45817</v>
      </c>
      <c r="AD40" s="746" t="n">
        <v>45824</v>
      </c>
      <c r="AE40" s="746" t="n">
        <v>45831</v>
      </c>
      <c r="AF40" s="746" t="n">
        <v>45838</v>
      </c>
      <c r="AG40" s="746" t="n">
        <v>45845</v>
      </c>
      <c r="AH40" s="746" t="n">
        <v>45852</v>
      </c>
      <c r="AI40" s="746" t="n">
        <v>45859</v>
      </c>
      <c r="AJ40" s="746" t="n">
        <v>45866</v>
      </c>
      <c r="AK40" s="746" t="n">
        <v>45873</v>
      </c>
      <c r="AL40" s="746" t="n">
        <v>45880</v>
      </c>
      <c r="AM40" s="746" t="n">
        <v>45887</v>
      </c>
      <c r="AN40" s="746" t="n">
        <v>45894</v>
      </c>
      <c r="AO40" s="746" t="n">
        <v>45901</v>
      </c>
      <c r="AP40" s="746" t="n">
        <v>45915</v>
      </c>
      <c r="AQ40" s="746" t="n">
        <v>45922</v>
      </c>
      <c r="AR40" s="746" t="n">
        <v>45929</v>
      </c>
      <c r="AS40" s="746" t="n">
        <v>45936</v>
      </c>
      <c r="AT40" s="746" t="n">
        <v>45943</v>
      </c>
      <c r="AU40" s="746" t="n">
        <v>45950</v>
      </c>
      <c r="AV40" s="746" t="n">
        <v>45957</v>
      </c>
      <c r="AW40" s="746" t="n">
        <v>45964</v>
      </c>
      <c r="AX40" s="746" t="n">
        <v>45971</v>
      </c>
      <c r="AY40" s="746" t="n">
        <v>45978</v>
      </c>
      <c r="AZ40" s="746" t="n">
        <v>45985</v>
      </c>
      <c r="BA40" s="746" t="n">
        <v>45992</v>
      </c>
      <c r="BB40" s="746" t="n">
        <v>45999</v>
      </c>
      <c r="BC40" s="746" t="n">
        <v>46006</v>
      </c>
      <c r="BD40" s="746" t="n">
        <v>46013</v>
      </c>
      <c r="BE40" s="746" t="n">
        <v>46020</v>
      </c>
      <c r="BF40" s="746" t="n">
        <v>46027</v>
      </c>
      <c r="BG40" s="746" t="n">
        <v>46034</v>
      </c>
      <c r="BH40" s="746" t="n">
        <v>46041</v>
      </c>
      <c r="BI40" s="746" t="n">
        <v>46048</v>
      </c>
      <c r="BJ40" s="746" t="n">
        <v>46055</v>
      </c>
      <c r="BK40" s="746" t="n">
        <v>46062</v>
      </c>
      <c r="BL40" s="746" t="n">
        <v>46069</v>
      </c>
      <c r="BM40" s="746" t="n">
        <v>46076</v>
      </c>
      <c r="BN40" s="746" t="n">
        <v>46083</v>
      </c>
      <c r="BO40" s="746" t="n">
        <v>46090</v>
      </c>
      <c r="BP40" s="746" t="n">
        <v>46097</v>
      </c>
      <c r="BQ40" s="746" t="n">
        <v>46104</v>
      </c>
      <c r="BR40" s="746" t="n">
        <v>46111</v>
      </c>
      <c r="BS40" s="746" t="n">
        <v>46118</v>
      </c>
      <c r="BT40" s="746" t="n">
        <v>46125</v>
      </c>
      <c r="BU40" s="746" t="n">
        <v>46132</v>
      </c>
      <c r="BV40" s="746" t="n">
        <v>46139</v>
      </c>
      <c r="BW40" s="746" t="n">
        <v>46146</v>
      </c>
      <c r="BX40" s="746" t="n">
        <v>46154</v>
      </c>
      <c r="BY40" s="746" t="n">
        <v>46160</v>
      </c>
      <c r="BZ40" s="747" t="n">
        <v>46161.48025125</v>
      </c>
      <c r="CA40" s="747" t="n">
        <v>46161.48090906685</v>
      </c>
      <c r="CB40" s="748" t="inlineStr">
        <is>
          <t>USOU</t>
        </is>
      </c>
      <c r="CD40" s="44" t="inlineStr">
        <is>
          <t>Pendências</t>
        </is>
      </c>
      <c r="CE40" s="44" t="inlineStr">
        <is>
          <t>Pendências</t>
        </is>
      </c>
      <c r="CG40" s="12" t="inlineStr">
        <is>
          <t>Novo Pedido</t>
        </is>
      </c>
      <c r="CH40" s="793" t="n">
        <v>46161.48090514488</v>
      </c>
      <c r="CI40" s="794" t="n">
        <v>46149</v>
      </c>
      <c r="CJ40" s="794" t="n">
        <v>46142</v>
      </c>
      <c r="CK40" s="794" t="n">
        <v>46114</v>
      </c>
      <c r="CL40" s="794" t="n">
        <v>46107</v>
      </c>
      <c r="CM40" s="795" t="n">
        <v>46065</v>
      </c>
      <c r="CN40" s="794" t="n">
        <v>46099</v>
      </c>
      <c r="CO40" s="794" t="n">
        <v>46092</v>
      </c>
      <c r="CP40" s="796" t="n">
        <v>46045</v>
      </c>
      <c r="CQ40" s="794" t="n">
        <v>46084</v>
      </c>
      <c r="CR40" s="797" t="n">
        <v>46085</v>
      </c>
      <c r="CS40" s="794" t="n">
        <v>46077</v>
      </c>
      <c r="CT40" s="794" t="n">
        <v>46071</v>
      </c>
      <c r="CU40" s="794" t="n">
        <v>46056</v>
      </c>
      <c r="CV40" s="794" t="n">
        <v>46048</v>
      </c>
      <c r="CW40" s="794" t="n">
        <v>46056</v>
      </c>
      <c r="CX40" s="794" t="n">
        <v>46048</v>
      </c>
      <c r="CY40" s="794" t="n">
        <v>46043</v>
      </c>
      <c r="CZ40" s="794" t="n">
        <v>46035</v>
      </c>
      <c r="DA40" s="794" t="n">
        <v>46043</v>
      </c>
      <c r="DB40" s="794" t="n">
        <v>46035</v>
      </c>
      <c r="DC40" s="794" t="n">
        <v>46035</v>
      </c>
      <c r="DD40" s="794" t="n">
        <v>46029</v>
      </c>
      <c r="DE40" s="794" t="n">
        <v>46017</v>
      </c>
      <c r="DF40" s="794" t="n">
        <v>46007</v>
      </c>
      <c r="DG40" s="794" t="n">
        <v>46007</v>
      </c>
      <c r="DH40" s="794" t="n">
        <v>46001</v>
      </c>
      <c r="DI40" s="794" t="n">
        <v>46001</v>
      </c>
      <c r="DJ40" s="794" t="n">
        <v>45994</v>
      </c>
      <c r="DK40" s="794" t="n">
        <v>45994</v>
      </c>
      <c r="DL40" s="794" t="n">
        <v>45986</v>
      </c>
      <c r="DM40" s="794" t="n">
        <v>45980</v>
      </c>
      <c r="DN40" s="797" t="n">
        <v>45982</v>
      </c>
      <c r="DO40" s="794" t="n">
        <v>45973</v>
      </c>
      <c r="DP40" s="794" t="n">
        <v>45965</v>
      </c>
      <c r="DQ40" s="794" t="n">
        <v>45965</v>
      </c>
      <c r="DR40" s="794" t="n">
        <v>45960</v>
      </c>
      <c r="DS40" s="794" t="n">
        <v>45960</v>
      </c>
      <c r="DT40" s="794" t="n">
        <v>45951</v>
      </c>
      <c r="DU40" s="794" t="n">
        <v>45945</v>
      </c>
      <c r="DV40" s="737" t="n">
        <v>45903</v>
      </c>
      <c r="DW40" s="794" t="n">
        <v>45945</v>
      </c>
      <c r="DX40" s="794" t="n">
        <v>45937</v>
      </c>
      <c r="DY40" s="794" t="n">
        <v>45923</v>
      </c>
      <c r="DZ40" s="794" t="n">
        <v>45931</v>
      </c>
      <c r="EA40" s="794" t="n">
        <v>45931</v>
      </c>
      <c r="EB40" s="794" t="n">
        <v>45915</v>
      </c>
      <c r="EC40" s="794" t="n">
        <v>45923</v>
      </c>
      <c r="ED40" s="794" t="n">
        <v>45915</v>
      </c>
      <c r="EE40" s="797" t="n">
        <v>45918</v>
      </c>
      <c r="EF40" s="794" t="n">
        <v>45903</v>
      </c>
      <c r="EG40" s="738" t="n">
        <v>45903</v>
      </c>
      <c r="EH40" s="794" t="n">
        <v>45895</v>
      </c>
      <c r="EI40" s="797" t="n">
        <v>45896</v>
      </c>
      <c r="EJ40" s="794" t="n">
        <v>45888</v>
      </c>
      <c r="EK40" s="794" t="n">
        <v>45888</v>
      </c>
      <c r="EL40" s="794" t="n">
        <v>45881</v>
      </c>
      <c r="EM40" s="797" t="n">
        <v>45881</v>
      </c>
      <c r="EN40" s="794" t="n">
        <v>45874</v>
      </c>
      <c r="EO40" s="797" t="n">
        <v>45876</v>
      </c>
      <c r="EP40" s="794" t="n">
        <v>45867</v>
      </c>
      <c r="EQ40" s="794" t="n">
        <v>45860</v>
      </c>
      <c r="ER40" s="794" t="n">
        <v>45839</v>
      </c>
      <c r="ES40" s="797" t="n">
        <v>45861</v>
      </c>
      <c r="ET40" s="797" t="n">
        <v>45860</v>
      </c>
      <c r="EU40" s="794" t="n">
        <v>45853</v>
      </c>
      <c r="EV40" s="739" t="n">
        <v>45855</v>
      </c>
      <c r="EW40" s="794" t="n">
        <v>45848</v>
      </c>
      <c r="EX40" s="794" t="n">
        <v>45839</v>
      </c>
      <c r="EY40" s="739" t="n">
        <v>45791</v>
      </c>
      <c r="EZ40" s="797" t="n">
        <v>45835</v>
      </c>
      <c r="FA40" s="794" t="n">
        <v>45832</v>
      </c>
      <c r="FB40" s="794" t="n">
        <v>45825</v>
      </c>
      <c r="FC40" s="794" t="n">
        <v>45819</v>
      </c>
      <c r="FD40" s="794" t="n">
        <v>45813</v>
      </c>
      <c r="FE40" s="794" t="n">
        <v>45805</v>
      </c>
      <c r="FF40" s="797" t="n">
        <v>45811</v>
      </c>
      <c r="FG40" s="797" t="n">
        <v>45810</v>
      </c>
      <c r="FH40" s="794" t="n">
        <v>45798</v>
      </c>
      <c r="FI40" s="797" t="n">
        <v>45803</v>
      </c>
      <c r="FJ40" s="755" t="n">
        <v>45803</v>
      </c>
      <c r="FK40" s="797" t="n">
        <v>45800</v>
      </c>
      <c r="FL40" s="742" t="n">
        <v>45735</v>
      </c>
      <c r="FM40" s="797" t="n">
        <v>45796</v>
      </c>
      <c r="FN40" s="794" t="n">
        <v>45790</v>
      </c>
      <c r="FO40" s="794" t="n">
        <v>45784</v>
      </c>
      <c r="FP40" s="797" t="n">
        <v>45791</v>
      </c>
      <c r="FQ40" s="794" t="n">
        <v>45783</v>
      </c>
      <c r="FR40" s="794" t="n">
        <v>45770</v>
      </c>
      <c r="FS40" s="794" t="n">
        <v>45775</v>
      </c>
      <c r="FT40" s="794" t="n">
        <v>45770</v>
      </c>
      <c r="FU40" s="797" t="n">
        <v>45775</v>
      </c>
      <c r="FV40" s="794" t="n">
        <v>45756</v>
      </c>
      <c r="FW40" s="794" t="n">
        <v>45749</v>
      </c>
      <c r="FX40" s="797" t="n">
        <v>45751</v>
      </c>
      <c r="FY40" s="794" t="n">
        <v>45743</v>
      </c>
      <c r="FZ40" s="746" t="n">
        <v>45729</v>
      </c>
      <c r="GA40" s="794" t="n">
        <v>45722</v>
      </c>
      <c r="GB40" s="746" t="n">
        <v>45700</v>
      </c>
      <c r="GC40" s="797" t="n">
        <v>45722</v>
      </c>
      <c r="GD40" s="794" t="n">
        <v>45714</v>
      </c>
      <c r="GE40" s="794" t="n">
        <v>45706</v>
      </c>
      <c r="GF40" s="794" t="n">
        <v>45699</v>
      </c>
      <c r="GG40" s="794" t="n">
        <v>45693</v>
      </c>
      <c r="GH40" s="794" t="n">
        <v>45685</v>
      </c>
      <c r="GI40" s="797" t="n">
        <v>45687</v>
      </c>
      <c r="GJ40" s="794" t="n">
        <v>45664</v>
      </c>
      <c r="GK40" s="794" t="n">
        <v>45679</v>
      </c>
      <c r="GL40" s="797" t="n">
        <v>45684</v>
      </c>
      <c r="GM40" s="794" t="n">
        <v>45664</v>
      </c>
      <c r="GN40" s="794" t="n">
        <v>45660</v>
      </c>
      <c r="GO40" s="794" t="n">
        <v>45652</v>
      </c>
      <c r="GP40" s="794" t="n">
        <v>45643</v>
      </c>
      <c r="GQ40" s="794" t="n">
        <v>45638</v>
      </c>
      <c r="GR40" s="573" t="n"/>
      <c r="GS40" s="573" t="n"/>
      <c r="GT40" s="573" t="n"/>
      <c r="GU40" s="573" t="n"/>
      <c r="GV40" s="573" t="n"/>
      <c r="GW40" s="573" t="n"/>
      <c r="GX40" s="573" t="n"/>
      <c r="GY40" s="573" t="n"/>
      <c r="GZ40" s="573" t="n"/>
      <c r="HA40" s="573" t="n"/>
      <c r="HB40" s="573" t="n"/>
      <c r="HC40" s="573" t="n"/>
      <c r="HD40" s="573" t="n"/>
      <c r="HE40" s="573" t="n"/>
      <c r="HF40" s="573" t="n"/>
      <c r="HG40" s="573" t="n"/>
      <c r="HH40" s="573" t="n"/>
      <c r="HI40" s="573" t="n"/>
      <c r="HJ40" s="573" t="n"/>
      <c r="HK40" s="573" t="n"/>
      <c r="HL40" s="573" t="n"/>
      <c r="HM40" s="573" t="n"/>
      <c r="HN40" s="573" t="n"/>
      <c r="HO40" s="573" t="n"/>
      <c r="HQ40" s="573" t="n"/>
      <c r="HR40" s="573" t="n"/>
      <c r="HS40" s="573" t="n"/>
      <c r="HT40" s="573" t="n"/>
      <c r="HU40" s="573" t="n"/>
      <c r="HV40" s="573" t="n"/>
      <c r="HW40" s="573" t="n"/>
      <c r="HX40" s="573" t="n"/>
      <c r="HY40" s="573" t="n"/>
      <c r="HZ40" s="573" t="n"/>
      <c r="IA40" s="573" t="n"/>
      <c r="IB40" s="573" t="n"/>
      <c r="IC40" s="573" t="n"/>
      <c r="IE40" s="573" t="n"/>
      <c r="IF40" s="573" t="n"/>
      <c r="IG40" s="573" t="n"/>
      <c r="IH40" s="573" t="n"/>
      <c r="II40" s="573" t="n"/>
      <c r="IJ40" s="573" t="n"/>
      <c r="IK40" s="573" t="n"/>
      <c r="IL40" s="573" t="n"/>
      <c r="IM40" s="573" t="n"/>
      <c r="IN40" s="573" t="n"/>
      <c r="IO40" s="573" t="n"/>
      <c r="IP40" s="573" t="n"/>
      <c r="IQ40" s="573" t="n"/>
      <c r="IR40" s="573" t="n"/>
    </row>
    <row r="41">
      <c r="A41" s="37" t="inlineStr">
        <is>
          <t>SACOLA P OUI</t>
        </is>
      </c>
      <c r="B41" s="32" t="n">
        <v>150</v>
      </c>
      <c r="C41" s="773" t="n">
        <v>469.25</v>
      </c>
      <c r="D41" s="382" t="n">
        <v>10</v>
      </c>
      <c r="E41" s="573" t="n"/>
      <c r="F41" s="32" t="n">
        <v>78</v>
      </c>
      <c r="G41" s="32" t="n">
        <v>78</v>
      </c>
      <c r="H41" s="32" t="n">
        <v>78</v>
      </c>
      <c r="I41" s="32" t="n">
        <v>64</v>
      </c>
      <c r="J41" s="32" t="n">
        <v>64</v>
      </c>
      <c r="K41" s="32" t="n">
        <v>64</v>
      </c>
      <c r="L41" s="32" t="n">
        <v>63</v>
      </c>
      <c r="M41" s="32" t="n">
        <v>63</v>
      </c>
      <c r="N41" s="32" t="n">
        <v>63</v>
      </c>
      <c r="O41" s="32" t="n">
        <v>61</v>
      </c>
      <c r="P41" s="32" t="n">
        <v>61</v>
      </c>
      <c r="Q41" s="32" t="n">
        <v>61</v>
      </c>
      <c r="R41" s="32" t="n">
        <v>61</v>
      </c>
      <c r="S41" s="32" t="n">
        <v>61</v>
      </c>
      <c r="T41" s="32" t="n">
        <v>61</v>
      </c>
      <c r="U41" s="32" t="n">
        <v>60</v>
      </c>
      <c r="V41" s="32" t="n">
        <v>60</v>
      </c>
      <c r="W41" s="32" t="n">
        <v>60</v>
      </c>
      <c r="X41" s="32" t="n">
        <v>60</v>
      </c>
      <c r="Y41" s="32" t="n">
        <v>59</v>
      </c>
      <c r="Z41" s="32" t="n">
        <v>59</v>
      </c>
      <c r="AA41" s="32" t="n">
        <v>59</v>
      </c>
      <c r="AB41" s="32" t="n">
        <v>59</v>
      </c>
      <c r="AC41" s="32" t="n">
        <v>58</v>
      </c>
      <c r="AD41" s="32" t="n">
        <v>55</v>
      </c>
      <c r="AE41" s="32" t="n">
        <v>51</v>
      </c>
      <c r="AF41" s="32" t="n">
        <v>51</v>
      </c>
      <c r="AG41" s="32" t="n">
        <v>50</v>
      </c>
      <c r="AH41" s="32" t="n">
        <v>50</v>
      </c>
      <c r="AI41" s="32" t="n">
        <v>48</v>
      </c>
      <c r="AJ41" s="32" t="n">
        <v>47</v>
      </c>
      <c r="AK41" s="32" t="n">
        <v>47</v>
      </c>
      <c r="AL41" s="32" t="n">
        <v>44</v>
      </c>
      <c r="AM41" s="32" t="n">
        <v>44</v>
      </c>
      <c r="AN41" s="32" t="n">
        <v>44</v>
      </c>
      <c r="AO41" s="32" t="n">
        <v>43</v>
      </c>
      <c r="AP41" s="32" t="n">
        <v>43</v>
      </c>
      <c r="AQ41" s="32" t="n">
        <v>42</v>
      </c>
      <c r="AR41" s="32" t="n">
        <v>40</v>
      </c>
      <c r="AS41" s="32" t="n">
        <v>39</v>
      </c>
      <c r="AT41" s="32" t="n">
        <v>37</v>
      </c>
      <c r="AU41" s="32" t="n">
        <v>37</v>
      </c>
      <c r="AV41" s="32" t="n">
        <v>37</v>
      </c>
      <c r="AW41" s="32" t="n">
        <v>37</v>
      </c>
      <c r="AX41" s="32" t="n">
        <v>31</v>
      </c>
      <c r="AY41" s="32" t="n">
        <v>29</v>
      </c>
      <c r="AZ41" s="32" t="n">
        <v>29</v>
      </c>
      <c r="BA41" s="32" t="n">
        <v>27</v>
      </c>
      <c r="BB41" s="32" t="n">
        <v>26</v>
      </c>
      <c r="BC41" s="32" t="n">
        <v>25</v>
      </c>
      <c r="BD41" s="32" t="n">
        <v>22</v>
      </c>
      <c r="BE41" s="32" t="n">
        <v>22</v>
      </c>
      <c r="BF41" s="32" t="n">
        <v>22</v>
      </c>
      <c r="BG41" s="32" t="n">
        <v>21</v>
      </c>
      <c r="BH41" s="32" t="n">
        <v>21</v>
      </c>
      <c r="BI41" s="32" t="n">
        <v>20</v>
      </c>
      <c r="BJ41" s="32" t="n">
        <v>20</v>
      </c>
      <c r="BK41" s="32" t="n">
        <v>19</v>
      </c>
      <c r="BL41" s="32" t="n">
        <v>18</v>
      </c>
      <c r="BM41" s="32" t="n">
        <v>12</v>
      </c>
      <c r="BN41" s="32" t="n">
        <v>11</v>
      </c>
      <c r="BO41" s="32" t="n">
        <v>10</v>
      </c>
      <c r="BP41" s="32" t="n">
        <v>9</v>
      </c>
      <c r="BQ41" s="32" t="n">
        <v>8</v>
      </c>
      <c r="BR41" s="32" t="n">
        <v>8</v>
      </c>
      <c r="BS41" s="32" t="n"/>
      <c r="BT41" s="32" t="n"/>
      <c r="BU41" s="32" t="n"/>
      <c r="BV41" s="32" t="n"/>
      <c r="BW41" s="32" t="n"/>
      <c r="BX41" s="32" t="n">
        <v>3</v>
      </c>
      <c r="BY41" s="32" t="n">
        <v>3</v>
      </c>
      <c r="BZ41" s="32" t="n">
        <v>3</v>
      </c>
      <c r="CA41" s="32" t="n">
        <v>3</v>
      </c>
      <c r="CB41" s="192">
        <f>BZ41+IF(NOT(ISBLANK(OFFSET(CB41,0,6))),N(OFFSET(CB41,0,6)),N(OFFSET(CB41,0,7)))-CA41</f>
        <v/>
      </c>
      <c r="CD41" s="22" t="n"/>
      <c r="CE41" s="22" t="n"/>
      <c r="CG41" s="27" t="n"/>
      <c r="CH41" s="830" t="n">
        <v>0</v>
      </c>
      <c r="CI41" s="40" t="n">
        <v>0</v>
      </c>
      <c r="CJ41" s="40" t="n">
        <v>0</v>
      </c>
      <c r="CK41" s="40" t="n">
        <v>0</v>
      </c>
      <c r="CL41" s="40" t="n"/>
      <c r="CM41" s="40" t="n"/>
      <c r="CN41" s="40" t="n"/>
      <c r="CO41" s="40" t="n"/>
      <c r="CP41" s="40" t="n"/>
      <c r="CQ41" s="40" t="n"/>
      <c r="CR41" s="40" t="n"/>
      <c r="CS41" s="40" t="n"/>
      <c r="CT41" s="40" t="n"/>
      <c r="CU41" s="40" t="n"/>
      <c r="CV41" s="40" t="n"/>
      <c r="CW41" s="40" t="n"/>
      <c r="CX41" s="40" t="n"/>
      <c r="CY41" s="40" t="n"/>
      <c r="CZ41" s="40" t="n"/>
      <c r="DA41" s="40" t="n"/>
      <c r="DB41" s="40" t="n"/>
      <c r="DC41" s="40" t="n"/>
      <c r="DD41" s="40" t="n"/>
      <c r="DE41" s="40" t="n"/>
      <c r="DF41" s="40" t="n"/>
      <c r="DG41" s="40" t="n"/>
      <c r="DH41" s="40" t="n"/>
      <c r="DI41" s="40" t="n"/>
      <c r="DJ41" s="40" t="n"/>
      <c r="DK41" s="40" t="n"/>
      <c r="DL41" s="40" t="n"/>
      <c r="DM41" s="40" t="n"/>
      <c r="DN41" s="219" t="n"/>
      <c r="DO41" s="40" t="n"/>
      <c r="DP41" s="40" t="n"/>
      <c r="DQ41" s="40" t="n"/>
      <c r="DR41" s="40" t="n"/>
      <c r="DS41" s="40" t="n"/>
      <c r="DT41" s="40" t="n"/>
      <c r="DU41" s="40" t="n"/>
      <c r="DV41" s="40" t="n"/>
      <c r="DW41" s="40" t="n"/>
      <c r="DX41" s="40" t="n"/>
      <c r="DY41" s="40" t="n"/>
      <c r="DZ41" s="40" t="n"/>
      <c r="EA41" s="40" t="n"/>
      <c r="EB41" s="40" t="n"/>
      <c r="EC41" s="40" t="n"/>
      <c r="ED41" s="40" t="n"/>
      <c r="EE41" s="40" t="n"/>
      <c r="EF41" s="40" t="n"/>
      <c r="EG41" s="40" t="n"/>
      <c r="EH41" s="40" t="n"/>
      <c r="EI41" s="40" t="n"/>
      <c r="EJ41" s="40" t="n"/>
      <c r="EK41" s="40" t="n"/>
      <c r="EL41" s="40" t="n"/>
      <c r="EM41" s="40" t="n"/>
      <c r="EN41" s="40" t="n"/>
      <c r="EO41" s="40" t="n"/>
      <c r="EP41" s="40" t="n"/>
      <c r="EQ41" s="40" t="n"/>
      <c r="ER41" s="40" t="n"/>
      <c r="ES41" s="40" t="n"/>
      <c r="ET41" s="40" t="n"/>
      <c r="EU41" s="40" t="n"/>
      <c r="EV41" s="40" t="n"/>
      <c r="EW41" s="40" t="n"/>
      <c r="EX41" s="40" t="n"/>
      <c r="EY41" s="40" t="n"/>
      <c r="EZ41" s="40" t="n"/>
      <c r="FA41" s="40" t="n"/>
      <c r="FB41" s="40" t="n"/>
      <c r="FC41" s="40" t="n"/>
      <c r="FD41" s="40" t="n"/>
      <c r="FE41" s="40" t="n"/>
      <c r="FF41" s="40" t="n"/>
      <c r="FG41" s="40" t="n"/>
      <c r="FH41" s="40" t="n"/>
      <c r="FI41" s="40" t="n"/>
      <c r="FJ41" s="40" t="n"/>
      <c r="FK41" s="23" t="n"/>
      <c r="FL41" s="219" t="n"/>
      <c r="FM41" s="40" t="n"/>
      <c r="FN41" s="40" t="n"/>
      <c r="FO41" s="40" t="n"/>
      <c r="FP41" s="40" t="n"/>
      <c r="FQ41" s="40" t="n"/>
      <c r="FR41" s="40" t="n"/>
      <c r="FS41" s="40" t="n"/>
      <c r="FT41" s="40" t="n"/>
      <c r="FU41" s="40" t="n"/>
      <c r="FV41" s="40" t="n"/>
      <c r="FW41" s="40" t="n"/>
      <c r="FX41" s="40" t="n"/>
      <c r="FY41" s="40" t="n"/>
      <c r="FZ41" s="219" t="n"/>
      <c r="GA41" s="40" t="n"/>
      <c r="GB41" s="219" t="n"/>
      <c r="GC41" s="40" t="n"/>
      <c r="GD41" s="40" t="n"/>
      <c r="GE41" s="40" t="n"/>
      <c r="GF41" s="40" t="n"/>
      <c r="GG41" s="40" t="n"/>
      <c r="GH41" s="40" t="n"/>
      <c r="GI41" s="40" t="n"/>
      <c r="GJ41" s="40" t="n"/>
      <c r="GK41" s="40" t="n"/>
      <c r="GL41" s="40" t="n"/>
      <c r="GM41" s="40" t="n"/>
      <c r="GN41" s="40" t="n"/>
      <c r="GO41" s="40" t="n"/>
      <c r="GP41" s="40" t="n"/>
      <c r="GQ41" s="40" t="n"/>
      <c r="GR41" s="573" t="n"/>
      <c r="GS41" s="573" t="n"/>
      <c r="GT41" s="573" t="n"/>
      <c r="GU41" s="573" t="n"/>
      <c r="GV41" s="573" t="n"/>
      <c r="GW41" s="573" t="n"/>
      <c r="GX41" s="573" t="n"/>
      <c r="GY41" s="573" t="n"/>
      <c r="GZ41" s="573" t="n"/>
      <c r="HA41" s="573" t="n"/>
      <c r="HB41" s="573" t="n"/>
      <c r="HC41" s="573" t="n"/>
      <c r="HD41" s="573" t="n"/>
      <c r="HE41" s="573" t="n"/>
      <c r="HF41" s="573" t="n"/>
      <c r="HG41" s="573" t="n"/>
      <c r="HH41" s="573" t="n"/>
      <c r="HI41" s="573" t="n"/>
      <c r="HJ41" s="573" t="n"/>
      <c r="HK41" s="573" t="n"/>
      <c r="HL41" s="573" t="n"/>
      <c r="HM41" s="573" t="n"/>
      <c r="HN41" s="573" t="n"/>
      <c r="HO41" s="573" t="n"/>
      <c r="HQ41" s="573" t="n"/>
      <c r="HR41" s="573" t="n"/>
      <c r="HS41" s="573" t="n"/>
      <c r="HT41" s="573" t="n"/>
      <c r="HU41" s="573" t="n"/>
      <c r="HV41" s="573" t="n"/>
      <c r="HW41" s="573" t="n"/>
      <c r="HX41" s="573" t="n"/>
      <c r="HY41" s="573" t="n"/>
      <c r="HZ41" s="573" t="n"/>
      <c r="IA41" s="573" t="n"/>
      <c r="IB41" s="573" t="n"/>
      <c r="IC41" s="573" t="n"/>
      <c r="IE41" s="573" t="n"/>
      <c r="IF41" s="573" t="n"/>
      <c r="IG41" s="573" t="n"/>
      <c r="IH41" s="573" t="n"/>
      <c r="II41" s="573" t="n"/>
      <c r="IJ41" s="573" t="n"/>
      <c r="IK41" s="573" t="n"/>
      <c r="IL41" s="573" t="n"/>
      <c r="IM41" s="573" t="n"/>
      <c r="IN41" s="573" t="n"/>
      <c r="IO41" s="573" t="n"/>
      <c r="IP41" s="573" t="n"/>
      <c r="IQ41" s="573" t="n"/>
      <c r="IR41" s="573" t="n"/>
    </row>
    <row r="42" customFormat="1" s="3">
      <c r="A42" s="37" t="inlineStr">
        <is>
          <t>SACOLA M OUI</t>
        </is>
      </c>
      <c r="B42" s="32" t="n">
        <v>100</v>
      </c>
      <c r="C42" s="773" t="n">
        <v>368.23</v>
      </c>
      <c r="D42" s="382" t="n">
        <v>10</v>
      </c>
      <c r="E42" s="573" t="n"/>
      <c r="F42" s="32" t="n">
        <v>42</v>
      </c>
      <c r="G42" s="32" t="n">
        <v>42</v>
      </c>
      <c r="H42" s="32" t="n">
        <v>42</v>
      </c>
      <c r="I42" s="32" t="n">
        <v>31</v>
      </c>
      <c r="J42" s="32" t="n">
        <v>31</v>
      </c>
      <c r="K42" s="32" t="n">
        <v>31</v>
      </c>
      <c r="L42" s="32" t="n">
        <v>31</v>
      </c>
      <c r="M42" s="32" t="n">
        <v>22</v>
      </c>
      <c r="N42" s="32" t="n">
        <v>22</v>
      </c>
      <c r="O42" s="32" t="n">
        <v>22</v>
      </c>
      <c r="P42" s="32" t="n">
        <v>22</v>
      </c>
      <c r="Q42" s="32" t="n">
        <v>22</v>
      </c>
      <c r="R42" s="32" t="n">
        <v>20</v>
      </c>
      <c r="S42" s="32" t="n">
        <v>20</v>
      </c>
      <c r="T42" s="32" t="n">
        <v>20</v>
      </c>
      <c r="U42" s="32" t="n">
        <v>16</v>
      </c>
      <c r="V42" s="32" t="n">
        <v>31</v>
      </c>
      <c r="W42" s="32" t="n">
        <v>31</v>
      </c>
      <c r="X42" s="32" t="n">
        <v>19</v>
      </c>
      <c r="Y42" s="32" t="n">
        <v>72</v>
      </c>
      <c r="Z42" s="32" t="n">
        <v>72</v>
      </c>
      <c r="AA42" s="32" t="n">
        <v>71</v>
      </c>
      <c r="AB42" s="32" t="n">
        <v>70</v>
      </c>
      <c r="AC42" s="32" t="n">
        <v>70</v>
      </c>
      <c r="AD42" s="32" t="n">
        <v>70</v>
      </c>
      <c r="AE42" s="32" t="n">
        <v>64</v>
      </c>
      <c r="AF42" s="32">
        <f>64+5</f>
        <v/>
      </c>
      <c r="AG42" s="32" t="n">
        <v>69</v>
      </c>
      <c r="AH42" s="32" t="n">
        <v>69</v>
      </c>
      <c r="AI42" s="32" t="n">
        <v>67</v>
      </c>
      <c r="AJ42" s="32" t="n">
        <v>67</v>
      </c>
      <c r="AK42" s="32" t="n">
        <v>67</v>
      </c>
      <c r="AL42" s="32" t="n">
        <v>67</v>
      </c>
      <c r="AM42" s="32" t="n">
        <v>67</v>
      </c>
      <c r="AN42" s="32" t="n">
        <v>59</v>
      </c>
      <c r="AO42" s="32" t="n">
        <v>58</v>
      </c>
      <c r="AP42" s="32" t="n">
        <v>58</v>
      </c>
      <c r="AQ42" s="32" t="n">
        <v>56</v>
      </c>
      <c r="AR42" s="32" t="n">
        <v>56</v>
      </c>
      <c r="AS42" s="32" t="n">
        <v>55</v>
      </c>
      <c r="AT42" s="32" t="n">
        <v>52</v>
      </c>
      <c r="AU42" s="32" t="n">
        <v>52</v>
      </c>
      <c r="AV42" s="32" t="n">
        <v>52</v>
      </c>
      <c r="AW42" s="32" t="n">
        <v>52</v>
      </c>
      <c r="AX42" s="32" t="n">
        <v>45</v>
      </c>
      <c r="AY42" s="32" t="n">
        <v>44</v>
      </c>
      <c r="AZ42" s="32" t="n">
        <v>43</v>
      </c>
      <c r="BA42" s="32" t="n">
        <v>39</v>
      </c>
      <c r="BB42" s="32" t="n">
        <v>38</v>
      </c>
      <c r="BC42" s="32" t="n">
        <v>37</v>
      </c>
      <c r="BD42" s="32" t="n">
        <v>29</v>
      </c>
      <c r="BE42" s="32" t="n">
        <v>28</v>
      </c>
      <c r="BF42" s="32" t="n">
        <v>28</v>
      </c>
      <c r="BG42" s="32" t="n">
        <v>27</v>
      </c>
      <c r="BH42" s="32" t="n">
        <v>27</v>
      </c>
      <c r="BI42" s="32" t="n">
        <v>20</v>
      </c>
      <c r="BJ42" s="32" t="n">
        <v>20</v>
      </c>
      <c r="BK42" s="32" t="n">
        <v>8</v>
      </c>
      <c r="BL42" s="32" t="n">
        <v>8</v>
      </c>
      <c r="BM42" s="32" t="n">
        <v>8</v>
      </c>
      <c r="BN42" s="32" t="n">
        <v>8</v>
      </c>
      <c r="BO42" s="32" t="n">
        <v>8</v>
      </c>
      <c r="BP42" s="32" t="n">
        <v>8</v>
      </c>
      <c r="BQ42" s="32" t="n">
        <v>8</v>
      </c>
      <c r="BR42" s="32" t="n">
        <v>7</v>
      </c>
      <c r="BS42" s="32" t="n"/>
      <c r="BT42" s="32" t="n"/>
      <c r="BU42" s="32" t="n"/>
      <c r="BV42" s="32" t="n"/>
      <c r="BW42" s="32" t="n"/>
      <c r="BX42" s="32" t="n">
        <v>12</v>
      </c>
      <c r="BY42" s="32" t="n">
        <v>12</v>
      </c>
      <c r="BZ42" s="32" t="n">
        <v>12</v>
      </c>
      <c r="CA42" s="32" t="n">
        <v>12</v>
      </c>
      <c r="CB42" s="192">
        <f>BZ42+IF(NOT(ISBLANK(OFFSET(CB42,0,6))),N(OFFSET(CB42,0,6)),N(OFFSET(CB42,0,7)))-CA42</f>
        <v/>
      </c>
      <c r="CC42" s="5" t="n"/>
      <c r="CD42" s="22" t="n"/>
      <c r="CE42" s="22" t="n"/>
      <c r="CF42" s="5" t="n"/>
      <c r="CG42" s="27" t="n"/>
      <c r="CH42" s="830" t="n">
        <v>0</v>
      </c>
      <c r="CI42" s="40" t="n">
        <v>0</v>
      </c>
      <c r="CJ42" s="40" t="n">
        <v>0</v>
      </c>
      <c r="CK42" s="40" t="n">
        <v>0</v>
      </c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219" t="n"/>
      <c r="DO42" s="40" t="n"/>
      <c r="DP42" s="40" t="n"/>
      <c r="DQ42" s="40" t="n"/>
      <c r="DR42" s="40" t="n"/>
      <c r="DS42" s="40" t="n"/>
      <c r="DT42" s="40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/>
      <c r="FE42" s="40" t="n"/>
      <c r="FF42" s="219" t="n"/>
      <c r="FG42" s="219" t="n"/>
      <c r="FH42" s="40" t="n"/>
      <c r="FI42" s="219" t="n"/>
      <c r="FJ42" s="40" t="n"/>
      <c r="FK42" s="23" t="n"/>
      <c r="FL42" s="219" t="n"/>
      <c r="FM42" s="219" t="n"/>
      <c r="FN42" s="40" t="n"/>
      <c r="FO42" s="40" t="n"/>
      <c r="FP42" s="282" t="inlineStr">
        <is>
          <t>50 DE CD</t>
        </is>
      </c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219" t="n"/>
      <c r="GA42" s="40" t="n"/>
      <c r="GB42" s="219" t="n"/>
      <c r="GC42" s="40" t="n"/>
      <c r="GD42" s="40" t="n"/>
      <c r="GE42" s="40" t="n"/>
      <c r="GF42" s="40" t="n"/>
      <c r="GG42" s="40" t="n"/>
      <c r="GH42" s="40" t="n"/>
      <c r="GI42" s="40" t="n"/>
      <c r="GJ42" s="40" t="n"/>
      <c r="GK42" s="40" t="n"/>
      <c r="GL42" s="40" t="n"/>
      <c r="GM42" s="40" t="n"/>
      <c r="GN42" s="40" t="n"/>
      <c r="GO42" s="40" t="n"/>
      <c r="GP42" s="40" t="n"/>
      <c r="GQ42" s="40" t="n"/>
      <c r="GR42" s="5" t="n"/>
      <c r="GS42" s="573" t="n"/>
      <c r="GT42" s="573" t="n"/>
      <c r="GU42" s="573" t="n"/>
      <c r="GV42" s="573" t="n"/>
      <c r="GW42" s="573" t="n"/>
      <c r="GX42" s="573" t="n"/>
      <c r="GY42" s="573" t="n"/>
      <c r="GZ42" s="573" t="n"/>
      <c r="HA42" s="573" t="n"/>
      <c r="HB42" s="573" t="n"/>
      <c r="HC42" s="573" t="n"/>
      <c r="HD42" s="573" t="n"/>
      <c r="HE42" s="573" t="n"/>
      <c r="HF42" s="573" t="n"/>
      <c r="HG42" s="573" t="n"/>
      <c r="HH42" s="573" t="n"/>
      <c r="HI42" s="573" t="n"/>
      <c r="HJ42" s="573" t="n"/>
      <c r="HK42" s="573" t="n"/>
      <c r="HL42" s="573" t="n"/>
      <c r="HM42" s="573" t="n"/>
      <c r="HN42" s="573" t="n"/>
      <c r="HO42" s="573" t="n"/>
      <c r="HQ42" s="41" t="n"/>
      <c r="HR42" s="41" t="n"/>
      <c r="HS42" s="41" t="n"/>
      <c r="HT42" s="41" t="n"/>
      <c r="HU42" s="41" t="n"/>
      <c r="HV42" s="41" t="n"/>
      <c r="HW42" s="41" t="n"/>
      <c r="HX42" s="41" t="n"/>
      <c r="HY42" s="41" t="n"/>
      <c r="HZ42" s="41" t="n"/>
      <c r="IA42" s="41" t="n"/>
      <c r="IB42" s="41" t="n"/>
      <c r="IC42" s="41" t="n"/>
      <c r="IE42" s="41" t="n"/>
      <c r="IF42" s="41" t="n"/>
      <c r="IG42" s="41" t="n"/>
      <c r="IH42" s="41" t="n"/>
      <c r="II42" s="41" t="n"/>
      <c r="IJ42" s="41" t="n"/>
      <c r="IK42" s="41" t="n"/>
      <c r="IL42" s="41" t="n"/>
      <c r="IM42" s="41" t="n"/>
      <c r="IN42" s="41" t="n"/>
      <c r="IO42" s="41" t="n"/>
      <c r="IP42" s="41" t="n"/>
      <c r="IQ42" s="41" t="n"/>
      <c r="IR42" s="41" t="n"/>
      <c r="IT42" s="5" t="n"/>
      <c r="IU42" s="5" t="n"/>
      <c r="IV42" s="5" t="n"/>
      <c r="IW42" s="5" t="n"/>
      <c r="IX42" s="5" t="n"/>
      <c r="IY42" s="5" t="n"/>
      <c r="IZ42" s="5" t="n"/>
      <c r="JA42" s="5" t="n"/>
      <c r="JB42" s="5" t="n"/>
    </row>
    <row r="43" customFormat="1" s="3">
      <c r="A43" s="37" t="inlineStr">
        <is>
          <t>SACOLA G OUI</t>
        </is>
      </c>
      <c r="B43" s="32" t="n">
        <v>50</v>
      </c>
      <c r="C43" s="773" t="n">
        <v>257.98</v>
      </c>
      <c r="D43" s="382" t="n">
        <v>5</v>
      </c>
      <c r="E43" s="573" t="n"/>
      <c r="F43" s="32" t="n">
        <v>8</v>
      </c>
      <c r="G43" s="32" t="n">
        <v>8</v>
      </c>
      <c r="H43" s="32" t="n">
        <v>8</v>
      </c>
      <c r="I43" s="32" t="n">
        <v>5</v>
      </c>
      <c r="J43" s="32">
        <f>5+10</f>
        <v/>
      </c>
      <c r="K43" s="32" t="n">
        <v>15</v>
      </c>
      <c r="L43" s="32" t="n">
        <v>15</v>
      </c>
      <c r="M43" s="32" t="n">
        <v>15</v>
      </c>
      <c r="N43" s="32" t="n">
        <v>15</v>
      </c>
      <c r="O43" s="32" t="n">
        <v>14</v>
      </c>
      <c r="P43" s="32" t="n">
        <v>14</v>
      </c>
      <c r="Q43" s="32" t="n">
        <v>14</v>
      </c>
      <c r="R43" s="32" t="n">
        <v>13</v>
      </c>
      <c r="S43" s="32" t="n">
        <v>13</v>
      </c>
      <c r="T43" s="32" t="n">
        <v>13</v>
      </c>
      <c r="U43" s="32" t="n">
        <v>11</v>
      </c>
      <c r="V43" s="32" t="n">
        <v>10</v>
      </c>
      <c r="W43" s="32" t="n">
        <v>8</v>
      </c>
      <c r="X43" s="32" t="n">
        <v>7</v>
      </c>
      <c r="Y43" s="32">
        <f>2+20</f>
        <v/>
      </c>
      <c r="Z43" s="32" t="n">
        <v>22</v>
      </c>
      <c r="AA43" s="32" t="n">
        <v>22</v>
      </c>
      <c r="AB43" s="32" t="n">
        <v>18</v>
      </c>
      <c r="AC43" s="32" t="n">
        <v>17</v>
      </c>
      <c r="AD43" s="32" t="n">
        <v>16</v>
      </c>
      <c r="AE43" s="32" t="n">
        <v>16</v>
      </c>
      <c r="AF43" s="32" t="n">
        <v>15</v>
      </c>
      <c r="AG43" s="32" t="n">
        <v>15</v>
      </c>
      <c r="AH43" s="32" t="n">
        <v>14</v>
      </c>
      <c r="AI43" s="32" t="n">
        <v>14</v>
      </c>
      <c r="AJ43" s="32" t="n">
        <v>14</v>
      </c>
      <c r="AK43" s="32" t="n">
        <v>14</v>
      </c>
      <c r="AL43" s="32" t="n">
        <v>13</v>
      </c>
      <c r="AM43" s="32" t="n">
        <v>13</v>
      </c>
      <c r="AN43" s="32" t="n">
        <v>13</v>
      </c>
      <c r="AO43" s="32" t="n">
        <v>13</v>
      </c>
      <c r="AP43" s="32" t="n">
        <v>13</v>
      </c>
      <c r="AQ43" s="32" t="n">
        <v>13</v>
      </c>
      <c r="AR43" s="32" t="n">
        <v>12</v>
      </c>
      <c r="AS43" s="32" t="n">
        <v>11</v>
      </c>
      <c r="AT43" s="439" t="n">
        <v>20</v>
      </c>
      <c r="AU43" s="32" t="n">
        <v>19</v>
      </c>
      <c r="AV43" s="32" t="n">
        <v>19</v>
      </c>
      <c r="AW43" s="32" t="n">
        <v>19</v>
      </c>
      <c r="AX43" s="32" t="n">
        <v>19</v>
      </c>
      <c r="AY43" s="32" t="n">
        <v>18</v>
      </c>
      <c r="AZ43" s="32" t="n">
        <v>17</v>
      </c>
      <c r="BA43" s="32" t="n">
        <v>15</v>
      </c>
      <c r="BB43" s="32" t="n">
        <v>14</v>
      </c>
      <c r="BC43" s="32" t="n">
        <v>13</v>
      </c>
      <c r="BD43" s="32" t="n">
        <v>8</v>
      </c>
      <c r="BE43" s="32" t="n">
        <v>8</v>
      </c>
      <c r="BF43" s="32" t="n">
        <v>8</v>
      </c>
      <c r="BG43" s="32" t="n">
        <v>7</v>
      </c>
      <c r="BH43" s="32" t="n">
        <v>7</v>
      </c>
      <c r="BI43" s="32" t="n">
        <v>5</v>
      </c>
      <c r="BJ43" s="32" t="n">
        <v>5</v>
      </c>
      <c r="BK43" s="32" t="n">
        <v>5</v>
      </c>
      <c r="BL43" s="32" t="n">
        <v>5</v>
      </c>
      <c r="BM43" s="32" t="n">
        <v>3</v>
      </c>
      <c r="BN43" s="32" t="n">
        <v>3</v>
      </c>
      <c r="BO43" s="32" t="n">
        <v>2</v>
      </c>
      <c r="BP43" s="32" t="n">
        <v>2</v>
      </c>
      <c r="BQ43" s="32" t="n">
        <v>2</v>
      </c>
      <c r="BR43" s="32" t="n">
        <v>2</v>
      </c>
      <c r="BS43" s="32" t="n"/>
      <c r="BT43" s="32" t="n"/>
      <c r="BU43" s="32" t="n"/>
      <c r="BV43" s="32" t="n"/>
      <c r="BW43" s="32" t="n"/>
      <c r="BX43" s="32" t="n">
        <v>0</v>
      </c>
      <c r="BY43" s="32" t="n">
        <v>0</v>
      </c>
      <c r="BZ43" s="32" t="n">
        <v>0</v>
      </c>
      <c r="CA43" s="32" t="n">
        <v>0</v>
      </c>
      <c r="CB43" s="192">
        <f>BZ43+IF(NOT(ISBLANK(OFFSET(CB43,0,6))),N(OFFSET(CB43,0,6)),N(OFFSET(CB43,0,7)))-CA43</f>
        <v/>
      </c>
      <c r="CC43" s="5" t="n"/>
      <c r="CD43" s="22" t="n"/>
      <c r="CE43" s="22" t="n"/>
      <c r="CF43" s="5" t="n"/>
      <c r="CG43" s="27" t="n"/>
      <c r="CH43" s="830" t="n">
        <v>0</v>
      </c>
      <c r="CI43" s="40" t="n">
        <v>0</v>
      </c>
      <c r="CJ43" s="40" t="n">
        <v>0</v>
      </c>
      <c r="CK43" s="40" t="n">
        <v>0</v>
      </c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219" t="n"/>
      <c r="DO43" s="40" t="n"/>
      <c r="DP43" s="40" t="n"/>
      <c r="DQ43" s="40" t="n"/>
      <c r="DR43" s="40" t="n"/>
      <c r="DS43" s="40" t="n"/>
      <c r="DT43" s="40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40" t="n"/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219" t="n"/>
      <c r="FG43" s="219" t="n"/>
      <c r="FH43" s="40" t="n"/>
      <c r="FI43" s="219" t="n"/>
      <c r="FJ43" s="40" t="n"/>
      <c r="FK43" s="23" t="n"/>
      <c r="FL43" s="219" t="n"/>
      <c r="FM43" s="219" t="n"/>
      <c r="FN43" s="40" t="n"/>
      <c r="FO43" s="40" t="n"/>
      <c r="FP43" s="282" t="inlineStr">
        <is>
          <t>20 DE CD</t>
        </is>
      </c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219" t="n"/>
      <c r="GA43" s="40" t="n"/>
      <c r="GB43" s="219" t="n"/>
      <c r="GC43" s="40" t="n"/>
      <c r="GD43" s="40" t="n"/>
      <c r="GE43" s="40" t="n"/>
      <c r="GF43" s="40" t="n"/>
      <c r="GG43" s="40" t="n"/>
      <c r="GH43" s="40" t="n"/>
      <c r="GI43" s="40" t="n"/>
      <c r="GJ43" s="40" t="n"/>
      <c r="GK43" s="40" t="n"/>
      <c r="GL43" s="282" t="inlineStr">
        <is>
          <t>10 DE CD</t>
        </is>
      </c>
      <c r="GM43" s="40" t="n"/>
      <c r="GN43" s="40" t="n"/>
      <c r="GO43" s="40" t="n"/>
      <c r="GP43" s="40" t="n"/>
      <c r="GQ43" s="40" t="n"/>
      <c r="GR43" s="5" t="n"/>
      <c r="GS43" s="41" t="n"/>
      <c r="GT43" s="41" t="n"/>
      <c r="GU43" s="41" t="n"/>
      <c r="GV43" s="41" t="n"/>
      <c r="GW43" s="41" t="n"/>
      <c r="GX43" s="41" t="n"/>
      <c r="GY43" s="41" t="n"/>
      <c r="GZ43" s="41" t="n"/>
      <c r="HA43" s="41" t="n"/>
      <c r="HB43" s="41" t="n"/>
      <c r="HC43" s="41" t="n"/>
      <c r="HD43" s="41" t="n"/>
      <c r="HE43" s="41" t="n"/>
      <c r="HF43" s="41" t="n"/>
      <c r="HG43" s="41" t="n"/>
      <c r="HH43" s="41" t="n"/>
      <c r="HI43" s="41" t="n"/>
      <c r="HJ43" s="41" t="n"/>
      <c r="HK43" s="41" t="n"/>
      <c r="HL43" s="41" t="n"/>
      <c r="HM43" s="41" t="n"/>
      <c r="HN43" s="41" t="n"/>
      <c r="HO43" s="41" t="n"/>
      <c r="HQ43" s="41" t="n"/>
      <c r="HR43" s="41" t="n"/>
      <c r="HS43" s="41" t="n"/>
      <c r="HT43" s="41" t="n"/>
      <c r="HU43" s="41" t="n"/>
      <c r="HV43" s="41" t="n"/>
      <c r="HW43" s="41" t="n"/>
      <c r="HX43" s="41" t="n"/>
      <c r="HY43" s="41" t="n"/>
      <c r="HZ43" s="41" t="n"/>
      <c r="IA43" s="41" t="n"/>
      <c r="IB43" s="41" t="n"/>
      <c r="IC43" s="41" t="n"/>
      <c r="IE43" s="41" t="n"/>
      <c r="IF43" s="41" t="n"/>
      <c r="IG43" s="41" t="n"/>
      <c r="IH43" s="41" t="n"/>
      <c r="II43" s="41" t="n"/>
      <c r="IJ43" s="41" t="n"/>
      <c r="IK43" s="41" t="n"/>
      <c r="IL43" s="41" t="n"/>
      <c r="IM43" s="41" t="n"/>
      <c r="IN43" s="41" t="n"/>
      <c r="IO43" s="41" t="n"/>
      <c r="IP43" s="41" t="n"/>
      <c r="IQ43" s="41" t="n"/>
      <c r="IR43" s="41" t="n"/>
      <c r="IT43" s="5" t="n"/>
      <c r="IU43" s="5" t="n"/>
      <c r="IV43" s="5" t="n"/>
      <c r="IW43" s="5" t="n"/>
      <c r="IX43" s="5" t="n"/>
      <c r="IY43" s="5" t="n"/>
      <c r="IZ43" s="5" t="n"/>
      <c r="JA43" s="5" t="n"/>
      <c r="JB43" s="5" t="n"/>
    </row>
    <row r="44" customFormat="1" s="3">
      <c r="A44" s="37" t="inlineStr">
        <is>
          <t>PAPEL DE SEDA OUI</t>
        </is>
      </c>
      <c r="B44" s="699" t="n">
        <v>500</v>
      </c>
      <c r="C44" s="762" t="n">
        <v>143.38</v>
      </c>
      <c r="D44" s="382" t="n">
        <v>1</v>
      </c>
      <c r="E44" s="2" t="n"/>
      <c r="F44" s="697" t="n">
        <v>2</v>
      </c>
      <c r="G44" s="697" t="n">
        <v>2</v>
      </c>
      <c r="H44" s="697" t="n">
        <v>2</v>
      </c>
      <c r="I44" s="697" t="n">
        <v>2</v>
      </c>
      <c r="J44" s="697" t="n">
        <v>2</v>
      </c>
      <c r="K44" s="697" t="n">
        <v>2</v>
      </c>
      <c r="L44" s="697" t="n">
        <v>2</v>
      </c>
      <c r="M44" s="697" t="n">
        <v>2</v>
      </c>
      <c r="N44" s="697" t="n">
        <v>2</v>
      </c>
      <c r="O44" s="697" t="n">
        <v>2</v>
      </c>
      <c r="P44" s="697" t="n">
        <v>2</v>
      </c>
      <c r="Q44" s="697" t="n">
        <v>2</v>
      </c>
      <c r="R44" s="697" t="n">
        <v>1</v>
      </c>
      <c r="S44" s="697" t="n">
        <v>1</v>
      </c>
      <c r="T44" s="697" t="n">
        <v>1</v>
      </c>
      <c r="U44" s="697" t="n">
        <v>1</v>
      </c>
      <c r="V44" s="697" t="n">
        <v>1</v>
      </c>
      <c r="W44" s="697" t="n">
        <v>1</v>
      </c>
      <c r="X44" s="697" t="n">
        <v>3</v>
      </c>
      <c r="Y44" s="697" t="n">
        <v>3</v>
      </c>
      <c r="Z44" s="697" t="n">
        <v>3</v>
      </c>
      <c r="AA44" s="697" t="n">
        <v>2</v>
      </c>
      <c r="AB44" s="697" t="n">
        <v>1</v>
      </c>
      <c r="AC44" s="697" t="n">
        <v>1</v>
      </c>
      <c r="AD44" s="697" t="n">
        <v>1</v>
      </c>
      <c r="AE44" s="697" t="n">
        <v>1</v>
      </c>
      <c r="AF44" s="697" t="n">
        <v>1</v>
      </c>
      <c r="AG44" s="697" t="n">
        <v>1</v>
      </c>
      <c r="AH44" s="697" t="n">
        <v>1</v>
      </c>
      <c r="AI44" s="697" t="n">
        <v>1</v>
      </c>
      <c r="AJ44" s="697" t="n">
        <v>1</v>
      </c>
      <c r="AK44" s="697" t="n">
        <v>1</v>
      </c>
      <c r="AL44" s="697" t="n">
        <v>1</v>
      </c>
      <c r="AM44" s="697" t="n">
        <v>1</v>
      </c>
      <c r="AN44" s="697" t="n">
        <v>0</v>
      </c>
      <c r="AO44" s="697" t="n">
        <v>0</v>
      </c>
      <c r="AP44" s="697" t="n">
        <v>0</v>
      </c>
      <c r="AQ44" s="697" t="n">
        <v>0</v>
      </c>
      <c r="AR44" s="697" t="n">
        <v>0</v>
      </c>
      <c r="AS44" s="697" t="n">
        <v>0</v>
      </c>
      <c r="AT44" s="697" t="n">
        <v>0</v>
      </c>
      <c r="AU44" s="697" t="n">
        <v>0</v>
      </c>
      <c r="AV44" s="697" t="n">
        <v>0</v>
      </c>
      <c r="AW44" s="697" t="n">
        <v>0</v>
      </c>
      <c r="AX44" s="697" t="n">
        <v>0</v>
      </c>
      <c r="AY44" s="697" t="n">
        <v>0</v>
      </c>
      <c r="AZ44" s="697" t="n">
        <v>0</v>
      </c>
      <c r="BA44" s="697">
        <f>0+DJ44</f>
        <v/>
      </c>
      <c r="BB44" s="697" t="n">
        <v>0</v>
      </c>
      <c r="BC44" s="697">
        <f>0+DG44</f>
        <v/>
      </c>
      <c r="BD44" s="697" t="n">
        <v>0</v>
      </c>
      <c r="BE44" s="697" t="n">
        <v>0</v>
      </c>
      <c r="BF44" s="697" t="n">
        <v>0</v>
      </c>
      <c r="BG44" s="697" t="n">
        <v>0</v>
      </c>
      <c r="BH44" s="697" t="n">
        <v>0</v>
      </c>
      <c r="BI44" s="697" t="n">
        <v>0</v>
      </c>
      <c r="BJ44" s="697">
        <f>0+CV44</f>
        <v/>
      </c>
      <c r="BK44" s="697" t="n">
        <v>1</v>
      </c>
      <c r="BL44" s="697" t="n">
        <v>1</v>
      </c>
      <c r="BM44" s="697" t="n">
        <v>1</v>
      </c>
      <c r="BN44" s="697" t="n">
        <v>1</v>
      </c>
      <c r="BO44" s="697" t="n">
        <v>1</v>
      </c>
      <c r="BP44" s="697" t="n">
        <v>1</v>
      </c>
      <c r="BQ44" s="697" t="n">
        <v>0</v>
      </c>
      <c r="BR44" s="697">
        <f>0+CJ44</f>
        <v/>
      </c>
      <c r="BS44" s="697" t="n">
        <v>1</v>
      </c>
      <c r="BT44" s="697" t="n">
        <v>1</v>
      </c>
      <c r="BU44" s="697" t="n">
        <v>1</v>
      </c>
      <c r="BV44" s="697" t="n">
        <v>0</v>
      </c>
      <c r="BW44" s="697" t="n">
        <v>0</v>
      </c>
      <c r="BX44" s="697">
        <f>0+CG44</f>
        <v/>
      </c>
      <c r="BY44" s="697" t="n"/>
      <c r="BZ44" s="699" t="n"/>
      <c r="CA44" s="699" t="n"/>
      <c r="CB44" s="192">
        <f>BZ44+IF(NOT(ISBLANK(OFFSET(CB44,0,6))),N(OFFSET(CB44,0,6)),N(OFFSET(CB44,0,7)))-CA44</f>
        <v/>
      </c>
      <c r="CC44" s="5" t="n"/>
      <c r="CD44" s="194" t="n"/>
      <c r="CE44" s="194" t="n"/>
      <c r="CF44" s="5" t="n"/>
      <c r="CG44" s="27" t="n"/>
      <c r="CH44" s="830" t="n">
        <v>0</v>
      </c>
      <c r="CI44" s="40" t="n">
        <v>1</v>
      </c>
      <c r="CJ44" s="40" t="n">
        <v>0</v>
      </c>
      <c r="CK44" s="40" t="n">
        <v>0</v>
      </c>
      <c r="CL44" s="40" t="n">
        <v>1</v>
      </c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>
        <v>1</v>
      </c>
      <c r="CY44" s="40" t="n"/>
      <c r="CZ44" s="40" t="n"/>
      <c r="DA44" s="40" t="n"/>
      <c r="DB44" s="40" t="n"/>
      <c r="DC44" s="40" t="n"/>
      <c r="DD44" s="40" t="n"/>
      <c r="DE44" s="40" t="n"/>
      <c r="DF44" s="40" t="n"/>
      <c r="DG44" s="40" t="n"/>
      <c r="DH44" s="40" t="n"/>
      <c r="DI44" s="40" t="n">
        <v>2</v>
      </c>
      <c r="DJ44" s="40" t="n"/>
      <c r="DK44" s="40" t="n"/>
      <c r="DL44" s="40" t="n">
        <v>1</v>
      </c>
      <c r="DM44" s="40" t="n"/>
      <c r="DN44" s="219" t="n"/>
      <c r="DO44" s="40" t="n"/>
      <c r="DP44" s="40" t="n"/>
      <c r="DQ44" s="40" t="n"/>
      <c r="DR44" s="40" t="n"/>
      <c r="DS44" s="40" t="n"/>
      <c r="DT44" s="40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40" t="n"/>
      <c r="FI44" s="40" t="n"/>
      <c r="FJ44" s="40" t="n"/>
      <c r="FK44" s="23" t="n"/>
      <c r="FL44" s="219" t="n"/>
      <c r="FM44" s="40" t="n"/>
      <c r="FN44" s="40" t="n"/>
      <c r="FO44" s="40" t="n"/>
      <c r="FP44" s="40" t="n"/>
      <c r="FQ44" s="40" t="n"/>
      <c r="FR44" s="40" t="n"/>
      <c r="FS44" s="40" t="n"/>
      <c r="FT44" s="40" t="n">
        <v>2</v>
      </c>
      <c r="FU44" s="40" t="n"/>
      <c r="FV44" s="40" t="n"/>
      <c r="FW44" s="40" t="n"/>
      <c r="FX44" s="40" t="n"/>
      <c r="FY44" s="40" t="n"/>
      <c r="FZ44" s="219" t="n"/>
      <c r="GA44" s="40" t="n"/>
      <c r="GB44" s="219" t="n"/>
      <c r="GC44" s="40" t="n"/>
      <c r="GD44" s="40" t="n"/>
      <c r="GE44" s="40" t="n"/>
      <c r="GF44" s="40" t="n"/>
      <c r="GG44" s="40" t="n"/>
      <c r="GH44" s="40" t="n"/>
      <c r="GI44" s="40" t="n"/>
      <c r="GJ44" s="40" t="n"/>
      <c r="GK44" s="40" t="n"/>
      <c r="GL44" s="40" t="n"/>
      <c r="GM44" s="40" t="n"/>
      <c r="GN44" s="40" t="n"/>
      <c r="GO44" s="40" t="n"/>
      <c r="GP44" s="40" t="n"/>
      <c r="GQ44" s="40" t="n"/>
      <c r="GR44" s="5" t="n"/>
      <c r="GS44" s="41" t="n"/>
      <c r="GT44" s="41" t="n"/>
      <c r="GU44" s="41" t="n"/>
      <c r="GV44" s="41" t="n"/>
      <c r="GW44" s="41" t="n"/>
      <c r="GX44" s="41" t="n"/>
      <c r="GY44" s="41" t="n"/>
      <c r="GZ44" s="41" t="n"/>
      <c r="HA44" s="41" t="n"/>
      <c r="HB44" s="41" t="n"/>
      <c r="HC44" s="41" t="n"/>
      <c r="HD44" s="41" t="n"/>
      <c r="HE44" s="41" t="n"/>
      <c r="HF44" s="41" t="n"/>
      <c r="HG44" s="41" t="n"/>
      <c r="HH44" s="41" t="n"/>
      <c r="HI44" s="41" t="n"/>
      <c r="HJ44" s="41" t="n"/>
      <c r="HK44" s="41" t="n"/>
      <c r="HL44" s="41" t="n"/>
      <c r="HM44" s="41" t="n"/>
      <c r="HN44" s="41" t="n"/>
      <c r="HO44" s="41" t="n"/>
      <c r="HQ44" s="5" t="n"/>
      <c r="HR44" s="5" t="n"/>
      <c r="HS44" s="5" t="n"/>
      <c r="HT44" s="5" t="n"/>
      <c r="HU44" s="5" t="n"/>
      <c r="HV44" s="5" t="n"/>
      <c r="HW44" s="5" t="n"/>
      <c r="HX44" s="5" t="n"/>
      <c r="HY44" s="5" t="n"/>
      <c r="HZ44" s="5" t="n"/>
      <c r="IA44" s="5" t="n"/>
      <c r="IB44" s="5" t="n"/>
      <c r="IC44" s="5" t="n"/>
      <c r="IE44" s="5" t="n"/>
      <c r="IF44" s="5" t="n"/>
      <c r="IG44" s="5" t="n"/>
      <c r="IH44" s="5" t="n"/>
      <c r="II44" s="5" t="n"/>
      <c r="IJ44" s="5" t="n"/>
      <c r="IK44" s="5" t="n"/>
      <c r="IL44" s="5" t="n"/>
      <c r="IM44" s="5" t="n"/>
      <c r="IN44" s="5" t="n"/>
      <c r="IO44" s="5" t="n"/>
      <c r="IP44" s="5" t="n"/>
      <c r="IQ44" s="5" t="n"/>
      <c r="IR44" s="5" t="n"/>
      <c r="IT44" s="5" t="n"/>
      <c r="IU44" s="5" t="n"/>
      <c r="IV44" s="5" t="n"/>
      <c r="IW44" s="5" t="n"/>
      <c r="IX44" s="5" t="n"/>
      <c r="IY44" s="5" t="n"/>
      <c r="IZ44" s="5" t="n"/>
      <c r="JA44" s="5" t="n"/>
      <c r="JB44" s="5" t="n"/>
    </row>
    <row r="45">
      <c r="A45" s="37" t="inlineStr">
        <is>
          <t>ETIQUETA OUI</t>
        </is>
      </c>
      <c r="B45" s="699" t="n">
        <v>1000</v>
      </c>
      <c r="C45" s="762" t="n">
        <v>187.49</v>
      </c>
      <c r="D45" s="382" t="n">
        <v>1</v>
      </c>
      <c r="E45" s="2" t="n"/>
      <c r="F45" s="697" t="n">
        <v>2</v>
      </c>
      <c r="G45" s="697" t="n">
        <v>2</v>
      </c>
      <c r="H45" s="697" t="n">
        <v>2</v>
      </c>
      <c r="I45" s="697" t="n">
        <v>2</v>
      </c>
      <c r="J45" s="697" t="n">
        <v>2</v>
      </c>
      <c r="K45" s="697" t="n">
        <v>2</v>
      </c>
      <c r="L45" s="697" t="n">
        <v>2</v>
      </c>
      <c r="M45" s="697" t="n">
        <v>2</v>
      </c>
      <c r="N45" s="697" t="n">
        <v>2</v>
      </c>
      <c r="O45" s="697" t="n">
        <v>2</v>
      </c>
      <c r="P45" s="697" t="n">
        <v>2</v>
      </c>
      <c r="Q45" s="697" t="n">
        <v>2</v>
      </c>
      <c r="R45" s="697" t="n">
        <v>2</v>
      </c>
      <c r="S45" s="697" t="n">
        <v>2</v>
      </c>
      <c r="T45" s="697" t="n">
        <v>2</v>
      </c>
      <c r="U45" s="697" t="n">
        <v>2</v>
      </c>
      <c r="V45" s="697" t="n">
        <v>1</v>
      </c>
      <c r="W45" s="697" t="n">
        <v>1</v>
      </c>
      <c r="X45" s="697" t="n">
        <v>2</v>
      </c>
      <c r="Y45" s="697" t="n">
        <v>2</v>
      </c>
      <c r="Z45" s="697" t="n">
        <v>2</v>
      </c>
      <c r="AA45" s="697" t="n">
        <v>2</v>
      </c>
      <c r="AB45" s="697" t="n">
        <v>2</v>
      </c>
      <c r="AC45" s="697" t="n">
        <v>2</v>
      </c>
      <c r="AD45" s="697" t="n">
        <v>2</v>
      </c>
      <c r="AE45" s="697" t="n">
        <v>2</v>
      </c>
      <c r="AF45" s="697" t="n">
        <v>2</v>
      </c>
      <c r="AG45" s="697" t="n">
        <v>2</v>
      </c>
      <c r="AH45" s="697" t="n">
        <v>1</v>
      </c>
      <c r="AI45" s="697" t="n">
        <v>1</v>
      </c>
      <c r="AJ45" s="697" t="n">
        <v>1</v>
      </c>
      <c r="AK45" s="697" t="n">
        <v>1</v>
      </c>
      <c r="AL45" s="697" t="n">
        <v>1</v>
      </c>
      <c r="AM45" s="697" t="n">
        <v>1</v>
      </c>
      <c r="AN45" s="697" t="n">
        <v>1</v>
      </c>
      <c r="AO45" s="697" t="n">
        <v>1</v>
      </c>
      <c r="AP45" s="697" t="n">
        <v>0</v>
      </c>
      <c r="AQ45" s="697" t="n">
        <v>0</v>
      </c>
      <c r="AR45" s="697" t="n">
        <v>0</v>
      </c>
      <c r="AS45" s="697" t="n">
        <v>0</v>
      </c>
      <c r="AT45" s="697" t="n">
        <v>0</v>
      </c>
      <c r="AU45" s="697" t="n">
        <v>0</v>
      </c>
      <c r="AV45" s="697" t="n">
        <v>0</v>
      </c>
      <c r="AW45" s="697" t="n">
        <v>0</v>
      </c>
      <c r="AX45" s="697" t="n">
        <v>0</v>
      </c>
      <c r="AY45" s="697" t="n">
        <v>0</v>
      </c>
      <c r="AZ45" s="697" t="n">
        <v>0</v>
      </c>
      <c r="BA45" s="697">
        <f>0+DJ45</f>
        <v/>
      </c>
      <c r="BB45" s="697" t="n">
        <v>0</v>
      </c>
      <c r="BC45" s="697">
        <f>0+DG45</f>
        <v/>
      </c>
      <c r="BD45" s="697" t="n">
        <v>0</v>
      </c>
      <c r="BE45" s="697" t="n">
        <v>0</v>
      </c>
      <c r="BF45" s="697" t="n">
        <v>0</v>
      </c>
      <c r="BG45" s="697" t="n">
        <v>0</v>
      </c>
      <c r="BH45" s="697" t="n">
        <v>0</v>
      </c>
      <c r="BI45" s="697" t="n">
        <v>0</v>
      </c>
      <c r="BJ45" s="697">
        <f>0+CV45</f>
        <v/>
      </c>
      <c r="BK45" s="697" t="n">
        <v>0</v>
      </c>
      <c r="BL45" s="697" t="n">
        <v>0</v>
      </c>
      <c r="BM45" s="697" t="n">
        <v>0</v>
      </c>
      <c r="BN45" s="697" t="n">
        <v>0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>
        <v>0</v>
      </c>
      <c r="BT45" s="697" t="n">
        <v>0</v>
      </c>
      <c r="BU45" s="697" t="n">
        <v>0</v>
      </c>
      <c r="BV45" s="697" t="n">
        <v>0</v>
      </c>
      <c r="BW45" s="697" t="n">
        <v>0</v>
      </c>
      <c r="BX45" s="697">
        <f>0+CG45</f>
        <v/>
      </c>
      <c r="BY45" s="697" t="n"/>
      <c r="BZ45" s="699" t="n"/>
      <c r="CA45" s="699" t="n"/>
      <c r="CB45" s="192">
        <f>BZ45+IF(NOT(ISBLANK(OFFSET(CB45,0,6))),N(OFFSET(CB45,0,6)),N(OFFSET(CB45,0,7)))-CA45</f>
        <v/>
      </c>
      <c r="CD45" s="161" t="n"/>
      <c r="CE45" s="161" t="n"/>
      <c r="CG45" s="27" t="n"/>
      <c r="CH45" s="830" t="n">
        <v>0</v>
      </c>
      <c r="CI45" s="40" t="n">
        <v>1</v>
      </c>
      <c r="CJ45" s="40" t="n">
        <v>0</v>
      </c>
      <c r="CK45" s="40" t="n">
        <v>0</v>
      </c>
      <c r="CL45" s="40" t="n"/>
      <c r="CM45" s="40" t="n"/>
      <c r="CN45" s="40" t="n"/>
      <c r="CO45" s="40" t="n"/>
      <c r="CP45" s="40" t="n"/>
      <c r="CQ45" s="40" t="n"/>
      <c r="CR45" s="40" t="n"/>
      <c r="CS45" s="40" t="n"/>
      <c r="CT45" s="40" t="n"/>
      <c r="CU45" s="40" t="n"/>
      <c r="CV45" s="40" t="n"/>
      <c r="CW45" s="40" t="n"/>
      <c r="CX45" s="40" t="n">
        <v>1</v>
      </c>
      <c r="CY45" s="40" t="n"/>
      <c r="CZ45" s="40" t="n"/>
      <c r="DA45" s="40" t="n"/>
      <c r="DB45" s="40" t="n"/>
      <c r="DC45" s="40" t="n"/>
      <c r="DD45" s="40" t="n"/>
      <c r="DE45" s="40" t="n"/>
      <c r="DF45" s="40" t="n"/>
      <c r="DG45" s="40" t="n"/>
      <c r="DH45" s="40" t="n"/>
      <c r="DI45" s="40" t="n">
        <v>2</v>
      </c>
      <c r="DJ45" s="40" t="n"/>
      <c r="DK45" s="40" t="n"/>
      <c r="DL45" s="40" t="n">
        <v>1</v>
      </c>
      <c r="DM45" s="40" t="n"/>
      <c r="DN45" s="219" t="n"/>
      <c r="DO45" s="40" t="n"/>
      <c r="DP45" s="40" t="n"/>
      <c r="DQ45" s="40" t="n"/>
      <c r="DR45" s="40" t="n"/>
      <c r="DS45" s="40" t="n"/>
      <c r="DT45" s="40" t="n"/>
      <c r="DU45" s="40" t="n"/>
      <c r="DV45" s="40" t="n"/>
      <c r="DW45" s="40" t="n"/>
      <c r="DX45" s="40" t="n"/>
      <c r="DY45" s="40" t="n"/>
      <c r="DZ45" s="40" t="n"/>
      <c r="EA45" s="40" t="n"/>
      <c r="EB45" s="40" t="n"/>
      <c r="EC45" s="40" t="n"/>
      <c r="ED45" s="40" t="n"/>
      <c r="EE45" s="40" t="n"/>
      <c r="EF45" s="40" t="n"/>
      <c r="EG45" s="40" t="n"/>
      <c r="EH45" s="40" t="n"/>
      <c r="EI45" s="40" t="n"/>
      <c r="EJ45" s="40" t="n"/>
      <c r="EK45" s="40" t="n"/>
      <c r="EL45" s="40" t="n"/>
      <c r="EM45" s="40" t="n"/>
      <c r="EN45" s="40" t="n"/>
      <c r="EO45" s="40" t="n"/>
      <c r="EP45" s="40" t="n"/>
      <c r="EQ45" s="40" t="n"/>
      <c r="ER45" s="40" t="n"/>
      <c r="ES45" s="40" t="n"/>
      <c r="ET45" s="40" t="n"/>
      <c r="EU45" s="40" t="n"/>
      <c r="EV45" s="40" t="n"/>
      <c r="EW45" s="40" t="n"/>
      <c r="EX45" s="40" t="n"/>
      <c r="EY45" s="40" t="n"/>
      <c r="EZ45" s="40" t="n"/>
      <c r="FA45" s="40" t="n"/>
      <c r="FB45" s="40" t="n"/>
      <c r="FC45" s="40" t="n"/>
      <c r="FD45" s="40" t="n"/>
      <c r="FE45" s="40" t="n"/>
      <c r="FF45" s="40" t="n"/>
      <c r="FG45" s="40" t="n"/>
      <c r="FH45" s="40" t="n"/>
      <c r="FI45" s="40" t="n"/>
      <c r="FJ45" s="40" t="n"/>
      <c r="FK45" s="23" t="n"/>
      <c r="FL45" s="219" t="n"/>
      <c r="FM45" s="40" t="n"/>
      <c r="FN45" s="40" t="n"/>
      <c r="FO45" s="40" t="n"/>
      <c r="FP45" s="40" t="n"/>
      <c r="FQ45" s="40" t="n"/>
      <c r="FR45" s="40" t="n"/>
      <c r="FS45" s="40" t="n"/>
      <c r="FT45" s="40" t="n">
        <v>1</v>
      </c>
      <c r="FU45" s="40" t="n"/>
      <c r="FV45" s="40" t="n"/>
      <c r="FW45" s="40" t="n"/>
      <c r="FX45" s="40" t="n"/>
      <c r="FY45" s="40" t="n"/>
      <c r="FZ45" s="219" t="n"/>
      <c r="GA45" s="40" t="n"/>
      <c r="GB45" s="219" t="n"/>
      <c r="GC45" s="40" t="n"/>
      <c r="GD45" s="40" t="n"/>
      <c r="GE45" s="40" t="n"/>
      <c r="GF45" s="40" t="n"/>
      <c r="GG45" s="40" t="n"/>
      <c r="GH45" s="40" t="n"/>
      <c r="GI45" s="40" t="n"/>
      <c r="GJ45" s="40" t="n"/>
      <c r="GK45" s="40" t="n"/>
      <c r="GL45" s="40" t="n"/>
      <c r="GM45" s="40" t="n"/>
      <c r="GN45" s="40" t="n"/>
      <c r="GO45" s="40" t="n"/>
      <c r="GP45" s="40" t="n"/>
      <c r="GQ45" s="40" t="n"/>
      <c r="GR45" s="41" t="n"/>
    </row>
    <row r="46">
      <c r="A46" s="37" t="inlineStr">
        <is>
          <t>LÂMINA OLFATIVA OUI</t>
        </is>
      </c>
      <c r="B46" s="699" t="n">
        <v>3000</v>
      </c>
      <c r="C46" s="762" t="n">
        <v>231.61</v>
      </c>
      <c r="D46" s="382" t="n">
        <v>0</v>
      </c>
      <c r="E46" s="2" t="n"/>
      <c r="F46" s="697" t="n">
        <v>3</v>
      </c>
      <c r="G46" s="697" t="n">
        <v>3</v>
      </c>
      <c r="H46" s="697" t="n">
        <v>3</v>
      </c>
      <c r="I46" s="697" t="n">
        <v>3</v>
      </c>
      <c r="J46" s="697" t="n">
        <v>3</v>
      </c>
      <c r="K46" s="697" t="n">
        <v>3</v>
      </c>
      <c r="L46" s="697" t="n">
        <v>3</v>
      </c>
      <c r="M46" s="697" t="n">
        <v>3</v>
      </c>
      <c r="N46" s="697" t="n">
        <v>3</v>
      </c>
      <c r="O46" s="697" t="n">
        <v>3</v>
      </c>
      <c r="P46" s="697" t="n">
        <v>3</v>
      </c>
      <c r="Q46" s="697" t="n">
        <v>3</v>
      </c>
      <c r="R46" s="697" t="n">
        <v>3</v>
      </c>
      <c r="S46" s="697" t="n">
        <v>3</v>
      </c>
      <c r="T46" s="697" t="n">
        <v>3</v>
      </c>
      <c r="U46" s="697" t="n">
        <v>3</v>
      </c>
      <c r="V46" s="697" t="n">
        <v>3</v>
      </c>
      <c r="W46" s="697" t="n">
        <v>3</v>
      </c>
      <c r="X46" s="697" t="n">
        <v>3</v>
      </c>
      <c r="Y46" s="697" t="n">
        <v>3</v>
      </c>
      <c r="Z46" s="697" t="n">
        <v>3</v>
      </c>
      <c r="AA46" s="697" t="n">
        <v>3</v>
      </c>
      <c r="AB46" s="697" t="n">
        <v>3</v>
      </c>
      <c r="AC46" s="697" t="n">
        <v>3</v>
      </c>
      <c r="AD46" s="697" t="n">
        <v>3</v>
      </c>
      <c r="AE46" s="697" t="n">
        <v>3</v>
      </c>
      <c r="AF46" s="697" t="n">
        <v>3</v>
      </c>
      <c r="AG46" s="697" t="n">
        <v>3</v>
      </c>
      <c r="AH46" s="697" t="n">
        <v>3</v>
      </c>
      <c r="AI46" s="697" t="n">
        <v>3</v>
      </c>
      <c r="AJ46" s="697" t="n">
        <v>3</v>
      </c>
      <c r="AK46" s="697" t="n">
        <v>3</v>
      </c>
      <c r="AL46" s="697" t="n">
        <v>3</v>
      </c>
      <c r="AM46" s="697" t="n">
        <v>3</v>
      </c>
      <c r="AN46" s="697" t="n">
        <v>3</v>
      </c>
      <c r="AO46" s="697" t="n">
        <v>3</v>
      </c>
      <c r="AP46" s="697" t="n">
        <v>3</v>
      </c>
      <c r="AQ46" s="697" t="n">
        <v>3</v>
      </c>
      <c r="AR46" s="697" t="n">
        <v>3</v>
      </c>
      <c r="AS46" s="697" t="n">
        <v>3</v>
      </c>
      <c r="AT46" s="697" t="n">
        <v>3</v>
      </c>
      <c r="AU46" s="697" t="n">
        <v>3</v>
      </c>
      <c r="AV46" s="697" t="n">
        <v>2</v>
      </c>
      <c r="AW46" s="697" t="n">
        <v>2</v>
      </c>
      <c r="AX46" s="697" t="n">
        <v>2</v>
      </c>
      <c r="AY46" s="697" t="n">
        <v>2</v>
      </c>
      <c r="AZ46" s="697" t="n">
        <v>2</v>
      </c>
      <c r="BA46" s="697" t="n">
        <v>2</v>
      </c>
      <c r="BB46" s="697" t="n">
        <v>2</v>
      </c>
      <c r="BC46" s="697" t="n">
        <v>2</v>
      </c>
      <c r="BD46" s="697" t="n">
        <v>2</v>
      </c>
      <c r="BE46" s="697" t="n">
        <v>2</v>
      </c>
      <c r="BF46" s="697" t="n">
        <v>2</v>
      </c>
      <c r="BG46" s="697" t="n">
        <v>1</v>
      </c>
      <c r="BH46" s="697" t="n">
        <v>1</v>
      </c>
      <c r="BI46" s="697" t="n">
        <v>1</v>
      </c>
      <c r="BJ46" s="697" t="n">
        <v>1</v>
      </c>
      <c r="BK46" s="697" t="n">
        <v>1</v>
      </c>
      <c r="BL46" s="697" t="n">
        <v>1</v>
      </c>
      <c r="BM46" s="697" t="n">
        <v>1</v>
      </c>
      <c r="BN46" s="697" t="n">
        <v>1</v>
      </c>
      <c r="BO46" s="697" t="n">
        <v>1</v>
      </c>
      <c r="BP46" s="697" t="n">
        <v>1</v>
      </c>
      <c r="BQ46" s="697" t="n">
        <v>1</v>
      </c>
      <c r="BR46" s="697" t="n">
        <v>1</v>
      </c>
      <c r="BS46" s="697" t="n">
        <v>1</v>
      </c>
      <c r="BT46" s="697" t="n">
        <v>1</v>
      </c>
      <c r="BU46" s="697" t="n">
        <v>1</v>
      </c>
      <c r="BV46" s="697" t="n">
        <v>1</v>
      </c>
      <c r="BW46" s="697" t="n">
        <v>1</v>
      </c>
      <c r="BX46" s="697" t="n">
        <v>1</v>
      </c>
      <c r="BY46" s="697" t="n"/>
      <c r="BZ46" s="699" t="n"/>
      <c r="CA46" s="699" t="n"/>
      <c r="CB46" s="192">
        <f>BZ46+IF(NOT(ISBLANK(OFFSET(CB46,0,6))),N(OFFSET(CB46,0,6)),N(OFFSET(CB46,0,7)))-CA46</f>
        <v/>
      </c>
      <c r="CD46" s="194" t="n"/>
      <c r="CE46" s="194" t="n"/>
      <c r="CG46" s="27" t="n"/>
      <c r="CH46" s="830" t="n">
        <v>0</v>
      </c>
      <c r="CI46" s="40" t="n">
        <v>0</v>
      </c>
      <c r="CJ46" s="40" t="n">
        <v>0</v>
      </c>
      <c r="CK46" s="40" t="n">
        <v>0</v>
      </c>
      <c r="CL46" s="40" t="n"/>
      <c r="CM46" s="40" t="n"/>
      <c r="CN46" s="40" t="n"/>
      <c r="CO46" s="40" t="n"/>
      <c r="CP46" s="40" t="n"/>
      <c r="CQ46" s="40" t="n"/>
      <c r="CR46" s="40" t="n"/>
      <c r="CS46" s="40" t="n"/>
      <c r="CT46" s="40" t="n"/>
      <c r="CU46" s="40" t="n"/>
      <c r="CV46" s="40" t="n"/>
      <c r="CW46" s="40" t="n"/>
      <c r="CX46" s="40" t="n"/>
      <c r="CY46" s="40" t="n"/>
      <c r="CZ46" s="40" t="n"/>
      <c r="DA46" s="40" t="n"/>
      <c r="DB46" s="40" t="n"/>
      <c r="DC46" s="40" t="n"/>
      <c r="DD46" s="40" t="n"/>
      <c r="DE46" s="40" t="n"/>
      <c r="DF46" s="40" t="n"/>
      <c r="DG46" s="40" t="n"/>
      <c r="DH46" s="40" t="n"/>
      <c r="DI46" s="40" t="n"/>
      <c r="DJ46" s="40" t="n"/>
      <c r="DK46" s="40" t="n"/>
      <c r="DL46" s="40" t="n"/>
      <c r="DM46" s="40" t="n"/>
      <c r="DN46" s="219" t="n"/>
      <c r="DO46" s="40" t="n"/>
      <c r="DP46" s="40" t="n"/>
      <c r="DQ46" s="40" t="n"/>
      <c r="DR46" s="40" t="n"/>
      <c r="DS46" s="40" t="n"/>
      <c r="DT46" s="40" t="n"/>
      <c r="DU46" s="40" t="n"/>
      <c r="DV46" s="40" t="n"/>
      <c r="DW46" s="40" t="n"/>
      <c r="DX46" s="40" t="n"/>
      <c r="DY46" s="40" t="n"/>
      <c r="DZ46" s="40" t="n"/>
      <c r="EA46" s="40" t="n"/>
      <c r="EB46" s="40" t="n"/>
      <c r="EC46" s="40" t="n"/>
      <c r="ED46" s="40" t="n"/>
      <c r="EE46" s="40" t="n"/>
      <c r="EF46" s="40" t="n"/>
      <c r="EG46" s="40" t="n"/>
      <c r="EH46" s="40" t="n"/>
      <c r="EI46" s="40" t="n"/>
      <c r="EJ46" s="40" t="n"/>
      <c r="EK46" s="40" t="n"/>
      <c r="EL46" s="40" t="n"/>
      <c r="EM46" s="40" t="n"/>
      <c r="EN46" s="40" t="n"/>
      <c r="EO46" s="40" t="n"/>
      <c r="EP46" s="40" t="n"/>
      <c r="EQ46" s="40" t="n"/>
      <c r="ER46" s="40" t="n"/>
      <c r="ES46" s="40" t="n"/>
      <c r="ET46" s="40" t="n"/>
      <c r="EU46" s="40" t="n"/>
      <c r="EV46" s="40" t="n"/>
      <c r="EW46" s="40" t="n"/>
      <c r="EX46" s="40" t="n"/>
      <c r="EY46" s="40" t="n"/>
      <c r="EZ46" s="40" t="n"/>
      <c r="FA46" s="40" t="n"/>
      <c r="FB46" s="40" t="n"/>
      <c r="FC46" s="40" t="n"/>
      <c r="FD46" s="40" t="n"/>
      <c r="FE46" s="40" t="n"/>
      <c r="FF46" s="40" t="n"/>
      <c r="FG46" s="40" t="n"/>
      <c r="FH46" s="40" t="n"/>
      <c r="FI46" s="40" t="n"/>
      <c r="FJ46" s="40" t="n"/>
      <c r="FK46" s="23" t="n"/>
      <c r="FL46" s="219" t="n"/>
      <c r="FM46" s="40" t="n"/>
      <c r="FN46" s="40" t="n"/>
      <c r="FO46" s="40" t="n"/>
      <c r="FP46" s="40" t="n"/>
      <c r="FQ46" s="40" t="n"/>
      <c r="FR46" s="40" t="n"/>
      <c r="FS46" s="40" t="n"/>
      <c r="FT46" s="40" t="n"/>
      <c r="FU46" s="40" t="n"/>
      <c r="FV46" s="40" t="n"/>
      <c r="FW46" s="40" t="n"/>
      <c r="FX46" s="40" t="n"/>
      <c r="FY46" s="40" t="n"/>
      <c r="FZ46" s="219" t="n"/>
      <c r="GA46" s="40" t="n"/>
      <c r="GB46" s="219" t="n"/>
      <c r="GC46" s="40" t="n"/>
      <c r="GD46" s="40" t="n"/>
      <c r="GE46" s="40" t="n"/>
      <c r="GF46" s="40" t="n"/>
      <c r="GG46" s="40" t="n"/>
      <c r="GH46" s="40" t="n"/>
      <c r="GI46" s="40" t="n"/>
      <c r="GJ46" s="40" t="n"/>
      <c r="GK46" s="40" t="n"/>
      <c r="GL46" s="40" t="n"/>
      <c r="GM46" s="40" t="n"/>
      <c r="GN46" s="40" t="n"/>
      <c r="GO46" s="40" t="n"/>
      <c r="GP46" s="40" t="n"/>
      <c r="GQ46" s="40" t="n"/>
      <c r="GR46" s="41" t="n"/>
    </row>
    <row r="47">
      <c r="A47" s="37" t="inlineStr">
        <is>
          <t>SACO M OUI (BRINDE)</t>
        </is>
      </c>
      <c r="B47" s="699" t="n">
        <v>200</v>
      </c>
      <c r="C47" s="762" t="n">
        <v>258.52</v>
      </c>
      <c r="D47" s="382" t="n">
        <v>50</v>
      </c>
      <c r="E47" s="2" t="n"/>
      <c r="F47" s="32" t="n">
        <v>400</v>
      </c>
      <c r="G47" s="32" t="n">
        <v>300</v>
      </c>
      <c r="H47" s="32" t="n">
        <v>300</v>
      </c>
      <c r="I47" s="32" t="n">
        <v>300</v>
      </c>
      <c r="J47" s="32" t="n">
        <v>300</v>
      </c>
      <c r="K47" s="32" t="n">
        <v>200</v>
      </c>
      <c r="L47" s="32" t="n">
        <v>200</v>
      </c>
      <c r="M47" s="32" t="n">
        <v>200</v>
      </c>
      <c r="N47" s="32" t="n">
        <v>200</v>
      </c>
      <c r="O47" s="32" t="n">
        <v>200</v>
      </c>
      <c r="P47" s="32" t="n">
        <v>200</v>
      </c>
      <c r="Q47" s="32" t="n">
        <v>200</v>
      </c>
      <c r="R47" s="32" t="n">
        <v>200</v>
      </c>
      <c r="S47" s="32" t="n">
        <v>200</v>
      </c>
      <c r="T47" s="32" t="n">
        <v>200</v>
      </c>
      <c r="U47" s="32" t="n">
        <v>200</v>
      </c>
      <c r="V47" s="32" t="n">
        <v>200</v>
      </c>
      <c r="W47" s="32" t="n">
        <v>600</v>
      </c>
      <c r="X47" s="32" t="n">
        <v>400</v>
      </c>
      <c r="Y47" s="32">
        <f>600-200</f>
        <v/>
      </c>
      <c r="Z47" s="32" t="n">
        <v>400</v>
      </c>
      <c r="AA47" s="32" t="n">
        <v>400</v>
      </c>
      <c r="AB47" s="32">
        <f>400-200</f>
        <v/>
      </c>
      <c r="AC47" s="32" t="n">
        <v>100</v>
      </c>
      <c r="AD47" s="32" t="n">
        <v>200</v>
      </c>
      <c r="AE47" s="32" t="n">
        <v>200</v>
      </c>
      <c r="AF47" s="32" t="n">
        <v>200</v>
      </c>
      <c r="AG47" s="32" t="n">
        <v>200</v>
      </c>
      <c r="AH47" s="32" t="n">
        <v>150</v>
      </c>
      <c r="AI47" s="32" t="n">
        <v>100</v>
      </c>
      <c r="AJ47" s="32" t="n">
        <v>100</v>
      </c>
      <c r="AK47" s="32" t="n">
        <v>100</v>
      </c>
      <c r="AL47" s="32" t="n">
        <v>100</v>
      </c>
      <c r="AM47" s="32" t="n">
        <v>100</v>
      </c>
      <c r="AN47" s="32" t="n">
        <v>100</v>
      </c>
      <c r="AO47" s="32" t="n">
        <v>0</v>
      </c>
      <c r="AP47" s="32">
        <f>0+200</f>
        <v/>
      </c>
      <c r="AQ47" s="32" t="n">
        <v>200</v>
      </c>
      <c r="AR47" s="32" t="n">
        <v>200</v>
      </c>
      <c r="AS47" s="32" t="n">
        <v>200</v>
      </c>
      <c r="AT47" s="32" t="n">
        <v>200</v>
      </c>
      <c r="AU47" s="32" t="n">
        <v>200</v>
      </c>
      <c r="AV47" s="32" t="n">
        <v>150</v>
      </c>
      <c r="AW47" s="32" t="n">
        <v>150</v>
      </c>
      <c r="AX47" s="32" t="n">
        <v>200</v>
      </c>
      <c r="AY47" s="32" t="n">
        <v>200</v>
      </c>
      <c r="AZ47" s="32" t="n">
        <v>200</v>
      </c>
      <c r="BA47" s="32" t="n">
        <v>200</v>
      </c>
      <c r="BB47" s="32" t="n">
        <v>200</v>
      </c>
      <c r="BC47" s="32" t="n">
        <v>200</v>
      </c>
      <c r="BD47" s="32" t="n">
        <v>150</v>
      </c>
      <c r="BE47" s="32" t="n">
        <v>150</v>
      </c>
      <c r="BF47" s="32" t="n">
        <v>150</v>
      </c>
      <c r="BG47" s="32" t="n">
        <v>150</v>
      </c>
      <c r="BH47" s="32" t="n">
        <v>0</v>
      </c>
      <c r="BI47" s="32" t="n">
        <v>0</v>
      </c>
      <c r="BJ47" s="32" t="n">
        <v>0</v>
      </c>
      <c r="BK47" s="32" t="n">
        <v>0</v>
      </c>
      <c r="BL47" s="32" t="n">
        <v>0</v>
      </c>
      <c r="BM47" s="32" t="n">
        <v>0</v>
      </c>
      <c r="BN47" s="32" t="n">
        <v>0</v>
      </c>
      <c r="BO47" s="32" t="n">
        <v>0</v>
      </c>
      <c r="BP47" s="32" t="n">
        <v>0</v>
      </c>
      <c r="BQ47" s="32" t="n">
        <v>0</v>
      </c>
      <c r="BR47" s="32">
        <f>0+CJ47</f>
        <v/>
      </c>
      <c r="BS47" s="32" t="n">
        <v>0</v>
      </c>
      <c r="BT47" s="32" t="n">
        <v>0</v>
      </c>
      <c r="BU47" s="32" t="n">
        <v>0</v>
      </c>
      <c r="BV47" s="32" t="n">
        <v>0</v>
      </c>
      <c r="BW47" s="32" t="n">
        <v>0</v>
      </c>
      <c r="BX47" s="32">
        <f>0+CG47</f>
        <v/>
      </c>
      <c r="BY47" s="32" t="n"/>
      <c r="BZ47" s="32" t="n"/>
      <c r="CA47" s="32" t="n"/>
      <c r="CB47" s="192">
        <f>BZ47+IF(NOT(ISBLANK(OFFSET(CB47,0,6))),N(OFFSET(CB47,0,6)),N(OFFSET(CB47,0,7)))-CA47</f>
        <v/>
      </c>
      <c r="CD47" s="194" t="n"/>
      <c r="CE47" s="194" t="n"/>
      <c r="CG47" s="27" t="n">
        <v>200</v>
      </c>
      <c r="CH47" s="830" t="n">
        <v>0</v>
      </c>
      <c r="CI47" s="40" t="n">
        <v>200</v>
      </c>
      <c r="CJ47" s="40" t="n">
        <v>0</v>
      </c>
      <c r="CK47" s="40" t="n">
        <v>0</v>
      </c>
      <c r="CL47" s="40" t="n">
        <v>200</v>
      </c>
      <c r="CM47" s="40" t="n"/>
      <c r="CN47" s="40" t="n"/>
      <c r="CO47" s="40" t="n"/>
      <c r="CP47" s="40" t="n"/>
      <c r="CQ47" s="40" t="n"/>
      <c r="CR47" s="40" t="n"/>
      <c r="CS47" s="40" t="n"/>
      <c r="CT47" s="40" t="n"/>
      <c r="CU47" s="40" t="n"/>
      <c r="CV47" s="40" t="n"/>
      <c r="CW47" s="40" t="n"/>
      <c r="CX47" s="40" t="n"/>
      <c r="CY47" s="40" t="n"/>
      <c r="CZ47" s="40" t="n"/>
      <c r="DA47" s="40" t="n"/>
      <c r="DB47" s="40" t="n"/>
      <c r="DC47" s="40" t="n"/>
      <c r="DD47" s="40" t="n"/>
      <c r="DE47" s="40" t="n"/>
      <c r="DF47" s="40" t="n"/>
      <c r="DG47" s="40" t="n"/>
      <c r="DH47" s="40" t="n"/>
      <c r="DI47" s="40" t="n"/>
      <c r="DJ47" s="40" t="n"/>
      <c r="DK47" s="40" t="n"/>
      <c r="DL47" s="40" t="n"/>
      <c r="DM47" s="40" t="n"/>
      <c r="DN47" s="219" t="n"/>
      <c r="DO47" s="40" t="n"/>
      <c r="DP47" s="40" t="n"/>
      <c r="DQ47" s="40" t="n"/>
      <c r="DR47" s="40" t="n">
        <v>200</v>
      </c>
      <c r="DS47" s="40" t="n"/>
      <c r="DT47" s="40" t="n"/>
      <c r="DU47" s="40" t="n"/>
      <c r="DV47" s="40" t="n"/>
      <c r="DW47" s="40" t="n"/>
      <c r="DX47" s="40" t="n"/>
      <c r="DY47" s="40" t="n"/>
      <c r="DZ47" s="40" t="n"/>
      <c r="EA47" s="40" t="n"/>
      <c r="EB47" s="40" t="n"/>
      <c r="EC47" s="40" t="n"/>
      <c r="ED47" s="40" t="n"/>
      <c r="EE47" s="192" t="inlineStr">
        <is>
          <t>200 DE CD</t>
        </is>
      </c>
      <c r="EF47" s="40" t="n"/>
      <c r="EG47" s="40" t="n"/>
      <c r="EH47" s="40" t="n"/>
      <c r="EI47" s="40" t="n"/>
      <c r="EJ47" s="40" t="n"/>
      <c r="EK47" s="40" t="n"/>
      <c r="EL47" s="40" t="n"/>
      <c r="EM47" s="40" t="n"/>
      <c r="EN47" s="40" t="n"/>
      <c r="EO47" s="40" t="n"/>
      <c r="EP47" s="40" t="n"/>
      <c r="EQ47" s="40" t="n"/>
      <c r="ER47" s="40" t="n"/>
      <c r="ES47" s="40" t="n"/>
      <c r="ET47" s="40" t="n"/>
      <c r="EU47" s="40" t="n"/>
      <c r="EV47" s="40" t="n"/>
      <c r="EW47" s="40" t="n"/>
      <c r="EX47" s="40" t="n"/>
      <c r="EY47" s="40" t="n"/>
      <c r="EZ47" s="40" t="n"/>
      <c r="FA47" s="40" t="n"/>
      <c r="FB47" s="40" t="n"/>
      <c r="FC47" s="40" t="n">
        <v>200</v>
      </c>
      <c r="FD47" s="40" t="n"/>
      <c r="FE47" s="40" t="n"/>
      <c r="FF47" s="40" t="n"/>
      <c r="FG47" s="282" t="inlineStr">
        <is>
          <t>200 P/ CD</t>
        </is>
      </c>
      <c r="FH47" s="40" t="n"/>
      <c r="FI47" s="40" t="n"/>
      <c r="FJ47" s="40" t="n"/>
      <c r="FK47" s="23" t="n"/>
      <c r="FL47" s="219" t="n"/>
      <c r="FM47" s="282" t="inlineStr">
        <is>
          <t>200 P/ CD</t>
        </is>
      </c>
      <c r="FN47" s="40" t="n"/>
      <c r="FO47" s="40" t="n"/>
      <c r="FP47" s="40" t="n"/>
      <c r="FQ47" s="40" t="n">
        <v>200</v>
      </c>
      <c r="FR47" s="40" t="n"/>
      <c r="FS47" s="40" t="n"/>
      <c r="FT47" s="40" t="n"/>
      <c r="FU47" s="40" t="n"/>
      <c r="FV47" s="40" t="n">
        <v>400</v>
      </c>
      <c r="FW47" s="40" t="n"/>
      <c r="FX47" s="40" t="n"/>
      <c r="FY47" s="40" t="n"/>
      <c r="FZ47" s="219" t="n"/>
      <c r="GA47" s="40" t="n"/>
      <c r="GB47" s="219" t="n"/>
      <c r="GC47" s="40" t="n"/>
      <c r="GD47" s="40" t="n"/>
      <c r="GE47" s="40" t="n"/>
      <c r="GF47" s="40" t="n"/>
      <c r="GG47" s="40" t="n"/>
      <c r="GH47" s="40" t="n"/>
      <c r="GI47" s="40" t="n"/>
      <c r="GJ47" s="40" t="n"/>
      <c r="GK47" s="40" t="n"/>
      <c r="GL47" s="40" t="n"/>
      <c r="GM47" s="40" t="n"/>
      <c r="GN47" s="40" t="n"/>
      <c r="GO47" s="40" t="n"/>
      <c r="GP47" s="40" t="n"/>
      <c r="GQ47" s="40" t="n"/>
    </row>
    <row r="48">
      <c r="B48" s="573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573" t="n"/>
      <c r="BE48" s="573" t="n"/>
      <c r="BF48" s="573" t="n"/>
      <c r="BG48" s="573" t="n"/>
      <c r="BH48" s="573" t="n"/>
      <c r="BI48" s="573" t="n"/>
      <c r="BJ48" s="573" t="n"/>
      <c r="BK48" s="573" t="n"/>
      <c r="BL48" s="573" t="n"/>
      <c r="BM48" s="573" t="n"/>
      <c r="BN48" s="573" t="n"/>
      <c r="BO48" s="573" t="n"/>
      <c r="BP48" s="573" t="n"/>
      <c r="BQ48" s="573" t="n"/>
      <c r="BR48" s="573" t="n"/>
      <c r="BS48" s="573" t="n"/>
      <c r="BT48" s="573" t="n"/>
      <c r="BU48" s="573" t="n"/>
      <c r="BV48" s="573" t="n"/>
      <c r="BW48" s="573" t="n"/>
      <c r="BX48" s="573" t="n"/>
      <c r="BY48" s="573" t="n"/>
      <c r="BZ48" s="573" t="n"/>
      <c r="CA48" s="573" t="n"/>
      <c r="CH48" s="832" t="n"/>
      <c r="CI48" s="68" t="n"/>
      <c r="CJ48" s="68" t="n"/>
      <c r="CK48" s="68" t="n"/>
      <c r="CL48" s="68" t="n"/>
      <c r="CM48" s="68" t="n"/>
      <c r="CN48" s="68" t="n"/>
      <c r="CO48" s="68" t="n"/>
      <c r="CP48" s="68" t="n"/>
      <c r="CQ48" s="68" t="n"/>
      <c r="CR48" s="68" t="n"/>
      <c r="CS48" s="68" t="n"/>
      <c r="CT48" s="68" t="n"/>
      <c r="CU48" s="68" t="n"/>
      <c r="CV48" s="68" t="n"/>
      <c r="CW48" s="68" t="n"/>
      <c r="CX48" s="68" t="n"/>
      <c r="CY48" s="68" t="n"/>
      <c r="CZ48" s="68" t="n"/>
      <c r="DA48" s="68" t="n"/>
      <c r="DB48" s="68" t="n"/>
      <c r="DC48" s="68" t="n"/>
      <c r="DD48" s="68" t="n"/>
      <c r="DE48" s="68" t="n"/>
      <c r="DF48" s="68" t="n"/>
      <c r="DG48" s="68" t="n"/>
      <c r="DH48" s="68" t="n"/>
      <c r="DI48" s="68" t="n"/>
      <c r="DJ48" s="68" t="n"/>
      <c r="DK48" s="68" t="n"/>
      <c r="DL48" s="68" t="n"/>
      <c r="DM48" s="68" t="n"/>
      <c r="DO48" s="68" t="n"/>
      <c r="DP48" s="68" t="n"/>
      <c r="DQ48" s="68" t="n"/>
      <c r="DR48" s="68" t="n"/>
      <c r="DS48" s="68" t="n"/>
      <c r="DT48" s="68" t="n"/>
      <c r="DU48" s="68" t="n"/>
      <c r="DV48" s="68" t="n"/>
      <c r="DW48" s="68" t="n"/>
      <c r="DX48" s="68" t="n"/>
      <c r="DY48" s="68" t="n"/>
      <c r="DZ48" s="68" t="n"/>
      <c r="EA48" s="68" t="n"/>
      <c r="EB48" s="68" t="n"/>
      <c r="EC48" s="68" t="n"/>
      <c r="ED48" s="68" t="n"/>
      <c r="EE48" s="68" t="n"/>
      <c r="EF48" s="68" t="n"/>
      <c r="EG48" s="68" t="n"/>
      <c r="EH48" s="68" t="n"/>
      <c r="EI48" s="68" t="n"/>
      <c r="EJ48" s="68" t="n"/>
      <c r="EK48" s="68" t="n"/>
      <c r="EL48" s="68" t="n"/>
      <c r="EM48" s="68" t="n"/>
      <c r="EN48" s="68" t="n"/>
      <c r="EO48" s="68" t="n"/>
      <c r="EP48" s="68" t="n"/>
      <c r="EQ48" s="68" t="n"/>
      <c r="ER48" s="68" t="n"/>
      <c r="ES48" s="68" t="n"/>
      <c r="ET48" s="68" t="n"/>
      <c r="EU48" s="68" t="n"/>
      <c r="EV48" s="68" t="n"/>
      <c r="EW48" s="68" t="n"/>
      <c r="EX48" s="68" t="n"/>
      <c r="EY48" s="68" t="n"/>
      <c r="EZ48" s="68" t="n"/>
      <c r="FA48" s="68" t="n"/>
      <c r="FB48" s="68" t="n"/>
      <c r="FC48" s="68" t="n"/>
      <c r="FD48" s="68" t="n"/>
      <c r="FE48" s="68" t="n"/>
      <c r="FF48" s="68" t="n"/>
      <c r="FG48" s="68" t="n"/>
      <c r="FH48" s="68" t="n"/>
      <c r="FI48" s="68" t="n"/>
      <c r="FJ48" s="68" t="n"/>
      <c r="FL48" s="68" t="n"/>
      <c r="FM48" s="68" t="n"/>
      <c r="FN48" s="68" t="n"/>
      <c r="FO48" s="68" t="n"/>
      <c r="FP48" s="68" t="n"/>
      <c r="FQ48" s="68" t="n"/>
      <c r="FR48" s="68" t="n"/>
      <c r="FS48" s="68" t="n"/>
      <c r="FT48" s="68" t="n"/>
      <c r="FU48" s="68" t="n"/>
      <c r="FV48" s="68" t="n"/>
      <c r="FW48" s="68" t="n"/>
      <c r="FX48" s="68" t="n"/>
      <c r="FY48" s="68" t="n"/>
      <c r="FZ48" s="749" t="n"/>
      <c r="GA48" s="68" t="n"/>
      <c r="GB48" s="749" t="n"/>
      <c r="GC48" s="68" t="n"/>
      <c r="GD48" s="68" t="n"/>
      <c r="GE48" s="68" t="n"/>
      <c r="GF48" s="68" t="n"/>
      <c r="GG48" s="68" t="n"/>
      <c r="GH48" s="68" t="n"/>
      <c r="GI48" s="68" t="n"/>
      <c r="GJ48" s="68" t="n"/>
      <c r="GK48" s="68" t="n"/>
      <c r="GL48" s="68" t="n"/>
      <c r="GM48" s="68" t="n"/>
      <c r="GN48" s="68" t="n"/>
      <c r="GO48" s="68" t="n"/>
      <c r="GP48" s="68" t="n"/>
      <c r="GQ48" s="68" t="n"/>
    </row>
    <row r="49">
      <c r="A49" s="166" t="inlineStr">
        <is>
          <t>CAIXAS</t>
        </is>
      </c>
      <c r="B49" s="166" t="n"/>
      <c r="C49" s="166" t="n"/>
      <c r="D49" s="166" t="n"/>
      <c r="E49" s="2" t="n"/>
      <c r="F49" s="746" t="n">
        <v>45656</v>
      </c>
      <c r="G49" s="746" t="n">
        <v>45663</v>
      </c>
      <c r="H49" s="746" t="n">
        <v>45670</v>
      </c>
      <c r="I49" s="746" t="n">
        <v>45677</v>
      </c>
      <c r="J49" s="746" t="n">
        <v>45684</v>
      </c>
      <c r="K49" s="746" t="n">
        <v>45691</v>
      </c>
      <c r="L49" s="746" t="n">
        <v>45698</v>
      </c>
      <c r="M49" s="746" t="n">
        <v>45705</v>
      </c>
      <c r="N49" s="746" t="n">
        <v>45712</v>
      </c>
      <c r="O49" s="746" t="n">
        <v>45719</v>
      </c>
      <c r="P49" s="746" t="n">
        <v>45726</v>
      </c>
      <c r="Q49" s="746" t="n">
        <v>45733</v>
      </c>
      <c r="R49" s="746" t="n">
        <v>45740</v>
      </c>
      <c r="S49" s="746" t="n">
        <v>45747</v>
      </c>
      <c r="T49" s="746" t="n">
        <v>45754</v>
      </c>
      <c r="U49" s="746" t="n">
        <v>45761</v>
      </c>
      <c r="V49" s="746" t="n">
        <v>45768</v>
      </c>
      <c r="W49" s="746" t="n">
        <v>45775</v>
      </c>
      <c r="X49" s="746" t="n">
        <v>45782</v>
      </c>
      <c r="Y49" s="746" t="n">
        <v>45789</v>
      </c>
      <c r="Z49" s="746" t="n">
        <v>45796</v>
      </c>
      <c r="AA49" s="746" t="n">
        <v>45803</v>
      </c>
      <c r="AB49" s="746" t="n">
        <v>45810</v>
      </c>
      <c r="AC49" s="746" t="n">
        <v>45817</v>
      </c>
      <c r="AD49" s="746" t="n">
        <v>45824</v>
      </c>
      <c r="AE49" s="746" t="n">
        <v>45831</v>
      </c>
      <c r="AF49" s="746" t="n">
        <v>45838</v>
      </c>
      <c r="AG49" s="746" t="n">
        <v>45845</v>
      </c>
      <c r="AH49" s="746" t="n">
        <v>45852</v>
      </c>
      <c r="AI49" s="746" t="n">
        <v>45859</v>
      </c>
      <c r="AJ49" s="746" t="n">
        <v>45866</v>
      </c>
      <c r="AK49" s="746" t="n">
        <v>45873</v>
      </c>
      <c r="AL49" s="746" t="n">
        <v>45880</v>
      </c>
      <c r="AM49" s="746" t="n">
        <v>45887</v>
      </c>
      <c r="AN49" s="746" t="n">
        <v>45894</v>
      </c>
      <c r="AO49" s="746" t="n">
        <v>45901</v>
      </c>
      <c r="AP49" s="746" t="n">
        <v>45915</v>
      </c>
      <c r="AQ49" s="746" t="n">
        <v>45922</v>
      </c>
      <c r="AR49" s="746" t="n">
        <v>45929</v>
      </c>
      <c r="AS49" s="746" t="n">
        <v>45936</v>
      </c>
      <c r="AT49" s="746" t="n">
        <v>45943</v>
      </c>
      <c r="AU49" s="746" t="n">
        <v>45950</v>
      </c>
      <c r="AV49" s="746" t="n">
        <v>45957</v>
      </c>
      <c r="AW49" s="746" t="n">
        <v>45964</v>
      </c>
      <c r="AX49" s="746" t="n">
        <v>45971</v>
      </c>
      <c r="AY49" s="746" t="n">
        <v>45978</v>
      </c>
      <c r="AZ49" s="746" t="n">
        <v>45985</v>
      </c>
      <c r="BA49" s="746" t="n">
        <v>45992</v>
      </c>
      <c r="BB49" s="746" t="n">
        <v>45999</v>
      </c>
      <c r="BC49" s="746" t="n">
        <v>46006</v>
      </c>
      <c r="BD49" s="746" t="n">
        <v>46013</v>
      </c>
      <c r="BE49" s="746" t="n">
        <v>46020</v>
      </c>
      <c r="BF49" s="746" t="n">
        <v>46027</v>
      </c>
      <c r="BG49" s="746" t="n">
        <v>46034</v>
      </c>
      <c r="BH49" s="746" t="n">
        <v>46041</v>
      </c>
      <c r="BI49" s="746" t="n">
        <v>46048</v>
      </c>
      <c r="BJ49" s="746" t="n">
        <v>46055</v>
      </c>
      <c r="BK49" s="746" t="n">
        <v>46062</v>
      </c>
      <c r="BL49" s="746" t="n">
        <v>46069</v>
      </c>
      <c r="BM49" s="746" t="n">
        <v>46076</v>
      </c>
      <c r="BN49" s="746" t="n">
        <v>46083</v>
      </c>
      <c r="BO49" s="746" t="n">
        <v>46090</v>
      </c>
      <c r="BP49" s="746" t="n">
        <v>46097</v>
      </c>
      <c r="BQ49" s="746" t="n">
        <v>46104</v>
      </c>
      <c r="BR49" s="746" t="n">
        <v>46111</v>
      </c>
      <c r="BS49" s="746" t="n">
        <v>46118</v>
      </c>
      <c r="BT49" s="746" t="n">
        <v>46125</v>
      </c>
      <c r="BU49" s="746" t="n">
        <v>46132</v>
      </c>
      <c r="BV49" s="746" t="n">
        <v>46139</v>
      </c>
      <c r="BW49" s="746" t="n">
        <v>46146</v>
      </c>
      <c r="BX49" s="746" t="n">
        <v>46154</v>
      </c>
      <c r="BY49" s="746" t="n">
        <v>46160</v>
      </c>
      <c r="BZ49" s="747" t="n">
        <v>46161.48025125</v>
      </c>
      <c r="CA49" s="747" t="n">
        <v>46161.48090906702</v>
      </c>
      <c r="CB49" s="748" t="inlineStr">
        <is>
          <t>USOU</t>
        </is>
      </c>
      <c r="CD49" s="44" t="inlineStr">
        <is>
          <t>Pendências</t>
        </is>
      </c>
      <c r="CE49" s="44" t="inlineStr">
        <is>
          <t>Pendências</t>
        </is>
      </c>
      <c r="CG49" s="12" t="inlineStr">
        <is>
          <t>Novo Pedido</t>
        </is>
      </c>
      <c r="CH49" s="793" t="n">
        <v>46161.48090514539</v>
      </c>
      <c r="CI49" s="794" t="n">
        <v>46149</v>
      </c>
      <c r="CJ49" s="794" t="n">
        <v>46142</v>
      </c>
      <c r="CK49" s="794" t="n">
        <v>46114</v>
      </c>
      <c r="CL49" s="794" t="n">
        <v>46107</v>
      </c>
      <c r="CM49" s="795" t="n">
        <v>46065</v>
      </c>
      <c r="CN49" s="794" t="n">
        <v>46099</v>
      </c>
      <c r="CO49" s="794" t="n">
        <v>46092</v>
      </c>
      <c r="CP49" s="796" t="n">
        <v>46045</v>
      </c>
      <c r="CQ49" s="794" t="n">
        <v>46084</v>
      </c>
      <c r="CR49" s="797" t="n">
        <v>46085</v>
      </c>
      <c r="CS49" s="794" t="n">
        <v>46077</v>
      </c>
      <c r="CT49" s="794" t="n">
        <v>46071</v>
      </c>
      <c r="CU49" s="794" t="n">
        <v>46056</v>
      </c>
      <c r="CV49" s="794" t="n">
        <v>46048</v>
      </c>
      <c r="CW49" s="794" t="n">
        <v>46056</v>
      </c>
      <c r="CX49" s="794" t="n">
        <v>46048</v>
      </c>
      <c r="CY49" s="794" t="n">
        <v>46043</v>
      </c>
      <c r="CZ49" s="794" t="n">
        <v>46035</v>
      </c>
      <c r="DA49" s="794" t="n">
        <v>46043</v>
      </c>
      <c r="DB49" s="794" t="n">
        <v>46035</v>
      </c>
      <c r="DC49" s="794" t="n">
        <v>46035</v>
      </c>
      <c r="DD49" s="794" t="n">
        <v>46029</v>
      </c>
      <c r="DE49" s="794" t="n">
        <v>46017</v>
      </c>
      <c r="DF49" s="794" t="n">
        <v>46007</v>
      </c>
      <c r="DG49" s="794" t="n">
        <v>46007</v>
      </c>
      <c r="DH49" s="794" t="n">
        <v>46001</v>
      </c>
      <c r="DI49" s="794" t="n">
        <v>46001</v>
      </c>
      <c r="DJ49" s="794" t="n">
        <v>45994</v>
      </c>
      <c r="DK49" s="794" t="n">
        <v>45994</v>
      </c>
      <c r="DL49" s="794" t="n">
        <v>45986</v>
      </c>
      <c r="DM49" s="794" t="n">
        <v>45980</v>
      </c>
      <c r="DN49" s="797" t="n">
        <v>45982</v>
      </c>
      <c r="DO49" s="794" t="n">
        <v>45973</v>
      </c>
      <c r="DP49" s="794" t="n">
        <v>45965</v>
      </c>
      <c r="DQ49" s="794" t="n">
        <v>45965</v>
      </c>
      <c r="DR49" s="794" t="n">
        <v>45960</v>
      </c>
      <c r="DS49" s="794" t="n">
        <v>45960</v>
      </c>
      <c r="DT49" s="794" t="n">
        <v>45951</v>
      </c>
      <c r="DU49" s="794" t="n">
        <v>45945</v>
      </c>
      <c r="DV49" s="737" t="n">
        <v>45903</v>
      </c>
      <c r="DW49" s="794" t="n">
        <v>45945</v>
      </c>
      <c r="DX49" s="794" t="n">
        <v>45937</v>
      </c>
      <c r="DY49" s="794" t="n">
        <v>45923</v>
      </c>
      <c r="DZ49" s="794" t="n">
        <v>45931</v>
      </c>
      <c r="EA49" s="794" t="n">
        <v>45931</v>
      </c>
      <c r="EB49" s="794" t="n">
        <v>45915</v>
      </c>
      <c r="EC49" s="794" t="n">
        <v>45923</v>
      </c>
      <c r="ED49" s="794" t="n">
        <v>45915</v>
      </c>
      <c r="EE49" s="797" t="n">
        <v>45918</v>
      </c>
      <c r="EF49" s="794" t="n">
        <v>45903</v>
      </c>
      <c r="EG49" s="738" t="n">
        <v>45903</v>
      </c>
      <c r="EH49" s="794" t="n">
        <v>45895</v>
      </c>
      <c r="EI49" s="797" t="n">
        <v>45896</v>
      </c>
      <c r="EJ49" s="794" t="n">
        <v>45888</v>
      </c>
      <c r="EK49" s="794" t="n">
        <v>45888</v>
      </c>
      <c r="EL49" s="794" t="n">
        <v>45881</v>
      </c>
      <c r="EM49" s="797" t="n">
        <v>45881</v>
      </c>
      <c r="EN49" s="794" t="n">
        <v>45874</v>
      </c>
      <c r="EO49" s="797" t="n">
        <v>45876</v>
      </c>
      <c r="EP49" s="794" t="n">
        <v>45867</v>
      </c>
      <c r="EQ49" s="794" t="n">
        <v>45860</v>
      </c>
      <c r="ER49" s="794" t="n">
        <v>45839</v>
      </c>
      <c r="ES49" s="797" t="n">
        <v>45861</v>
      </c>
      <c r="ET49" s="797" t="n">
        <v>45860</v>
      </c>
      <c r="EU49" s="794" t="n">
        <v>45853</v>
      </c>
      <c r="EV49" s="739" t="n">
        <v>45855</v>
      </c>
      <c r="EW49" s="794" t="n">
        <v>45848</v>
      </c>
      <c r="EX49" s="794" t="n">
        <v>45839</v>
      </c>
      <c r="EY49" s="739" t="n">
        <v>45791</v>
      </c>
      <c r="EZ49" s="797" t="n">
        <v>45835</v>
      </c>
      <c r="FA49" s="794" t="n">
        <v>45832</v>
      </c>
      <c r="FB49" s="794" t="n">
        <v>45825</v>
      </c>
      <c r="FC49" s="794" t="n">
        <v>45819</v>
      </c>
      <c r="FD49" s="794" t="n">
        <v>45813</v>
      </c>
      <c r="FE49" s="794" t="n">
        <v>45805</v>
      </c>
      <c r="FF49" s="797" t="n">
        <v>45811</v>
      </c>
      <c r="FG49" s="797" t="n">
        <v>45810</v>
      </c>
      <c r="FH49" s="794" t="n">
        <v>45798</v>
      </c>
      <c r="FI49" s="797" t="n">
        <v>45803</v>
      </c>
      <c r="FJ49" s="755" t="n">
        <v>45803</v>
      </c>
      <c r="FK49" s="797" t="n">
        <v>45800</v>
      </c>
      <c r="FL49" s="742" t="n">
        <v>45735</v>
      </c>
      <c r="FM49" s="797" t="n">
        <v>45796</v>
      </c>
      <c r="FN49" s="794" t="n">
        <v>45790</v>
      </c>
      <c r="FO49" s="794" t="n">
        <v>45784</v>
      </c>
      <c r="FP49" s="797" t="n">
        <v>45791</v>
      </c>
      <c r="FQ49" s="794" t="n">
        <v>45783</v>
      </c>
      <c r="FR49" s="794" t="n">
        <v>45770</v>
      </c>
      <c r="FS49" s="794" t="n">
        <v>45775</v>
      </c>
      <c r="FT49" s="794" t="n">
        <v>45770</v>
      </c>
      <c r="FU49" s="797" t="n">
        <v>45775</v>
      </c>
      <c r="FV49" s="794" t="n">
        <v>45756</v>
      </c>
      <c r="FW49" s="794" t="n">
        <v>45749</v>
      </c>
      <c r="FX49" s="797" t="n">
        <v>45751</v>
      </c>
      <c r="FY49" s="794" t="n">
        <v>45743</v>
      </c>
      <c r="FZ49" s="746" t="n">
        <v>45729</v>
      </c>
      <c r="GA49" s="794" t="n">
        <v>45722</v>
      </c>
      <c r="GB49" s="746" t="n">
        <v>45700</v>
      </c>
      <c r="GC49" s="797" t="n">
        <v>45722</v>
      </c>
      <c r="GD49" s="794" t="n">
        <v>45714</v>
      </c>
      <c r="GE49" s="794" t="n">
        <v>45706</v>
      </c>
      <c r="GF49" s="794" t="n">
        <v>45699</v>
      </c>
      <c r="GG49" s="794" t="n">
        <v>45693</v>
      </c>
      <c r="GH49" s="794" t="n">
        <v>45685</v>
      </c>
      <c r="GI49" s="797" t="n">
        <v>45687</v>
      </c>
      <c r="GJ49" s="794" t="n">
        <v>45664</v>
      </c>
      <c r="GK49" s="794" t="n">
        <v>45679</v>
      </c>
      <c r="GL49" s="797" t="n">
        <v>45684</v>
      </c>
      <c r="GM49" s="794" t="n">
        <v>45664</v>
      </c>
      <c r="GN49" s="794" t="n">
        <v>45660</v>
      </c>
      <c r="GO49" s="794" t="n">
        <v>45652</v>
      </c>
      <c r="GP49" s="794" t="n">
        <v>45643</v>
      </c>
      <c r="GQ49" s="794" t="n">
        <v>45638</v>
      </c>
    </row>
    <row r="50">
      <c r="A50" s="37" t="inlineStr">
        <is>
          <t>KIT CAIXA P OUI</t>
        </is>
      </c>
      <c r="B50" s="32" t="n">
        <v>100</v>
      </c>
      <c r="C50" s="773" t="n">
        <v>539.7</v>
      </c>
      <c r="D50" s="382" t="n">
        <v>10</v>
      </c>
      <c r="E50" s="573" t="n"/>
      <c r="F50" s="32" t="n">
        <v>20</v>
      </c>
      <c r="G50" s="32" t="n">
        <v>20</v>
      </c>
      <c r="H50" s="32" t="n">
        <v>21</v>
      </c>
      <c r="I50" s="32" t="n">
        <v>21</v>
      </c>
      <c r="J50" s="32" t="n">
        <v>21</v>
      </c>
      <c r="K50" s="32" t="n">
        <v>21</v>
      </c>
      <c r="L50" s="32" t="n">
        <v>21</v>
      </c>
      <c r="M50" s="32" t="n">
        <v>18</v>
      </c>
      <c r="N50" s="32" t="n">
        <v>18</v>
      </c>
      <c r="O50" s="32" t="n">
        <v>18</v>
      </c>
      <c r="P50" s="32" t="n">
        <v>18</v>
      </c>
      <c r="Q50" s="32" t="n">
        <v>18</v>
      </c>
      <c r="R50" s="32" t="n">
        <v>17</v>
      </c>
      <c r="S50" s="32" t="n">
        <v>17</v>
      </c>
      <c r="T50" s="32" t="n">
        <v>17</v>
      </c>
      <c r="U50" s="32" t="n">
        <v>17</v>
      </c>
      <c r="V50" s="32" t="n">
        <v>27</v>
      </c>
      <c r="W50" s="32" t="n">
        <v>27</v>
      </c>
      <c r="X50" s="32" t="n">
        <v>27</v>
      </c>
      <c r="Y50" s="32" t="n">
        <v>25</v>
      </c>
      <c r="Z50" s="32" t="n">
        <v>25</v>
      </c>
      <c r="AA50" s="32" t="n">
        <v>25</v>
      </c>
      <c r="AB50" s="32" t="n">
        <v>25</v>
      </c>
      <c r="AC50" s="32" t="n">
        <v>24</v>
      </c>
      <c r="AD50" s="32" t="n">
        <v>24</v>
      </c>
      <c r="AE50" s="32">
        <f>24+49</f>
        <v/>
      </c>
      <c r="AF50" s="32" t="n">
        <v>73</v>
      </c>
      <c r="AG50" s="32" t="n">
        <v>73</v>
      </c>
      <c r="AH50" s="32" t="n">
        <v>73</v>
      </c>
      <c r="AI50" s="32" t="n">
        <v>73</v>
      </c>
      <c r="AJ50" s="32" t="n">
        <v>73</v>
      </c>
      <c r="AK50" s="32" t="n">
        <v>73</v>
      </c>
      <c r="AL50" s="32" t="n">
        <v>73</v>
      </c>
      <c r="AM50" s="32" t="n">
        <v>73</v>
      </c>
      <c r="AN50" s="32" t="n">
        <v>73</v>
      </c>
      <c r="AO50" s="32" t="n">
        <v>73</v>
      </c>
      <c r="AP50" s="32" t="n">
        <v>73</v>
      </c>
      <c r="AQ50" s="32" t="n">
        <v>73</v>
      </c>
      <c r="AR50" s="32" t="n">
        <v>73</v>
      </c>
      <c r="AS50" s="32" t="n">
        <v>73</v>
      </c>
      <c r="AT50" s="32" t="n">
        <v>73</v>
      </c>
      <c r="AU50" s="32" t="n">
        <v>72</v>
      </c>
      <c r="AV50" s="32" t="n">
        <v>92</v>
      </c>
      <c r="AW50" s="32" t="n">
        <v>92</v>
      </c>
      <c r="AX50" s="32" t="n">
        <v>89</v>
      </c>
      <c r="AY50" s="32" t="n">
        <v>89</v>
      </c>
      <c r="AZ50" s="32" t="n">
        <v>88</v>
      </c>
      <c r="BA50" s="32" t="n">
        <v>88</v>
      </c>
      <c r="BB50" s="32" t="n">
        <v>87</v>
      </c>
      <c r="BC50" s="32" t="n">
        <v>87</v>
      </c>
      <c r="BD50" s="32" t="n">
        <v>87</v>
      </c>
      <c r="BE50" s="32" t="n">
        <v>87</v>
      </c>
      <c r="BF50" s="32" t="n">
        <v>87</v>
      </c>
      <c r="BG50" s="32" t="n">
        <v>87</v>
      </c>
      <c r="BH50" s="32" t="n">
        <v>87</v>
      </c>
      <c r="BI50" s="32" t="n">
        <v>85</v>
      </c>
      <c r="BJ50" s="32" t="n">
        <v>85</v>
      </c>
      <c r="BK50" s="32" t="n">
        <v>84</v>
      </c>
      <c r="BL50" s="32" t="n">
        <v>84</v>
      </c>
      <c r="BM50" s="32" t="n">
        <v>83</v>
      </c>
      <c r="BN50" s="32" t="n">
        <v>83</v>
      </c>
      <c r="BO50" s="32" t="n">
        <v>83</v>
      </c>
      <c r="BP50" s="32" t="n">
        <v>83</v>
      </c>
      <c r="BQ50" s="32" t="n">
        <v>82</v>
      </c>
      <c r="BR50" s="32" t="n">
        <v>82</v>
      </c>
      <c r="BS50" s="32" t="n"/>
      <c r="BT50" s="32" t="n"/>
      <c r="BU50" s="32" t="n"/>
      <c r="BV50" s="32" t="n"/>
      <c r="BW50" s="32" t="n"/>
      <c r="BX50" s="32" t="n">
        <v>81</v>
      </c>
      <c r="BY50" s="32" t="n">
        <v>81</v>
      </c>
      <c r="BZ50" s="32" t="n">
        <v>81</v>
      </c>
      <c r="CA50" s="32" t="n">
        <v>81</v>
      </c>
      <c r="CB50" s="192">
        <f>BZ50+IF(NOT(ISBLANK(OFFSET(CB50,0,6))),N(OFFSET(CB50,0,6)),N(OFFSET(CB50,0,7)))-CA50</f>
        <v/>
      </c>
      <c r="CD50" s="22" t="n"/>
      <c r="CE50" s="22" t="n"/>
      <c r="CG50" s="73" t="n"/>
      <c r="CH50" s="830" t="n">
        <v>0</v>
      </c>
      <c r="CI50" s="40" t="n">
        <v>0</v>
      </c>
      <c r="CJ50" s="40" t="n">
        <v>0</v>
      </c>
      <c r="CK50" s="40" t="n">
        <v>0</v>
      </c>
      <c r="CL50" s="40" t="n"/>
      <c r="CM50" s="40" t="n"/>
      <c r="CN50" s="40" t="n"/>
      <c r="CO50" s="40" t="n"/>
      <c r="CP50" s="40" t="n"/>
      <c r="CQ50" s="40" t="n"/>
      <c r="CR50" s="40" t="n"/>
      <c r="CS50" s="40" t="n"/>
      <c r="CT50" s="40" t="n"/>
      <c r="CU50" s="40" t="n"/>
      <c r="CV50" s="40" t="n"/>
      <c r="CW50" s="40" t="n"/>
      <c r="CX50" s="40" t="n"/>
      <c r="CY50" s="40" t="n"/>
      <c r="CZ50" s="40" t="n"/>
      <c r="DA50" s="40" t="n"/>
      <c r="DB50" s="40" t="n"/>
      <c r="DC50" s="40" t="n"/>
      <c r="DD50" s="40" t="n"/>
      <c r="DE50" s="40" t="n"/>
      <c r="DF50" s="40" t="n"/>
      <c r="DG50" s="40" t="n"/>
      <c r="DH50" s="40" t="n"/>
      <c r="DI50" s="40" t="n"/>
      <c r="DJ50" s="40" t="n"/>
      <c r="DK50" s="40" t="n"/>
      <c r="DL50" s="40" t="n"/>
      <c r="DM50" s="40" t="n"/>
      <c r="DN50" s="219" t="n"/>
      <c r="DO50" s="40" t="n"/>
      <c r="DP50" s="40" t="n"/>
      <c r="DQ50" s="40" t="n"/>
      <c r="DR50" s="40" t="n"/>
      <c r="DS50" s="40" t="n"/>
      <c r="DT50" s="40" t="n"/>
      <c r="DU50" s="40" t="n"/>
      <c r="DV50" s="40" t="n"/>
      <c r="DW50" s="40" t="n"/>
      <c r="DX50" s="40" t="n"/>
      <c r="DY50" s="40" t="n"/>
      <c r="DZ50" s="40" t="n"/>
      <c r="EA50" s="40" t="n"/>
      <c r="EB50" s="40" t="n"/>
      <c r="EC50" s="40" t="n"/>
      <c r="ED50" s="40" t="n"/>
      <c r="EE50" s="40" t="n"/>
      <c r="EF50" s="40" t="n"/>
      <c r="EG50" s="40" t="n"/>
      <c r="EH50" s="40" t="n"/>
      <c r="EI50" s="40" t="n"/>
      <c r="EJ50" s="40" t="n"/>
      <c r="EK50" s="40" t="n"/>
      <c r="EL50" s="40" t="n"/>
      <c r="EM50" s="40" t="n"/>
      <c r="EN50" s="40" t="n"/>
      <c r="EO50" s="40" t="n"/>
      <c r="EP50" s="40" t="n"/>
      <c r="EQ50" s="40" t="n"/>
      <c r="ER50" s="40" t="n"/>
      <c r="ES50" s="40" t="n"/>
      <c r="ET50" s="40" t="n"/>
      <c r="EU50" s="40" t="n"/>
      <c r="EV50" s="40" t="n"/>
      <c r="EW50" s="40" t="n"/>
      <c r="EX50" s="40" t="n"/>
      <c r="EY50" s="40" t="n"/>
      <c r="EZ50" s="282" t="inlineStr">
        <is>
          <t>49 DE CDB</t>
        </is>
      </c>
      <c r="FA50" s="40" t="n"/>
      <c r="FB50" s="40" t="n"/>
      <c r="FC50" s="40" t="n"/>
      <c r="FD50" s="40" t="n"/>
      <c r="FE50" s="40" t="n"/>
      <c r="FF50" s="40" t="n"/>
      <c r="FG50" s="40" t="n"/>
      <c r="FH50" s="40" t="n"/>
      <c r="FI50" s="40" t="n"/>
      <c r="FJ50" s="40" t="n"/>
      <c r="FK50" s="23" t="n"/>
      <c r="FL50" s="219" t="n"/>
      <c r="FM50" s="40" t="n"/>
      <c r="FN50" s="40" t="n"/>
      <c r="FO50" s="40" t="n"/>
      <c r="FP50" s="40" t="n"/>
      <c r="FQ50" s="40" t="n"/>
      <c r="FR50" s="40" t="n"/>
      <c r="FS50" s="40" t="n"/>
      <c r="FT50" s="40" t="n"/>
      <c r="FU50" s="40" t="n"/>
      <c r="FV50" s="40" t="n"/>
      <c r="FW50" s="40" t="n"/>
      <c r="FX50" s="40" t="n"/>
      <c r="FY50" s="40" t="n"/>
      <c r="FZ50" s="219" t="n"/>
      <c r="GA50" s="40" t="n"/>
      <c r="GB50" s="219" t="n"/>
      <c r="GC50" s="40" t="n"/>
      <c r="GD50" s="40" t="n"/>
      <c r="GE50" s="40" t="n"/>
      <c r="GF50" s="40" t="n"/>
      <c r="GG50" s="40" t="n"/>
      <c r="GH50" s="40" t="n"/>
      <c r="GI50" s="40" t="n"/>
      <c r="GJ50" s="40" t="n"/>
      <c r="GK50" s="40" t="n"/>
      <c r="GL50" s="40" t="n"/>
      <c r="GM50" s="40" t="n"/>
      <c r="GN50" s="40" t="n"/>
      <c r="GO50" s="40" t="n"/>
      <c r="GP50" s="40" t="n"/>
      <c r="GQ50" s="40" t="n"/>
    </row>
    <row r="51" ht="18.75" customHeight="1">
      <c r="A51" s="37" t="inlineStr">
        <is>
          <t>KIT CAIXA M OUI</t>
        </is>
      </c>
      <c r="B51" s="32" t="n">
        <v>100</v>
      </c>
      <c r="C51" s="773" t="n">
        <v>652.05</v>
      </c>
      <c r="D51" s="382" t="n">
        <v>10</v>
      </c>
      <c r="E51" s="573" t="n"/>
      <c r="F51" s="32" t="n">
        <v>13</v>
      </c>
      <c r="G51" s="32" t="n">
        <v>13</v>
      </c>
      <c r="H51" s="32" t="n">
        <v>13</v>
      </c>
      <c r="I51" s="32" t="n">
        <v>13</v>
      </c>
      <c r="J51" s="32" t="n">
        <v>13</v>
      </c>
      <c r="K51" s="32" t="n">
        <v>12</v>
      </c>
      <c r="L51" s="32" t="n">
        <v>12</v>
      </c>
      <c r="M51" s="32" t="n">
        <v>12</v>
      </c>
      <c r="N51" s="32" t="n">
        <v>12</v>
      </c>
      <c r="O51" s="32">
        <f>0+10</f>
        <v/>
      </c>
      <c r="P51" s="32" t="n">
        <v>10</v>
      </c>
      <c r="Q51" s="32">
        <f>0+10</f>
        <v/>
      </c>
      <c r="R51" s="32" t="n">
        <v>7</v>
      </c>
      <c r="S51" s="32">
        <f>4+50</f>
        <v/>
      </c>
      <c r="T51" s="32" t="n">
        <v>51</v>
      </c>
      <c r="U51" s="32" t="n">
        <v>43</v>
      </c>
      <c r="V51" s="32" t="n">
        <v>40</v>
      </c>
      <c r="W51" s="32" t="n">
        <v>31</v>
      </c>
      <c r="X51" s="32" t="n">
        <v>26</v>
      </c>
      <c r="Y51" s="32" t="n">
        <v>22</v>
      </c>
      <c r="Z51" s="32" t="n">
        <v>18</v>
      </c>
      <c r="AA51" s="32" t="n">
        <v>15</v>
      </c>
      <c r="AB51" s="32" t="n">
        <v>13</v>
      </c>
      <c r="AC51" s="32" t="n">
        <v>12</v>
      </c>
      <c r="AD51" s="32" t="n">
        <v>11</v>
      </c>
      <c r="AE51" s="32">
        <f>11-5</f>
        <v/>
      </c>
      <c r="AF51" s="32" t="n">
        <v>7</v>
      </c>
      <c r="AG51" s="32" t="n">
        <v>7</v>
      </c>
      <c r="AH51" s="32" t="n">
        <v>6</v>
      </c>
      <c r="AI51" s="32">
        <f>3+10</f>
        <v/>
      </c>
      <c r="AJ51" s="32" t="n">
        <v>13</v>
      </c>
      <c r="AK51" s="32" t="n">
        <v>13</v>
      </c>
      <c r="AL51" s="32" t="n">
        <v>12</v>
      </c>
      <c r="AM51" s="32" t="n">
        <v>12</v>
      </c>
      <c r="AN51" s="32" t="n">
        <v>10</v>
      </c>
      <c r="AO51" s="32" t="n">
        <v>10</v>
      </c>
      <c r="AP51" s="32">
        <f>9+10</f>
        <v/>
      </c>
      <c r="AQ51" s="32" t="n">
        <v>18</v>
      </c>
      <c r="AR51" s="32" t="n">
        <v>18</v>
      </c>
      <c r="AS51" s="32" t="n">
        <v>15</v>
      </c>
      <c r="AT51" s="439" t="n">
        <v>40</v>
      </c>
      <c r="AU51" s="32" t="n">
        <v>39</v>
      </c>
      <c r="AV51" s="32" t="n">
        <v>35</v>
      </c>
      <c r="AW51" s="32" t="n">
        <v>33</v>
      </c>
      <c r="AX51" s="32" t="n">
        <v>30</v>
      </c>
      <c r="AY51" s="32" t="n">
        <v>27</v>
      </c>
      <c r="AZ51" s="32" t="n">
        <v>26</v>
      </c>
      <c r="BA51" s="32" t="n">
        <v>22</v>
      </c>
      <c r="BB51" s="32" t="n">
        <v>18</v>
      </c>
      <c r="BC51" s="32" t="n">
        <v>10</v>
      </c>
      <c r="BD51" s="32" t="n">
        <v>2</v>
      </c>
      <c r="BE51" s="32" t="n">
        <v>2</v>
      </c>
      <c r="BF51" s="32" t="n">
        <v>2</v>
      </c>
      <c r="BG51" s="32" t="n">
        <v>2</v>
      </c>
      <c r="BH51" s="32" t="n">
        <v>2</v>
      </c>
      <c r="BI51" s="32" t="n">
        <v>0</v>
      </c>
      <c r="BJ51" s="32">
        <f>0+CV51</f>
        <v/>
      </c>
      <c r="BK51" s="32" t="n">
        <v>100</v>
      </c>
      <c r="BL51" s="32" t="n">
        <v>100</v>
      </c>
      <c r="BM51" s="32" t="n">
        <v>99</v>
      </c>
      <c r="BN51" s="32" t="n">
        <v>99</v>
      </c>
      <c r="BO51" s="32" t="n">
        <v>97</v>
      </c>
      <c r="BP51" s="32" t="n">
        <v>97</v>
      </c>
      <c r="BQ51" s="32" t="n">
        <v>97</v>
      </c>
      <c r="BR51" s="32" t="n">
        <v>97</v>
      </c>
      <c r="BS51" s="32" t="n"/>
      <c r="BT51" s="32" t="n"/>
      <c r="BU51" s="32" t="n"/>
      <c r="BV51" s="32" t="n"/>
      <c r="BW51" s="32" t="n"/>
      <c r="BX51" s="32" t="n">
        <v>87</v>
      </c>
      <c r="BY51" s="32" t="n">
        <v>86</v>
      </c>
      <c r="BZ51" s="32" t="n">
        <v>86</v>
      </c>
      <c r="CA51" s="32" t="n">
        <v>86</v>
      </c>
      <c r="CB51" s="192">
        <f>BZ51+IF(NOT(ISBLANK(OFFSET(CB51,0,6))),N(OFFSET(CB51,0,6)),N(OFFSET(CB51,0,7)))-CA51</f>
        <v/>
      </c>
      <c r="CD51" s="22" t="inlineStr">
        <is>
          <t>50 P/ CDB</t>
        </is>
      </c>
      <c r="CE51" s="22" t="n"/>
      <c r="CG51" s="27" t="n"/>
      <c r="CH51" s="830" t="n">
        <v>0</v>
      </c>
      <c r="CI51" s="40" t="n">
        <v>0</v>
      </c>
      <c r="CJ51" s="40" t="n">
        <v>0</v>
      </c>
      <c r="CK51" s="40" t="n">
        <v>0</v>
      </c>
      <c r="CL51" s="40" t="n"/>
      <c r="CM51" s="40" t="n"/>
      <c r="CN51" s="40" t="n"/>
      <c r="CO51" s="40" t="n"/>
      <c r="CP51" s="40" t="n"/>
      <c r="CQ51" s="40" t="n"/>
      <c r="CR51" s="40" t="n"/>
      <c r="CS51" s="40" t="n"/>
      <c r="CT51" s="40" t="n"/>
      <c r="CU51" s="40" t="n"/>
      <c r="CV51" s="40" t="n"/>
      <c r="CW51" s="40" t="n"/>
      <c r="CX51" s="40" t="n">
        <v>100</v>
      </c>
      <c r="CY51" s="40" t="n"/>
      <c r="CZ51" s="40" t="n"/>
      <c r="DA51" s="40" t="n"/>
      <c r="DB51" s="40" t="n"/>
      <c r="DC51" s="40" t="n"/>
      <c r="DD51" s="40" t="n"/>
      <c r="DE51" s="40" t="n"/>
      <c r="DF51" s="40" t="n"/>
      <c r="DG51" s="40" t="n"/>
      <c r="DH51" s="40" t="n"/>
      <c r="DI51" s="40" t="n"/>
      <c r="DJ51" s="40" t="n"/>
      <c r="DK51" s="40" t="n"/>
      <c r="DL51" s="40" t="n"/>
      <c r="DM51" s="40" t="n"/>
      <c r="DN51" s="219" t="n"/>
      <c r="DO51" s="40" t="n"/>
      <c r="DP51" s="40" t="n"/>
      <c r="DQ51" s="40" t="n"/>
      <c r="DR51" s="40" t="n"/>
      <c r="DS51" s="40" t="n"/>
      <c r="DT51" s="40" t="n"/>
      <c r="DU51" s="40" t="n"/>
      <c r="DV51" s="40" t="n"/>
      <c r="DW51" s="40" t="n"/>
      <c r="DX51" s="40" t="n"/>
      <c r="DY51" s="40" t="n"/>
      <c r="DZ51" s="40" t="n"/>
      <c r="EA51" s="40" t="n"/>
      <c r="EB51" s="40" t="n"/>
      <c r="EC51" s="40" t="n"/>
      <c r="ED51" s="40" t="n"/>
      <c r="EE51" s="192" t="inlineStr">
        <is>
          <t>10 DE CD</t>
        </is>
      </c>
      <c r="EF51" s="40" t="n"/>
      <c r="EG51" s="40" t="n"/>
      <c r="EH51" s="40" t="n"/>
      <c r="EI51" s="40" t="n"/>
      <c r="EJ51" s="40" t="n"/>
      <c r="EK51" s="40" t="n"/>
      <c r="EL51" s="40" t="n"/>
      <c r="EM51" s="40" t="n"/>
      <c r="EN51" s="40" t="n"/>
      <c r="EO51" s="40" t="n"/>
      <c r="EP51" s="40" t="n"/>
      <c r="EQ51" s="40" t="n"/>
      <c r="ER51" s="40" t="n"/>
      <c r="ES51" s="40" t="n"/>
      <c r="ET51" s="282" t="inlineStr">
        <is>
          <t>10 DE CD</t>
        </is>
      </c>
      <c r="EU51" s="40" t="n"/>
      <c r="EV51" s="40" t="n"/>
      <c r="EW51" s="40" t="n"/>
      <c r="EX51" s="40" t="n"/>
      <c r="EY51" s="40" t="n"/>
      <c r="EZ51" s="282" t="inlineStr">
        <is>
          <t>05 P/ CDB</t>
        </is>
      </c>
      <c r="FA51" s="40" t="n"/>
      <c r="FB51" s="40" t="n"/>
      <c r="FC51" s="40" t="n"/>
      <c r="FD51" s="40" t="n"/>
      <c r="FE51" s="40" t="n"/>
      <c r="FF51" s="40" t="n"/>
      <c r="FG51" s="40" t="n"/>
      <c r="FH51" s="40" t="n"/>
      <c r="FI51" s="40" t="n"/>
      <c r="FJ51" s="40" t="n"/>
      <c r="FK51" s="23" t="n"/>
      <c r="FL51" s="219" t="n"/>
      <c r="FM51" s="40" t="n"/>
      <c r="FN51" s="40" t="n"/>
      <c r="FO51" s="40" t="n"/>
      <c r="FP51" s="40" t="n"/>
      <c r="FQ51" s="40" t="n"/>
      <c r="FR51" s="40" t="n"/>
      <c r="FS51" s="40" t="n"/>
      <c r="FT51" s="40" t="n"/>
      <c r="FU51" s="40" t="n"/>
      <c r="FV51" s="40" t="n"/>
      <c r="FW51" s="40" t="n"/>
      <c r="FX51" s="282" t="inlineStr">
        <is>
          <t>50 DE CD</t>
        </is>
      </c>
      <c r="FY51" s="40" t="n"/>
      <c r="FZ51" s="219" t="n"/>
      <c r="GA51" s="40" t="n"/>
      <c r="GB51" s="219" t="n"/>
      <c r="GC51" s="282" t="inlineStr">
        <is>
          <t>10 DE CD</t>
        </is>
      </c>
      <c r="GD51" s="40" t="n"/>
      <c r="GE51" s="40" t="n"/>
      <c r="GF51" s="40" t="n"/>
      <c r="GG51" s="40" t="n"/>
      <c r="GH51" s="40" t="n"/>
      <c r="GI51" s="40" t="n"/>
      <c r="GJ51" s="40" t="n"/>
      <c r="GK51" s="40" t="n"/>
      <c r="GL51" s="40" t="n"/>
      <c r="GM51" s="40" t="n"/>
      <c r="GN51" s="40" t="n"/>
      <c r="GO51" s="40" t="n"/>
      <c r="GP51" s="40" t="n"/>
      <c r="GQ51" s="40" t="n"/>
    </row>
    <row r="52">
      <c r="A52" s="37" t="inlineStr">
        <is>
          <t>KIT CAIXA G OUI</t>
        </is>
      </c>
      <c r="B52" s="32" t="n">
        <v>50</v>
      </c>
      <c r="C52" s="773" t="n">
        <v>567.53</v>
      </c>
      <c r="D52" s="382" t="n">
        <v>5</v>
      </c>
      <c r="E52" s="573" t="n"/>
      <c r="F52" s="32" t="n">
        <v>23</v>
      </c>
      <c r="G52" s="32" t="n">
        <v>23</v>
      </c>
      <c r="H52" s="32" t="n">
        <v>23</v>
      </c>
      <c r="I52" s="32" t="n">
        <v>23</v>
      </c>
      <c r="J52" s="32" t="n">
        <v>23</v>
      </c>
      <c r="K52" s="32" t="n">
        <v>23</v>
      </c>
      <c r="L52" s="32" t="n">
        <v>23</v>
      </c>
      <c r="M52" s="32" t="n">
        <v>14</v>
      </c>
      <c r="N52" s="32" t="n">
        <v>14</v>
      </c>
      <c r="O52" s="32" t="n">
        <v>13</v>
      </c>
      <c r="P52" s="32" t="n">
        <v>13</v>
      </c>
      <c r="Q52" s="32" t="n">
        <v>13</v>
      </c>
      <c r="R52" s="32" t="n">
        <v>13</v>
      </c>
      <c r="S52" s="32" t="n">
        <v>13</v>
      </c>
      <c r="T52" s="32" t="n">
        <v>13</v>
      </c>
      <c r="U52" s="32" t="n">
        <v>13</v>
      </c>
      <c r="V52" s="32" t="n">
        <v>23</v>
      </c>
      <c r="W52" s="32" t="n">
        <v>23</v>
      </c>
      <c r="X52" s="32" t="n">
        <v>23</v>
      </c>
      <c r="Y52" s="32" t="n">
        <v>23</v>
      </c>
      <c r="Z52" s="32" t="n">
        <v>23</v>
      </c>
      <c r="AA52" s="32" t="n">
        <v>23</v>
      </c>
      <c r="AB52" s="32" t="n">
        <v>23</v>
      </c>
      <c r="AC52" s="32" t="n">
        <v>23</v>
      </c>
      <c r="AD52" s="32" t="n">
        <v>23</v>
      </c>
      <c r="AE52" s="32">
        <f>23+30</f>
        <v/>
      </c>
      <c r="AF52" s="32" t="n">
        <v>53</v>
      </c>
      <c r="AG52" s="32" t="n">
        <v>53</v>
      </c>
      <c r="AH52" s="32" t="n">
        <v>53</v>
      </c>
      <c r="AI52" s="32" t="n">
        <v>53</v>
      </c>
      <c r="AJ52" s="32" t="n">
        <v>53</v>
      </c>
      <c r="AK52" s="32" t="n">
        <v>53</v>
      </c>
      <c r="AL52" s="32" t="n">
        <v>52</v>
      </c>
      <c r="AM52" s="32" t="n">
        <v>52</v>
      </c>
      <c r="AN52" s="32" t="n">
        <v>52</v>
      </c>
      <c r="AO52" s="32" t="n">
        <v>52</v>
      </c>
      <c r="AP52" s="32" t="n">
        <v>52</v>
      </c>
      <c r="AQ52" s="32" t="n">
        <v>52</v>
      </c>
      <c r="AR52" s="32" t="n">
        <v>52</v>
      </c>
      <c r="AS52" s="32" t="n">
        <v>52</v>
      </c>
      <c r="AT52" s="32" t="n">
        <v>51</v>
      </c>
      <c r="AU52" s="32" t="n">
        <v>51</v>
      </c>
      <c r="AV52" s="32" t="n">
        <v>51</v>
      </c>
      <c r="AW52" s="32" t="n">
        <v>51</v>
      </c>
      <c r="AX52" s="32" t="n">
        <v>51</v>
      </c>
      <c r="AY52" s="32" t="n">
        <v>51</v>
      </c>
      <c r="AZ52" s="32" t="n">
        <v>50</v>
      </c>
      <c r="BA52" s="32" t="n">
        <v>50</v>
      </c>
      <c r="BB52" s="32" t="n">
        <v>49</v>
      </c>
      <c r="BC52" s="32" t="n">
        <v>49</v>
      </c>
      <c r="BD52" s="32" t="n">
        <v>49</v>
      </c>
      <c r="BE52" s="32" t="n">
        <v>48</v>
      </c>
      <c r="BF52" s="32" t="n">
        <v>48</v>
      </c>
      <c r="BG52" s="32" t="n">
        <v>48</v>
      </c>
      <c r="BH52" s="32" t="n">
        <v>48</v>
      </c>
      <c r="BI52" s="32" t="n">
        <v>42</v>
      </c>
      <c r="BJ52" s="32" t="n">
        <v>42</v>
      </c>
      <c r="BK52" s="32" t="n">
        <v>42</v>
      </c>
      <c r="BL52" s="32" t="n">
        <v>42</v>
      </c>
      <c r="BM52" s="32" t="n">
        <v>42</v>
      </c>
      <c r="BN52" s="32" t="n">
        <v>42</v>
      </c>
      <c r="BO52" s="32" t="n">
        <v>42</v>
      </c>
      <c r="BP52" s="32" t="n">
        <v>42</v>
      </c>
      <c r="BQ52" s="32" t="n">
        <v>42</v>
      </c>
      <c r="BR52" s="32" t="n">
        <v>42</v>
      </c>
      <c r="BS52" s="32" t="n"/>
      <c r="BT52" s="32" t="n"/>
      <c r="BU52" s="32" t="n"/>
      <c r="BV52" s="32" t="n"/>
      <c r="BW52" s="32" t="n"/>
      <c r="BX52" s="32" t="n">
        <v>41</v>
      </c>
      <c r="BY52" s="32" t="n">
        <v>40</v>
      </c>
      <c r="BZ52" s="32" t="n">
        <v>40</v>
      </c>
      <c r="CA52" s="32" t="n">
        <v>40</v>
      </c>
      <c r="CB52" s="192">
        <f>BZ52+IF(NOT(ISBLANK(OFFSET(CB52,0,6))),N(OFFSET(CB52,0,6)),N(OFFSET(CB52,0,7)))-CA52</f>
        <v/>
      </c>
      <c r="CC52" s="5" t="n"/>
      <c r="CD52" s="22" t="n"/>
      <c r="CE52" s="22" t="n"/>
      <c r="CF52" s="5" t="n"/>
      <c r="CG52" s="73" t="n"/>
      <c r="CH52" s="830" t="n">
        <v>0</v>
      </c>
      <c r="CI52" s="40" t="n">
        <v>0</v>
      </c>
      <c r="CJ52" s="40" t="n">
        <v>0</v>
      </c>
      <c r="CK52" s="40" t="n">
        <v>0</v>
      </c>
      <c r="CL52" s="40" t="n"/>
      <c r="CM52" s="40" t="n"/>
      <c r="CN52" s="40" t="n"/>
      <c r="CO52" s="40" t="n"/>
      <c r="CP52" s="40" t="n"/>
      <c r="CQ52" s="40" t="n"/>
      <c r="CR52" s="40" t="n"/>
      <c r="CS52" s="40" t="n"/>
      <c r="CT52" s="40" t="n"/>
      <c r="CU52" s="40" t="n"/>
      <c r="CV52" s="40" t="n"/>
      <c r="CW52" s="40" t="n"/>
      <c r="CX52" s="40" t="n"/>
      <c r="CY52" s="40" t="n"/>
      <c r="CZ52" s="40" t="n"/>
      <c r="DA52" s="40" t="n"/>
      <c r="DB52" s="40" t="n"/>
      <c r="DC52" s="40" t="n"/>
      <c r="DD52" s="40" t="n"/>
      <c r="DE52" s="40" t="n"/>
      <c r="DF52" s="40" t="n"/>
      <c r="DG52" s="40" t="n"/>
      <c r="DH52" s="40" t="n"/>
      <c r="DI52" s="40" t="n"/>
      <c r="DJ52" s="40" t="n"/>
      <c r="DK52" s="40" t="n"/>
      <c r="DL52" s="40" t="n"/>
      <c r="DM52" s="40" t="n"/>
      <c r="DN52" s="219" t="n"/>
      <c r="DO52" s="40" t="n"/>
      <c r="DP52" s="40" t="n"/>
      <c r="DQ52" s="40" t="n"/>
      <c r="DR52" s="40" t="n"/>
      <c r="DS52" s="40" t="n"/>
      <c r="DT52" s="40" t="n"/>
      <c r="DU52" s="40" t="n"/>
      <c r="DV52" s="40" t="n"/>
      <c r="DW52" s="40" t="n"/>
      <c r="DX52" s="40" t="n"/>
      <c r="DY52" s="40" t="n"/>
      <c r="DZ52" s="40" t="n"/>
      <c r="EA52" s="40" t="n"/>
      <c r="EB52" s="40" t="n"/>
      <c r="EC52" s="40" t="n"/>
      <c r="ED52" s="40" t="n"/>
      <c r="EE52" s="40" t="n"/>
      <c r="EF52" s="40" t="n"/>
      <c r="EG52" s="40" t="n"/>
      <c r="EH52" s="40" t="n"/>
      <c r="EI52" s="40" t="n"/>
      <c r="EJ52" s="40" t="n"/>
      <c r="EK52" s="40" t="n"/>
      <c r="EL52" s="40" t="n"/>
      <c r="EM52" s="40" t="n"/>
      <c r="EN52" s="40" t="n"/>
      <c r="EO52" s="40" t="n"/>
      <c r="EP52" s="40" t="n"/>
      <c r="EQ52" s="40" t="n"/>
      <c r="ER52" s="40" t="n"/>
      <c r="ES52" s="40" t="n"/>
      <c r="ET52" s="40" t="n"/>
      <c r="EU52" s="40" t="n"/>
      <c r="EV52" s="40" t="n"/>
      <c r="EW52" s="40" t="n"/>
      <c r="EX52" s="40" t="n"/>
      <c r="EY52" s="40" t="n"/>
      <c r="EZ52" s="282" t="inlineStr">
        <is>
          <t>30 DE CDB</t>
        </is>
      </c>
      <c r="FA52" s="40" t="n"/>
      <c r="FB52" s="40" t="n"/>
      <c r="FC52" s="40" t="n"/>
      <c r="FD52" s="40" t="n"/>
      <c r="FE52" s="40" t="n"/>
      <c r="FF52" s="40" t="n"/>
      <c r="FG52" s="40" t="n"/>
      <c r="FH52" s="40" t="n"/>
      <c r="FI52" s="40" t="n"/>
      <c r="FJ52" s="40" t="n"/>
      <c r="FK52" s="23" t="n"/>
      <c r="FL52" s="219" t="n"/>
      <c r="FM52" s="40" t="n"/>
      <c r="FN52" s="40" t="n"/>
      <c r="FO52" s="40" t="n"/>
      <c r="FP52" s="40" t="n"/>
      <c r="FQ52" s="40" t="n"/>
      <c r="FR52" s="40" t="n"/>
      <c r="FS52" s="40" t="n"/>
      <c r="FT52" s="40" t="n"/>
      <c r="FU52" s="40" t="n"/>
      <c r="FV52" s="40" t="n"/>
      <c r="FW52" s="40" t="n"/>
      <c r="FX52" s="40" t="n"/>
      <c r="FY52" s="40" t="n"/>
      <c r="FZ52" s="219" t="n"/>
      <c r="GA52" s="40" t="n"/>
      <c r="GB52" s="219" t="n"/>
      <c r="GC52" s="40" t="n"/>
      <c r="GD52" s="40" t="n"/>
      <c r="GE52" s="40" t="n"/>
      <c r="GF52" s="40" t="n"/>
      <c r="GG52" s="40" t="n"/>
      <c r="GH52" s="40" t="n"/>
      <c r="GI52" s="40" t="n"/>
      <c r="GJ52" s="40" t="n"/>
      <c r="GK52" s="40" t="n"/>
      <c r="GL52" s="40" t="n"/>
      <c r="GM52" s="40" t="n"/>
      <c r="GN52" s="40" t="n"/>
      <c r="GO52" s="40" t="n"/>
      <c r="GP52" s="40" t="n"/>
      <c r="GQ52" s="40" t="n"/>
      <c r="GR52" s="5" t="n"/>
      <c r="GS52" s="5" t="n"/>
      <c r="GT52" s="5" t="n"/>
      <c r="GU52" s="5" t="n"/>
      <c r="GV52" s="5" t="n"/>
      <c r="GW52" s="5" t="n"/>
      <c r="GX52" s="5" t="n"/>
      <c r="GY52" s="5" t="n"/>
      <c r="GZ52" s="5" t="n"/>
      <c r="HA52" s="5" t="n"/>
      <c r="HB52" s="5" t="n"/>
      <c r="HC52" s="5" t="n"/>
      <c r="HD52" s="5" t="n"/>
      <c r="HE52" s="5" t="n"/>
      <c r="HF52" s="5" t="n"/>
      <c r="HG52" s="5" t="n"/>
      <c r="HH52" s="5" t="n"/>
      <c r="HI52" s="5" t="n"/>
      <c r="HJ52" s="5" t="n"/>
      <c r="HK52" s="5" t="n"/>
      <c r="HL52" s="5" t="n"/>
      <c r="HM52" s="5" t="n"/>
      <c r="HN52" s="5" t="n"/>
      <c r="HO52" s="5" t="n"/>
      <c r="HQ52" s="5" t="n"/>
      <c r="HR52" s="5" t="n"/>
      <c r="HS52" s="5" t="n"/>
      <c r="HT52" s="5" t="n"/>
      <c r="HU52" s="5" t="n"/>
      <c r="HV52" s="5" t="n"/>
      <c r="HW52" s="5" t="n"/>
      <c r="HX52" s="5" t="n"/>
      <c r="HY52" s="5" t="n"/>
      <c r="HZ52" s="5" t="n"/>
      <c r="IA52" s="5" t="n"/>
      <c r="IB52" s="5" t="n"/>
      <c r="IC52" s="5" t="n"/>
      <c r="IE52" s="5" t="n"/>
      <c r="IF52" s="5" t="n"/>
      <c r="IG52" s="5" t="n"/>
      <c r="IH52" s="5" t="n"/>
      <c r="II52" s="5" t="n"/>
      <c r="IJ52" s="5" t="n"/>
      <c r="IK52" s="5" t="n"/>
      <c r="IL52" s="5" t="n"/>
      <c r="IM52" s="5" t="n"/>
      <c r="IN52" s="5" t="n"/>
      <c r="IO52" s="5" t="n"/>
      <c r="IP52" s="5" t="n"/>
      <c r="IQ52" s="5" t="n"/>
      <c r="IR52" s="5" t="n"/>
      <c r="IT52" s="5" t="n"/>
      <c r="IU52" s="5" t="n"/>
      <c r="IV52" s="5" t="n"/>
      <c r="IW52" s="5" t="n"/>
      <c r="IX52" s="5" t="n"/>
      <c r="IY52" s="5" t="n"/>
      <c r="IZ52" s="5" t="n"/>
      <c r="JA52" s="5" t="n"/>
      <c r="JB52" s="5" t="n"/>
    </row>
    <row r="53">
      <c r="B53" s="573" t="n"/>
      <c r="C53" s="573" t="n"/>
      <c r="D53" s="573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D53" s="5" t="n"/>
      <c r="CE53" s="5" t="n"/>
      <c r="CG53" s="5" t="n"/>
      <c r="CH53" s="5" t="n"/>
      <c r="CI53" s="5" t="n"/>
      <c r="CJ53" s="5" t="n"/>
      <c r="CK53" s="5" t="n"/>
      <c r="CL53" s="5" t="n"/>
      <c r="CM53" s="5" t="n"/>
      <c r="CN53" s="5" t="n"/>
      <c r="CO53" s="5" t="n"/>
      <c r="CP53" s="5" t="n"/>
      <c r="CQ53" s="5" t="n"/>
      <c r="CR53" s="5" t="n"/>
      <c r="CS53" s="5" t="n"/>
      <c r="CT53" s="5" t="n"/>
      <c r="CU53" s="5" t="n"/>
      <c r="CV53" s="5" t="n"/>
      <c r="CW53" s="5" t="n"/>
      <c r="CX53" s="5" t="n"/>
      <c r="CY53" s="5" t="n"/>
      <c r="CZ53" s="5" t="n"/>
      <c r="DA53" s="5" t="n"/>
      <c r="DB53" s="5" t="n"/>
      <c r="DC53" s="5" t="n"/>
      <c r="DD53" s="5" t="n"/>
      <c r="DE53" s="5" t="n"/>
      <c r="DF53" s="5" t="n"/>
      <c r="DG53" s="5" t="n"/>
      <c r="DH53" s="5" t="n"/>
      <c r="DI53" s="5" t="n"/>
      <c r="DJ53" s="5" t="n"/>
      <c r="DK53" s="5" t="n"/>
      <c r="DL53" s="5" t="n"/>
      <c r="DM53" s="5" t="n"/>
      <c r="DN53" s="306" t="n"/>
      <c r="DO53" s="5" t="n"/>
      <c r="DP53" s="5" t="n"/>
      <c r="DQ53" s="5" t="n"/>
      <c r="DR53" s="5" t="n"/>
      <c r="DS53" s="5" t="n"/>
      <c r="DT53" s="5" t="n"/>
      <c r="DU53" s="5" t="n"/>
      <c r="DV53" s="5" t="n"/>
      <c r="DW53" s="5" t="n"/>
      <c r="DX53" s="5" t="n"/>
      <c r="DY53" s="5" t="n"/>
      <c r="DZ53" s="5" t="n"/>
      <c r="EA53" s="5" t="n"/>
      <c r="EB53" s="5" t="n"/>
      <c r="EC53" s="5" t="n"/>
      <c r="ED53" s="5" t="n"/>
      <c r="EE53" s="5" t="n"/>
      <c r="EF53" s="5" t="n"/>
      <c r="EG53" s="5" t="n"/>
      <c r="EH53" s="5" t="n"/>
      <c r="EI53" s="5" t="n"/>
      <c r="EJ53" s="5" t="n"/>
      <c r="EK53" s="5" t="n"/>
      <c r="EL53" s="5" t="n"/>
      <c r="EM53" s="5" t="n"/>
      <c r="EN53" s="5" t="n"/>
      <c r="EO53" s="5" t="n"/>
      <c r="EP53" s="5" t="n"/>
      <c r="EQ53" s="5" t="n"/>
      <c r="ER53" s="5" t="n"/>
      <c r="ES53" s="5" t="n"/>
      <c r="ET53" s="5" t="n"/>
      <c r="EU53" s="5" t="n"/>
      <c r="EV53" s="5" t="n"/>
      <c r="EW53" s="5" t="n"/>
      <c r="EX53" s="5" t="n"/>
      <c r="EY53" s="5" t="n"/>
      <c r="EZ53" s="5" t="n"/>
      <c r="FA53" s="5" t="n"/>
      <c r="FB53" s="5" t="n"/>
      <c r="FC53" s="5" t="n"/>
      <c r="FD53" s="5" t="n"/>
      <c r="FE53" s="5" t="n"/>
      <c r="FF53" s="5" t="n"/>
      <c r="FG53" s="5" t="n"/>
      <c r="FH53" s="5" t="n"/>
      <c r="FI53" s="5" t="n"/>
      <c r="FJ53" s="5" t="n"/>
      <c r="FK53" s="749" t="n"/>
      <c r="FL53" s="5" t="n"/>
      <c r="FM53" s="5" t="n"/>
      <c r="FN53" s="5" t="n"/>
      <c r="FO53" s="5" t="n"/>
      <c r="FP53" s="5" t="n"/>
      <c r="FQ53" s="5" t="n"/>
      <c r="FR53" s="5" t="n"/>
      <c r="FS53" s="5" t="n"/>
      <c r="FT53" s="5" t="n"/>
      <c r="FU53" s="5" t="n"/>
      <c r="FV53" s="5" t="n"/>
      <c r="FW53" s="5" t="n"/>
      <c r="FX53" s="5" t="n"/>
      <c r="FY53" s="5" t="n"/>
      <c r="GA53" s="5" t="n"/>
      <c r="GC53" s="5" t="n"/>
      <c r="GD53" s="5" t="n"/>
      <c r="GE53" s="5" t="n"/>
      <c r="GF53" s="5" t="n"/>
      <c r="GG53" s="5" t="n"/>
      <c r="GH53" s="5" t="n"/>
      <c r="GI53" s="5" t="n"/>
      <c r="GJ53" s="5" t="n"/>
      <c r="GK53" s="5" t="n"/>
      <c r="GL53" s="5" t="n"/>
      <c r="GM53" s="5" t="n"/>
      <c r="GN53" s="5" t="n"/>
      <c r="GO53" s="5" t="n"/>
      <c r="GP53" s="5" t="n"/>
      <c r="GQ53" s="5" t="n"/>
    </row>
    <row r="54" ht="20.25" customHeight="1">
      <c r="A54" s="167" t="inlineStr">
        <is>
          <t>SACOLAS  / CAIXAS QDB</t>
        </is>
      </c>
      <c r="B54" s="168" t="inlineStr">
        <is>
          <t>PC</t>
        </is>
      </c>
      <c r="C54" s="168" t="inlineStr">
        <is>
          <t>R$</t>
        </is>
      </c>
      <c r="D54" s="168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45915</v>
      </c>
      <c r="AQ54" s="746" t="n">
        <v>45922</v>
      </c>
      <c r="AR54" s="746" t="n">
        <v>45929</v>
      </c>
      <c r="AS54" s="746" t="n">
        <v>45936</v>
      </c>
      <c r="AT54" s="746" t="n">
        <v>45943</v>
      </c>
      <c r="AU54" s="746" t="n">
        <v>45950</v>
      </c>
      <c r="AV54" s="746" t="n">
        <v>45957</v>
      </c>
      <c r="AW54" s="746" t="n">
        <v>45964</v>
      </c>
      <c r="AX54" s="746" t="n">
        <v>45971</v>
      </c>
      <c r="AY54" s="746" t="n">
        <v>45978</v>
      </c>
      <c r="AZ54" s="746" t="n">
        <v>45985</v>
      </c>
      <c r="BA54" s="746" t="n">
        <v>45992</v>
      </c>
      <c r="BB54" s="746" t="n">
        <v>45999</v>
      </c>
      <c r="BC54" s="746" t="n">
        <v>46006</v>
      </c>
      <c r="BD54" s="746" t="n">
        <v>46013</v>
      </c>
      <c r="BE54" s="746" t="n">
        <v>46020</v>
      </c>
      <c r="BF54" s="746" t="n">
        <v>46027</v>
      </c>
      <c r="BG54" s="746" t="n">
        <v>46034</v>
      </c>
      <c r="BH54" s="746" t="n">
        <v>46041</v>
      </c>
      <c r="BI54" s="746" t="n">
        <v>46048</v>
      </c>
      <c r="BJ54" s="746" t="n">
        <v>46055</v>
      </c>
      <c r="BK54" s="746" t="n">
        <v>46062</v>
      </c>
      <c r="BL54" s="746" t="n">
        <v>46069</v>
      </c>
      <c r="BM54" s="746" t="n">
        <v>46076</v>
      </c>
      <c r="BN54" s="746" t="n">
        <v>46083</v>
      </c>
      <c r="BO54" s="746" t="n">
        <v>46090</v>
      </c>
      <c r="BP54" s="746" t="n">
        <v>46097</v>
      </c>
      <c r="BQ54" s="746" t="n">
        <v>46104</v>
      </c>
      <c r="BR54" s="746" t="n">
        <v>46111</v>
      </c>
      <c r="BS54" s="746" t="n">
        <v>46118</v>
      </c>
      <c r="BT54" s="746" t="n">
        <v>46125</v>
      </c>
      <c r="BU54" s="746" t="n">
        <v>46132</v>
      </c>
      <c r="BV54" s="746" t="n">
        <v>46139</v>
      </c>
      <c r="BW54" s="746" t="n">
        <v>46146</v>
      </c>
      <c r="BX54" s="746" t="n">
        <v>46154</v>
      </c>
      <c r="BY54" s="746" t="n">
        <v>46160</v>
      </c>
      <c r="BZ54" s="747" t="n">
        <v>46161.48025125</v>
      </c>
      <c r="CA54" s="747" t="n">
        <v>46161.48090906718</v>
      </c>
      <c r="CB54" s="748" t="inlineStr">
        <is>
          <t>USOU</t>
        </is>
      </c>
      <c r="CD54" s="44" t="inlineStr">
        <is>
          <t>Pendências</t>
        </is>
      </c>
      <c r="CE54" s="44" t="inlineStr">
        <is>
          <t>Pendências</t>
        </is>
      </c>
      <c r="CG54" s="12" t="inlineStr">
        <is>
          <t>Novo Pedido</t>
        </is>
      </c>
      <c r="CH54" s="793" t="n">
        <v>46161.48090514565</v>
      </c>
      <c r="CI54" s="794" t="n">
        <v>46149</v>
      </c>
      <c r="CJ54" s="794" t="n">
        <v>46142</v>
      </c>
      <c r="CK54" s="794" t="n">
        <v>46114</v>
      </c>
      <c r="CL54" s="794" t="n">
        <v>46107</v>
      </c>
      <c r="CM54" s="795" t="n">
        <v>46065</v>
      </c>
      <c r="CN54" s="794" t="n">
        <v>46099</v>
      </c>
      <c r="CO54" s="794" t="n">
        <v>46092</v>
      </c>
      <c r="CP54" s="796" t="n">
        <v>46045</v>
      </c>
      <c r="CQ54" s="794" t="n">
        <v>46084</v>
      </c>
      <c r="CR54" s="797" t="n">
        <v>46085</v>
      </c>
      <c r="CS54" s="794" t="n">
        <v>46077</v>
      </c>
      <c r="CT54" s="794" t="n">
        <v>46071</v>
      </c>
      <c r="CU54" s="794" t="n">
        <v>46056</v>
      </c>
      <c r="CV54" s="794" t="n">
        <v>46048</v>
      </c>
      <c r="CW54" s="794" t="n">
        <v>46056</v>
      </c>
      <c r="CX54" s="794" t="n">
        <v>46048</v>
      </c>
      <c r="CY54" s="794" t="n">
        <v>46043</v>
      </c>
      <c r="CZ54" s="794" t="n">
        <v>46035</v>
      </c>
      <c r="DA54" s="794" t="n">
        <v>46043</v>
      </c>
      <c r="DB54" s="794" t="n">
        <v>46035</v>
      </c>
      <c r="DC54" s="794" t="n">
        <v>46035</v>
      </c>
      <c r="DD54" s="794" t="n">
        <v>46029</v>
      </c>
      <c r="DE54" s="794" t="n">
        <v>46017</v>
      </c>
      <c r="DF54" s="794" t="n">
        <v>46007</v>
      </c>
      <c r="DG54" s="794" t="n">
        <v>46007</v>
      </c>
      <c r="DH54" s="794" t="n">
        <v>46001</v>
      </c>
      <c r="DI54" s="794" t="n">
        <v>46001</v>
      </c>
      <c r="DJ54" s="794" t="n">
        <v>45994</v>
      </c>
      <c r="DK54" s="794" t="n">
        <v>45994</v>
      </c>
      <c r="DL54" s="794" t="n">
        <v>45986</v>
      </c>
      <c r="DM54" s="794" t="n">
        <v>45980</v>
      </c>
      <c r="DN54" s="797" t="n">
        <v>45982</v>
      </c>
      <c r="DO54" s="794" t="n">
        <v>45973</v>
      </c>
      <c r="DP54" s="794" t="n">
        <v>45965</v>
      </c>
      <c r="DQ54" s="794" t="n">
        <v>45965</v>
      </c>
      <c r="DR54" s="794" t="n">
        <v>45960</v>
      </c>
      <c r="DS54" s="794" t="n">
        <v>45960</v>
      </c>
      <c r="DT54" s="794" t="n">
        <v>45951</v>
      </c>
      <c r="DU54" s="794" t="n">
        <v>45945</v>
      </c>
      <c r="DV54" s="737" t="n">
        <v>45903</v>
      </c>
      <c r="DW54" s="794" t="n">
        <v>45945</v>
      </c>
      <c r="DX54" s="794" t="n">
        <v>45937</v>
      </c>
      <c r="DY54" s="794" t="n">
        <v>45923</v>
      </c>
      <c r="DZ54" s="794" t="n">
        <v>45931</v>
      </c>
      <c r="EA54" s="794" t="n">
        <v>45931</v>
      </c>
      <c r="EB54" s="794" t="n">
        <v>45915</v>
      </c>
      <c r="EC54" s="794" t="n">
        <v>45923</v>
      </c>
      <c r="ED54" s="794" t="n">
        <v>45915</v>
      </c>
      <c r="EE54" s="797" t="n">
        <v>45918</v>
      </c>
      <c r="EF54" s="794" t="n">
        <v>45903</v>
      </c>
      <c r="EG54" s="738" t="n">
        <v>45903</v>
      </c>
      <c r="EH54" s="794" t="n">
        <v>45895</v>
      </c>
      <c r="EI54" s="797" t="n">
        <v>45896</v>
      </c>
      <c r="EJ54" s="794" t="n">
        <v>45888</v>
      </c>
      <c r="EK54" s="794" t="n">
        <v>45888</v>
      </c>
      <c r="EL54" s="794" t="n">
        <v>45881</v>
      </c>
      <c r="EM54" s="797" t="n">
        <v>45881</v>
      </c>
      <c r="EN54" s="794" t="n">
        <v>45874</v>
      </c>
      <c r="EO54" s="797" t="n">
        <v>45876</v>
      </c>
      <c r="EP54" s="794" t="n">
        <v>45867</v>
      </c>
      <c r="EQ54" s="794" t="n">
        <v>45860</v>
      </c>
      <c r="ER54" s="794" t="n">
        <v>45839</v>
      </c>
      <c r="ES54" s="797" t="n">
        <v>45861</v>
      </c>
      <c r="ET54" s="797" t="n">
        <v>45860</v>
      </c>
      <c r="EU54" s="794" t="n">
        <v>45853</v>
      </c>
      <c r="EV54" s="739" t="n">
        <v>45855</v>
      </c>
      <c r="EW54" s="794" t="n">
        <v>45848</v>
      </c>
      <c r="EX54" s="794" t="n">
        <v>45839</v>
      </c>
      <c r="EY54" s="739" t="n">
        <v>45791</v>
      </c>
      <c r="EZ54" s="797" t="n">
        <v>45835</v>
      </c>
      <c r="FA54" s="794" t="n">
        <v>45832</v>
      </c>
      <c r="FB54" s="794" t="n">
        <v>45825</v>
      </c>
      <c r="FC54" s="794" t="n">
        <v>45819</v>
      </c>
      <c r="FD54" s="794" t="n">
        <v>45813</v>
      </c>
      <c r="FE54" s="794" t="n">
        <v>45805</v>
      </c>
      <c r="FF54" s="797" t="n">
        <v>45811</v>
      </c>
      <c r="FG54" s="797" t="n">
        <v>45810</v>
      </c>
      <c r="FH54" s="794" t="n">
        <v>45798</v>
      </c>
      <c r="FI54" s="797" t="n">
        <v>45803</v>
      </c>
      <c r="FJ54" s="755" t="n">
        <v>45803</v>
      </c>
      <c r="FK54" s="797" t="n">
        <v>45800</v>
      </c>
      <c r="FL54" s="742" t="n">
        <v>45735</v>
      </c>
      <c r="FM54" s="797" t="n">
        <v>45796</v>
      </c>
      <c r="FN54" s="794" t="n">
        <v>45790</v>
      </c>
      <c r="FO54" s="794" t="n">
        <v>45784</v>
      </c>
      <c r="FP54" s="797" t="n">
        <v>45791</v>
      </c>
      <c r="FQ54" s="794" t="n">
        <v>45783</v>
      </c>
      <c r="FR54" s="794" t="n">
        <v>45770</v>
      </c>
      <c r="FS54" s="794" t="n">
        <v>45775</v>
      </c>
      <c r="FT54" s="794" t="n">
        <v>45770</v>
      </c>
      <c r="FU54" s="797" t="n">
        <v>45775</v>
      </c>
      <c r="FV54" s="794" t="n">
        <v>45756</v>
      </c>
      <c r="FW54" s="794" t="n">
        <v>45749</v>
      </c>
      <c r="FX54" s="797" t="n">
        <v>45751</v>
      </c>
      <c r="FY54" s="794" t="n">
        <v>45743</v>
      </c>
      <c r="FZ54" s="746" t="n">
        <v>45729</v>
      </c>
      <c r="GA54" s="794" t="n">
        <v>45722</v>
      </c>
      <c r="GB54" s="746" t="n">
        <v>45700</v>
      </c>
      <c r="GC54" s="797" t="n">
        <v>45722</v>
      </c>
      <c r="GD54" s="794" t="n">
        <v>45714</v>
      </c>
      <c r="GE54" s="794" t="n">
        <v>45706</v>
      </c>
      <c r="GF54" s="794" t="n">
        <v>45699</v>
      </c>
      <c r="GG54" s="794" t="n">
        <v>45693</v>
      </c>
      <c r="GH54" s="794" t="n">
        <v>45685</v>
      </c>
      <c r="GI54" s="797" t="n">
        <v>45687</v>
      </c>
      <c r="GJ54" s="794" t="n">
        <v>45664</v>
      </c>
      <c r="GK54" s="794" t="n">
        <v>45679</v>
      </c>
      <c r="GL54" s="797" t="n">
        <v>45684</v>
      </c>
      <c r="GM54" s="794" t="n">
        <v>45664</v>
      </c>
      <c r="GN54" s="794" t="n">
        <v>45660</v>
      </c>
      <c r="GO54" s="794" t="n">
        <v>45652</v>
      </c>
      <c r="GP54" s="794" t="n">
        <v>45643</v>
      </c>
      <c r="GQ54" s="794" t="n">
        <v>45638</v>
      </c>
    </row>
    <row r="55">
      <c r="A55" s="37" t="inlineStr">
        <is>
          <t>SACOLA P - QDB</t>
        </is>
      </c>
      <c r="B55" s="699" t="n">
        <v>300</v>
      </c>
      <c r="C55" s="762" t="n">
        <v>169.8</v>
      </c>
      <c r="D55" s="382" t="n">
        <v>150</v>
      </c>
      <c r="F55" s="153" t="n">
        <v>600</v>
      </c>
      <c r="G55" s="153" t="n">
        <v>600</v>
      </c>
      <c r="H55" s="153" t="n">
        <v>600</v>
      </c>
      <c r="I55" s="153" t="n">
        <v>600</v>
      </c>
      <c r="J55" s="153" t="n">
        <v>600</v>
      </c>
      <c r="K55" s="153" t="n">
        <v>600</v>
      </c>
      <c r="L55" s="153" t="n">
        <v>600</v>
      </c>
      <c r="M55" s="153" t="n">
        <v>600</v>
      </c>
      <c r="N55" s="153">
        <f>600+GC55</f>
        <v/>
      </c>
      <c r="O55" s="153" t="n">
        <v>600</v>
      </c>
      <c r="P55" s="153">
        <f>600+FY55</f>
        <v/>
      </c>
      <c r="Q55" s="153" t="n">
        <v>1200</v>
      </c>
      <c r="R55" s="153" t="n">
        <v>1200</v>
      </c>
      <c r="S55" s="153" t="n">
        <v>1200</v>
      </c>
      <c r="T55" s="153" t="n">
        <v>1200</v>
      </c>
      <c r="U55" s="153" t="n">
        <v>1200</v>
      </c>
      <c r="V55" s="153" t="n">
        <v>1200</v>
      </c>
      <c r="W55" s="153" t="n">
        <v>1200</v>
      </c>
      <c r="X55" s="153" t="n">
        <v>1200</v>
      </c>
      <c r="Y55" s="153" t="n">
        <v>900</v>
      </c>
      <c r="Z55" s="153" t="n">
        <v>900</v>
      </c>
      <c r="AA55" s="153" t="n">
        <v>900</v>
      </c>
      <c r="AB55" s="153" t="n">
        <v>900</v>
      </c>
      <c r="AC55" s="153" t="n">
        <v>900</v>
      </c>
      <c r="AD55" s="153" t="n">
        <v>600</v>
      </c>
      <c r="AE55" s="153" t="n">
        <v>600</v>
      </c>
      <c r="AF55" s="153" t="n">
        <v>300</v>
      </c>
      <c r="AG55" s="153" t="n">
        <v>300</v>
      </c>
      <c r="AH55" s="153" t="n">
        <v>300</v>
      </c>
      <c r="AI55" s="153" t="n">
        <v>200</v>
      </c>
      <c r="AJ55" s="153" t="n">
        <v>200</v>
      </c>
      <c r="AK55" s="153" t="n">
        <v>200</v>
      </c>
      <c r="AL55" s="153" t="n">
        <v>200</v>
      </c>
      <c r="AM55" s="153" t="n">
        <v>200</v>
      </c>
      <c r="AN55" s="153" t="n">
        <v>0</v>
      </c>
      <c r="AO55" s="153" t="n">
        <v>0</v>
      </c>
      <c r="AP55" s="153" t="n">
        <v>0</v>
      </c>
      <c r="AQ55" s="153" t="n">
        <v>0</v>
      </c>
      <c r="AR55" s="153" t="n">
        <v>0</v>
      </c>
      <c r="AS55" s="153" t="n">
        <v>0</v>
      </c>
      <c r="AT55" s="153" t="n">
        <v>0</v>
      </c>
      <c r="AU55" s="153" t="n">
        <v>0</v>
      </c>
      <c r="AV55" s="153" t="n">
        <v>0</v>
      </c>
      <c r="AW55" s="153" t="n">
        <v>0</v>
      </c>
      <c r="AX55" s="153" t="n">
        <v>0</v>
      </c>
      <c r="AY55" s="153" t="n">
        <v>0</v>
      </c>
      <c r="AZ55" s="153" t="n">
        <v>0</v>
      </c>
      <c r="BA55" s="153" t="n">
        <v>0</v>
      </c>
      <c r="BB55" s="153" t="n">
        <v>0</v>
      </c>
      <c r="BC55" s="153" t="n">
        <v>0</v>
      </c>
      <c r="BD55" s="153" t="n">
        <v>0</v>
      </c>
      <c r="BE55" s="153" t="n">
        <v>0</v>
      </c>
      <c r="BF55" s="153" t="n">
        <v>0</v>
      </c>
      <c r="BG55" s="153" t="n">
        <v>0</v>
      </c>
      <c r="BH55" s="153" t="n">
        <v>0</v>
      </c>
      <c r="BI55" s="153" t="n">
        <v>0</v>
      </c>
      <c r="BJ55" s="153" t="n">
        <v>0</v>
      </c>
      <c r="BK55" s="153" t="n">
        <v>0</v>
      </c>
      <c r="BL55" s="153" t="n">
        <v>0</v>
      </c>
      <c r="BM55" s="153" t="n">
        <v>0</v>
      </c>
      <c r="BN55" s="153" t="n">
        <v>0</v>
      </c>
      <c r="BO55" s="153" t="n">
        <v>0</v>
      </c>
      <c r="BP55" s="153" t="n">
        <v>0</v>
      </c>
      <c r="BQ55" s="153" t="n">
        <v>0</v>
      </c>
      <c r="BR55" s="153" t="n">
        <v>0</v>
      </c>
      <c r="BS55" s="153" t="n">
        <v>0</v>
      </c>
      <c r="BT55" s="153" t="n">
        <v>0</v>
      </c>
      <c r="BU55" s="153" t="n">
        <v>0</v>
      </c>
      <c r="BV55" s="153" t="n">
        <v>0</v>
      </c>
      <c r="BW55" s="153" t="n">
        <v>0</v>
      </c>
      <c r="BX55" s="153" t="n">
        <v>0</v>
      </c>
      <c r="BY55" s="153" t="n"/>
      <c r="BZ55" s="153" t="n"/>
      <c r="CA55" s="153" t="n"/>
      <c r="CB55" s="198">
        <f>BZ55+IF(NOT(ISBLANK(OFFSET(CB55,0,6))),N(OFFSET(CB55,0,6)),N(OFFSET(CB55,0,7)))-CA55</f>
        <v/>
      </c>
      <c r="CD55" s="194" t="n"/>
      <c r="CE55" s="194" t="n"/>
      <c r="CG55" s="27" t="n"/>
      <c r="CH55" s="831" t="n">
        <v>0</v>
      </c>
      <c r="CI55" s="135" t="n">
        <v>0</v>
      </c>
      <c r="CJ55" s="135" t="n">
        <v>0</v>
      </c>
      <c r="CK55" s="135" t="n">
        <v>0</v>
      </c>
      <c r="CL55" s="135" t="n"/>
      <c r="CM55" s="135" t="n"/>
      <c r="CN55" s="135" t="n"/>
      <c r="CO55" s="135" t="n"/>
      <c r="CP55" s="135" t="n"/>
      <c r="CQ55" s="135" t="n"/>
      <c r="CR55" s="135" t="n"/>
      <c r="CS55" s="135" t="n"/>
      <c r="CT55" s="135" t="n"/>
      <c r="CU55" s="135" t="n"/>
      <c r="CV55" s="135" t="n"/>
      <c r="CW55" s="135" t="n"/>
      <c r="CX55" s="135" t="n"/>
      <c r="CY55" s="135" t="n"/>
      <c r="CZ55" s="135" t="n"/>
      <c r="DA55" s="135" t="n"/>
      <c r="DB55" s="135" t="n"/>
      <c r="DC55" s="135" t="n"/>
      <c r="DD55" s="135" t="n"/>
      <c r="DE55" s="135" t="n"/>
      <c r="DF55" s="135" t="n"/>
      <c r="DG55" s="135" t="n"/>
      <c r="DH55" s="135" t="n"/>
      <c r="DI55" s="135" t="n"/>
      <c r="DJ55" s="135" t="n"/>
      <c r="DK55" s="135" t="n"/>
      <c r="DL55" s="135" t="n"/>
      <c r="DM55" s="135" t="n"/>
      <c r="DN55" s="374" t="n"/>
      <c r="DO55" s="135" t="n"/>
      <c r="DP55" s="135" t="n"/>
      <c r="DQ55" s="135" t="n"/>
      <c r="DR55" s="135" t="n"/>
      <c r="DS55" s="135" t="n"/>
      <c r="DT55" s="135" t="n"/>
      <c r="DU55" s="135" t="n"/>
      <c r="DV55" s="135" t="n"/>
      <c r="DW55" s="135" t="n"/>
      <c r="DX55" s="135" t="n"/>
      <c r="DY55" s="135" t="n"/>
      <c r="DZ55" s="135" t="n"/>
      <c r="EA55" s="135" t="n"/>
      <c r="EB55" s="135" t="n"/>
      <c r="EC55" s="135" t="n"/>
      <c r="ED55" s="135" t="n"/>
      <c r="EE55" s="135" t="n"/>
      <c r="EF55" s="135" t="n"/>
      <c r="EG55" s="135" t="n"/>
      <c r="EH55" s="135" t="n"/>
      <c r="EI55" s="135" t="n"/>
      <c r="EJ55" s="135" t="n"/>
      <c r="EK55" s="135" t="n"/>
      <c r="EL55" s="135" t="n"/>
      <c r="EM55" s="135" t="n"/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23" t="n"/>
      <c r="FL55" s="374" t="n"/>
      <c r="FM55" s="135" t="n"/>
      <c r="FN55" s="135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310" t="n"/>
      <c r="GA55" s="135" t="n">
        <v>600</v>
      </c>
      <c r="GB55" s="310" t="n"/>
      <c r="GC55" s="135" t="n"/>
      <c r="GD55" s="135" t="n"/>
      <c r="GE55" s="135" t="n">
        <v>300</v>
      </c>
      <c r="GF55" s="135" t="n"/>
      <c r="GG55" s="135" t="n"/>
      <c r="GH55" s="135" t="n"/>
      <c r="GI55" s="135" t="n"/>
      <c r="GJ55" s="135" t="n"/>
      <c r="GK55" s="135" t="n"/>
      <c r="GL55" s="135" t="n"/>
      <c r="GM55" s="135" t="n"/>
      <c r="GN55" s="135" t="n"/>
      <c r="GO55" s="135" t="n"/>
      <c r="GP55" s="135" t="n"/>
      <c r="GQ55" s="135" t="n"/>
    </row>
    <row r="56">
      <c r="A56" s="37" t="inlineStr">
        <is>
          <t>SACOLA M - QDB</t>
        </is>
      </c>
      <c r="B56" s="699" t="n">
        <v>200</v>
      </c>
      <c r="C56" s="762" t="n">
        <v>175.22</v>
      </c>
      <c r="D56" s="382" t="n">
        <v>300</v>
      </c>
      <c r="F56" s="153" t="n">
        <v>600</v>
      </c>
      <c r="G56" s="153" t="n">
        <v>600</v>
      </c>
      <c r="H56" s="153" t="n">
        <v>600</v>
      </c>
      <c r="I56" s="153" t="n">
        <v>600</v>
      </c>
      <c r="J56" s="153" t="n">
        <v>600</v>
      </c>
      <c r="K56" s="153" t="n">
        <v>400</v>
      </c>
      <c r="L56" s="153">
        <f>400+GE56</f>
        <v/>
      </c>
      <c r="M56" s="153" t="n">
        <v>800</v>
      </c>
      <c r="N56" s="153" t="n">
        <v>800</v>
      </c>
      <c r="O56" s="153" t="n">
        <v>800</v>
      </c>
      <c r="P56" s="153" t="n">
        <v>800</v>
      </c>
      <c r="Q56" s="153" t="n">
        <v>800</v>
      </c>
      <c r="R56" s="153" t="n">
        <v>600</v>
      </c>
      <c r="S56" s="153" t="n">
        <v>400</v>
      </c>
      <c r="T56" s="153">
        <f>200+FU56</f>
        <v/>
      </c>
      <c r="U56" s="153" t="n">
        <v>400</v>
      </c>
      <c r="V56" s="153" t="n">
        <v>400</v>
      </c>
      <c r="W56" s="153" t="n">
        <v>400</v>
      </c>
      <c r="X56" s="153" t="n">
        <v>200</v>
      </c>
      <c r="Y56" s="153" t="n">
        <v>400</v>
      </c>
      <c r="Z56" s="153" t="n">
        <v>400</v>
      </c>
      <c r="AA56" s="153" t="n">
        <v>400</v>
      </c>
      <c r="AB56" s="153" t="n">
        <v>400</v>
      </c>
      <c r="AC56" s="153" t="n">
        <v>0</v>
      </c>
      <c r="AD56" s="153" t="n">
        <v>0</v>
      </c>
      <c r="AE56" s="153" t="n">
        <v>0</v>
      </c>
      <c r="AF56" s="153" t="n">
        <v>0</v>
      </c>
      <c r="AG56" s="153" t="n">
        <v>0</v>
      </c>
      <c r="AH56" s="153" t="n">
        <v>0</v>
      </c>
      <c r="AI56" s="153" t="n">
        <v>0</v>
      </c>
      <c r="AJ56" s="153" t="n">
        <v>0</v>
      </c>
      <c r="AK56" s="153" t="n">
        <v>0</v>
      </c>
      <c r="AL56" s="153" t="n">
        <v>0</v>
      </c>
      <c r="AM56" s="153" t="n">
        <v>0</v>
      </c>
      <c r="AN56" s="153" t="n">
        <v>0</v>
      </c>
      <c r="AO56" s="153" t="n">
        <v>0</v>
      </c>
      <c r="AP56" s="153" t="n">
        <v>0</v>
      </c>
      <c r="AQ56" s="153" t="n">
        <v>0</v>
      </c>
      <c r="AR56" s="153" t="n">
        <v>0</v>
      </c>
      <c r="AS56" s="153" t="n">
        <v>0</v>
      </c>
      <c r="AT56" s="153" t="n">
        <v>0</v>
      </c>
      <c r="AU56" s="153" t="n">
        <v>0</v>
      </c>
      <c r="AV56" s="153" t="n">
        <v>0</v>
      </c>
      <c r="AW56" s="153" t="n">
        <v>0</v>
      </c>
      <c r="AX56" s="153" t="n">
        <v>0</v>
      </c>
      <c r="AY56" s="153" t="n">
        <v>0</v>
      </c>
      <c r="AZ56" s="153" t="n">
        <v>0</v>
      </c>
      <c r="BA56" s="153" t="n">
        <v>0</v>
      </c>
      <c r="BB56" s="153" t="n">
        <v>0</v>
      </c>
      <c r="BC56" s="153" t="n">
        <v>0</v>
      </c>
      <c r="BD56" s="153" t="n">
        <v>0</v>
      </c>
      <c r="BE56" s="153" t="n">
        <v>0</v>
      </c>
      <c r="BF56" s="153" t="n">
        <v>0</v>
      </c>
      <c r="BG56" s="153" t="n">
        <v>0</v>
      </c>
      <c r="BH56" s="153" t="n">
        <v>0</v>
      </c>
      <c r="BI56" s="153" t="n">
        <v>0</v>
      </c>
      <c r="BJ56" s="153" t="n">
        <v>0</v>
      </c>
      <c r="BK56" s="153" t="n">
        <v>0</v>
      </c>
      <c r="BL56" s="153" t="n">
        <v>0</v>
      </c>
      <c r="BM56" s="153" t="n">
        <v>0</v>
      </c>
      <c r="BN56" s="153" t="n">
        <v>0</v>
      </c>
      <c r="BO56" s="153" t="n">
        <v>0</v>
      </c>
      <c r="BP56" s="153" t="n">
        <v>0</v>
      </c>
      <c r="BQ56" s="153" t="n">
        <v>0</v>
      </c>
      <c r="BR56" s="153" t="n">
        <v>0</v>
      </c>
      <c r="BS56" s="153" t="n">
        <v>0</v>
      </c>
      <c r="BT56" s="153" t="n">
        <v>0</v>
      </c>
      <c r="BU56" s="153" t="n">
        <v>0</v>
      </c>
      <c r="BV56" s="153" t="n">
        <v>0</v>
      </c>
      <c r="BW56" s="153" t="n">
        <v>0</v>
      </c>
      <c r="BX56" s="153" t="n">
        <v>0</v>
      </c>
      <c r="BY56" s="153" t="n"/>
      <c r="BZ56" s="153" t="n"/>
      <c r="CA56" s="153" t="n"/>
      <c r="CB56" s="198">
        <f>BZ56+IF(NOT(ISBLANK(OFFSET(CB56,0,6))),N(OFFSET(CB56,0,6)),N(OFFSET(CB56,0,7)))-CA56</f>
        <v/>
      </c>
      <c r="CD56" s="194" t="n"/>
      <c r="CE56" s="194" t="n"/>
      <c r="CG56" s="27" t="n"/>
      <c r="CH56" s="831" t="n">
        <v>0</v>
      </c>
      <c r="CI56" s="135" t="n">
        <v>0</v>
      </c>
      <c r="CJ56" s="135" t="n">
        <v>0</v>
      </c>
      <c r="CK56" s="135" t="n">
        <v>0</v>
      </c>
      <c r="CL56" s="135" t="n"/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/>
      <c r="CV56" s="135" t="n"/>
      <c r="CW56" s="135" t="n"/>
      <c r="CX56" s="135" t="n"/>
      <c r="CY56" s="135" t="n"/>
      <c r="CZ56" s="135" t="n"/>
      <c r="DA56" s="135" t="n"/>
      <c r="DB56" s="135" t="n"/>
      <c r="DC56" s="135" t="n"/>
      <c r="DD56" s="135" t="n"/>
      <c r="DE56" s="135" t="n"/>
      <c r="DF56" s="135" t="n"/>
      <c r="DG56" s="135" t="n"/>
      <c r="DH56" s="135" t="n"/>
      <c r="DI56" s="135" t="n"/>
      <c r="DJ56" s="135" t="n"/>
      <c r="DK56" s="135" t="n"/>
      <c r="DL56" s="135" t="n"/>
      <c r="DM56" s="135" t="n"/>
      <c r="DN56" s="374" t="n"/>
      <c r="DO56" s="135" t="n"/>
      <c r="DP56" s="135" t="n"/>
      <c r="DQ56" s="135" t="n"/>
      <c r="DR56" s="135" t="n"/>
      <c r="DS56" s="135" t="n"/>
      <c r="DT56" s="135" t="n"/>
      <c r="DU56" s="135" t="n"/>
      <c r="DV56" s="135" t="n"/>
      <c r="DW56" s="135" t="n"/>
      <c r="DX56" s="135" t="n"/>
      <c r="DY56" s="135" t="n"/>
      <c r="DZ56" s="135" t="n"/>
      <c r="EA56" s="135" t="n"/>
      <c r="EB56" s="135" t="n"/>
      <c r="EC56" s="135" t="n"/>
      <c r="ED56" s="135" t="n"/>
      <c r="EE56" s="135" t="n"/>
      <c r="EF56" s="135" t="n"/>
      <c r="EG56" s="135" t="n"/>
      <c r="EH56" s="135" t="n"/>
      <c r="EI56" s="135" t="n"/>
      <c r="EJ56" s="135" t="n"/>
      <c r="EK56" s="135" t="n"/>
      <c r="EL56" s="135" t="n"/>
      <c r="EM56" s="135" t="n"/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23" t="n"/>
      <c r="FL56" s="374" t="n"/>
      <c r="FM56" s="135" t="n"/>
      <c r="FN56" s="135" t="n"/>
      <c r="FO56" s="135" t="n"/>
      <c r="FP56" s="135" t="n"/>
      <c r="FQ56" s="135" t="n"/>
      <c r="FR56" s="135" t="n">
        <v>400</v>
      </c>
      <c r="FS56" s="135" t="n"/>
      <c r="FT56" s="135" t="n"/>
      <c r="FU56" s="135" t="n"/>
      <c r="FV56" s="135" t="n"/>
      <c r="FW56" s="135" t="n">
        <v>400</v>
      </c>
      <c r="FX56" s="135" t="n"/>
      <c r="FY56" s="135" t="n"/>
      <c r="FZ56" s="310" t="n"/>
      <c r="GA56" s="135" t="n"/>
      <c r="GB56" s="310" t="n"/>
      <c r="GC56" s="135" t="n"/>
      <c r="GD56" s="135" t="n"/>
      <c r="GE56" s="135" t="n"/>
      <c r="GF56" s="135" t="n"/>
      <c r="GG56" s="135" t="n">
        <v>400</v>
      </c>
      <c r="GH56" s="135" t="n"/>
      <c r="GI56" s="135" t="n"/>
      <c r="GJ56" s="135" t="n"/>
      <c r="GK56" s="135" t="n"/>
      <c r="GL56" s="135" t="n"/>
      <c r="GM56" s="135" t="n"/>
      <c r="GN56" s="135" t="n"/>
      <c r="GO56" s="135" t="n"/>
      <c r="GP56" s="135" t="n">
        <v>400</v>
      </c>
      <c r="GQ56" s="135" t="n"/>
    </row>
    <row r="57">
      <c r="A57" s="37" t="inlineStr">
        <is>
          <t>SACOLA G - QDB</t>
        </is>
      </c>
      <c r="B57" s="699" t="n">
        <v>200</v>
      </c>
      <c r="C57" s="762" t="n">
        <v>230.34</v>
      </c>
      <c r="D57" s="382" t="n">
        <v>100</v>
      </c>
      <c r="F57" s="153" t="n">
        <v>400</v>
      </c>
      <c r="G57" s="153" t="n">
        <v>400</v>
      </c>
      <c r="H57" s="153" t="n">
        <v>400</v>
      </c>
      <c r="I57" s="153" t="n">
        <v>400</v>
      </c>
      <c r="J57" s="153" t="n">
        <v>400</v>
      </c>
      <c r="K57" s="153" t="n">
        <v>400</v>
      </c>
      <c r="L57" s="153" t="n">
        <v>400</v>
      </c>
      <c r="M57" s="153" t="n">
        <v>400</v>
      </c>
      <c r="N57" s="153" t="n">
        <v>400</v>
      </c>
      <c r="O57" s="153" t="n">
        <v>400</v>
      </c>
      <c r="P57" s="153" t="n">
        <v>400</v>
      </c>
      <c r="Q57" s="153" t="n">
        <v>400</v>
      </c>
      <c r="R57" s="153" t="n">
        <v>400</v>
      </c>
      <c r="S57" s="153" t="n">
        <v>400</v>
      </c>
      <c r="T57" s="153" t="n">
        <v>400</v>
      </c>
      <c r="U57" s="153" t="n">
        <v>200</v>
      </c>
      <c r="V57" s="153" t="n">
        <v>200</v>
      </c>
      <c r="W57" s="153" t="n">
        <v>200</v>
      </c>
      <c r="X57" s="153" t="n">
        <v>200</v>
      </c>
      <c r="Y57" s="153" t="n">
        <v>600</v>
      </c>
      <c r="Z57" s="153" t="n">
        <v>600</v>
      </c>
      <c r="AA57" s="153" t="n">
        <v>400</v>
      </c>
      <c r="AB57" s="153" t="n">
        <v>200</v>
      </c>
      <c r="AC57" s="153" t="n">
        <v>200</v>
      </c>
      <c r="AD57" s="153" t="n">
        <v>200</v>
      </c>
      <c r="AE57" s="153" t="n">
        <v>200</v>
      </c>
      <c r="AF57" s="153" t="n">
        <v>200</v>
      </c>
      <c r="AG57" s="153" t="n">
        <v>0</v>
      </c>
      <c r="AH57" s="153" t="n">
        <v>0</v>
      </c>
      <c r="AI57" s="153" t="n">
        <v>0</v>
      </c>
      <c r="AJ57" s="153" t="n">
        <v>0</v>
      </c>
      <c r="AK57" s="153" t="n">
        <v>0</v>
      </c>
      <c r="AL57" s="153" t="n">
        <v>0</v>
      </c>
      <c r="AM57" s="153" t="n">
        <v>0</v>
      </c>
      <c r="AN57" s="153" t="n">
        <v>0</v>
      </c>
      <c r="AO57" s="153" t="n">
        <v>0</v>
      </c>
      <c r="AP57" s="153" t="n">
        <v>0</v>
      </c>
      <c r="AQ57" s="153" t="n">
        <v>0</v>
      </c>
      <c r="AR57" s="153" t="n">
        <v>0</v>
      </c>
      <c r="AS57" s="153" t="n">
        <v>0</v>
      </c>
      <c r="AT57" s="153" t="n">
        <v>0</v>
      </c>
      <c r="AU57" s="153" t="n">
        <v>0</v>
      </c>
      <c r="AV57" s="153" t="n">
        <v>0</v>
      </c>
      <c r="AW57" s="153" t="n">
        <v>0</v>
      </c>
      <c r="AX57" s="153" t="n">
        <v>0</v>
      </c>
      <c r="AY57" s="153" t="n">
        <v>0</v>
      </c>
      <c r="AZ57" s="153" t="n">
        <v>0</v>
      </c>
      <c r="BA57" s="153" t="n">
        <v>0</v>
      </c>
      <c r="BB57" s="153" t="n">
        <v>0</v>
      </c>
      <c r="BC57" s="153" t="n">
        <v>0</v>
      </c>
      <c r="BD57" s="153" t="n">
        <v>0</v>
      </c>
      <c r="BE57" s="153" t="n">
        <v>0</v>
      </c>
      <c r="BF57" s="153" t="n">
        <v>0</v>
      </c>
      <c r="BG57" s="153" t="n">
        <v>0</v>
      </c>
      <c r="BH57" s="153" t="n">
        <v>0</v>
      </c>
      <c r="BI57" s="153" t="n">
        <v>0</v>
      </c>
      <c r="BJ57" s="153" t="n">
        <v>0</v>
      </c>
      <c r="BK57" s="153" t="n">
        <v>0</v>
      </c>
      <c r="BL57" s="153" t="n">
        <v>0</v>
      </c>
      <c r="BM57" s="153" t="n">
        <v>0</v>
      </c>
      <c r="BN57" s="153" t="n">
        <v>0</v>
      </c>
      <c r="BO57" s="153" t="n">
        <v>0</v>
      </c>
      <c r="BP57" s="153" t="n">
        <v>0</v>
      </c>
      <c r="BQ57" s="153" t="n">
        <v>0</v>
      </c>
      <c r="BR57" s="153" t="n">
        <v>0</v>
      </c>
      <c r="BS57" s="153" t="n">
        <v>0</v>
      </c>
      <c r="BT57" s="153" t="n">
        <v>0</v>
      </c>
      <c r="BU57" s="153" t="n">
        <v>0</v>
      </c>
      <c r="BV57" s="153" t="n">
        <v>0</v>
      </c>
      <c r="BW57" s="153" t="n">
        <v>0</v>
      </c>
      <c r="BX57" s="153" t="n">
        <v>0</v>
      </c>
      <c r="BY57" s="153" t="n"/>
      <c r="BZ57" s="153" t="n"/>
      <c r="CA57" s="153" t="n"/>
      <c r="CB57" s="198">
        <f>BZ57+IF(NOT(ISBLANK(OFFSET(CB57,0,6))),N(OFFSET(CB57,0,6)),N(OFFSET(CB57,0,7)))-CA57</f>
        <v/>
      </c>
      <c r="CD57" s="194" t="n"/>
      <c r="CE57" s="194" t="n"/>
      <c r="CG57" s="27" t="n"/>
      <c r="CH57" s="831" t="n">
        <v>0</v>
      </c>
      <c r="CI57" s="135" t="n">
        <v>0</v>
      </c>
      <c r="CJ57" s="135" t="n">
        <v>0</v>
      </c>
      <c r="CK57" s="135" t="n">
        <v>0</v>
      </c>
      <c r="CL57" s="135" t="n"/>
      <c r="CM57" s="135" t="n"/>
      <c r="CN57" s="135" t="n"/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/>
      <c r="CY57" s="135" t="n"/>
      <c r="CZ57" s="135" t="n"/>
      <c r="DA57" s="135" t="n"/>
      <c r="DB57" s="135" t="n"/>
      <c r="DC57" s="135" t="n"/>
      <c r="DD57" s="135" t="n"/>
      <c r="DE57" s="135" t="n"/>
      <c r="DF57" s="135" t="n"/>
      <c r="DG57" s="135" t="n"/>
      <c r="DH57" s="135" t="n"/>
      <c r="DI57" s="135" t="n"/>
      <c r="DJ57" s="135" t="n"/>
      <c r="DK57" s="135" t="n"/>
      <c r="DL57" s="135" t="n"/>
      <c r="DM57" s="135" t="n"/>
      <c r="DN57" s="374" t="n"/>
      <c r="DO57" s="135" t="n"/>
      <c r="DP57" s="135" t="n"/>
      <c r="DQ57" s="135" t="n"/>
      <c r="DR57" s="135" t="n"/>
      <c r="DS57" s="135" t="n"/>
      <c r="DT57" s="135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23" t="n"/>
      <c r="FL57" s="374" t="n"/>
      <c r="FM57" s="135" t="n"/>
      <c r="FN57" s="135" t="n"/>
      <c r="FO57" s="135" t="n"/>
      <c r="FP57" s="135" t="n"/>
      <c r="FQ57" s="135" t="n"/>
      <c r="FR57" s="135" t="n">
        <v>400</v>
      </c>
      <c r="FS57" s="135" t="n"/>
      <c r="FT57" s="135" t="n"/>
      <c r="FU57" s="135" t="n"/>
      <c r="FV57" s="135" t="n"/>
      <c r="FW57" s="135" t="n"/>
      <c r="FX57" s="135" t="n"/>
      <c r="FY57" s="135" t="n"/>
      <c r="FZ57" s="310" t="n"/>
      <c r="GA57" s="135" t="n"/>
      <c r="GB57" s="310" t="n"/>
      <c r="GC57" s="135" t="n"/>
      <c r="GD57" s="135" t="n"/>
      <c r="GE57" s="135" t="n"/>
      <c r="GF57" s="135" t="n"/>
      <c r="GG57" s="135" t="n"/>
      <c r="GH57" s="135" t="n"/>
      <c r="GI57" s="135" t="n"/>
      <c r="GJ57" s="135" t="n"/>
      <c r="GK57" s="135" t="n"/>
      <c r="GL57" s="135" t="n"/>
      <c r="GM57" s="135" t="n"/>
      <c r="GN57" s="135" t="n"/>
      <c r="GO57" s="135" t="n"/>
      <c r="GP57" s="135" t="n"/>
      <c r="GQ57" s="135" t="n">
        <v>200</v>
      </c>
    </row>
    <row r="58">
      <c r="A58" s="626" t="inlineStr">
        <is>
          <t>PAPEL DE SEDA QDB</t>
        </is>
      </c>
      <c r="B58" s="32" t="n">
        <v>100</v>
      </c>
      <c r="C58" s="773" t="n">
        <v>22.98</v>
      </c>
      <c r="D58" s="382" t="n">
        <v>1</v>
      </c>
      <c r="F58" s="153" t="n">
        <v>5</v>
      </c>
      <c r="G58" s="153" t="n">
        <v>5</v>
      </c>
      <c r="H58" s="153" t="n">
        <v>5</v>
      </c>
      <c r="I58" s="153" t="n">
        <v>5</v>
      </c>
      <c r="J58" s="153" t="n">
        <v>5</v>
      </c>
      <c r="K58" s="153" t="n">
        <v>3</v>
      </c>
      <c r="L58" s="153" t="n">
        <v>3</v>
      </c>
      <c r="M58" s="153" t="n">
        <v>3</v>
      </c>
      <c r="N58" s="153" t="n">
        <v>3</v>
      </c>
      <c r="O58" s="153" t="n">
        <v>3</v>
      </c>
      <c r="P58" s="153" t="n">
        <v>3</v>
      </c>
      <c r="Q58" s="153" t="n">
        <v>3</v>
      </c>
      <c r="R58" s="153" t="n">
        <v>3</v>
      </c>
      <c r="S58" s="153" t="n">
        <v>3</v>
      </c>
      <c r="T58" s="153" t="n">
        <v>3</v>
      </c>
      <c r="U58" s="153" t="n">
        <v>3</v>
      </c>
      <c r="V58" s="153" t="n">
        <v>3</v>
      </c>
      <c r="W58" s="153" t="n">
        <v>3</v>
      </c>
      <c r="X58" s="153" t="n">
        <v>2</v>
      </c>
      <c r="Y58" s="153" t="n">
        <v>2</v>
      </c>
      <c r="Z58" s="153">
        <f>1+5</f>
        <v/>
      </c>
      <c r="AA58" s="153" t="n">
        <v>5</v>
      </c>
      <c r="AB58" s="153" t="n">
        <v>5</v>
      </c>
      <c r="AC58" s="153" t="n">
        <v>5</v>
      </c>
      <c r="AD58" s="153" t="n">
        <v>5</v>
      </c>
      <c r="AE58" s="153" t="n">
        <v>4</v>
      </c>
      <c r="AF58" s="153" t="n">
        <v>4</v>
      </c>
      <c r="AG58" s="153" t="n">
        <v>4</v>
      </c>
      <c r="AH58" s="153" t="n">
        <v>4</v>
      </c>
      <c r="AI58" s="153" t="n">
        <v>4</v>
      </c>
      <c r="AJ58" s="153" t="n">
        <v>4</v>
      </c>
      <c r="AK58" s="153" t="n">
        <v>4</v>
      </c>
      <c r="AL58" s="153" t="n">
        <v>4</v>
      </c>
      <c r="AM58" s="153" t="n">
        <v>3</v>
      </c>
      <c r="AN58" s="153" t="n">
        <v>2</v>
      </c>
      <c r="AO58" s="153" t="n">
        <v>2</v>
      </c>
      <c r="AP58" s="153" t="n">
        <v>1</v>
      </c>
      <c r="AQ58" s="153" t="n">
        <v>1</v>
      </c>
      <c r="AR58" s="153" t="n">
        <v>1</v>
      </c>
      <c r="AS58" s="153" t="n">
        <v>1</v>
      </c>
      <c r="AT58" s="153" t="n">
        <v>0</v>
      </c>
      <c r="AU58" s="153" t="n">
        <v>0</v>
      </c>
      <c r="AV58" s="153" t="n">
        <v>0</v>
      </c>
      <c r="AW58" s="153" t="n">
        <v>0</v>
      </c>
      <c r="AX58" s="153" t="n">
        <v>0</v>
      </c>
      <c r="AY58" s="153" t="n">
        <v>0</v>
      </c>
      <c r="AZ58" s="153" t="n">
        <v>0</v>
      </c>
      <c r="BA58" s="153" t="n">
        <v>0</v>
      </c>
      <c r="BB58" s="153" t="n">
        <v>0</v>
      </c>
      <c r="BC58" s="153" t="n">
        <v>0</v>
      </c>
      <c r="BD58" s="153" t="n">
        <v>0</v>
      </c>
      <c r="BE58" s="153" t="n">
        <v>0</v>
      </c>
      <c r="BF58" s="153" t="n">
        <v>0</v>
      </c>
      <c r="BG58" s="153" t="n">
        <v>0</v>
      </c>
      <c r="BH58" s="153" t="n">
        <v>0</v>
      </c>
      <c r="BI58" s="153" t="n">
        <v>0</v>
      </c>
      <c r="BJ58" s="153" t="n">
        <v>0</v>
      </c>
      <c r="BK58" s="153" t="n">
        <v>0</v>
      </c>
      <c r="BL58" s="153" t="n">
        <v>0</v>
      </c>
      <c r="BM58" s="153" t="n">
        <v>0</v>
      </c>
      <c r="BN58" s="153" t="n">
        <v>0</v>
      </c>
      <c r="BO58" s="153" t="n">
        <v>0</v>
      </c>
      <c r="BP58" s="153" t="n">
        <v>0</v>
      </c>
      <c r="BQ58" s="153" t="n">
        <v>0</v>
      </c>
      <c r="BR58" s="153" t="n">
        <v>0</v>
      </c>
      <c r="BS58" s="153" t="n">
        <v>0</v>
      </c>
      <c r="BT58" s="153" t="n">
        <v>0</v>
      </c>
      <c r="BU58" s="153" t="n">
        <v>0</v>
      </c>
      <c r="BV58" s="153" t="n">
        <v>0</v>
      </c>
      <c r="BW58" s="153" t="n">
        <v>0</v>
      </c>
      <c r="BX58" s="153" t="n">
        <v>0</v>
      </c>
      <c r="BY58" s="153" t="n"/>
      <c r="BZ58" s="153" t="n"/>
      <c r="CA58" s="153" t="n"/>
      <c r="CB58" s="198">
        <f>BZ58+IF(NOT(ISBLANK(OFFSET(CB58,0,6))),N(OFFSET(CB58,0,6)),N(OFFSET(CB58,0,7)))-CA58</f>
        <v/>
      </c>
      <c r="CD58" s="357" t="n"/>
      <c r="CE58" s="357" t="n"/>
      <c r="CG58" s="27" t="n"/>
      <c r="CH58" s="831" t="n">
        <v>0</v>
      </c>
      <c r="CI58" s="135" t="n">
        <v>0</v>
      </c>
      <c r="CJ58" s="135" t="n">
        <v>0</v>
      </c>
      <c r="CK58" s="135" t="n">
        <v>0</v>
      </c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374" t="n"/>
      <c r="DO58" s="135" t="n"/>
      <c r="DP58" s="135" t="n"/>
      <c r="DQ58" s="135" t="n"/>
      <c r="DR58" s="135" t="n"/>
      <c r="DS58" s="135" t="n"/>
      <c r="DT58" s="135" t="n"/>
      <c r="DU58" s="135" t="n"/>
      <c r="DV58" s="135" t="n"/>
      <c r="DW58" s="135" t="n"/>
      <c r="DX58" s="135" t="n"/>
      <c r="DY58" s="135" t="n"/>
      <c r="DZ58" s="135" t="n"/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282" t="inlineStr">
        <is>
          <t>05 DE ERJ</t>
        </is>
      </c>
      <c r="FL58" s="374" t="n"/>
      <c r="FM58" s="135" t="n"/>
      <c r="FN58" s="135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311" t="n"/>
      <c r="GA58" s="135" t="n"/>
      <c r="GB58" s="311" t="n"/>
      <c r="GC58" s="135" t="n"/>
      <c r="GD58" s="135" t="n"/>
      <c r="GE58" s="135" t="n"/>
      <c r="GF58" s="135" t="n"/>
      <c r="GG58" s="135" t="n"/>
      <c r="GH58" s="135" t="n"/>
      <c r="GI58" s="135" t="n"/>
      <c r="GJ58" s="135" t="n"/>
      <c r="GK58" s="135" t="n"/>
      <c r="GL58" s="135" t="n"/>
      <c r="GM58" s="135" t="n"/>
      <c r="GN58" s="135" t="n"/>
      <c r="GO58" s="135" t="n"/>
      <c r="GP58" s="135" t="n"/>
      <c r="GQ58" s="135" t="n"/>
    </row>
    <row r="59">
      <c r="A59" s="37" t="inlineStr">
        <is>
          <t>ETIQUETA QDB</t>
        </is>
      </c>
      <c r="B59" s="699" t="n">
        <v>1000</v>
      </c>
      <c r="C59" s="762" t="n">
        <v>7.75</v>
      </c>
      <c r="D59" s="382" t="n">
        <v>1</v>
      </c>
      <c r="F59" s="153" t="n">
        <v>2</v>
      </c>
      <c r="G59" s="153" t="n">
        <v>2</v>
      </c>
      <c r="H59" s="153" t="n">
        <v>1</v>
      </c>
      <c r="I59" s="153" t="n">
        <v>1</v>
      </c>
      <c r="J59" s="153" t="n">
        <v>1</v>
      </c>
      <c r="K59" s="153" t="n">
        <v>1</v>
      </c>
      <c r="L59" s="153" t="n">
        <v>1</v>
      </c>
      <c r="M59" s="153" t="n">
        <v>1</v>
      </c>
      <c r="N59" s="153">
        <f>1+GC59</f>
        <v/>
      </c>
      <c r="O59" s="153" t="n">
        <v>3</v>
      </c>
      <c r="P59" s="153" t="n">
        <v>3</v>
      </c>
      <c r="Q59" s="153" t="n">
        <v>3</v>
      </c>
      <c r="R59" s="153" t="n">
        <v>3</v>
      </c>
      <c r="S59" s="153" t="n">
        <v>3</v>
      </c>
      <c r="T59" s="153" t="n">
        <v>3</v>
      </c>
      <c r="U59" s="153" t="n">
        <v>3</v>
      </c>
      <c r="V59" s="153" t="n">
        <v>2</v>
      </c>
      <c r="W59" s="153" t="n">
        <v>2</v>
      </c>
      <c r="X59" s="153" t="n">
        <v>2</v>
      </c>
      <c r="Y59" s="153" t="n">
        <v>2</v>
      </c>
      <c r="Z59" s="153">
        <f>1+2</f>
        <v/>
      </c>
      <c r="AA59" s="153" t="n">
        <v>2</v>
      </c>
      <c r="AB59" s="153" t="n">
        <v>2</v>
      </c>
      <c r="AC59" s="153" t="n">
        <v>2</v>
      </c>
      <c r="AD59" s="153" t="n">
        <v>2</v>
      </c>
      <c r="AE59" s="153" t="n">
        <v>2</v>
      </c>
      <c r="AF59" s="153" t="n">
        <v>2</v>
      </c>
      <c r="AG59" s="153" t="n">
        <v>2</v>
      </c>
      <c r="AH59" s="153" t="n">
        <v>2</v>
      </c>
      <c r="AI59" s="153" t="n">
        <v>2</v>
      </c>
      <c r="AJ59" s="153" t="n">
        <v>2</v>
      </c>
      <c r="AK59" s="153" t="n">
        <v>2</v>
      </c>
      <c r="AL59" s="153" t="n">
        <v>2</v>
      </c>
      <c r="AM59" s="153" t="n">
        <v>2</v>
      </c>
      <c r="AN59" s="153" t="n">
        <v>1</v>
      </c>
      <c r="AO59" s="153" t="n">
        <v>1</v>
      </c>
      <c r="AP59" s="153" t="n">
        <v>1</v>
      </c>
      <c r="AQ59" s="153" t="n">
        <v>0</v>
      </c>
      <c r="AR59" s="153" t="n">
        <v>0</v>
      </c>
      <c r="AS59" s="153" t="n">
        <v>0</v>
      </c>
      <c r="AT59" s="153" t="n">
        <v>0</v>
      </c>
      <c r="AU59" s="153" t="n">
        <v>0</v>
      </c>
      <c r="AV59" s="153" t="n">
        <v>0</v>
      </c>
      <c r="AW59" s="153" t="n">
        <v>0</v>
      </c>
      <c r="AX59" s="153" t="n">
        <v>0</v>
      </c>
      <c r="AY59" s="153" t="n">
        <v>0</v>
      </c>
      <c r="AZ59" s="153" t="n">
        <v>0</v>
      </c>
      <c r="BA59" s="153" t="n">
        <v>0</v>
      </c>
      <c r="BB59" s="153" t="n">
        <v>0</v>
      </c>
      <c r="BC59" s="153" t="n">
        <v>0</v>
      </c>
      <c r="BD59" s="153" t="n">
        <v>0</v>
      </c>
      <c r="BE59" s="153" t="n">
        <v>0</v>
      </c>
      <c r="BF59" s="153" t="n">
        <v>0</v>
      </c>
      <c r="BG59" s="153" t="n">
        <v>0</v>
      </c>
      <c r="BH59" s="153" t="n">
        <v>0</v>
      </c>
      <c r="BI59" s="153" t="n">
        <v>0</v>
      </c>
      <c r="BJ59" s="153" t="n">
        <v>0</v>
      </c>
      <c r="BK59" s="153" t="n">
        <v>0</v>
      </c>
      <c r="BL59" s="153" t="n">
        <v>0</v>
      </c>
      <c r="BM59" s="153" t="n">
        <v>0</v>
      </c>
      <c r="BN59" s="153" t="n">
        <v>0</v>
      </c>
      <c r="BO59" s="153" t="n">
        <v>0</v>
      </c>
      <c r="BP59" s="153" t="n">
        <v>0</v>
      </c>
      <c r="BQ59" s="153" t="n">
        <v>0</v>
      </c>
      <c r="BR59" s="153" t="n">
        <v>0</v>
      </c>
      <c r="BS59" s="153" t="n">
        <v>0</v>
      </c>
      <c r="BT59" s="153" t="n">
        <v>0</v>
      </c>
      <c r="BU59" s="153" t="n">
        <v>0</v>
      </c>
      <c r="BV59" s="153" t="n">
        <v>0</v>
      </c>
      <c r="BW59" s="153" t="n">
        <v>0</v>
      </c>
      <c r="BX59" s="153" t="n">
        <v>0</v>
      </c>
      <c r="BY59" s="153" t="n"/>
      <c r="BZ59" s="153" t="n"/>
      <c r="CA59" s="153" t="n"/>
      <c r="CB59" s="198">
        <f>BZ59+IF(NOT(ISBLANK(OFFSET(CB59,0,6))),N(OFFSET(CB59,0,6)),N(OFFSET(CB59,0,7)))-CA59</f>
        <v/>
      </c>
      <c r="CD59" s="357" t="n"/>
      <c r="CE59" s="357" t="n"/>
      <c r="CG59" s="27" t="n"/>
      <c r="CH59" s="831" t="n">
        <v>0</v>
      </c>
      <c r="CI59" s="135" t="n">
        <v>0</v>
      </c>
      <c r="CJ59" s="135" t="n">
        <v>0</v>
      </c>
      <c r="CK59" s="135" t="n">
        <v>0</v>
      </c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374" t="n"/>
      <c r="DO59" s="135" t="n"/>
      <c r="DP59" s="135" t="n"/>
      <c r="DQ59" s="135" t="n"/>
      <c r="DR59" s="135" t="n"/>
      <c r="DS59" s="135" t="n"/>
      <c r="DT59" s="135" t="n"/>
      <c r="DU59" s="135" t="n"/>
      <c r="DV59" s="135" t="n"/>
      <c r="DW59" s="135" t="n"/>
      <c r="DX59" s="135" t="n"/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282" t="inlineStr">
        <is>
          <t>02 DE ERJ</t>
        </is>
      </c>
      <c r="FL59" s="374" t="n"/>
      <c r="FM59" s="135" t="n"/>
      <c r="FN59" s="135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311" t="n"/>
      <c r="GA59" s="135" t="n"/>
      <c r="GB59" s="311" t="n"/>
      <c r="GC59" s="135" t="n"/>
      <c r="GD59" s="135" t="n"/>
      <c r="GE59" s="135" t="n">
        <v>2</v>
      </c>
      <c r="GF59" s="135" t="n"/>
      <c r="GG59" s="135" t="n"/>
      <c r="GH59" s="135" t="n"/>
      <c r="GI59" s="135" t="n"/>
      <c r="GJ59" s="135" t="n"/>
      <c r="GK59" s="135" t="n"/>
      <c r="GL59" s="135" t="n"/>
      <c r="GM59" s="135" t="n"/>
      <c r="GN59" s="135" t="n"/>
      <c r="GO59" s="135" t="n"/>
      <c r="GP59" s="135" t="n">
        <v>1</v>
      </c>
      <c r="GQ59" s="135" t="n"/>
    </row>
    <row r="60">
      <c r="A60" s="37" t="inlineStr">
        <is>
          <t>TAG QDB</t>
        </is>
      </c>
      <c r="B60" s="699" t="n">
        <v>300</v>
      </c>
      <c r="C60" s="762" t="n">
        <v>53.97</v>
      </c>
      <c r="D60" s="382" t="n">
        <v>1</v>
      </c>
      <c r="F60" s="153" t="n">
        <v>1</v>
      </c>
      <c r="G60" s="153" t="n">
        <v>1</v>
      </c>
      <c r="H60" s="153" t="n">
        <v>1</v>
      </c>
      <c r="I60" s="153" t="n">
        <v>1</v>
      </c>
      <c r="J60" s="153" t="n">
        <v>1</v>
      </c>
      <c r="K60" s="153" t="n">
        <v>1</v>
      </c>
      <c r="L60" s="153" t="n">
        <v>0</v>
      </c>
      <c r="M60" s="153" t="n">
        <v>0</v>
      </c>
      <c r="N60" s="153">
        <f>0+GC60</f>
        <v/>
      </c>
      <c r="O60" s="153" t="n">
        <v>3</v>
      </c>
      <c r="P60" s="153" t="n">
        <v>3</v>
      </c>
      <c r="Q60" s="153" t="n">
        <v>3</v>
      </c>
      <c r="R60" s="153" t="n">
        <v>2</v>
      </c>
      <c r="S60" s="153" t="n">
        <v>1</v>
      </c>
      <c r="T60" s="153">
        <f>1+FU60</f>
        <v/>
      </c>
      <c r="U60" s="153" t="n">
        <v>4</v>
      </c>
      <c r="V60" s="153" t="n">
        <v>3</v>
      </c>
      <c r="W60" s="153" t="n">
        <v>3</v>
      </c>
      <c r="X60" s="153" t="n">
        <v>3</v>
      </c>
      <c r="Y60" s="153" t="n">
        <v>2</v>
      </c>
      <c r="Z60" s="153">
        <f>2+3</f>
        <v/>
      </c>
      <c r="AA60" s="153" t="n">
        <v>4</v>
      </c>
      <c r="AB60" s="153" t="n">
        <v>4</v>
      </c>
      <c r="AC60" s="153" t="n">
        <v>4</v>
      </c>
      <c r="AD60" s="153" t="n">
        <v>4</v>
      </c>
      <c r="AE60" s="153" t="n">
        <v>3</v>
      </c>
      <c r="AF60" s="153" t="n">
        <v>3</v>
      </c>
      <c r="AG60" s="153" t="n">
        <v>3</v>
      </c>
      <c r="AH60" s="153" t="n">
        <v>3</v>
      </c>
      <c r="AI60" s="153" t="n">
        <v>2</v>
      </c>
      <c r="AJ60" s="153" t="n">
        <v>1</v>
      </c>
      <c r="AK60" s="153" t="n">
        <v>1</v>
      </c>
      <c r="AL60" s="153" t="n">
        <v>1</v>
      </c>
      <c r="AM60" s="153" t="n">
        <v>1</v>
      </c>
      <c r="AN60" s="153" t="n">
        <v>1</v>
      </c>
      <c r="AO60" s="153" t="n">
        <v>0</v>
      </c>
      <c r="AP60" s="153" t="n">
        <v>0</v>
      </c>
      <c r="AQ60" s="153" t="n">
        <v>0</v>
      </c>
      <c r="AR60" s="153" t="n">
        <v>0</v>
      </c>
      <c r="AS60" s="153" t="n">
        <v>0</v>
      </c>
      <c r="AT60" s="153" t="n">
        <v>0</v>
      </c>
      <c r="AU60" s="153" t="n">
        <v>0</v>
      </c>
      <c r="AV60" s="153" t="n">
        <v>0</v>
      </c>
      <c r="AW60" s="153" t="n">
        <v>0</v>
      </c>
      <c r="AX60" s="153" t="n">
        <v>0</v>
      </c>
      <c r="AY60" s="153" t="n">
        <v>0</v>
      </c>
      <c r="AZ60" s="153" t="n">
        <v>0</v>
      </c>
      <c r="BA60" s="153" t="n">
        <v>0</v>
      </c>
      <c r="BB60" s="153" t="n">
        <v>0</v>
      </c>
      <c r="BC60" s="153" t="n">
        <v>0</v>
      </c>
      <c r="BD60" s="153" t="n">
        <v>0</v>
      </c>
      <c r="BE60" s="153" t="n">
        <v>0</v>
      </c>
      <c r="BF60" s="153" t="n">
        <v>0</v>
      </c>
      <c r="BG60" s="153" t="n">
        <v>0</v>
      </c>
      <c r="BH60" s="153" t="n">
        <v>0</v>
      </c>
      <c r="BI60" s="153" t="n">
        <v>0</v>
      </c>
      <c r="BJ60" s="153" t="n">
        <v>0</v>
      </c>
      <c r="BK60" s="153" t="n">
        <v>0</v>
      </c>
      <c r="BL60" s="153" t="n">
        <v>0</v>
      </c>
      <c r="BM60" s="153" t="n">
        <v>0</v>
      </c>
      <c r="BN60" s="153" t="n">
        <v>0</v>
      </c>
      <c r="BO60" s="153" t="n">
        <v>0</v>
      </c>
      <c r="BP60" s="153" t="n">
        <v>0</v>
      </c>
      <c r="BQ60" s="153" t="n">
        <v>0</v>
      </c>
      <c r="BR60" s="153" t="n">
        <v>0</v>
      </c>
      <c r="BS60" s="153" t="n">
        <v>0</v>
      </c>
      <c r="BT60" s="153" t="n">
        <v>0</v>
      </c>
      <c r="BU60" s="153" t="n">
        <v>0</v>
      </c>
      <c r="BV60" s="153" t="n">
        <v>0</v>
      </c>
      <c r="BW60" s="153" t="n">
        <v>0</v>
      </c>
      <c r="BX60" s="153" t="n">
        <v>0</v>
      </c>
      <c r="BY60" s="153" t="n"/>
      <c r="BZ60" s="153" t="n"/>
      <c r="CA60" s="153" t="n"/>
      <c r="CB60" s="198">
        <f>BZ60+IF(NOT(ISBLANK(OFFSET(CB60,0,6))),N(OFFSET(CB60,0,6)),N(OFFSET(CB60,0,7)))-CA60</f>
        <v/>
      </c>
      <c r="CD60" s="357" t="n"/>
      <c r="CE60" s="357" t="n"/>
      <c r="CG60" s="27" t="n"/>
      <c r="CH60" s="831" t="n">
        <v>0</v>
      </c>
      <c r="CI60" s="135" t="n">
        <v>0</v>
      </c>
      <c r="CJ60" s="135" t="n">
        <v>0</v>
      </c>
      <c r="CK60" s="135" t="n">
        <v>0</v>
      </c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374" t="n"/>
      <c r="DO60" s="135" t="n"/>
      <c r="DP60" s="135" t="n"/>
      <c r="DQ60" s="135" t="n"/>
      <c r="DR60" s="135" t="n"/>
      <c r="DS60" s="135" t="n"/>
      <c r="DT60" s="135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282" t="inlineStr">
        <is>
          <t>03 DE ERJ</t>
        </is>
      </c>
      <c r="FL60" s="374" t="n"/>
      <c r="FM60" s="135" t="n"/>
      <c r="FN60" s="135" t="n"/>
      <c r="FO60" s="135" t="n"/>
      <c r="FP60" s="135" t="n"/>
      <c r="FQ60" s="135" t="n"/>
      <c r="FR60" s="135" t="n"/>
      <c r="FS60" s="135" t="n"/>
      <c r="FT60" s="135" t="n"/>
      <c r="FU60" s="135" t="n"/>
      <c r="FV60" s="135" t="n"/>
      <c r="FW60" s="135" t="n">
        <v>3</v>
      </c>
      <c r="FX60" s="135" t="n"/>
      <c r="FY60" s="135" t="n"/>
      <c r="FZ60" s="311" t="n"/>
      <c r="GA60" s="135" t="n"/>
      <c r="GB60" s="311" t="n"/>
      <c r="GC60" s="135" t="n"/>
      <c r="GD60" s="135" t="n"/>
      <c r="GE60" s="135" t="n">
        <v>3</v>
      </c>
      <c r="GF60" s="135" t="n"/>
      <c r="GG60" s="135" t="n"/>
      <c r="GH60" s="135" t="n"/>
      <c r="GI60" s="135" t="n"/>
      <c r="GJ60" s="135" t="n"/>
      <c r="GK60" s="135" t="n"/>
      <c r="GL60" s="135" t="n"/>
      <c r="GM60" s="135" t="n"/>
      <c r="GN60" s="135" t="n"/>
      <c r="GO60" s="135" t="n"/>
      <c r="GP60" s="135" t="n">
        <v>1</v>
      </c>
      <c r="GQ60" s="135" t="n"/>
    </row>
    <row r="61">
      <c r="A61" s="37" t="inlineStr">
        <is>
          <t>LÂMINA OLFATIVA QDB</t>
        </is>
      </c>
      <c r="B61" s="699" t="n">
        <v>3000</v>
      </c>
      <c r="C61" s="762" t="n">
        <v>213</v>
      </c>
      <c r="D61" s="382" t="n">
        <v>0</v>
      </c>
      <c r="E61" s="573" t="n"/>
      <c r="F61" s="153" t="n">
        <v>2</v>
      </c>
      <c r="G61" s="153" t="n">
        <v>2</v>
      </c>
      <c r="H61" s="153" t="n">
        <v>2</v>
      </c>
      <c r="I61" s="153" t="n">
        <v>2</v>
      </c>
      <c r="J61" s="153" t="n">
        <v>2</v>
      </c>
      <c r="K61" s="153" t="n">
        <v>2</v>
      </c>
      <c r="L61" s="153" t="n">
        <v>2</v>
      </c>
      <c r="M61" s="153" t="n">
        <v>2</v>
      </c>
      <c r="N61" s="153" t="n">
        <v>2</v>
      </c>
      <c r="O61" s="153" t="n">
        <v>2</v>
      </c>
      <c r="P61" s="153" t="n">
        <v>2</v>
      </c>
      <c r="Q61" s="153" t="n">
        <v>2</v>
      </c>
      <c r="R61" s="153" t="n">
        <v>2</v>
      </c>
      <c r="S61" s="153" t="n">
        <v>2</v>
      </c>
      <c r="T61" s="153" t="n">
        <v>2</v>
      </c>
      <c r="U61" s="153" t="n">
        <v>2</v>
      </c>
      <c r="V61" s="153" t="n">
        <v>2</v>
      </c>
      <c r="W61" s="153" t="n">
        <v>2</v>
      </c>
      <c r="X61" s="153" t="n">
        <v>2</v>
      </c>
      <c r="Y61" s="153" t="n">
        <v>2</v>
      </c>
      <c r="Z61" s="153" t="n">
        <v>2</v>
      </c>
      <c r="AA61" s="153" t="n">
        <v>2</v>
      </c>
      <c r="AB61" s="153" t="n">
        <v>2</v>
      </c>
      <c r="AC61" s="153" t="n">
        <v>2</v>
      </c>
      <c r="AD61" s="153" t="n">
        <v>2</v>
      </c>
      <c r="AE61" s="153" t="n">
        <v>2</v>
      </c>
      <c r="AF61" s="153" t="n">
        <v>2</v>
      </c>
      <c r="AG61" s="153" t="n">
        <v>2</v>
      </c>
      <c r="AH61" s="153" t="n">
        <v>2</v>
      </c>
      <c r="AI61" s="153" t="n">
        <v>2</v>
      </c>
      <c r="AJ61" s="153" t="n">
        <v>2</v>
      </c>
      <c r="AK61" s="153" t="n">
        <v>2</v>
      </c>
      <c r="AL61" s="153" t="n">
        <v>2</v>
      </c>
      <c r="AM61" s="153" t="n">
        <v>2</v>
      </c>
      <c r="AN61" s="153" t="n">
        <v>2</v>
      </c>
      <c r="AO61" s="153" t="n">
        <v>1</v>
      </c>
      <c r="AP61" s="153" t="n">
        <v>1</v>
      </c>
      <c r="AQ61" s="153" t="n">
        <v>0</v>
      </c>
      <c r="AR61" s="153" t="n">
        <v>0</v>
      </c>
      <c r="AS61" s="153" t="n">
        <v>0</v>
      </c>
      <c r="AT61" s="153" t="n">
        <v>0</v>
      </c>
      <c r="AU61" s="153" t="n">
        <v>0</v>
      </c>
      <c r="AV61" s="153" t="n">
        <v>0</v>
      </c>
      <c r="AW61" s="153" t="n">
        <v>0</v>
      </c>
      <c r="AX61" s="153" t="n">
        <v>0</v>
      </c>
      <c r="AY61" s="153" t="n">
        <v>0</v>
      </c>
      <c r="AZ61" s="153" t="n">
        <v>0</v>
      </c>
      <c r="BA61" s="153" t="n">
        <v>0</v>
      </c>
      <c r="BB61" s="153" t="n">
        <v>0</v>
      </c>
      <c r="BC61" s="153" t="n">
        <v>0</v>
      </c>
      <c r="BD61" s="153" t="n">
        <v>0</v>
      </c>
      <c r="BE61" s="153" t="n">
        <v>0</v>
      </c>
      <c r="BF61" s="153" t="n">
        <v>0</v>
      </c>
      <c r="BG61" s="153" t="n">
        <v>0</v>
      </c>
      <c r="BH61" s="153" t="n">
        <v>0</v>
      </c>
      <c r="BI61" s="153" t="n">
        <v>0</v>
      </c>
      <c r="BJ61" s="153" t="n">
        <v>0</v>
      </c>
      <c r="BK61" s="153" t="n">
        <v>0</v>
      </c>
      <c r="BL61" s="153" t="n">
        <v>0</v>
      </c>
      <c r="BM61" s="153" t="n">
        <v>0</v>
      </c>
      <c r="BN61" s="153" t="n">
        <v>0</v>
      </c>
      <c r="BO61" s="153" t="n">
        <v>0</v>
      </c>
      <c r="BP61" s="153" t="n">
        <v>0</v>
      </c>
      <c r="BQ61" s="153" t="n">
        <v>0</v>
      </c>
      <c r="BR61" s="153" t="n">
        <v>0</v>
      </c>
      <c r="BS61" s="153" t="n">
        <v>0</v>
      </c>
      <c r="BT61" s="153" t="n">
        <v>0</v>
      </c>
      <c r="BU61" s="153" t="n">
        <v>0</v>
      </c>
      <c r="BV61" s="153" t="n">
        <v>0</v>
      </c>
      <c r="BW61" s="153" t="n">
        <v>0</v>
      </c>
      <c r="BX61" s="153" t="n">
        <v>0</v>
      </c>
      <c r="BY61" s="153" t="n"/>
      <c r="BZ61" s="153" t="n"/>
      <c r="CA61" s="153" t="n"/>
      <c r="CB61" s="198">
        <f>BZ61+IF(NOT(ISBLANK(OFFSET(CB61,0,6))),N(OFFSET(CB61,0,6)),N(OFFSET(CB61,0,7)))-CA61</f>
        <v/>
      </c>
      <c r="CD61" s="194" t="n"/>
      <c r="CE61" s="194" t="n"/>
      <c r="CG61" s="27" t="n"/>
      <c r="CH61" s="831" t="n">
        <v>0</v>
      </c>
      <c r="CI61" s="135" t="n">
        <v>0</v>
      </c>
      <c r="CJ61" s="135" t="n">
        <v>0</v>
      </c>
      <c r="CK61" s="135" t="n">
        <v>0</v>
      </c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/>
      <c r="CZ61" s="135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135" t="n"/>
      <c r="DL61" s="135" t="n"/>
      <c r="DM61" s="135" t="n"/>
      <c r="DN61" s="374" t="n"/>
      <c r="DO61" s="135" t="n"/>
      <c r="DP61" s="135" t="n"/>
      <c r="DQ61" s="135" t="n"/>
      <c r="DR61" s="135" t="n"/>
      <c r="DS61" s="135" t="n"/>
      <c r="DT61" s="135" t="n"/>
      <c r="DU61" s="135" t="n"/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135" t="n"/>
      <c r="EP61" s="135" t="n"/>
      <c r="EQ61" s="135" t="n"/>
      <c r="ER61" s="135" t="n"/>
      <c r="ES61" s="135" t="n"/>
      <c r="ET61" s="135" t="n"/>
      <c r="EU61" s="135" t="n"/>
      <c r="EV61" s="135" t="n"/>
      <c r="EW61" s="135" t="n"/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23" t="n"/>
      <c r="FL61" s="374" t="n"/>
      <c r="FM61" s="135" t="n"/>
      <c r="FN61" s="135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219" t="n"/>
      <c r="GA61" s="135" t="n"/>
      <c r="GB61" s="219" t="n"/>
      <c r="GC61" s="135" t="n"/>
      <c r="GD61" s="135" t="n"/>
      <c r="GE61" s="135" t="n"/>
      <c r="GF61" s="135" t="n"/>
      <c r="GG61" s="135" t="n"/>
      <c r="GH61" s="135" t="n"/>
      <c r="GI61" s="135" t="n"/>
      <c r="GJ61" s="135" t="n"/>
      <c r="GK61" s="135" t="n"/>
      <c r="GL61" s="135" t="n"/>
      <c r="GM61" s="135" t="n"/>
      <c r="GN61" s="135" t="n"/>
      <c r="GO61" s="135" t="n"/>
      <c r="GP61" s="135" t="n"/>
      <c r="GQ61" s="135" t="n"/>
    </row>
    <row r="62">
      <c r="A62" s="37" t="inlineStr">
        <is>
          <t>CAIXA P QDB</t>
        </is>
      </c>
      <c r="B62" s="699" t="n">
        <v>150</v>
      </c>
      <c r="C62" s="762" t="n">
        <v>295.72</v>
      </c>
      <c r="D62" s="382" t="n">
        <v>10</v>
      </c>
      <c r="F62" s="32" t="n">
        <v>11</v>
      </c>
      <c r="G62" s="32" t="n">
        <v>11</v>
      </c>
      <c r="H62" s="32" t="n">
        <v>28</v>
      </c>
      <c r="I62" s="32" t="n">
        <v>28</v>
      </c>
      <c r="J62" s="32" t="n">
        <v>28</v>
      </c>
      <c r="K62" s="32" t="n">
        <v>28</v>
      </c>
      <c r="L62" s="32" t="n">
        <v>28</v>
      </c>
      <c r="M62" s="32" t="n">
        <v>28</v>
      </c>
      <c r="N62" s="32" t="n">
        <v>28</v>
      </c>
      <c r="O62" s="32" t="n">
        <v>28</v>
      </c>
      <c r="P62" s="32" t="n">
        <v>28</v>
      </c>
      <c r="Q62" s="32" t="n">
        <v>28</v>
      </c>
      <c r="R62" s="32" t="n">
        <v>28</v>
      </c>
      <c r="S62" s="32" t="n">
        <v>28</v>
      </c>
      <c r="T62" s="32" t="n">
        <v>28</v>
      </c>
      <c r="U62" s="32" t="n">
        <v>28</v>
      </c>
      <c r="V62" s="32" t="n">
        <v>27</v>
      </c>
      <c r="W62" s="32" t="n">
        <v>27</v>
      </c>
      <c r="X62" s="32" t="n">
        <v>27</v>
      </c>
      <c r="Y62" s="32" t="n">
        <v>27</v>
      </c>
      <c r="Z62" s="32" t="n">
        <v>27</v>
      </c>
      <c r="AA62" s="32" t="n">
        <v>27</v>
      </c>
      <c r="AB62" s="32" t="n">
        <v>27</v>
      </c>
      <c r="AC62" s="32" t="n">
        <v>27</v>
      </c>
      <c r="AD62" s="32" t="n">
        <v>26</v>
      </c>
      <c r="AE62" s="32">
        <f>26+57</f>
        <v/>
      </c>
      <c r="AF62" s="32" t="n">
        <v>83</v>
      </c>
      <c r="AG62" s="32" t="n">
        <v>83</v>
      </c>
      <c r="AH62" s="32" t="n">
        <v>83</v>
      </c>
      <c r="AI62" s="32" t="n">
        <v>83</v>
      </c>
      <c r="AJ62" s="32" t="n">
        <v>83</v>
      </c>
      <c r="AK62" s="32" t="n">
        <v>83</v>
      </c>
      <c r="AL62" s="32" t="n">
        <v>83</v>
      </c>
      <c r="AM62" s="32" t="n">
        <v>83</v>
      </c>
      <c r="AN62" s="32" t="n">
        <v>83</v>
      </c>
      <c r="AO62" s="32" t="n">
        <v>83</v>
      </c>
      <c r="AP62" s="32" t="n">
        <v>83</v>
      </c>
      <c r="AQ62" s="32" t="n">
        <v>33</v>
      </c>
      <c r="AR62" s="32" t="n">
        <v>33</v>
      </c>
      <c r="AS62" s="32" t="n">
        <v>26</v>
      </c>
      <c r="AT62" s="32" t="n">
        <v>25</v>
      </c>
      <c r="AU62" s="32" t="n">
        <v>25</v>
      </c>
      <c r="AV62" s="32" t="n">
        <v>25</v>
      </c>
      <c r="AW62" s="32" t="n">
        <v>25</v>
      </c>
      <c r="AX62" s="32" t="n">
        <v>25</v>
      </c>
      <c r="AY62" s="32" t="n">
        <v>20</v>
      </c>
      <c r="AZ62" s="32" t="n">
        <v>20</v>
      </c>
      <c r="BA62" s="32" t="n">
        <v>20</v>
      </c>
      <c r="BB62" s="32" t="n">
        <v>20</v>
      </c>
      <c r="BC62" s="32" t="n">
        <v>20</v>
      </c>
      <c r="BD62" s="32" t="n">
        <v>20</v>
      </c>
      <c r="BE62" s="32" t="n">
        <v>20</v>
      </c>
      <c r="BF62" s="32" t="n">
        <v>20</v>
      </c>
      <c r="BG62" s="32" t="n">
        <v>20</v>
      </c>
      <c r="BH62" s="32" t="n">
        <v>20</v>
      </c>
      <c r="BI62" s="32" t="n">
        <v>19</v>
      </c>
      <c r="BJ62" s="32" t="n">
        <v>19</v>
      </c>
      <c r="BK62" s="32" t="n">
        <v>19</v>
      </c>
      <c r="BL62" s="32" t="n">
        <v>19</v>
      </c>
      <c r="BM62" s="32" t="n">
        <v>19</v>
      </c>
      <c r="BN62" s="32" t="n">
        <v>19</v>
      </c>
      <c r="BO62" s="32" t="n">
        <v>19</v>
      </c>
      <c r="BP62" s="32" t="n">
        <v>19</v>
      </c>
      <c r="BQ62" s="32" t="n">
        <v>19</v>
      </c>
      <c r="BR62" s="32" t="n">
        <v>19</v>
      </c>
      <c r="BS62" s="32" t="n"/>
      <c r="BT62" s="32" t="n"/>
      <c r="BU62" s="32" t="n"/>
      <c r="BV62" s="32" t="n"/>
      <c r="BW62" s="32" t="n">
        <v>18</v>
      </c>
      <c r="BX62" s="32" t="n">
        <v>18</v>
      </c>
      <c r="BY62" s="32" t="n">
        <v>18</v>
      </c>
      <c r="BZ62" s="32" t="n">
        <v>18</v>
      </c>
      <c r="CA62" s="32" t="n">
        <v>18</v>
      </c>
      <c r="CB62" s="198">
        <f>BZ62+IF(NOT(ISBLANK(OFFSET(CB62,0,6))),N(OFFSET(CB62,0,6)),N(OFFSET(CB62,0,7)))-CA62</f>
        <v/>
      </c>
      <c r="CD62" s="38" t="n"/>
      <c r="CE62" s="38" t="n"/>
      <c r="CG62" s="27" t="n"/>
      <c r="CH62" s="831" t="n">
        <v>0</v>
      </c>
      <c r="CI62" s="135" t="n">
        <v>0</v>
      </c>
      <c r="CJ62" s="135" t="n">
        <v>0</v>
      </c>
      <c r="CK62" s="135" t="n">
        <v>0</v>
      </c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374" t="n"/>
      <c r="DO62" s="135" t="n"/>
      <c r="DP62" s="135" t="n"/>
      <c r="DQ62" s="135" t="n"/>
      <c r="DR62" s="135" t="n"/>
      <c r="DS62" s="135" t="n"/>
      <c r="DT62" s="135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135" t="n"/>
      <c r="EP62" s="135" t="n"/>
      <c r="EQ62" s="135" t="n"/>
      <c r="ER62" s="135" t="n"/>
      <c r="ES62" s="135" t="n"/>
      <c r="ET62" s="135" t="n"/>
      <c r="EU62" s="135" t="n"/>
      <c r="EV62" s="135" t="n"/>
      <c r="EW62" s="135" t="n"/>
      <c r="EX62" s="135" t="n"/>
      <c r="EY62" s="135" t="n"/>
      <c r="EZ62" s="406" t="inlineStr">
        <is>
          <t>57 DE CDB</t>
        </is>
      </c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290" t="n"/>
      <c r="FL62" s="374" t="n"/>
      <c r="FM62" s="135" t="n"/>
      <c r="FN62" s="135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219" t="n"/>
      <c r="GA62" s="135" t="n"/>
      <c r="GB62" s="219" t="n"/>
      <c r="GC62" s="135" t="n"/>
      <c r="GD62" s="135" t="n"/>
      <c r="GE62" s="135" t="n"/>
      <c r="GF62" s="135" t="n"/>
      <c r="GG62" s="135" t="n"/>
      <c r="GH62" s="135" t="n"/>
      <c r="GI62" s="135" t="n"/>
      <c r="GJ62" s="135" t="n"/>
      <c r="GK62" s="135" t="n"/>
      <c r="GL62" s="135" t="n"/>
      <c r="GM62" s="135" t="n"/>
      <c r="GN62" s="135" t="n"/>
      <c r="GO62" s="135" t="n"/>
      <c r="GP62" s="135" t="n"/>
      <c r="GQ62" s="135" t="n"/>
    </row>
    <row r="63">
      <c r="A63" s="37" t="inlineStr">
        <is>
          <t>CAIXA M QDB</t>
        </is>
      </c>
      <c r="B63" s="699" t="n">
        <v>100</v>
      </c>
      <c r="C63" s="762" t="n">
        <v>216.38</v>
      </c>
      <c r="D63" s="382" t="n">
        <v>10</v>
      </c>
      <c r="F63" s="32" t="n">
        <v>22</v>
      </c>
      <c r="G63" s="32" t="n">
        <v>22</v>
      </c>
      <c r="H63" s="32" t="n">
        <v>22</v>
      </c>
      <c r="I63" s="32" t="n">
        <v>22</v>
      </c>
      <c r="J63" s="32" t="n">
        <v>22</v>
      </c>
      <c r="K63" s="32" t="n">
        <v>22</v>
      </c>
      <c r="L63" s="32" t="n">
        <v>22</v>
      </c>
      <c r="M63" s="32" t="n">
        <v>21</v>
      </c>
      <c r="N63" s="32" t="n">
        <v>21</v>
      </c>
      <c r="O63" s="32" t="n">
        <v>21</v>
      </c>
      <c r="P63" s="32" t="n">
        <v>21</v>
      </c>
      <c r="Q63" s="32" t="n">
        <v>21</v>
      </c>
      <c r="R63" s="32" t="n">
        <v>21</v>
      </c>
      <c r="S63" s="32" t="n">
        <v>21</v>
      </c>
      <c r="T63" s="32" t="n">
        <v>21</v>
      </c>
      <c r="U63" s="32" t="n">
        <v>21</v>
      </c>
      <c r="V63" s="32" t="n">
        <v>21</v>
      </c>
      <c r="W63" s="32" t="n">
        <v>21</v>
      </c>
      <c r="X63" s="32" t="n">
        <v>21</v>
      </c>
      <c r="Y63" s="32" t="n">
        <v>21</v>
      </c>
      <c r="Z63" s="32" t="n">
        <v>21</v>
      </c>
      <c r="AA63" s="32" t="n">
        <v>21</v>
      </c>
      <c r="AB63" s="32" t="n">
        <v>21</v>
      </c>
      <c r="AC63" s="32" t="n">
        <v>21</v>
      </c>
      <c r="AD63" s="32" t="n">
        <v>20</v>
      </c>
      <c r="AE63" s="32" t="n">
        <v>20</v>
      </c>
      <c r="AF63" s="32" t="n">
        <v>20</v>
      </c>
      <c r="AG63" s="32" t="n">
        <v>20</v>
      </c>
      <c r="AH63" s="32" t="n">
        <v>20</v>
      </c>
      <c r="AI63" s="32" t="n">
        <v>20</v>
      </c>
      <c r="AJ63" s="32" t="n">
        <v>20</v>
      </c>
      <c r="AK63" s="32" t="n">
        <v>20</v>
      </c>
      <c r="AL63" s="32" t="n">
        <v>20</v>
      </c>
      <c r="AM63" s="32" t="n">
        <v>20</v>
      </c>
      <c r="AN63" s="32" t="n">
        <v>20</v>
      </c>
      <c r="AO63" s="32" t="n">
        <v>20</v>
      </c>
      <c r="AP63" s="32" t="n">
        <v>20</v>
      </c>
      <c r="AQ63" s="32" t="n">
        <v>20</v>
      </c>
      <c r="AR63" s="32" t="n">
        <v>20</v>
      </c>
      <c r="AS63" s="32" t="n">
        <v>20</v>
      </c>
      <c r="AT63" s="32" t="n">
        <v>20</v>
      </c>
      <c r="AU63" s="32" t="n">
        <v>20</v>
      </c>
      <c r="AV63" s="32" t="n">
        <v>20</v>
      </c>
      <c r="AW63" s="32" t="n">
        <v>20</v>
      </c>
      <c r="AX63" s="32" t="n">
        <v>20</v>
      </c>
      <c r="AY63" s="32" t="n">
        <v>15</v>
      </c>
      <c r="AZ63" s="32" t="n">
        <v>15</v>
      </c>
      <c r="BA63" s="32" t="n">
        <v>15</v>
      </c>
      <c r="BB63" s="32" t="n">
        <v>15</v>
      </c>
      <c r="BC63" s="32" t="n">
        <v>15</v>
      </c>
      <c r="BD63" s="32" t="n">
        <v>15</v>
      </c>
      <c r="BE63" s="32" t="n">
        <v>15</v>
      </c>
      <c r="BF63" s="32" t="n">
        <v>15</v>
      </c>
      <c r="BG63" s="32" t="n">
        <v>15</v>
      </c>
      <c r="BH63" s="32" t="n">
        <v>15</v>
      </c>
      <c r="BI63" s="32" t="n">
        <v>13</v>
      </c>
      <c r="BJ63" s="32" t="n">
        <v>13</v>
      </c>
      <c r="BK63" s="32" t="n">
        <v>13</v>
      </c>
      <c r="BL63" s="32" t="n">
        <v>13</v>
      </c>
      <c r="BM63" s="32" t="n">
        <v>12</v>
      </c>
      <c r="BN63" s="32" t="n">
        <v>12</v>
      </c>
      <c r="BO63" s="32" t="n">
        <v>12</v>
      </c>
      <c r="BP63" s="32" t="n">
        <v>12</v>
      </c>
      <c r="BQ63" s="32" t="n">
        <v>12</v>
      </c>
      <c r="BR63" s="32" t="n">
        <v>12</v>
      </c>
      <c r="BS63" s="32" t="n"/>
      <c r="BT63" s="32" t="n"/>
      <c r="BU63" s="32" t="n"/>
      <c r="BV63" s="32" t="n"/>
      <c r="BW63" s="32" t="n">
        <v>12</v>
      </c>
      <c r="BX63" s="32" t="n">
        <v>12</v>
      </c>
      <c r="BY63" s="32" t="n">
        <v>12</v>
      </c>
      <c r="BZ63" s="32" t="n">
        <v>12</v>
      </c>
      <c r="CA63" s="32" t="n">
        <v>12</v>
      </c>
      <c r="CB63" s="198">
        <f>BZ63+IF(NOT(ISBLANK(OFFSET(CB63,0,6))),N(OFFSET(CB63,0,6)),N(OFFSET(CB63,0,7)))-CA63</f>
        <v/>
      </c>
      <c r="CD63" s="38" t="n"/>
      <c r="CE63" s="38" t="n"/>
      <c r="CG63" s="27" t="n"/>
      <c r="CH63" s="831" t="n">
        <v>0</v>
      </c>
      <c r="CI63" s="135" t="n">
        <v>0</v>
      </c>
      <c r="CJ63" s="135" t="n">
        <v>0</v>
      </c>
      <c r="CK63" s="135" t="n">
        <v>0</v>
      </c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374" t="n"/>
      <c r="DO63" s="135" t="n"/>
      <c r="DP63" s="135" t="n"/>
      <c r="DQ63" s="135" t="n"/>
      <c r="DR63" s="135" t="n"/>
      <c r="DS63" s="135" t="n"/>
      <c r="DT63" s="135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135" t="n"/>
      <c r="EP63" s="135" t="n"/>
      <c r="EQ63" s="135" t="n"/>
      <c r="ER63" s="135" t="n"/>
      <c r="ES63" s="135" t="n"/>
      <c r="ET63" s="135" t="n"/>
      <c r="EU63" s="135" t="n"/>
      <c r="EV63" s="135" t="n"/>
      <c r="EW63" s="135" t="n"/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23" t="n"/>
      <c r="FL63" s="374" t="n"/>
      <c r="FM63" s="135" t="n"/>
      <c r="FN63" s="135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312" t="n"/>
      <c r="GA63" s="135" t="n"/>
      <c r="GB63" s="312" t="n"/>
      <c r="GC63" s="135" t="n"/>
      <c r="GD63" s="135" t="n"/>
      <c r="GE63" s="135" t="n"/>
      <c r="GF63" s="135" t="n"/>
      <c r="GG63" s="135" t="n"/>
      <c r="GH63" s="135" t="n"/>
      <c r="GI63" s="135" t="n"/>
      <c r="GJ63" s="135" t="n"/>
      <c r="GK63" s="135" t="n"/>
      <c r="GL63" s="135" t="n"/>
      <c r="GM63" s="135" t="n"/>
      <c r="GN63" s="135" t="n"/>
      <c r="GO63" s="135" t="n"/>
      <c r="GP63" s="135" t="n"/>
      <c r="GQ63" s="135" t="n"/>
    </row>
    <row r="64">
      <c r="A64" s="37" t="inlineStr">
        <is>
          <t>CAIXA G QDB</t>
        </is>
      </c>
      <c r="B64" s="699" t="n">
        <v>100</v>
      </c>
      <c r="C64" s="762" t="n">
        <v>306</v>
      </c>
      <c r="D64" s="382" t="n">
        <v>10</v>
      </c>
      <c r="E64" s="5" t="n"/>
      <c r="F64" s="32" t="n">
        <v>112</v>
      </c>
      <c r="G64" s="32" t="n">
        <v>112</v>
      </c>
      <c r="H64" s="32" t="n">
        <v>62</v>
      </c>
      <c r="I64" s="32" t="n">
        <v>62</v>
      </c>
      <c r="J64" s="32" t="n">
        <v>62</v>
      </c>
      <c r="K64" s="32" t="n">
        <v>60</v>
      </c>
      <c r="L64" s="32" t="n">
        <v>60</v>
      </c>
      <c r="M64" s="32" t="n">
        <v>60</v>
      </c>
      <c r="N64" s="32" t="n">
        <v>60</v>
      </c>
      <c r="O64" s="32" t="n">
        <v>60</v>
      </c>
      <c r="P64" s="32" t="n">
        <v>60</v>
      </c>
      <c r="Q64" s="32" t="n">
        <v>60</v>
      </c>
      <c r="R64" s="32" t="n">
        <v>60</v>
      </c>
      <c r="S64" s="32" t="n">
        <v>60</v>
      </c>
      <c r="T64" s="32" t="n">
        <v>60</v>
      </c>
      <c r="U64" s="32" t="n">
        <v>60</v>
      </c>
      <c r="V64" s="32" t="n">
        <v>59</v>
      </c>
      <c r="W64" s="32" t="n">
        <v>39</v>
      </c>
      <c r="X64" s="32" t="n">
        <v>38</v>
      </c>
      <c r="Y64" s="32" t="n">
        <v>36</v>
      </c>
      <c r="Z64" s="32" t="n">
        <v>35</v>
      </c>
      <c r="AA64" s="32" t="n">
        <v>35</v>
      </c>
      <c r="AB64" s="32" t="n">
        <v>34</v>
      </c>
      <c r="AC64" s="32" t="n">
        <v>34</v>
      </c>
      <c r="AD64" s="32" t="n">
        <v>34</v>
      </c>
      <c r="AE64" s="32" t="n">
        <v>34</v>
      </c>
      <c r="AF64" s="32" t="n">
        <v>32</v>
      </c>
      <c r="AG64" s="32" t="n">
        <v>32</v>
      </c>
      <c r="AH64" s="32" t="n">
        <v>32</v>
      </c>
      <c r="AI64" s="32" t="n">
        <v>32</v>
      </c>
      <c r="AJ64" s="32" t="n">
        <v>32</v>
      </c>
      <c r="AK64" s="32" t="n">
        <v>32</v>
      </c>
      <c r="AL64" s="32" t="n">
        <v>32</v>
      </c>
      <c r="AM64" s="32" t="n">
        <v>32</v>
      </c>
      <c r="AN64" s="32" t="n">
        <v>30</v>
      </c>
      <c r="AO64" s="32" t="n">
        <v>28</v>
      </c>
      <c r="AP64" s="32" t="n">
        <v>28</v>
      </c>
      <c r="AQ64" s="32" t="n">
        <v>28</v>
      </c>
      <c r="AR64" s="32" t="n">
        <v>28</v>
      </c>
      <c r="AS64" s="32" t="n">
        <v>27</v>
      </c>
      <c r="AT64" s="32" t="n">
        <v>27</v>
      </c>
      <c r="AU64" s="32" t="n">
        <v>27</v>
      </c>
      <c r="AV64" s="32" t="n">
        <v>27</v>
      </c>
      <c r="AW64" s="32" t="n">
        <v>26</v>
      </c>
      <c r="AX64" s="32" t="n">
        <v>25</v>
      </c>
      <c r="AY64" s="32" t="n">
        <v>25</v>
      </c>
      <c r="AZ64" s="32" t="n">
        <v>25</v>
      </c>
      <c r="BA64" s="32" t="n">
        <v>12</v>
      </c>
      <c r="BB64" s="32" t="n">
        <v>12</v>
      </c>
      <c r="BC64" s="32" t="n">
        <v>12</v>
      </c>
      <c r="BD64" s="32" t="n">
        <v>12</v>
      </c>
      <c r="BE64" s="32" t="n">
        <v>10</v>
      </c>
      <c r="BF64" s="32" t="n">
        <v>10</v>
      </c>
      <c r="BG64" s="32" t="n">
        <v>10</v>
      </c>
      <c r="BH64" s="32" t="n">
        <v>10</v>
      </c>
      <c r="BI64" s="32" t="n">
        <v>15</v>
      </c>
      <c r="BJ64" s="32" t="n">
        <v>15</v>
      </c>
      <c r="BK64" s="32" t="n">
        <v>15</v>
      </c>
      <c r="BL64" s="32" t="n">
        <v>15</v>
      </c>
      <c r="BM64" s="32" t="n">
        <v>15</v>
      </c>
      <c r="BN64" s="32" t="n">
        <v>15</v>
      </c>
      <c r="BO64" s="32" t="n">
        <v>15</v>
      </c>
      <c r="BP64" s="32" t="n">
        <v>15</v>
      </c>
      <c r="BQ64" s="32" t="n">
        <v>15</v>
      </c>
      <c r="BR64" s="32" t="n">
        <v>15</v>
      </c>
      <c r="BS64" s="32" t="n"/>
      <c r="BT64" s="32" t="n"/>
      <c r="BU64" s="32" t="n"/>
      <c r="BV64" s="32" t="n"/>
      <c r="BW64" s="32" t="n">
        <v>15</v>
      </c>
      <c r="BX64" s="32" t="n">
        <v>15</v>
      </c>
      <c r="BY64" s="32" t="n">
        <v>15</v>
      </c>
      <c r="BZ64" s="32" t="n">
        <v>15</v>
      </c>
      <c r="CA64" s="32" t="n">
        <v>15</v>
      </c>
      <c r="CB64" s="198">
        <f>BZ64+IF(NOT(ISBLANK(OFFSET(CB64,0,6))),N(OFFSET(CB64,0,6)),N(OFFSET(CB64,0,7)))-CA64</f>
        <v/>
      </c>
      <c r="CC64" s="5" t="n"/>
      <c r="CD64" s="38" t="n"/>
      <c r="CE64" s="38" t="n"/>
      <c r="CF64" s="5" t="n"/>
      <c r="CG64" s="27" t="n"/>
      <c r="CH64" s="831" t="n">
        <v>0</v>
      </c>
      <c r="CI64" s="135" t="n">
        <v>0</v>
      </c>
      <c r="CJ64" s="135" t="n">
        <v>0</v>
      </c>
      <c r="CK64" s="135" t="n">
        <v>0</v>
      </c>
      <c r="CL64" s="135" t="n"/>
      <c r="CM64" s="135" t="n"/>
      <c r="CN64" s="135" t="n"/>
      <c r="CO64" s="135" t="n"/>
      <c r="CP64" s="135" t="n"/>
      <c r="CQ64" s="135" t="n"/>
      <c r="CR64" s="135" t="n"/>
      <c r="CS64" s="135" t="n"/>
      <c r="CT64" s="135" t="n"/>
      <c r="CU64" s="135" t="n"/>
      <c r="CV64" s="135" t="n"/>
      <c r="CW64" s="135" t="n"/>
      <c r="CX64" s="135" t="n"/>
      <c r="CY64" s="135" t="n"/>
      <c r="CZ64" s="135" t="n"/>
      <c r="DA64" s="135" t="n"/>
      <c r="DB64" s="135" t="n"/>
      <c r="DC64" s="135" t="n"/>
      <c r="DD64" s="135" t="n"/>
      <c r="DE64" s="135" t="n"/>
      <c r="DF64" s="135" t="n"/>
      <c r="DG64" s="135" t="n"/>
      <c r="DH64" s="135" t="n"/>
      <c r="DI64" s="135" t="n"/>
      <c r="DJ64" s="135" t="n"/>
      <c r="DK64" s="135" t="n"/>
      <c r="DL64" s="135" t="n"/>
      <c r="DM64" s="135" t="n"/>
      <c r="DN64" s="374" t="n"/>
      <c r="DO64" s="135" t="n"/>
      <c r="DP64" s="135" t="n"/>
      <c r="DQ64" s="135" t="n"/>
      <c r="DR64" s="135" t="n"/>
      <c r="DS64" s="135" t="n"/>
      <c r="DT64" s="135" t="n"/>
      <c r="DU64" s="135" t="n"/>
      <c r="DV64" s="135" t="n"/>
      <c r="DW64" s="135" t="n"/>
      <c r="DX64" s="135" t="n"/>
      <c r="DY64" s="135" t="n"/>
      <c r="DZ64" s="135" t="n"/>
      <c r="EA64" s="135" t="n"/>
      <c r="EB64" s="135" t="n"/>
      <c r="EC64" s="135" t="n"/>
      <c r="ED64" s="135" t="n"/>
      <c r="EE64" s="135" t="n"/>
      <c r="EF64" s="135" t="n"/>
      <c r="EG64" s="135" t="n"/>
      <c r="EH64" s="135" t="n"/>
      <c r="EI64" s="135" t="n"/>
      <c r="EJ64" s="135" t="n"/>
      <c r="EK64" s="135" t="n"/>
      <c r="EL64" s="135" t="n"/>
      <c r="EM64" s="135" t="n"/>
      <c r="EN64" s="135" t="n"/>
      <c r="EO64" s="135" t="n"/>
      <c r="EP64" s="135" t="n"/>
      <c r="EQ64" s="135" t="n"/>
      <c r="ER64" s="135" t="n"/>
      <c r="ES64" s="135" t="n"/>
      <c r="ET64" s="135" t="n"/>
      <c r="EU64" s="135" t="n"/>
      <c r="EV64" s="135" t="n"/>
      <c r="EW64" s="135" t="n"/>
      <c r="EX64" s="135" t="n"/>
      <c r="EY64" s="135" t="n"/>
      <c r="EZ64" s="135" t="n"/>
      <c r="FA64" s="135" t="n"/>
      <c r="FB64" s="135" t="n"/>
      <c r="FC64" s="135" t="n"/>
      <c r="FD64" s="135" t="n"/>
      <c r="FE64" s="135" t="n"/>
      <c r="FF64" s="135" t="n"/>
      <c r="FG64" s="135" t="n"/>
      <c r="FH64" s="135" t="n"/>
      <c r="FI64" s="135" t="n"/>
      <c r="FJ64" s="135" t="n"/>
      <c r="FK64" s="290" t="n"/>
      <c r="FL64" s="374" t="n"/>
      <c r="FM64" s="135" t="n"/>
      <c r="FN64" s="135" t="n"/>
      <c r="FO64" s="135" t="n"/>
      <c r="FP64" s="135" t="n"/>
      <c r="FQ64" s="135" t="n"/>
      <c r="FR64" s="135" t="n"/>
      <c r="FS64" s="135" t="n"/>
      <c r="FT64" s="135" t="n"/>
      <c r="FU64" s="135" t="n"/>
      <c r="FV64" s="135" t="n"/>
      <c r="FW64" s="135" t="n"/>
      <c r="FX64" s="135" t="n"/>
      <c r="FY64" s="135" t="n"/>
      <c r="FZ64" s="312" t="n"/>
      <c r="GA64" s="135" t="n"/>
      <c r="GB64" s="312" t="n"/>
      <c r="GC64" s="135" t="n"/>
      <c r="GD64" s="135" t="n"/>
      <c r="GE64" s="135" t="n"/>
      <c r="GF64" s="135" t="n"/>
      <c r="GG64" s="135" t="n"/>
      <c r="GH64" s="135" t="n"/>
      <c r="GI64" s="135" t="n"/>
      <c r="GJ64" s="135" t="n"/>
      <c r="GK64" s="135" t="n"/>
      <c r="GL64" s="135" t="n"/>
      <c r="GM64" s="135" t="n"/>
      <c r="GN64" s="135" t="n"/>
      <c r="GO64" s="135" t="n"/>
      <c r="GP64" s="135" t="n"/>
      <c r="GQ64" s="135" t="n"/>
      <c r="GS64" s="5" t="n"/>
      <c r="GT64" s="5" t="n"/>
      <c r="GU64" s="5" t="n"/>
      <c r="GV64" s="5" t="n"/>
      <c r="GW64" s="5" t="n"/>
      <c r="GX64" s="5" t="n"/>
      <c r="GY64" s="5" t="n"/>
      <c r="GZ64" s="5" t="n"/>
      <c r="HA64" s="5" t="n"/>
      <c r="HB64" s="5" t="n"/>
      <c r="HC64" s="5" t="n"/>
      <c r="HD64" s="5" t="n"/>
      <c r="HE64" s="5" t="n"/>
      <c r="HF64" s="5" t="n"/>
      <c r="HG64" s="5" t="n"/>
      <c r="HH64" s="5" t="n"/>
      <c r="HI64" s="5" t="n"/>
      <c r="HJ64" s="5" t="n"/>
      <c r="HK64" s="5" t="n"/>
      <c r="HL64" s="5" t="n"/>
      <c r="HM64" s="5" t="n"/>
      <c r="HN64" s="5" t="n"/>
      <c r="HO64" s="5" t="n"/>
      <c r="HQ64" s="5" t="n"/>
      <c r="HR64" s="5" t="n"/>
      <c r="HS64" s="5" t="n"/>
      <c r="HT64" s="5" t="n"/>
      <c r="HU64" s="5" t="n"/>
      <c r="HV64" s="5" t="n"/>
      <c r="HW64" s="5" t="n"/>
      <c r="HX64" s="5" t="n"/>
      <c r="HY64" s="5" t="n"/>
      <c r="HZ64" s="5" t="n"/>
      <c r="IA64" s="5" t="n"/>
      <c r="IB64" s="5" t="n"/>
      <c r="IC64" s="5" t="n"/>
      <c r="IE64" s="5" t="n"/>
      <c r="IF64" s="5" t="n"/>
      <c r="IG64" s="5" t="n"/>
      <c r="IH64" s="5" t="n"/>
      <c r="II64" s="5" t="n"/>
      <c r="IJ64" s="5" t="n"/>
      <c r="IK64" s="5" t="n"/>
      <c r="IL64" s="5" t="n"/>
      <c r="IM64" s="5" t="n"/>
      <c r="IN64" s="5" t="n"/>
      <c r="IO64" s="5" t="n"/>
      <c r="IP64" s="5" t="n"/>
      <c r="IQ64" s="5" t="n"/>
      <c r="IR64" s="5" t="n"/>
      <c r="IT64" s="5" t="n"/>
      <c r="IU64" s="5" t="n"/>
      <c r="IV64" s="5" t="n"/>
      <c r="IW64" s="5" t="n"/>
      <c r="IX64" s="5" t="n"/>
      <c r="IY64" s="5" t="n"/>
      <c r="IZ64" s="5" t="n"/>
      <c r="JA64" s="5" t="n"/>
      <c r="JB64" s="5" t="n"/>
    </row>
    <row r="65">
      <c r="D65" s="759" t="n"/>
      <c r="DN65" s="309" t="n"/>
      <c r="FK65" s="47" t="n"/>
      <c r="FZ65" s="305" t="n"/>
      <c r="GB65" s="305" t="n"/>
      <c r="GS65" s="5" t="n"/>
      <c r="GT65" s="5" t="n"/>
      <c r="GU65" s="5" t="n"/>
      <c r="GV65" s="5" t="n"/>
      <c r="GW65" s="5" t="n"/>
      <c r="GX65" s="5" t="n"/>
      <c r="GY65" s="5" t="n"/>
      <c r="GZ65" s="5" t="n"/>
      <c r="HA65" s="5" t="n"/>
      <c r="HB65" s="5" t="n"/>
      <c r="HC65" s="5" t="n"/>
      <c r="HD65" s="5" t="n"/>
      <c r="HE65" s="5" t="n"/>
      <c r="HF65" s="5" t="n"/>
      <c r="HG65" s="5" t="n"/>
      <c r="HH65" s="5" t="n"/>
      <c r="HI65" s="5" t="n"/>
      <c r="HJ65" s="5" t="n"/>
      <c r="HK65" s="5" t="n"/>
      <c r="HL65" s="5" t="n"/>
      <c r="HM65" s="5" t="n"/>
      <c r="HN65" s="5" t="n"/>
      <c r="HO65" s="5" t="n"/>
      <c r="HQ65" s="5" t="n"/>
      <c r="HR65" s="5" t="n"/>
      <c r="HS65" s="5" t="n"/>
      <c r="HT65" s="5" t="n"/>
      <c r="HU65" s="5" t="n"/>
      <c r="HV65" s="5" t="n"/>
      <c r="HW65" s="5" t="n"/>
      <c r="HX65" s="5" t="n"/>
      <c r="HY65" s="5" t="n"/>
      <c r="HZ65" s="5" t="n"/>
      <c r="IA65" s="5" t="n"/>
      <c r="IB65" s="5" t="n"/>
      <c r="IC65" s="5" t="n"/>
      <c r="IE65" s="5" t="n"/>
      <c r="IF65" s="5" t="n"/>
      <c r="IG65" s="5" t="n"/>
      <c r="IH65" s="5" t="n"/>
      <c r="II65" s="5" t="n"/>
      <c r="IJ65" s="5" t="n"/>
      <c r="IK65" s="5" t="n"/>
      <c r="IL65" s="5" t="n"/>
      <c r="IM65" s="5" t="n"/>
      <c r="IN65" s="5" t="n"/>
      <c r="IO65" s="5" t="n"/>
      <c r="IP65" s="5" t="n"/>
      <c r="IQ65" s="5" t="n"/>
      <c r="IR65" s="5" t="n"/>
      <c r="IT65" s="5" t="n"/>
      <c r="IU65" s="5" t="n"/>
      <c r="IV65" s="5" t="n"/>
      <c r="IW65" s="5" t="n"/>
      <c r="IX65" s="5" t="n"/>
      <c r="IY65" s="5" t="n"/>
      <c r="IZ65" s="5" t="n"/>
      <c r="JA65" s="5" t="n"/>
      <c r="JB65" s="5" t="n"/>
    </row>
    <row r="66">
      <c r="A66" s="342" t="inlineStr">
        <is>
          <t>SACOLAS E CAIXAS EUDORA</t>
        </is>
      </c>
      <c r="B66" s="343" t="inlineStr">
        <is>
          <t>PC</t>
        </is>
      </c>
      <c r="C66" s="343" t="inlineStr">
        <is>
          <t>R$</t>
        </is>
      </c>
      <c r="D66" s="343" t="n"/>
      <c r="F66" s="746" t="n">
        <v>45656</v>
      </c>
      <c r="G66" s="746" t="n">
        <v>45663</v>
      </c>
      <c r="H66" s="746" t="n">
        <v>45670</v>
      </c>
      <c r="I66" s="746" t="n">
        <v>45677</v>
      </c>
      <c r="J66" s="746" t="n">
        <v>45684</v>
      </c>
      <c r="K66" s="746" t="n">
        <v>45691</v>
      </c>
      <c r="L66" s="746" t="n">
        <v>45698</v>
      </c>
      <c r="M66" s="746" t="n">
        <v>45705</v>
      </c>
      <c r="N66" s="746" t="n">
        <v>45712</v>
      </c>
      <c r="O66" s="746" t="n">
        <v>45719</v>
      </c>
      <c r="P66" s="746" t="n">
        <v>45726</v>
      </c>
      <c r="Q66" s="746" t="n">
        <v>45733</v>
      </c>
      <c r="R66" s="746" t="n">
        <v>45740</v>
      </c>
      <c r="S66" s="746" t="n">
        <v>45747</v>
      </c>
      <c r="T66" s="746" t="n">
        <v>45754</v>
      </c>
      <c r="U66" s="746" t="n">
        <v>45761</v>
      </c>
      <c r="V66" s="746" t="n">
        <v>45768</v>
      </c>
      <c r="W66" s="746" t="n">
        <v>45775</v>
      </c>
      <c r="X66" s="746" t="n">
        <v>45782</v>
      </c>
      <c r="Y66" s="746" t="n">
        <v>45789</v>
      </c>
      <c r="Z66" s="746" t="n">
        <v>45796</v>
      </c>
      <c r="AA66" s="746" t="n">
        <v>45803</v>
      </c>
      <c r="AB66" s="746" t="n">
        <v>45810</v>
      </c>
      <c r="AC66" s="746" t="n">
        <v>45817</v>
      </c>
      <c r="AD66" s="746" t="n">
        <v>45824</v>
      </c>
      <c r="AE66" s="746" t="n">
        <v>45831</v>
      </c>
      <c r="AF66" s="746" t="n">
        <v>45838</v>
      </c>
      <c r="AG66" s="746" t="n">
        <v>45845</v>
      </c>
      <c r="AH66" s="746" t="n">
        <v>45852</v>
      </c>
      <c r="AI66" s="746" t="n">
        <v>45859</v>
      </c>
      <c r="AJ66" s="746" t="n">
        <v>45866</v>
      </c>
      <c r="AK66" s="746" t="n">
        <v>45873</v>
      </c>
      <c r="AL66" s="746" t="n">
        <v>45880</v>
      </c>
      <c r="AM66" s="746" t="n">
        <v>45887</v>
      </c>
      <c r="AN66" s="746" t="n">
        <v>45894</v>
      </c>
      <c r="AO66" s="746" t="n">
        <v>45901</v>
      </c>
      <c r="AP66" s="746" t="n">
        <v>45915</v>
      </c>
      <c r="AQ66" s="746" t="n">
        <v>45922</v>
      </c>
      <c r="AR66" s="746" t="n">
        <v>45929</v>
      </c>
      <c r="AS66" s="746" t="n">
        <v>45936</v>
      </c>
      <c r="AT66" s="746" t="n">
        <v>45943</v>
      </c>
      <c r="AU66" s="746" t="n">
        <v>45950</v>
      </c>
      <c r="AV66" s="746" t="n">
        <v>45957</v>
      </c>
      <c r="AW66" s="746" t="n">
        <v>45964</v>
      </c>
      <c r="AX66" s="746" t="n">
        <v>45971</v>
      </c>
      <c r="AY66" s="746" t="n">
        <v>45978</v>
      </c>
      <c r="AZ66" s="746" t="n">
        <v>45985</v>
      </c>
      <c r="BA66" s="746" t="n">
        <v>45992</v>
      </c>
      <c r="BB66" s="746" t="n">
        <v>45999</v>
      </c>
      <c r="BC66" s="746" t="n">
        <v>46006</v>
      </c>
      <c r="BD66" s="746" t="n">
        <v>46013</v>
      </c>
      <c r="BE66" s="746" t="n">
        <v>46020</v>
      </c>
      <c r="BF66" s="746" t="n">
        <v>46027</v>
      </c>
      <c r="BG66" s="746" t="n">
        <v>46034</v>
      </c>
      <c r="BH66" s="746" t="n">
        <v>46041</v>
      </c>
      <c r="BI66" s="746" t="n">
        <v>46048</v>
      </c>
      <c r="BJ66" s="746" t="n">
        <v>46055</v>
      </c>
      <c r="BK66" s="746" t="n">
        <v>46062</v>
      </c>
      <c r="BL66" s="746" t="n">
        <v>46069</v>
      </c>
      <c r="BM66" s="746" t="n">
        <v>46076</v>
      </c>
      <c r="BN66" s="746" t="n">
        <v>46083</v>
      </c>
      <c r="BO66" s="746" t="n">
        <v>46090</v>
      </c>
      <c r="BP66" s="746" t="n">
        <v>46097</v>
      </c>
      <c r="BQ66" s="746" t="n">
        <v>46104</v>
      </c>
      <c r="BR66" s="746" t="n">
        <v>46111</v>
      </c>
      <c r="BS66" s="746" t="n">
        <v>46118</v>
      </c>
      <c r="BT66" s="746" t="n">
        <v>46125</v>
      </c>
      <c r="BU66" s="746" t="n">
        <v>46132</v>
      </c>
      <c r="BV66" s="746" t="n">
        <v>46139</v>
      </c>
      <c r="BW66" s="746" t="n">
        <v>46146</v>
      </c>
      <c r="BX66" s="746" t="n">
        <v>46154</v>
      </c>
      <c r="BY66" s="746" t="n">
        <v>46160</v>
      </c>
      <c r="BZ66" s="747" t="n">
        <v>46161.48025125</v>
      </c>
      <c r="CA66" s="747" t="n">
        <v>46161.48090906737</v>
      </c>
      <c r="CB66" s="758" t="inlineStr">
        <is>
          <t>USOU</t>
        </is>
      </c>
      <c r="CD66" s="44" t="inlineStr">
        <is>
          <t>Pendências</t>
        </is>
      </c>
      <c r="CE66" s="44" t="inlineStr">
        <is>
          <t>Pendências</t>
        </is>
      </c>
      <c r="CF66" s="5" t="n"/>
      <c r="CG66" s="12" t="inlineStr">
        <is>
          <t>Novo Pedido</t>
        </is>
      </c>
      <c r="CH66" s="793" t="n">
        <v>46161.48090514621</v>
      </c>
      <c r="CI66" s="794" t="n">
        <v>46149</v>
      </c>
      <c r="CJ66" s="794" t="n">
        <v>46142</v>
      </c>
      <c r="CK66" s="794" t="n">
        <v>46114</v>
      </c>
      <c r="CL66" s="794" t="n">
        <v>46107</v>
      </c>
      <c r="CM66" s="795" t="n">
        <v>46065</v>
      </c>
      <c r="CN66" s="794" t="n">
        <v>46099</v>
      </c>
      <c r="CO66" s="794" t="n">
        <v>46092</v>
      </c>
      <c r="CP66" s="796" t="n">
        <v>46045</v>
      </c>
      <c r="CQ66" s="794" t="n">
        <v>46084</v>
      </c>
      <c r="CR66" s="797" t="n">
        <v>46085</v>
      </c>
      <c r="CS66" s="794" t="n">
        <v>46077</v>
      </c>
      <c r="CT66" s="794" t="n">
        <v>46071</v>
      </c>
      <c r="CU66" s="794" t="n">
        <v>46056</v>
      </c>
      <c r="CV66" s="794" t="n">
        <v>46048</v>
      </c>
      <c r="CW66" s="794" t="n">
        <v>46056</v>
      </c>
      <c r="CX66" s="794" t="n">
        <v>46048</v>
      </c>
      <c r="CY66" s="794" t="n">
        <v>46043</v>
      </c>
      <c r="CZ66" s="794" t="n">
        <v>46035</v>
      </c>
      <c r="DA66" s="794" t="n">
        <v>46043</v>
      </c>
      <c r="DB66" s="794" t="n">
        <v>46035</v>
      </c>
      <c r="DC66" s="794" t="n">
        <v>46035</v>
      </c>
      <c r="DD66" s="794" t="n">
        <v>46029</v>
      </c>
      <c r="DE66" s="794" t="n">
        <v>46017</v>
      </c>
      <c r="DF66" s="794" t="n">
        <v>46007</v>
      </c>
      <c r="DG66" s="794" t="n">
        <v>46007</v>
      </c>
      <c r="DH66" s="794" t="n">
        <v>46001</v>
      </c>
      <c r="DI66" s="794" t="n">
        <v>46001</v>
      </c>
      <c r="DJ66" s="794" t="n">
        <v>45994</v>
      </c>
      <c r="DK66" s="794" t="n">
        <v>45994</v>
      </c>
      <c r="DL66" s="794" t="n">
        <v>45986</v>
      </c>
      <c r="DM66" s="794" t="n">
        <v>45980</v>
      </c>
      <c r="DN66" s="797" t="n">
        <v>45982</v>
      </c>
      <c r="DO66" s="794" t="n">
        <v>45973</v>
      </c>
      <c r="DP66" s="794" t="n">
        <v>45965</v>
      </c>
      <c r="DQ66" s="794" t="n">
        <v>45965</v>
      </c>
      <c r="DR66" s="794" t="n">
        <v>45960</v>
      </c>
      <c r="DS66" s="794" t="n">
        <v>45960</v>
      </c>
      <c r="DT66" s="794" t="n">
        <v>45951</v>
      </c>
      <c r="DU66" s="794" t="n">
        <v>45945</v>
      </c>
      <c r="DV66" s="737" t="n">
        <v>45903</v>
      </c>
      <c r="DW66" s="794" t="n">
        <v>45945</v>
      </c>
      <c r="DX66" s="794" t="n">
        <v>45937</v>
      </c>
      <c r="DY66" s="794" t="n">
        <v>45923</v>
      </c>
      <c r="DZ66" s="794" t="n">
        <v>45931</v>
      </c>
      <c r="EA66" s="794" t="n">
        <v>45931</v>
      </c>
      <c r="EB66" s="794" t="n">
        <v>45915</v>
      </c>
      <c r="EC66" s="794" t="n">
        <v>45923</v>
      </c>
      <c r="ED66" s="794" t="n">
        <v>45915</v>
      </c>
      <c r="EE66" s="797" t="n">
        <v>45918</v>
      </c>
      <c r="EF66" s="794" t="n">
        <v>45903</v>
      </c>
      <c r="EG66" s="738" t="n">
        <v>45903</v>
      </c>
      <c r="EH66" s="794" t="n">
        <v>45895</v>
      </c>
      <c r="EI66" s="797" t="n">
        <v>45896</v>
      </c>
      <c r="EJ66" s="794" t="n">
        <v>45888</v>
      </c>
      <c r="EK66" s="794" t="n">
        <v>45888</v>
      </c>
      <c r="EL66" s="794" t="n">
        <v>45881</v>
      </c>
      <c r="EM66" s="797" t="n">
        <v>45881</v>
      </c>
      <c r="EN66" s="794" t="n">
        <v>45874</v>
      </c>
      <c r="EO66" s="797" t="n">
        <v>45876</v>
      </c>
      <c r="EP66" s="794" t="n">
        <v>45867</v>
      </c>
      <c r="EQ66" s="794" t="n">
        <v>45860</v>
      </c>
      <c r="ER66" s="794" t="n">
        <v>45839</v>
      </c>
      <c r="ES66" s="797" t="n">
        <v>45861</v>
      </c>
      <c r="ET66" s="797" t="n">
        <v>45860</v>
      </c>
      <c r="EU66" s="794" t="n">
        <v>45853</v>
      </c>
      <c r="EV66" s="739" t="n">
        <v>45855</v>
      </c>
      <c r="EW66" s="794" t="n">
        <v>45848</v>
      </c>
      <c r="EX66" s="794" t="n">
        <v>45839</v>
      </c>
      <c r="EY66" s="739" t="n">
        <v>45791</v>
      </c>
      <c r="EZ66" s="797" t="n">
        <v>45835</v>
      </c>
      <c r="FA66" s="794" t="n">
        <v>45832</v>
      </c>
      <c r="FB66" s="794" t="n">
        <v>45825</v>
      </c>
      <c r="FC66" s="794" t="n">
        <v>45819</v>
      </c>
      <c r="FD66" s="794" t="n">
        <v>45813</v>
      </c>
      <c r="FE66" s="794" t="n">
        <v>45805</v>
      </c>
      <c r="FF66" s="797" t="n">
        <v>45811</v>
      </c>
      <c r="FG66" s="797" t="n">
        <v>45810</v>
      </c>
      <c r="FH66" s="794" t="n">
        <v>45798</v>
      </c>
      <c r="FI66" s="797" t="n">
        <v>45803</v>
      </c>
      <c r="FJ66" s="755" t="n">
        <v>45803</v>
      </c>
      <c r="FK66" s="797" t="n">
        <v>45800</v>
      </c>
      <c r="FL66" s="742" t="n">
        <v>45735</v>
      </c>
      <c r="FM66" s="797" t="n">
        <v>45796</v>
      </c>
      <c r="FN66" s="794" t="n">
        <v>45790</v>
      </c>
      <c r="FO66" s="794" t="n">
        <v>45784</v>
      </c>
      <c r="FP66" s="797" t="n">
        <v>45791</v>
      </c>
      <c r="FQ66" s="794" t="n">
        <v>45783</v>
      </c>
      <c r="FR66" s="794" t="n">
        <v>45770</v>
      </c>
      <c r="FS66" s="794" t="n">
        <v>45775</v>
      </c>
      <c r="FT66" s="794" t="n">
        <v>45770</v>
      </c>
      <c r="FU66" s="797" t="n">
        <v>45775</v>
      </c>
      <c r="FV66" s="794" t="n">
        <v>45756</v>
      </c>
      <c r="FW66" s="794" t="n">
        <v>45749</v>
      </c>
      <c r="FX66" s="797" t="n">
        <v>45751</v>
      </c>
      <c r="FY66" s="794" t="n">
        <v>45743</v>
      </c>
      <c r="FZ66" s="746" t="n">
        <v>45729</v>
      </c>
      <c r="GA66" s="794" t="n">
        <v>45722</v>
      </c>
      <c r="GB66" s="746" t="n">
        <v>45700</v>
      </c>
      <c r="GC66" s="797" t="n">
        <v>45722</v>
      </c>
      <c r="GD66" s="794" t="n">
        <v>45714</v>
      </c>
      <c r="GE66" s="794" t="n">
        <v>45706</v>
      </c>
      <c r="GF66" s="794" t="n">
        <v>45699</v>
      </c>
      <c r="GG66" s="794" t="n">
        <v>45693</v>
      </c>
      <c r="GH66" s="794" t="n">
        <v>45685</v>
      </c>
      <c r="GI66" s="797" t="n">
        <v>45687</v>
      </c>
      <c r="GJ66" s="794" t="n">
        <v>45664</v>
      </c>
      <c r="GK66" s="794" t="n">
        <v>45679</v>
      </c>
      <c r="GL66" s="797" t="n">
        <v>45684</v>
      </c>
      <c r="GM66" s="794" t="n">
        <v>45664</v>
      </c>
      <c r="GN66" s="794" t="n">
        <v>45660</v>
      </c>
      <c r="GO66" s="794" t="n">
        <v>45652</v>
      </c>
      <c r="GP66" s="794" t="n">
        <v>45643</v>
      </c>
      <c r="GQ66" s="794" t="n">
        <v>45638</v>
      </c>
      <c r="GS66" s="5" t="n"/>
      <c r="GT66" s="5" t="n"/>
      <c r="GU66" s="5" t="n"/>
      <c r="GV66" s="5" t="n"/>
      <c r="GW66" s="5" t="n"/>
      <c r="GX66" s="5" t="n"/>
      <c r="GY66" s="5" t="n"/>
      <c r="GZ66" s="5" t="n"/>
      <c r="HA66" s="5" t="n"/>
      <c r="HB66" s="5" t="n"/>
      <c r="HC66" s="5" t="n"/>
      <c r="HD66" s="5" t="n"/>
      <c r="HE66" s="5" t="n"/>
      <c r="HF66" s="5" t="n"/>
      <c r="HG66" s="5" t="n"/>
      <c r="HH66" s="5" t="n"/>
      <c r="HI66" s="5" t="n"/>
      <c r="HJ66" s="5" t="n"/>
      <c r="HK66" s="5" t="n"/>
      <c r="HL66" s="5" t="n"/>
      <c r="HM66" s="5" t="n"/>
      <c r="HN66" s="5" t="n"/>
      <c r="HO66" s="5" t="n"/>
      <c r="HQ66" s="5" t="n"/>
      <c r="HR66" s="5" t="n"/>
      <c r="HS66" s="5" t="n"/>
      <c r="HT66" s="5" t="n"/>
      <c r="HU66" s="5" t="n"/>
      <c r="HV66" s="5" t="n"/>
      <c r="HW66" s="5" t="n"/>
      <c r="HX66" s="5" t="n"/>
      <c r="HY66" s="5" t="n"/>
      <c r="HZ66" s="5" t="n"/>
      <c r="IA66" s="5" t="n"/>
      <c r="IB66" s="5" t="n"/>
      <c r="IC66" s="5" t="n"/>
      <c r="IE66" s="5" t="n"/>
      <c r="IF66" s="5" t="n"/>
      <c r="IG66" s="5" t="n"/>
      <c r="IH66" s="5" t="n"/>
      <c r="II66" s="5" t="n"/>
      <c r="IJ66" s="5" t="n"/>
      <c r="IK66" s="5" t="n"/>
      <c r="IL66" s="5" t="n"/>
      <c r="IM66" s="5" t="n"/>
      <c r="IN66" s="5" t="n"/>
      <c r="IO66" s="5" t="n"/>
      <c r="IP66" s="5" t="n"/>
      <c r="IQ66" s="5" t="n"/>
      <c r="IR66" s="5" t="n"/>
      <c r="IT66" s="5" t="n"/>
      <c r="IU66" s="5" t="n"/>
      <c r="IV66" s="5" t="n"/>
      <c r="IW66" s="5" t="n"/>
      <c r="IX66" s="5" t="n"/>
      <c r="IY66" s="5" t="n"/>
      <c r="IZ66" s="5" t="n"/>
      <c r="JA66" s="5" t="n"/>
      <c r="JB66" s="5" t="n"/>
    </row>
    <row r="67">
      <c r="A67" s="37" t="inlineStr">
        <is>
          <t>SACOLA P EUDORA</t>
        </is>
      </c>
      <c r="B67" s="699" t="n">
        <v>200</v>
      </c>
      <c r="C67" s="762" t="n">
        <v>183.24</v>
      </c>
      <c r="D67" s="382" t="inlineStr">
        <is>
          <t>?</t>
        </is>
      </c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>
        <v>0</v>
      </c>
      <c r="Y67" s="697" t="n">
        <v>0</v>
      </c>
      <c r="Z67" s="697" t="n">
        <v>600</v>
      </c>
      <c r="AA67" s="697" t="n">
        <v>600</v>
      </c>
      <c r="AB67" s="237">
        <f>600+FC67</f>
        <v/>
      </c>
      <c r="AC67" s="237" t="n">
        <v>200</v>
      </c>
      <c r="AD67" s="237" t="n">
        <v>800</v>
      </c>
      <c r="AE67" s="237">
        <f>600+EZ67</f>
        <v/>
      </c>
      <c r="AF67" s="237" t="n">
        <v>800</v>
      </c>
      <c r="AG67" s="237">
        <f>400+EV67</f>
        <v/>
      </c>
      <c r="AH67" s="237" t="n">
        <v>200</v>
      </c>
      <c r="AI67" s="237" t="n">
        <v>600</v>
      </c>
      <c r="AJ67" s="237" t="n">
        <v>400</v>
      </c>
      <c r="AK67" s="237">
        <f>200+EN67</f>
        <v/>
      </c>
      <c r="AL67" s="237" t="n">
        <v>200</v>
      </c>
      <c r="AM67" s="237" t="n">
        <v>0</v>
      </c>
      <c r="AN67" s="237" t="n">
        <v>0</v>
      </c>
      <c r="AO67" s="237" t="n">
        <v>1000</v>
      </c>
      <c r="AP67" s="237" t="n">
        <v>200</v>
      </c>
      <c r="AQ67" s="237" t="n">
        <v>1000</v>
      </c>
      <c r="AR67" s="237" t="n">
        <v>800</v>
      </c>
      <c r="AS67" s="237" t="n">
        <v>400</v>
      </c>
      <c r="AT67" s="237">
        <f>200+DV67</f>
        <v/>
      </c>
      <c r="AU67" s="237" t="n">
        <v>600</v>
      </c>
      <c r="AV67" s="237" t="n">
        <v>200</v>
      </c>
      <c r="AW67" s="237">
        <f>200+DQ67</f>
        <v/>
      </c>
      <c r="AX67" s="237">
        <f>800+DO67</f>
        <v/>
      </c>
      <c r="AY67" s="237" t="n">
        <v>800</v>
      </c>
      <c r="AZ67" s="237">
        <f>400+DK67</f>
        <v/>
      </c>
      <c r="BA67" s="237">
        <f>1000+DJ67</f>
        <v/>
      </c>
      <c r="BB67" s="237" t="n">
        <v>1600</v>
      </c>
      <c r="BC67" s="237" t="n">
        <v>1000</v>
      </c>
      <c r="BD67" s="237" t="n">
        <v>2600</v>
      </c>
      <c r="BE67" s="237" t="n">
        <v>2600</v>
      </c>
      <c r="BF67" s="237" t="n">
        <v>2400</v>
      </c>
      <c r="BG67" s="237" t="n">
        <v>2000</v>
      </c>
      <c r="BH67" s="237" t="n">
        <v>2000</v>
      </c>
      <c r="BI67" s="237" t="n">
        <v>1800</v>
      </c>
      <c r="BJ67" s="237" t="n">
        <v>4000</v>
      </c>
      <c r="BK67" s="237" t="n">
        <v>3000</v>
      </c>
      <c r="BL67" s="237" t="n">
        <v>3000</v>
      </c>
      <c r="BM67" s="237" t="n">
        <v>1800</v>
      </c>
      <c r="BN67" s="237">
        <f>1400+CQ67</f>
        <v/>
      </c>
      <c r="BO67" s="237" t="n">
        <v>300</v>
      </c>
      <c r="BP67" s="237" t="n">
        <v>4000</v>
      </c>
      <c r="BQ67" s="237" t="n">
        <v>3000</v>
      </c>
      <c r="BR67" s="237" t="n">
        <v>3000</v>
      </c>
      <c r="BS67" s="237" t="n">
        <v>2800</v>
      </c>
      <c r="BT67" s="237" t="n">
        <v>2600</v>
      </c>
      <c r="BU67" s="237" t="n">
        <v>2400</v>
      </c>
      <c r="BV67" s="237" t="n">
        <v>2400</v>
      </c>
      <c r="BW67" s="237" t="n">
        <v>2200</v>
      </c>
      <c r="BX67" s="237" t="n">
        <v>1000</v>
      </c>
      <c r="BY67" s="237" t="n"/>
      <c r="BZ67" s="154" t="n"/>
      <c r="CA67" s="154" t="n"/>
      <c r="CB67" s="198">
        <f>BZ67+IF(NOT(ISBLANK(OFFSET(CB67,0,6))),N(OFFSET(CB67,0,6)),N(OFFSET(CB67,0,7)))-CA67</f>
        <v/>
      </c>
      <c r="CD67" s="194" t="n"/>
      <c r="CE67" s="194" t="n"/>
      <c r="CF67" s="5" t="n"/>
      <c r="CG67" s="27" t="n"/>
      <c r="CH67" s="831" t="n">
        <v>0</v>
      </c>
      <c r="CI67" s="135" t="n">
        <v>0</v>
      </c>
      <c r="CJ67" s="135" t="n">
        <v>0</v>
      </c>
      <c r="CK67" s="135" t="n">
        <v>0</v>
      </c>
      <c r="CL67" s="135" t="n"/>
      <c r="CM67" s="135" t="n"/>
      <c r="CN67" s="135" t="n"/>
      <c r="CO67" s="135" t="n">
        <v>2000</v>
      </c>
      <c r="CP67" s="135" t="n"/>
      <c r="CQ67" s="135" t="n"/>
      <c r="CR67" s="135" t="n"/>
      <c r="CS67" s="135" t="n">
        <v>2000</v>
      </c>
      <c r="CT67" s="135" t="n"/>
      <c r="CU67" s="135" t="n"/>
      <c r="CV67" s="135" t="n">
        <v>1200</v>
      </c>
      <c r="CW67" s="135" t="n"/>
      <c r="CX67" s="135" t="n"/>
      <c r="CY67" s="135" t="n"/>
      <c r="CZ67" s="135" t="n">
        <v>2400</v>
      </c>
      <c r="DA67" s="135" t="n"/>
      <c r="DB67" s="135" t="n"/>
      <c r="DC67" s="135" t="n"/>
      <c r="DD67" s="135" t="n"/>
      <c r="DE67" s="135" t="n"/>
      <c r="DF67" s="135" t="n"/>
      <c r="DG67" s="135" t="n">
        <v>1000</v>
      </c>
      <c r="DH67" s="135" t="n">
        <v>1000</v>
      </c>
      <c r="DI67" s="135" t="n"/>
      <c r="DJ67" s="135" t="n"/>
      <c r="DK67" s="135" t="n"/>
      <c r="DL67" s="135" t="n">
        <v>1000</v>
      </c>
      <c r="DM67" s="135" t="n">
        <v>1000</v>
      </c>
      <c r="DN67" s="374" t="n"/>
      <c r="DO67" s="135" t="n"/>
      <c r="DP67" s="135" t="n"/>
      <c r="DQ67" s="135" t="n">
        <v>200</v>
      </c>
      <c r="DR67" s="135" t="n"/>
      <c r="DS67" s="135" t="n">
        <v>800</v>
      </c>
      <c r="DT67" s="135" t="n"/>
      <c r="DU67" s="135" t="n"/>
      <c r="DV67" s="135" t="n"/>
      <c r="DW67" s="135" t="n"/>
      <c r="DX67" s="135" t="n">
        <v>600</v>
      </c>
      <c r="DY67" s="135" t="n"/>
      <c r="DZ67" s="135" t="n"/>
      <c r="EA67" s="135" t="n"/>
      <c r="EB67" s="135" t="n"/>
      <c r="EC67" s="135" t="n"/>
      <c r="ED67" s="135" t="n">
        <v>1000</v>
      </c>
      <c r="EE67" s="135" t="n"/>
      <c r="EF67" s="135" t="n"/>
      <c r="EG67" s="135" t="n"/>
      <c r="EH67" s="135" t="n"/>
      <c r="EI67" s="135" t="n"/>
      <c r="EJ67" s="135" t="n">
        <v>1000</v>
      </c>
      <c r="EK67" s="135" t="n"/>
      <c r="EL67" s="135" t="n"/>
      <c r="EM67" s="135" t="n"/>
      <c r="EN67" s="135" t="n"/>
      <c r="EO67" s="135" t="n"/>
      <c r="EP67" s="135" t="n">
        <v>1000</v>
      </c>
      <c r="EQ67" s="135" t="n">
        <v>600</v>
      </c>
      <c r="ER67" s="135" t="n"/>
      <c r="ES67" s="135" t="n"/>
      <c r="ET67" s="135" t="n"/>
      <c r="EU67" s="135" t="n">
        <v>800</v>
      </c>
      <c r="EV67" s="135" t="n"/>
      <c r="EW67" s="135" t="n"/>
      <c r="EX67" s="135" t="n">
        <v>400</v>
      </c>
      <c r="EY67" s="135" t="n"/>
      <c r="EZ67" s="135" t="n"/>
      <c r="FA67" s="135" t="n">
        <v>200</v>
      </c>
      <c r="FB67" s="135" t="n">
        <v>400</v>
      </c>
      <c r="FC67" s="135" t="n">
        <v>800</v>
      </c>
      <c r="FD67" s="135" t="n"/>
      <c r="FE67" s="135" t="n">
        <v>400</v>
      </c>
      <c r="FF67" s="135" t="n"/>
      <c r="FG67" s="135" t="n"/>
      <c r="FH67" s="135" t="n"/>
      <c r="FI67" s="135" t="n"/>
      <c r="FJ67" s="135" t="n"/>
      <c r="FK67" s="23" t="n"/>
      <c r="FL67" s="374" t="n"/>
      <c r="FM67" s="135" t="n"/>
      <c r="FN67" s="135" t="n"/>
      <c r="FO67" s="135" t="n">
        <v>600</v>
      </c>
      <c r="FP67" s="135" t="n"/>
      <c r="FQ67" s="135" t="n"/>
      <c r="FR67" s="135" t="n"/>
      <c r="FS67" s="135" t="n"/>
      <c r="FT67" s="135" t="n"/>
      <c r="FU67" s="135" t="n"/>
      <c r="FV67" s="135" t="n"/>
      <c r="FW67" s="135" t="n"/>
      <c r="FX67" s="135" t="n"/>
      <c r="FY67" s="135" t="n"/>
      <c r="FZ67" s="310" t="n"/>
      <c r="GA67" s="135" t="n"/>
      <c r="GB67" s="310" t="n"/>
      <c r="GC67" s="135" t="n"/>
      <c r="GD67" s="135" t="n"/>
      <c r="GE67" s="135" t="n"/>
      <c r="GF67" s="135" t="n"/>
      <c r="GG67" s="135" t="n"/>
      <c r="GH67" s="135" t="n"/>
      <c r="GI67" s="135" t="n"/>
      <c r="GJ67" s="135" t="n"/>
      <c r="GK67" s="135" t="n"/>
      <c r="GL67" s="135" t="n"/>
      <c r="GM67" s="135" t="n"/>
      <c r="GN67" s="135" t="n"/>
      <c r="GO67" s="135" t="n"/>
      <c r="GP67" s="135" t="n"/>
      <c r="GQ67" s="135" t="n"/>
      <c r="GS67" s="5" t="n"/>
      <c r="GT67" s="5" t="n"/>
      <c r="GU67" s="5" t="n"/>
      <c r="GV67" s="5" t="n"/>
      <c r="GW67" s="5" t="n"/>
      <c r="GX67" s="5" t="n"/>
      <c r="GY67" s="5" t="n"/>
      <c r="GZ67" s="5" t="n"/>
      <c r="HA67" s="5" t="n"/>
      <c r="HB67" s="5" t="n"/>
      <c r="HC67" s="5" t="n"/>
      <c r="HD67" s="5" t="n"/>
      <c r="HE67" s="5" t="n"/>
      <c r="HF67" s="5" t="n"/>
      <c r="HG67" s="5" t="n"/>
      <c r="HH67" s="5" t="n"/>
      <c r="HI67" s="5" t="n"/>
      <c r="HJ67" s="5" t="n"/>
      <c r="HK67" s="5" t="n"/>
      <c r="HL67" s="5" t="n"/>
      <c r="HM67" s="5" t="n"/>
      <c r="HN67" s="5" t="n"/>
      <c r="HO67" s="5" t="n"/>
      <c r="HQ67" s="5" t="n"/>
      <c r="HR67" s="5" t="n"/>
      <c r="HS67" s="5" t="n"/>
      <c r="HT67" s="5" t="n"/>
      <c r="HU67" s="5" t="n"/>
      <c r="HV67" s="5" t="n"/>
      <c r="HW67" s="5" t="n"/>
      <c r="HX67" s="5" t="n"/>
      <c r="HY67" s="5" t="n"/>
      <c r="HZ67" s="5" t="n"/>
      <c r="IA67" s="5" t="n"/>
      <c r="IB67" s="5" t="n"/>
      <c r="IC67" s="5" t="n"/>
      <c r="IE67" s="5" t="n"/>
      <c r="IF67" s="5" t="n"/>
      <c r="IG67" s="5" t="n"/>
      <c r="IH67" s="5" t="n"/>
      <c r="II67" s="5" t="n"/>
      <c r="IJ67" s="5" t="n"/>
      <c r="IK67" s="5" t="n"/>
      <c r="IL67" s="5" t="n"/>
      <c r="IM67" s="5" t="n"/>
      <c r="IN67" s="5" t="n"/>
      <c r="IO67" s="5" t="n"/>
      <c r="IP67" s="5" t="n"/>
      <c r="IQ67" s="5" t="n"/>
      <c r="IR67" s="5" t="n"/>
      <c r="IT67" s="5" t="n"/>
      <c r="IU67" s="5" t="n"/>
      <c r="IV67" s="5" t="n"/>
      <c r="IW67" s="5" t="n"/>
      <c r="IX67" s="5" t="n"/>
      <c r="IY67" s="5" t="n"/>
      <c r="IZ67" s="5" t="n"/>
      <c r="JA67" s="5" t="n"/>
      <c r="JB67" s="5" t="n"/>
    </row>
    <row r="68">
      <c r="A68" s="37" t="inlineStr">
        <is>
          <t>SACOLA M EUDORA</t>
        </is>
      </c>
      <c r="B68" s="699" t="n">
        <v>200</v>
      </c>
      <c r="C68" s="762" t="n">
        <v>240.83</v>
      </c>
      <c r="D68" s="382" t="inlineStr">
        <is>
          <t>?</t>
        </is>
      </c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>
        <v>0</v>
      </c>
      <c r="Y68" s="697" t="n">
        <v>0</v>
      </c>
      <c r="Z68" s="697" t="n">
        <v>400</v>
      </c>
      <c r="AA68" s="697" t="n">
        <v>400</v>
      </c>
      <c r="AB68" s="697" t="n">
        <v>400</v>
      </c>
      <c r="AC68" s="697" t="n">
        <v>0</v>
      </c>
      <c r="AD68" s="697" t="n">
        <v>0</v>
      </c>
      <c r="AE68" s="237">
        <f>0+EZ68</f>
        <v/>
      </c>
      <c r="AF68" s="237" t="n">
        <v>400</v>
      </c>
      <c r="AG68" s="237">
        <f>200+EV68</f>
        <v/>
      </c>
      <c r="AH68" s="237" t="n">
        <v>200</v>
      </c>
      <c r="AI68" s="237" t="n">
        <v>400</v>
      </c>
      <c r="AJ68" s="237" t="n">
        <v>400</v>
      </c>
      <c r="AK68" s="237" t="n">
        <v>400</v>
      </c>
      <c r="AL68" s="237" t="n">
        <v>400</v>
      </c>
      <c r="AM68" s="237" t="n">
        <v>0</v>
      </c>
      <c r="AN68" s="237" t="n">
        <v>200</v>
      </c>
      <c r="AO68" s="237" t="n">
        <v>400</v>
      </c>
      <c r="AP68" s="237" t="n">
        <v>0</v>
      </c>
      <c r="AQ68" s="237" t="n">
        <v>400</v>
      </c>
      <c r="AR68" s="237" t="n">
        <v>200</v>
      </c>
      <c r="AS68" s="237">
        <f>0+DY68</f>
        <v/>
      </c>
      <c r="AT68" s="237" t="n">
        <v>400</v>
      </c>
      <c r="AU68" s="237" t="n">
        <v>200</v>
      </c>
      <c r="AV68" s="237">
        <f>0+DR68</f>
        <v/>
      </c>
      <c r="AW68" s="237" t="n">
        <v>200</v>
      </c>
      <c r="AX68" s="237">
        <f>0+DO68</f>
        <v/>
      </c>
      <c r="AY68" s="237" t="n">
        <v>0</v>
      </c>
      <c r="AZ68" s="237">
        <f>0+DK68</f>
        <v/>
      </c>
      <c r="BA68" s="237">
        <f>0+DJ68</f>
        <v/>
      </c>
      <c r="BB68" s="237">
        <f>800+DI68</f>
        <v/>
      </c>
      <c r="BC68" s="237" t="n">
        <v>1600</v>
      </c>
      <c r="BD68" s="237" t="n">
        <v>800</v>
      </c>
      <c r="BE68" s="237" t="n">
        <v>800</v>
      </c>
      <c r="BF68" s="237" t="n">
        <v>800</v>
      </c>
      <c r="BG68" s="237" t="n">
        <v>800</v>
      </c>
      <c r="BH68" s="237" t="n">
        <v>800</v>
      </c>
      <c r="BI68" s="237" t="n">
        <v>800</v>
      </c>
      <c r="BJ68" s="237">
        <f>800+CW68</f>
        <v/>
      </c>
      <c r="BK68" s="237" t="n">
        <v>800</v>
      </c>
      <c r="BL68" s="237" t="n">
        <v>200</v>
      </c>
      <c r="BM68" s="237" t="n">
        <v>600</v>
      </c>
      <c r="BN68" s="237" t="n">
        <v>400</v>
      </c>
      <c r="BO68" s="237" t="n">
        <v>200</v>
      </c>
      <c r="BP68" s="237" t="n">
        <v>0</v>
      </c>
      <c r="BQ68" s="237">
        <f>0+CL68</f>
        <v/>
      </c>
      <c r="BR68" s="237" t="n">
        <v>1000</v>
      </c>
      <c r="BS68" s="237" t="n">
        <v>1000</v>
      </c>
      <c r="BT68" s="237" t="n">
        <v>1000</v>
      </c>
      <c r="BU68" s="237" t="n">
        <v>800</v>
      </c>
      <c r="BV68" s="237" t="n">
        <v>400</v>
      </c>
      <c r="BW68" s="237" t="n">
        <v>400</v>
      </c>
      <c r="BX68" s="237" t="n">
        <v>200</v>
      </c>
      <c r="BY68" s="237" t="n"/>
      <c r="BZ68" s="154" t="n"/>
      <c r="CA68" s="154" t="n"/>
      <c r="CB68" s="198">
        <f>BZ68+IF(NOT(ISBLANK(OFFSET(CB68,0,6))),N(OFFSET(CB68,0,6)),N(OFFSET(CB68,0,7)))-CA68</f>
        <v/>
      </c>
      <c r="CD68" s="194" t="n"/>
      <c r="CE68" s="194" t="n"/>
      <c r="CF68" s="5" t="n"/>
      <c r="CG68" s="27" t="n">
        <v>600</v>
      </c>
      <c r="CH68" s="831" t="n">
        <v>0</v>
      </c>
      <c r="CI68" s="135" t="n">
        <v>0</v>
      </c>
      <c r="CJ68" s="135" t="n">
        <v>0</v>
      </c>
      <c r="CK68" s="135" t="n">
        <v>0</v>
      </c>
      <c r="CL68" s="135" t="n"/>
      <c r="CM68" s="135" t="n"/>
      <c r="CN68" s="135" t="n">
        <v>1000</v>
      </c>
      <c r="CO68" s="135" t="n"/>
      <c r="CP68" s="135" t="n"/>
      <c r="CQ68" s="135" t="n"/>
      <c r="CR68" s="135" t="n"/>
      <c r="CS68" s="135" t="n"/>
      <c r="CT68" s="135" t="n"/>
      <c r="CU68" s="135" t="n"/>
      <c r="CV68" s="135" t="n"/>
      <c r="CW68" s="135" t="n"/>
      <c r="CX68" s="135" t="n"/>
      <c r="CY68" s="135" t="n">
        <v>400</v>
      </c>
      <c r="CZ68" s="135" t="n"/>
      <c r="DA68" s="135" t="n"/>
      <c r="DB68" s="135" t="n"/>
      <c r="DC68" s="135" t="n"/>
      <c r="DD68" s="135" t="n"/>
      <c r="DE68" s="135" t="n"/>
      <c r="DF68" s="135" t="n"/>
      <c r="DG68" s="135" t="n"/>
      <c r="DH68" s="135" t="n"/>
      <c r="DI68" s="135" t="n"/>
      <c r="DJ68" s="135" t="n"/>
      <c r="DK68" s="135" t="n">
        <v>800</v>
      </c>
      <c r="DL68" s="135" t="n">
        <v>800</v>
      </c>
      <c r="DM68" s="135" t="n">
        <v>600</v>
      </c>
      <c r="DN68" s="374" t="n"/>
      <c r="DO68" s="135" t="n"/>
      <c r="DP68" s="135" t="n"/>
      <c r="DQ68" s="135" t="n">
        <v>400</v>
      </c>
      <c r="DR68" s="135" t="n"/>
      <c r="DS68" s="135" t="n"/>
      <c r="DT68" s="135" t="n">
        <v>400</v>
      </c>
      <c r="DU68" s="135" t="n"/>
      <c r="DV68" s="135" t="n"/>
      <c r="DW68" s="135" t="n"/>
      <c r="DX68" s="135" t="n"/>
      <c r="DY68" s="135" t="n"/>
      <c r="DZ68" s="135" t="n"/>
      <c r="EA68" s="135" t="n">
        <v>400</v>
      </c>
      <c r="EB68" s="135" t="n"/>
      <c r="EC68" s="135" t="n"/>
      <c r="ED68" s="135" t="n">
        <v>400</v>
      </c>
      <c r="EE68" s="135" t="n"/>
      <c r="EF68" s="135" t="n"/>
      <c r="EG68" s="135" t="n"/>
      <c r="EH68" s="135" t="n">
        <v>400</v>
      </c>
      <c r="EI68" s="135" t="n"/>
      <c r="EJ68" s="135" t="n"/>
      <c r="EK68" s="135" t="n">
        <v>400</v>
      </c>
      <c r="EL68" s="135" t="n"/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>
        <v>200</v>
      </c>
      <c r="EV68" s="135" t="n"/>
      <c r="EW68" s="135" t="n"/>
      <c r="EX68" s="135" t="n">
        <v>200</v>
      </c>
      <c r="EY68" s="135" t="n"/>
      <c r="EZ68" s="135" t="n"/>
      <c r="FA68" s="135" t="n"/>
      <c r="FB68" s="135" t="n">
        <v>600</v>
      </c>
      <c r="FC68" s="135" t="n">
        <v>400</v>
      </c>
      <c r="FD68" s="135" t="n"/>
      <c r="FE68" s="135" t="n"/>
      <c r="FF68" s="135" t="n"/>
      <c r="FG68" s="135" t="n"/>
      <c r="FH68" s="135" t="n"/>
      <c r="FI68" s="135" t="n"/>
      <c r="FJ68" s="135" t="n"/>
      <c r="FK68" s="23" t="n"/>
      <c r="FL68" s="374" t="n"/>
      <c r="FM68" s="135" t="n"/>
      <c r="FN68" s="135" t="n"/>
      <c r="FO68" s="135" t="n">
        <v>400</v>
      </c>
      <c r="FP68" s="135" t="n"/>
      <c r="FQ68" s="135" t="n"/>
      <c r="FR68" s="135" t="n"/>
      <c r="FS68" s="135" t="n"/>
      <c r="FT68" s="135" t="n"/>
      <c r="FU68" s="135" t="n"/>
      <c r="FV68" s="135" t="n"/>
      <c r="FW68" s="135" t="n"/>
      <c r="FX68" s="135" t="n"/>
      <c r="FY68" s="135" t="n"/>
      <c r="FZ68" s="310" t="n"/>
      <c r="GA68" s="135" t="n"/>
      <c r="GB68" s="310" t="n"/>
      <c r="GC68" s="135" t="n"/>
      <c r="GD68" s="135" t="n"/>
      <c r="GE68" s="135" t="n"/>
      <c r="GF68" s="135" t="n"/>
      <c r="GG68" s="135" t="n"/>
      <c r="GH68" s="135" t="n"/>
      <c r="GI68" s="135" t="n"/>
      <c r="GJ68" s="135" t="n"/>
      <c r="GK68" s="135" t="n"/>
      <c r="GL68" s="135" t="n"/>
      <c r="GM68" s="135" t="n"/>
      <c r="GN68" s="135" t="n"/>
      <c r="GO68" s="135" t="n"/>
      <c r="GP68" s="135" t="n"/>
      <c r="GQ68" s="135" t="n"/>
      <c r="GS68" s="5" t="n"/>
      <c r="GT68" s="5" t="n"/>
      <c r="GU68" s="5" t="n"/>
      <c r="GV68" s="5" t="n"/>
      <c r="GW68" s="5" t="n"/>
      <c r="GX68" s="5" t="n"/>
      <c r="GY68" s="5" t="n"/>
      <c r="GZ68" s="5" t="n"/>
      <c r="HA68" s="5" t="n"/>
      <c r="HB68" s="5" t="n"/>
      <c r="HC68" s="5" t="n"/>
      <c r="HD68" s="5" t="n"/>
      <c r="HE68" s="5" t="n"/>
      <c r="HF68" s="5" t="n"/>
      <c r="HG68" s="5" t="n"/>
      <c r="HH68" s="5" t="n"/>
      <c r="HI68" s="5" t="n"/>
      <c r="HJ68" s="5" t="n"/>
      <c r="HK68" s="5" t="n"/>
      <c r="HL68" s="5" t="n"/>
      <c r="HM68" s="5" t="n"/>
      <c r="HN68" s="5" t="n"/>
      <c r="HO68" s="5" t="n"/>
      <c r="HQ68" s="5" t="n"/>
      <c r="HR68" s="5" t="n"/>
      <c r="HS68" s="5" t="n"/>
      <c r="HT68" s="5" t="n"/>
      <c r="HU68" s="5" t="n"/>
      <c r="HV68" s="5" t="n"/>
      <c r="HW68" s="5" t="n"/>
      <c r="HX68" s="5" t="n"/>
      <c r="HY68" s="5" t="n"/>
      <c r="HZ68" s="5" t="n"/>
      <c r="IA68" s="5" t="n"/>
      <c r="IB68" s="5" t="n"/>
      <c r="IC68" s="5" t="n"/>
      <c r="IE68" s="5" t="n"/>
      <c r="IF68" s="5" t="n"/>
      <c r="IG68" s="5" t="n"/>
      <c r="IH68" s="5" t="n"/>
      <c r="II68" s="5" t="n"/>
      <c r="IJ68" s="5" t="n"/>
      <c r="IK68" s="5" t="n"/>
      <c r="IL68" s="5" t="n"/>
      <c r="IM68" s="5" t="n"/>
      <c r="IN68" s="5" t="n"/>
      <c r="IO68" s="5" t="n"/>
      <c r="IP68" s="5" t="n"/>
      <c r="IQ68" s="5" t="n"/>
      <c r="IR68" s="5" t="n"/>
      <c r="IT68" s="5" t="n"/>
      <c r="IU68" s="5" t="n"/>
      <c r="IV68" s="5" t="n"/>
      <c r="IW68" s="5" t="n"/>
      <c r="IX68" s="5" t="n"/>
      <c r="IY68" s="5" t="n"/>
      <c r="IZ68" s="5" t="n"/>
      <c r="JA68" s="5" t="n"/>
      <c r="JB68" s="5" t="n"/>
    </row>
    <row r="69">
      <c r="A69" s="37" t="inlineStr">
        <is>
          <t>SACOLA G EUDORA</t>
        </is>
      </c>
      <c r="B69" s="699" t="n">
        <v>100</v>
      </c>
      <c r="C69" s="762" t="n">
        <v>175.13</v>
      </c>
      <c r="D69" s="382" t="inlineStr">
        <is>
          <t>?</t>
        </is>
      </c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>
        <v>0</v>
      </c>
      <c r="Y69" s="697" t="n">
        <v>0</v>
      </c>
      <c r="Z69" s="697" t="n">
        <v>100</v>
      </c>
      <c r="AA69" s="697" t="n">
        <v>100</v>
      </c>
      <c r="AB69" s="697" t="n">
        <v>100</v>
      </c>
      <c r="AC69" s="697" t="n">
        <v>100</v>
      </c>
      <c r="AD69" s="697" t="n">
        <v>100</v>
      </c>
      <c r="AE69" s="697" t="n">
        <v>0</v>
      </c>
      <c r="AF69" s="697" t="n">
        <v>100</v>
      </c>
      <c r="AG69" s="237">
        <f>100+EV69</f>
        <v/>
      </c>
      <c r="AH69" s="237" t="n">
        <v>200</v>
      </c>
      <c r="AI69" s="237" t="n">
        <v>200</v>
      </c>
      <c r="AJ69" s="237" t="n">
        <v>200</v>
      </c>
      <c r="AK69" s="237" t="n">
        <v>200</v>
      </c>
      <c r="AL69" s="237" t="n">
        <v>100</v>
      </c>
      <c r="AM69" s="237" t="n">
        <v>100</v>
      </c>
      <c r="AN69" s="237" t="n">
        <v>100</v>
      </c>
      <c r="AO69" s="237" t="n">
        <v>100</v>
      </c>
      <c r="AP69" s="237" t="n">
        <v>100</v>
      </c>
      <c r="AQ69" s="237" t="n">
        <v>100</v>
      </c>
      <c r="AR69" s="237" t="n">
        <v>0</v>
      </c>
      <c r="AS69" s="237" t="n">
        <v>0</v>
      </c>
      <c r="AT69" s="237" t="n">
        <v>100</v>
      </c>
      <c r="AU69" s="237">
        <f>100+DU69</f>
        <v/>
      </c>
      <c r="AV69" s="237" t="n">
        <v>400</v>
      </c>
      <c r="AW69" s="237" t="n">
        <v>400</v>
      </c>
      <c r="AX69" s="237" t="n">
        <v>400</v>
      </c>
      <c r="AY69" s="237" t="n">
        <v>300</v>
      </c>
      <c r="AZ69" s="237">
        <f>300+DK69</f>
        <v/>
      </c>
      <c r="BA69" s="237" t="n">
        <v>300</v>
      </c>
      <c r="BB69" s="237">
        <f>300+DI69</f>
        <v/>
      </c>
      <c r="BC69" s="237" t="n">
        <v>400</v>
      </c>
      <c r="BD69" s="237" t="n">
        <v>400</v>
      </c>
      <c r="BE69" s="237" t="n">
        <v>400</v>
      </c>
      <c r="BF69" s="237" t="n">
        <v>400</v>
      </c>
      <c r="BG69" s="237" t="n">
        <v>400</v>
      </c>
      <c r="BH69" s="237" t="n">
        <v>300</v>
      </c>
      <c r="BI69" s="237" t="n">
        <v>200</v>
      </c>
      <c r="BJ69" s="237" t="n">
        <v>400</v>
      </c>
      <c r="BK69" s="237" t="n">
        <v>400</v>
      </c>
      <c r="BL69" s="237" t="n">
        <v>400</v>
      </c>
      <c r="BM69" s="237" t="n">
        <v>500</v>
      </c>
      <c r="BN69" s="237">
        <f>200+CQ69</f>
        <v/>
      </c>
      <c r="BO69" s="237" t="n">
        <v>700</v>
      </c>
      <c r="BP69" s="237" t="n">
        <v>1000</v>
      </c>
      <c r="BQ69" s="237" t="n">
        <v>800</v>
      </c>
      <c r="BR69" s="237" t="n">
        <v>800</v>
      </c>
      <c r="BS69" s="237" t="n">
        <v>800</v>
      </c>
      <c r="BT69" s="237" t="n">
        <v>700</v>
      </c>
      <c r="BU69" s="237" t="n">
        <v>900</v>
      </c>
      <c r="BV69" s="237" t="n">
        <v>600</v>
      </c>
      <c r="BW69" s="237" t="n">
        <v>600</v>
      </c>
      <c r="BX69" s="237" t="n">
        <v>600</v>
      </c>
      <c r="BY69" s="237" t="n"/>
      <c r="BZ69" s="154" t="n"/>
      <c r="CA69" s="154" t="n"/>
      <c r="CB69" s="198">
        <f>BZ69+IF(NOT(ISBLANK(OFFSET(CB69,0,6))),N(OFFSET(CB69,0,6)),N(OFFSET(CB69,0,7)))-CA69</f>
        <v/>
      </c>
      <c r="CD69" s="194" t="n"/>
      <c r="CE69" s="194" t="n"/>
      <c r="CF69" s="5" t="n"/>
      <c r="CG69" s="27" t="n"/>
      <c r="CH69" s="831" t="n">
        <v>0</v>
      </c>
      <c r="CI69" s="135" t="n">
        <v>0</v>
      </c>
      <c r="CJ69" s="135" t="n">
        <v>0</v>
      </c>
      <c r="CK69" s="135" t="n">
        <v>0</v>
      </c>
      <c r="CL69" s="135" t="n"/>
      <c r="CM69" s="135" t="n"/>
      <c r="CN69" s="135" t="n"/>
      <c r="CO69" s="135" t="n">
        <v>300</v>
      </c>
      <c r="CP69" s="135" t="n"/>
      <c r="CQ69" s="135" t="n"/>
      <c r="CR69" s="135" t="n"/>
      <c r="CS69" s="135" t="n">
        <v>600</v>
      </c>
      <c r="CT69" s="135" t="n"/>
      <c r="CU69" s="135" t="n">
        <v>400</v>
      </c>
      <c r="CV69" s="135" t="n"/>
      <c r="CW69" s="135" t="n"/>
      <c r="CX69" s="135" t="n"/>
      <c r="CY69" s="135" t="n">
        <v>200</v>
      </c>
      <c r="CZ69" s="135" t="n"/>
      <c r="DA69" s="135" t="n"/>
      <c r="DB69" s="135" t="n"/>
      <c r="DC69" s="135" t="n"/>
      <c r="DD69" s="135" t="n"/>
      <c r="DE69" s="135" t="n"/>
      <c r="DF69" s="135" t="n"/>
      <c r="DG69" s="135" t="n"/>
      <c r="DH69" s="135" t="n"/>
      <c r="DI69" s="135" t="n"/>
      <c r="DJ69" s="135" t="n"/>
      <c r="DK69" s="135" t="n">
        <v>100</v>
      </c>
      <c r="DL69" s="135" t="n"/>
      <c r="DM69" s="135" t="n">
        <v>100</v>
      </c>
      <c r="DN69" s="374" t="n"/>
      <c r="DO69" s="135" t="n"/>
      <c r="DP69" s="135" t="n"/>
      <c r="DQ69" s="135" t="n"/>
      <c r="DR69" s="135" t="n"/>
      <c r="DS69" s="135" t="n"/>
      <c r="DT69" s="135" t="n"/>
      <c r="DU69" s="135" t="n"/>
      <c r="DV69" s="135" t="n"/>
      <c r="DW69" s="135" t="n">
        <v>300</v>
      </c>
      <c r="DX69" s="135" t="n"/>
      <c r="DY69" s="135" t="n"/>
      <c r="DZ69" s="135" t="n">
        <v>200</v>
      </c>
      <c r="EA69" s="135" t="n"/>
      <c r="EB69" s="135" t="n"/>
      <c r="EC69" s="135" t="n"/>
      <c r="ED69" s="135" t="n"/>
      <c r="EE69" s="135" t="n"/>
      <c r="EF69" s="135" t="n"/>
      <c r="EG69" s="135" t="n"/>
      <c r="EH69" s="135" t="n"/>
      <c r="EI69" s="135" t="n"/>
      <c r="EJ69" s="135" t="n"/>
      <c r="EK69" s="135" t="n"/>
      <c r="EL69" s="135" t="n"/>
      <c r="EM69" s="135" t="n"/>
      <c r="EN69" s="135" t="n"/>
      <c r="EO69" s="135" t="n"/>
      <c r="EP69" s="135" t="n"/>
      <c r="EQ69" s="135" t="n"/>
      <c r="ER69" s="135" t="n"/>
      <c r="ES69" s="135" t="n"/>
      <c r="ET69" s="135" t="n"/>
      <c r="EU69" s="135" t="n"/>
      <c r="EV69" s="135" t="n"/>
      <c r="EW69" s="135" t="n"/>
      <c r="EX69" s="135" t="n">
        <v>100</v>
      </c>
      <c r="EY69" s="135" t="n"/>
      <c r="EZ69" s="135" t="n"/>
      <c r="FA69" s="135" t="n">
        <v>100</v>
      </c>
      <c r="FB69" s="135" t="n"/>
      <c r="FC69" s="135" t="n"/>
      <c r="FD69" s="135" t="n"/>
      <c r="FE69" s="135" t="n"/>
      <c r="FF69" s="135" t="n"/>
      <c r="FG69" s="135" t="n"/>
      <c r="FH69" s="135" t="n"/>
      <c r="FI69" s="135" t="n"/>
      <c r="FJ69" s="135" t="n"/>
      <c r="FK69" s="23" t="n"/>
      <c r="FL69" s="374" t="n"/>
      <c r="FM69" s="135" t="n"/>
      <c r="FN69" s="135" t="n"/>
      <c r="FO69" s="135" t="n">
        <v>100</v>
      </c>
      <c r="FP69" s="135" t="n"/>
      <c r="FQ69" s="135" t="n"/>
      <c r="FR69" s="135" t="n"/>
      <c r="FS69" s="135" t="n"/>
      <c r="FT69" s="135" t="n"/>
      <c r="FU69" s="135" t="n"/>
      <c r="FV69" s="135" t="n"/>
      <c r="FW69" s="135" t="n"/>
      <c r="FX69" s="135" t="n"/>
      <c r="FY69" s="135" t="n"/>
      <c r="FZ69" s="310" t="n"/>
      <c r="GA69" s="135" t="n"/>
      <c r="GB69" s="310" t="n"/>
      <c r="GC69" s="135" t="n"/>
      <c r="GD69" s="135" t="n"/>
      <c r="GE69" s="135" t="n"/>
      <c r="GF69" s="135" t="n"/>
      <c r="GG69" s="135" t="n"/>
      <c r="GH69" s="135" t="n"/>
      <c r="GI69" s="135" t="n"/>
      <c r="GJ69" s="135" t="n"/>
      <c r="GK69" s="135" t="n"/>
      <c r="GL69" s="135" t="n"/>
      <c r="GM69" s="135" t="n"/>
      <c r="GN69" s="135" t="n"/>
      <c r="GO69" s="135" t="n"/>
      <c r="GP69" s="135" t="n"/>
      <c r="GQ69" s="135" t="n"/>
      <c r="GS69" s="5" t="n"/>
      <c r="GT69" s="5" t="n"/>
      <c r="GU69" s="5" t="n"/>
      <c r="GV69" s="5" t="n"/>
      <c r="GW69" s="5" t="n"/>
      <c r="GX69" s="5" t="n"/>
      <c r="GY69" s="5" t="n"/>
      <c r="GZ69" s="5" t="n"/>
      <c r="HA69" s="5" t="n"/>
      <c r="HB69" s="5" t="n"/>
      <c r="HC69" s="5" t="n"/>
      <c r="HD69" s="5" t="n"/>
      <c r="HE69" s="5" t="n"/>
      <c r="HF69" s="5" t="n"/>
      <c r="HG69" s="5" t="n"/>
      <c r="HH69" s="5" t="n"/>
      <c r="HI69" s="5" t="n"/>
      <c r="HJ69" s="5" t="n"/>
      <c r="HK69" s="5" t="n"/>
      <c r="HL69" s="5" t="n"/>
      <c r="HM69" s="5" t="n"/>
      <c r="HN69" s="5" t="n"/>
      <c r="HO69" s="5" t="n"/>
      <c r="HQ69" s="5" t="n"/>
      <c r="HR69" s="5" t="n"/>
      <c r="HS69" s="5" t="n"/>
      <c r="HT69" s="5" t="n"/>
      <c r="HU69" s="5" t="n"/>
      <c r="HV69" s="5" t="n"/>
      <c r="HW69" s="5" t="n"/>
      <c r="HX69" s="5" t="n"/>
      <c r="HY69" s="5" t="n"/>
      <c r="HZ69" s="5" t="n"/>
      <c r="IA69" s="5" t="n"/>
      <c r="IB69" s="5" t="n"/>
      <c r="IC69" s="5" t="n"/>
      <c r="IE69" s="5" t="n"/>
      <c r="IF69" s="5" t="n"/>
      <c r="IG69" s="5" t="n"/>
      <c r="IH69" s="5" t="n"/>
      <c r="II69" s="5" t="n"/>
      <c r="IJ69" s="5" t="n"/>
      <c r="IK69" s="5" t="n"/>
      <c r="IL69" s="5" t="n"/>
      <c r="IM69" s="5" t="n"/>
      <c r="IN69" s="5" t="n"/>
      <c r="IO69" s="5" t="n"/>
      <c r="IP69" s="5" t="n"/>
      <c r="IQ69" s="5" t="n"/>
      <c r="IR69" s="5" t="n"/>
      <c r="IT69" s="5" t="n"/>
      <c r="IU69" s="5" t="n"/>
      <c r="IV69" s="5" t="n"/>
      <c r="IW69" s="5" t="n"/>
      <c r="IX69" s="5" t="n"/>
      <c r="IY69" s="5" t="n"/>
      <c r="IZ69" s="5" t="n"/>
      <c r="JA69" s="5" t="n"/>
      <c r="JB69" s="5" t="n"/>
    </row>
    <row r="70">
      <c r="A70" s="626" t="inlineStr">
        <is>
          <t>PAPEL DE SEDA EUDORA</t>
        </is>
      </c>
      <c r="B70" s="345" t="n">
        <v>200</v>
      </c>
      <c r="C70" s="834" t="n">
        <v>29.77</v>
      </c>
      <c r="D70" s="382" t="n">
        <v>1</v>
      </c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>
        <v>0</v>
      </c>
      <c r="Y70" s="697" t="n">
        <v>0</v>
      </c>
      <c r="Z70" s="697" t="n">
        <v>3</v>
      </c>
      <c r="AA70" s="697" t="n">
        <v>3</v>
      </c>
      <c r="AB70" s="697" t="n">
        <v>3</v>
      </c>
      <c r="AC70" s="697" t="n">
        <v>2</v>
      </c>
      <c r="AD70" s="697" t="n">
        <v>2</v>
      </c>
      <c r="AE70" s="697" t="n">
        <v>2</v>
      </c>
      <c r="AF70" s="697" t="n">
        <v>1</v>
      </c>
      <c r="AG70" s="697" t="n">
        <v>1</v>
      </c>
      <c r="AH70" s="697" t="n">
        <v>1</v>
      </c>
      <c r="AI70" s="697" t="n">
        <v>1</v>
      </c>
      <c r="AJ70" s="697" t="n">
        <v>2</v>
      </c>
      <c r="AK70" s="697" t="n">
        <v>2</v>
      </c>
      <c r="AL70" s="697" t="n">
        <v>0</v>
      </c>
      <c r="AM70" s="697" t="n">
        <v>0</v>
      </c>
      <c r="AN70" s="697" t="n">
        <v>1</v>
      </c>
      <c r="AO70" s="697" t="n">
        <v>0</v>
      </c>
      <c r="AP70" s="697" t="n">
        <v>0</v>
      </c>
      <c r="AQ70" s="697" t="n">
        <v>1</v>
      </c>
      <c r="AR70" s="697" t="n">
        <v>0</v>
      </c>
      <c r="AS70" s="237">
        <f>0+DY70</f>
        <v/>
      </c>
      <c r="AT70" s="237" t="n">
        <v>1</v>
      </c>
      <c r="AU70" s="237">
        <f>1+DU70</f>
        <v/>
      </c>
      <c r="AV70" s="237" t="n">
        <v>1</v>
      </c>
      <c r="AW70" s="237" t="n">
        <v>1</v>
      </c>
      <c r="AX70" s="237" t="n">
        <v>1</v>
      </c>
      <c r="AY70" s="237" t="n">
        <v>1</v>
      </c>
      <c r="AZ70" s="237" t="n">
        <v>1</v>
      </c>
      <c r="BA70" s="237" t="n">
        <v>0</v>
      </c>
      <c r="BB70" s="237">
        <f>0+DI70</f>
        <v/>
      </c>
      <c r="BC70" s="237" t="n">
        <v>1</v>
      </c>
      <c r="BD70" s="237" t="n">
        <v>0</v>
      </c>
      <c r="BE70" s="237" t="n">
        <v>0</v>
      </c>
      <c r="BF70" s="237" t="n">
        <v>0</v>
      </c>
      <c r="BG70" s="237" t="n">
        <v>0</v>
      </c>
      <c r="BH70" s="237" t="n">
        <v>0</v>
      </c>
      <c r="BI70" s="237" t="n">
        <v>0</v>
      </c>
      <c r="BJ70" s="237" t="n">
        <v>0</v>
      </c>
      <c r="BK70" s="237" t="n">
        <v>0</v>
      </c>
      <c r="BL70" s="237" t="n">
        <v>0</v>
      </c>
      <c r="BM70" s="237" t="n">
        <v>0</v>
      </c>
      <c r="BN70" s="237" t="n">
        <v>0</v>
      </c>
      <c r="BO70" s="237" t="n">
        <v>0</v>
      </c>
      <c r="BP70" s="237" t="n">
        <v>0</v>
      </c>
      <c r="BQ70" s="237" t="n">
        <v>0</v>
      </c>
      <c r="BR70" s="237" t="n">
        <v>0</v>
      </c>
      <c r="BS70" s="237" t="n">
        <v>0</v>
      </c>
      <c r="BT70" s="237" t="n">
        <v>0</v>
      </c>
      <c r="BU70" s="237" t="n">
        <v>0</v>
      </c>
      <c r="BV70" s="237" t="n">
        <v>0</v>
      </c>
      <c r="BW70" s="237" t="n">
        <v>0</v>
      </c>
      <c r="BX70" s="237" t="n">
        <v>0</v>
      </c>
      <c r="BY70" s="237" t="n"/>
      <c r="BZ70" s="154" t="n"/>
      <c r="CA70" s="154" t="n"/>
      <c r="CB70" s="198">
        <f>BZ70+IF(NOT(ISBLANK(OFFSET(CB70,0,6))),N(OFFSET(CB70,0,6)),N(OFFSET(CB70,0,7)))-CA70</f>
        <v/>
      </c>
      <c r="CD70" s="194" t="n"/>
      <c r="CE70" s="194" t="n"/>
      <c r="CF70" s="5" t="n"/>
      <c r="CG70" s="27" t="n"/>
      <c r="CH70" s="831" t="n">
        <v>0</v>
      </c>
      <c r="CI70" s="135" t="n">
        <v>0</v>
      </c>
      <c r="CJ70" s="135" t="n">
        <v>0</v>
      </c>
      <c r="CK70" s="135" t="n">
        <v>0</v>
      </c>
      <c r="CL70" s="135" t="n"/>
      <c r="CM70" s="135" t="n"/>
      <c r="CN70" s="135" t="n"/>
      <c r="CO70" s="135" t="n"/>
      <c r="CP70" s="135" t="n"/>
      <c r="CQ70" s="135" t="n"/>
      <c r="CR70" s="135" t="n"/>
      <c r="CS70" s="135" t="n"/>
      <c r="CT70" s="135" t="n"/>
      <c r="CU70" s="135" t="n"/>
      <c r="CV70" s="135" t="n"/>
      <c r="CW70" s="135" t="n"/>
      <c r="CX70" s="135" t="n"/>
      <c r="CY70" s="135" t="n"/>
      <c r="CZ70" s="135" t="n"/>
      <c r="DA70" s="135" t="n"/>
      <c r="DB70" s="135" t="n"/>
      <c r="DC70" s="135" t="n"/>
      <c r="DD70" s="135" t="n"/>
      <c r="DE70" s="135" t="n"/>
      <c r="DF70" s="135" t="n"/>
      <c r="DG70" s="135" t="n"/>
      <c r="DH70" s="135" t="n"/>
      <c r="DI70" s="135" t="n"/>
      <c r="DJ70" s="135" t="n"/>
      <c r="DK70" s="135" t="n">
        <v>2</v>
      </c>
      <c r="DL70" s="135" t="n"/>
      <c r="DM70" s="135" t="n"/>
      <c r="DN70" s="374" t="n"/>
      <c r="DO70" s="135" t="n"/>
      <c r="DP70" s="135" t="n"/>
      <c r="DQ70" s="135" t="n"/>
      <c r="DR70" s="135" t="n"/>
      <c r="DS70" s="135" t="n"/>
      <c r="DT70" s="135" t="n"/>
      <c r="DU70" s="135" t="n"/>
      <c r="DV70" s="135" t="n"/>
      <c r="DW70" s="135" t="n">
        <v>1</v>
      </c>
      <c r="DX70" s="135" t="n"/>
      <c r="DY70" s="135" t="n"/>
      <c r="DZ70" s="135" t="n"/>
      <c r="EA70" s="135" t="n">
        <v>2</v>
      </c>
      <c r="EB70" s="135" t="n"/>
      <c r="EC70" s="135" t="n"/>
      <c r="ED70" s="135" t="n">
        <v>1</v>
      </c>
      <c r="EE70" s="135" t="n"/>
      <c r="EF70" s="135" t="n"/>
      <c r="EG70" s="135" t="n"/>
      <c r="EH70" s="135" t="n"/>
      <c r="EI70" s="135" t="n"/>
      <c r="EJ70" s="135" t="n"/>
      <c r="EK70" s="135" t="n">
        <v>1</v>
      </c>
      <c r="EL70" s="135" t="n"/>
      <c r="EM70" s="135" t="n"/>
      <c r="EN70" s="135" t="n"/>
      <c r="EO70" s="135" t="n"/>
      <c r="EP70" s="135" t="n"/>
      <c r="EQ70" s="135" t="n"/>
      <c r="ER70" s="135" t="n">
        <v>1</v>
      </c>
      <c r="ES70" s="135" t="n"/>
      <c r="ET70" s="135" t="n"/>
      <c r="EU70" s="135" t="n"/>
      <c r="EV70" s="135" t="n"/>
      <c r="EW70" s="135" t="n"/>
      <c r="EX70" s="135" t="n"/>
      <c r="EY70" s="135" t="n"/>
      <c r="EZ70" s="135" t="n"/>
      <c r="FA70" s="135" t="n"/>
      <c r="FB70" s="135" t="n"/>
      <c r="FC70" s="135" t="n"/>
      <c r="FD70" s="135" t="n"/>
      <c r="FE70" s="135" t="n"/>
      <c r="FF70" s="135" t="n"/>
      <c r="FG70" s="135" t="n"/>
      <c r="FH70" s="135" t="n"/>
      <c r="FI70" s="135" t="n"/>
      <c r="FJ70" s="135" t="n"/>
      <c r="FK70" s="23" t="n"/>
      <c r="FL70" s="374" t="n"/>
      <c r="FM70" s="135" t="n"/>
      <c r="FN70" s="135" t="n"/>
      <c r="FO70" s="135" t="n">
        <v>3</v>
      </c>
      <c r="FP70" s="135" t="n"/>
      <c r="FQ70" s="135" t="n"/>
      <c r="FR70" s="135" t="n"/>
      <c r="FS70" s="135" t="n"/>
      <c r="FT70" s="135" t="n"/>
      <c r="FU70" s="135" t="n"/>
      <c r="FV70" s="135" t="n"/>
      <c r="FW70" s="135" t="n"/>
      <c r="FX70" s="135" t="n"/>
      <c r="FY70" s="135" t="n"/>
      <c r="FZ70" s="311" t="n"/>
      <c r="GA70" s="135" t="n"/>
      <c r="GB70" s="311" t="n"/>
      <c r="GC70" s="135" t="n"/>
      <c r="GD70" s="135" t="n"/>
      <c r="GE70" s="135" t="n"/>
      <c r="GF70" s="135" t="n"/>
      <c r="GG70" s="135" t="n"/>
      <c r="GH70" s="135" t="n"/>
      <c r="GI70" s="135" t="n"/>
      <c r="GJ70" s="135" t="n"/>
      <c r="GK70" s="135" t="n"/>
      <c r="GL70" s="135" t="n"/>
      <c r="GM70" s="135" t="n"/>
      <c r="GN70" s="135" t="n"/>
      <c r="GO70" s="135" t="n"/>
      <c r="GP70" s="135" t="n"/>
      <c r="GQ70" s="135" t="n"/>
      <c r="GS70" s="5" t="n"/>
      <c r="GT70" s="5" t="n"/>
      <c r="GU70" s="5" t="n"/>
      <c r="GV70" s="5" t="n"/>
      <c r="GW70" s="5" t="n"/>
      <c r="GX70" s="5" t="n"/>
      <c r="GY70" s="5" t="n"/>
      <c r="GZ70" s="5" t="n"/>
      <c r="HA70" s="5" t="n"/>
      <c r="HB70" s="5" t="n"/>
      <c r="HC70" s="5" t="n"/>
      <c r="HD70" s="5" t="n"/>
      <c r="HE70" s="5" t="n"/>
      <c r="HF70" s="5" t="n"/>
      <c r="HG70" s="5" t="n"/>
      <c r="HH70" s="5" t="n"/>
      <c r="HI70" s="5" t="n"/>
      <c r="HJ70" s="5" t="n"/>
      <c r="HK70" s="5" t="n"/>
      <c r="HL70" s="5" t="n"/>
      <c r="HM70" s="5" t="n"/>
      <c r="HN70" s="5" t="n"/>
      <c r="HO70" s="5" t="n"/>
      <c r="HQ70" s="5" t="n"/>
      <c r="HR70" s="5" t="n"/>
      <c r="HS70" s="5" t="n"/>
      <c r="HT70" s="5" t="n"/>
      <c r="HU70" s="5" t="n"/>
      <c r="HV70" s="5" t="n"/>
      <c r="HW70" s="5" t="n"/>
      <c r="HX70" s="5" t="n"/>
      <c r="HY70" s="5" t="n"/>
      <c r="HZ70" s="5" t="n"/>
      <c r="IA70" s="5" t="n"/>
      <c r="IB70" s="5" t="n"/>
      <c r="IC70" s="5" t="n"/>
      <c r="IE70" s="5" t="n"/>
      <c r="IF70" s="5" t="n"/>
      <c r="IG70" s="5" t="n"/>
      <c r="IH70" s="5" t="n"/>
      <c r="II70" s="5" t="n"/>
      <c r="IJ70" s="5" t="n"/>
      <c r="IK70" s="5" t="n"/>
      <c r="IL70" s="5" t="n"/>
      <c r="IM70" s="5" t="n"/>
      <c r="IN70" s="5" t="n"/>
      <c r="IO70" s="5" t="n"/>
      <c r="IP70" s="5" t="n"/>
      <c r="IQ70" s="5" t="n"/>
      <c r="IR70" s="5" t="n"/>
      <c r="IT70" s="5" t="n"/>
      <c r="IU70" s="5" t="n"/>
      <c r="IV70" s="5" t="n"/>
      <c r="IW70" s="5" t="n"/>
      <c r="IX70" s="5" t="n"/>
      <c r="IY70" s="5" t="n"/>
      <c r="IZ70" s="5" t="n"/>
      <c r="JA70" s="5" t="n"/>
      <c r="JB70" s="5" t="n"/>
    </row>
    <row r="71">
      <c r="A71" s="626" t="inlineStr">
        <is>
          <t>ADESIVOS EUDORA</t>
        </is>
      </c>
      <c r="B71" s="345" t="n">
        <v>1000</v>
      </c>
      <c r="C71" s="834" t="n">
        <v>70</v>
      </c>
      <c r="D71" s="382" t="n">
        <v>1</v>
      </c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>
        <v>0</v>
      </c>
      <c r="Y71" s="697" t="n">
        <v>0</v>
      </c>
      <c r="Z71" s="697" t="n">
        <v>2</v>
      </c>
      <c r="AA71" s="697" t="n">
        <v>2</v>
      </c>
      <c r="AB71" s="697" t="n">
        <v>2</v>
      </c>
      <c r="AC71" s="697" t="n">
        <v>1</v>
      </c>
      <c r="AD71" s="697" t="n">
        <v>1</v>
      </c>
      <c r="AE71" s="697" t="n">
        <v>1</v>
      </c>
      <c r="AF71" s="697" t="n">
        <v>0</v>
      </c>
      <c r="AG71" s="237">
        <f>0+EV71</f>
        <v/>
      </c>
      <c r="AH71" s="237" t="n">
        <v>1</v>
      </c>
      <c r="AI71" s="237" t="n">
        <v>1</v>
      </c>
      <c r="AJ71" s="237" t="n">
        <v>1</v>
      </c>
      <c r="AK71" s="237" t="n">
        <v>1</v>
      </c>
      <c r="AL71" s="237" t="n">
        <v>0</v>
      </c>
      <c r="AM71" s="237" t="n">
        <v>0</v>
      </c>
      <c r="AN71" s="237" t="n">
        <v>1</v>
      </c>
      <c r="AO71" s="237" t="n">
        <v>0</v>
      </c>
      <c r="AP71" s="237" t="n">
        <v>0</v>
      </c>
      <c r="AQ71" s="237" t="n">
        <v>1</v>
      </c>
      <c r="AR71" s="237" t="n">
        <v>0</v>
      </c>
      <c r="AS71" s="237">
        <f>0+DY71</f>
        <v/>
      </c>
      <c r="AT71" s="237" t="n">
        <v>0</v>
      </c>
      <c r="AU71" s="237">
        <f>0+DU71</f>
        <v/>
      </c>
      <c r="AV71" s="237" t="n">
        <v>0</v>
      </c>
      <c r="AW71" s="237" t="n">
        <v>0</v>
      </c>
      <c r="AX71" s="237" t="n">
        <v>0</v>
      </c>
      <c r="AY71" s="237" t="n">
        <v>0</v>
      </c>
      <c r="AZ71" s="237" t="n">
        <v>0</v>
      </c>
      <c r="BA71" s="237">
        <f>0+DJ71</f>
        <v/>
      </c>
      <c r="BB71" s="237">
        <f>0+DI71</f>
        <v/>
      </c>
      <c r="BC71" s="237" t="n">
        <v>0</v>
      </c>
      <c r="BD71" s="237" t="n">
        <v>0</v>
      </c>
      <c r="BE71" s="237" t="n">
        <v>0</v>
      </c>
      <c r="BF71" s="237" t="n">
        <v>0</v>
      </c>
      <c r="BG71" s="237" t="n">
        <v>0</v>
      </c>
      <c r="BH71" s="237" t="n">
        <v>0</v>
      </c>
      <c r="BI71" s="237" t="n">
        <v>0</v>
      </c>
      <c r="BJ71" s="237" t="n">
        <v>0</v>
      </c>
      <c r="BK71" s="237" t="n">
        <v>0</v>
      </c>
      <c r="BL71" s="237" t="n">
        <v>0</v>
      </c>
      <c r="BM71" s="237" t="n">
        <v>0</v>
      </c>
      <c r="BN71" s="237" t="n">
        <v>0</v>
      </c>
      <c r="BO71" s="237" t="n">
        <v>0</v>
      </c>
      <c r="BP71" s="237" t="n">
        <v>0</v>
      </c>
      <c r="BQ71" s="237" t="n">
        <v>0</v>
      </c>
      <c r="BR71" s="237" t="n">
        <v>0</v>
      </c>
      <c r="BS71" s="237" t="n">
        <v>0</v>
      </c>
      <c r="BT71" s="237" t="n">
        <v>0</v>
      </c>
      <c r="BU71" s="237" t="n">
        <v>0</v>
      </c>
      <c r="BV71" s="237" t="n">
        <v>0</v>
      </c>
      <c r="BW71" s="237" t="n">
        <v>0</v>
      </c>
      <c r="BX71" s="237" t="n">
        <v>0</v>
      </c>
      <c r="BY71" s="237" t="n"/>
      <c r="BZ71" s="154" t="n"/>
      <c r="CA71" s="154" t="n"/>
      <c r="CB71" s="198">
        <f>BZ71+IF(NOT(ISBLANK(OFFSET(CB71,0,6))),N(OFFSET(CB71,0,6)),N(OFFSET(CB71,0,7)))-CA71</f>
        <v/>
      </c>
      <c r="CD71" s="161" t="n"/>
      <c r="CE71" s="161" t="n"/>
      <c r="CF71" s="5" t="n"/>
      <c r="CG71" s="27" t="n"/>
      <c r="CH71" s="831" t="n">
        <v>0</v>
      </c>
      <c r="CI71" s="135" t="n">
        <v>0</v>
      </c>
      <c r="CJ71" s="135" t="n">
        <v>0</v>
      </c>
      <c r="CK71" s="135" t="n">
        <v>0</v>
      </c>
      <c r="CL71" s="135" t="n"/>
      <c r="CM71" s="135" t="n"/>
      <c r="CN71" s="135" t="n"/>
      <c r="CO71" s="135" t="n"/>
      <c r="CP71" s="135" t="n"/>
      <c r="CQ71" s="135" t="n"/>
      <c r="CR71" s="135" t="n"/>
      <c r="CS71" s="135" t="n"/>
      <c r="CT71" s="135" t="n"/>
      <c r="CU71" s="135" t="n"/>
      <c r="CV71" s="135" t="n"/>
      <c r="CW71" s="135" t="n"/>
      <c r="CX71" s="135" t="n"/>
      <c r="CY71" s="135" t="n"/>
      <c r="CZ71" s="135" t="n"/>
      <c r="DA71" s="135" t="n"/>
      <c r="DB71" s="135" t="n"/>
      <c r="DC71" s="135" t="n"/>
      <c r="DD71" s="135" t="n"/>
      <c r="DE71" s="135" t="n"/>
      <c r="DF71" s="135" t="n"/>
      <c r="DG71" s="135" t="n"/>
      <c r="DH71" s="135" t="n"/>
      <c r="DI71" s="135" t="n"/>
      <c r="DJ71" s="135" t="n"/>
      <c r="DK71" s="135" t="n">
        <v>1</v>
      </c>
      <c r="DL71" s="135" t="n">
        <v>1</v>
      </c>
      <c r="DM71" s="135" t="n"/>
      <c r="DN71" s="374" t="n"/>
      <c r="DO71" s="135" t="n"/>
      <c r="DP71" s="135" t="n"/>
      <c r="DQ71" s="135" t="n"/>
      <c r="DR71" s="135" t="n"/>
      <c r="DS71" s="135" t="n"/>
      <c r="DT71" s="135" t="n"/>
      <c r="DU71" s="135" t="n"/>
      <c r="DV71" s="135" t="n"/>
      <c r="DW71" s="135" t="n">
        <v>1</v>
      </c>
      <c r="DX71" s="135" t="n"/>
      <c r="DY71" s="135" t="n"/>
      <c r="DZ71" s="135" t="n"/>
      <c r="EA71" s="135" t="n">
        <v>1</v>
      </c>
      <c r="EB71" s="135" t="n"/>
      <c r="EC71" s="135" t="n"/>
      <c r="ED71" s="135" t="n">
        <v>1</v>
      </c>
      <c r="EE71" s="135" t="n"/>
      <c r="EF71" s="135" t="n"/>
      <c r="EG71" s="135" t="n"/>
      <c r="EH71" s="135" t="n"/>
      <c r="EI71" s="135" t="n"/>
      <c r="EJ71" s="135" t="n"/>
      <c r="EK71" s="135" t="n">
        <v>1</v>
      </c>
      <c r="EL71" s="135" t="n"/>
      <c r="EM71" s="135" t="n"/>
      <c r="EN71" s="135" t="n"/>
      <c r="EO71" s="135" t="n"/>
      <c r="EP71" s="135" t="n"/>
      <c r="EQ71" s="135" t="n"/>
      <c r="ER71" s="135" t="n"/>
      <c r="ES71" s="135" t="n"/>
      <c r="ET71" s="135" t="n"/>
      <c r="EU71" s="135" t="n"/>
      <c r="EV71" s="135" t="n"/>
      <c r="EW71" s="135" t="n"/>
      <c r="EX71" s="135" t="n">
        <v>1</v>
      </c>
      <c r="EY71" s="135" t="n"/>
      <c r="EZ71" s="135" t="n"/>
      <c r="FA71" s="135" t="n"/>
      <c r="FB71" s="135" t="n"/>
      <c r="FC71" s="135" t="n"/>
      <c r="FD71" s="135" t="n"/>
      <c r="FE71" s="135" t="n"/>
      <c r="FF71" s="135" t="n"/>
      <c r="FG71" s="135" t="n"/>
      <c r="FH71" s="135" t="n"/>
      <c r="FI71" s="135" t="n"/>
      <c r="FJ71" s="135" t="n"/>
      <c r="FK71" s="23" t="n"/>
      <c r="FL71" s="374" t="n"/>
      <c r="FM71" s="135" t="n"/>
      <c r="FN71" s="135" t="n"/>
      <c r="FO71" s="135" t="n">
        <v>2</v>
      </c>
      <c r="FP71" s="135" t="n"/>
      <c r="FQ71" s="135" t="n"/>
      <c r="FR71" s="135" t="n"/>
      <c r="FS71" s="135" t="n"/>
      <c r="FT71" s="135" t="n"/>
      <c r="FU71" s="135" t="n"/>
      <c r="FV71" s="135" t="n"/>
      <c r="FW71" s="135" t="n"/>
      <c r="FX71" s="135" t="n"/>
      <c r="FY71" s="135" t="n"/>
      <c r="FZ71" s="311" t="n"/>
      <c r="GA71" s="135" t="n"/>
      <c r="GB71" s="311" t="n"/>
      <c r="GC71" s="135" t="n"/>
      <c r="GD71" s="135" t="n"/>
      <c r="GE71" s="135" t="n"/>
      <c r="GF71" s="135" t="n"/>
      <c r="GG71" s="135" t="n"/>
      <c r="GH71" s="135" t="n"/>
      <c r="GI71" s="135" t="n"/>
      <c r="GJ71" s="135" t="n"/>
      <c r="GK71" s="135" t="n"/>
      <c r="GL71" s="135" t="n"/>
      <c r="GM71" s="135" t="n"/>
      <c r="GN71" s="135" t="n"/>
      <c r="GO71" s="135" t="n"/>
      <c r="GP71" s="135" t="n"/>
      <c r="GQ71" s="135" t="n"/>
      <c r="GS71" s="5" t="n"/>
      <c r="GT71" s="5" t="n"/>
      <c r="GU71" s="5" t="n"/>
      <c r="GV71" s="5" t="n"/>
      <c r="GW71" s="5" t="n"/>
      <c r="GX71" s="5" t="n"/>
      <c r="GY71" s="5" t="n"/>
      <c r="GZ71" s="5" t="n"/>
      <c r="HA71" s="5" t="n"/>
      <c r="HB71" s="5" t="n"/>
      <c r="HC71" s="5" t="n"/>
      <c r="HD71" s="5" t="n"/>
      <c r="HE71" s="5" t="n"/>
      <c r="HF71" s="5" t="n"/>
      <c r="HG71" s="5" t="n"/>
      <c r="HH71" s="5" t="n"/>
      <c r="HI71" s="5" t="n"/>
      <c r="HJ71" s="5" t="n"/>
      <c r="HK71" s="5" t="n"/>
      <c r="HL71" s="5" t="n"/>
      <c r="HM71" s="5" t="n"/>
      <c r="HN71" s="5" t="n"/>
      <c r="HO71" s="5" t="n"/>
      <c r="HQ71" s="5" t="n"/>
      <c r="HR71" s="5" t="n"/>
      <c r="HS71" s="5" t="n"/>
      <c r="HT71" s="5" t="n"/>
      <c r="HU71" s="5" t="n"/>
      <c r="HV71" s="5" t="n"/>
      <c r="HW71" s="5" t="n"/>
      <c r="HX71" s="5" t="n"/>
      <c r="HY71" s="5" t="n"/>
      <c r="HZ71" s="5" t="n"/>
      <c r="IA71" s="5" t="n"/>
      <c r="IB71" s="5" t="n"/>
      <c r="IC71" s="5" t="n"/>
      <c r="IE71" s="5" t="n"/>
      <c r="IF71" s="5" t="n"/>
      <c r="IG71" s="5" t="n"/>
      <c r="IH71" s="5" t="n"/>
      <c r="II71" s="5" t="n"/>
      <c r="IJ71" s="5" t="n"/>
      <c r="IK71" s="5" t="n"/>
      <c r="IL71" s="5" t="n"/>
      <c r="IM71" s="5" t="n"/>
      <c r="IN71" s="5" t="n"/>
      <c r="IO71" s="5" t="n"/>
      <c r="IP71" s="5" t="n"/>
      <c r="IQ71" s="5" t="n"/>
      <c r="IR71" s="5" t="n"/>
      <c r="IT71" s="5" t="n"/>
      <c r="IU71" s="5" t="n"/>
      <c r="IV71" s="5" t="n"/>
      <c r="IW71" s="5" t="n"/>
      <c r="IX71" s="5" t="n"/>
      <c r="IY71" s="5" t="n"/>
      <c r="IZ71" s="5" t="n"/>
      <c r="JA71" s="5" t="n"/>
      <c r="JB71" s="5" t="n"/>
    </row>
    <row r="72">
      <c r="A72" s="626" t="inlineStr">
        <is>
          <t>LÂMINA OLFATIVA EUDORA</t>
        </is>
      </c>
      <c r="B72" s="348" t="n">
        <v>2000</v>
      </c>
      <c r="C72" s="834" t="n">
        <v>71</v>
      </c>
      <c r="D72" s="382" t="n">
        <v>0</v>
      </c>
      <c r="F72" s="697" t="n"/>
      <c r="G72" s="697" t="n"/>
      <c r="H72" s="697" t="n"/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697" t="n"/>
      <c r="BZ72" s="699" t="n"/>
      <c r="CA72" s="699" t="n"/>
      <c r="CB72" s="198">
        <f>BZ72+IF(NOT(ISBLANK(OFFSET(CB72,0,6))),N(OFFSET(CB72,0,6)),N(OFFSET(CB72,0,7)))-CA72</f>
        <v/>
      </c>
      <c r="CD72" s="194" t="n"/>
      <c r="CE72" s="194" t="n"/>
      <c r="CF72" s="5" t="n"/>
      <c r="CG72" s="27" t="n"/>
      <c r="CH72" s="831" t="n">
        <v>0</v>
      </c>
      <c r="CI72" s="135" t="n">
        <v>0</v>
      </c>
      <c r="CJ72" s="135" t="n">
        <v>0</v>
      </c>
      <c r="CK72" s="135" t="n">
        <v>0</v>
      </c>
      <c r="CL72" s="135" t="n"/>
      <c r="CM72" s="135" t="n"/>
      <c r="CN72" s="135" t="n"/>
      <c r="CO72" s="135" t="n"/>
      <c r="CP72" s="135" t="n"/>
      <c r="CQ72" s="135" t="n"/>
      <c r="CR72" s="135" t="n"/>
      <c r="CS72" s="135" t="n"/>
      <c r="CT72" s="135" t="n"/>
      <c r="CU72" s="135" t="n"/>
      <c r="CV72" s="135" t="n"/>
      <c r="CW72" s="135" t="n"/>
      <c r="CX72" s="135" t="n"/>
      <c r="CY72" s="135" t="n"/>
      <c r="CZ72" s="135" t="n"/>
      <c r="DA72" s="135" t="n"/>
      <c r="DB72" s="135" t="n"/>
      <c r="DC72" s="135" t="n"/>
      <c r="DD72" s="135" t="n"/>
      <c r="DE72" s="135" t="n"/>
      <c r="DF72" s="135" t="n"/>
      <c r="DG72" s="135" t="n"/>
      <c r="DH72" s="135" t="n"/>
      <c r="DI72" s="135" t="n"/>
      <c r="DJ72" s="135" t="n"/>
      <c r="DK72" s="135" t="n"/>
      <c r="DL72" s="135" t="n"/>
      <c r="DM72" s="135" t="n"/>
      <c r="DN72" s="374" t="n"/>
      <c r="DO72" s="135" t="n"/>
      <c r="DP72" s="135" t="n"/>
      <c r="DQ72" s="135" t="n"/>
      <c r="DR72" s="135" t="n"/>
      <c r="DS72" s="135" t="n"/>
      <c r="DT72" s="135" t="n"/>
      <c r="DU72" s="135" t="n"/>
      <c r="DV72" s="135" t="n"/>
      <c r="DW72" s="135" t="n"/>
      <c r="DX72" s="135" t="n"/>
      <c r="DY72" s="135" t="n"/>
      <c r="DZ72" s="135" t="n"/>
      <c r="EA72" s="135" t="n"/>
      <c r="EB72" s="135" t="n"/>
      <c r="EC72" s="135" t="n"/>
      <c r="ED72" s="135" t="n"/>
      <c r="EE72" s="135" t="n"/>
      <c r="EF72" s="135" t="n"/>
      <c r="EG72" s="135" t="n"/>
      <c r="EH72" s="135" t="n"/>
      <c r="EI72" s="135" t="n"/>
      <c r="EJ72" s="135" t="n"/>
      <c r="EK72" s="135" t="n"/>
      <c r="EL72" s="135" t="n"/>
      <c r="EM72" s="135" t="n"/>
      <c r="EN72" s="135" t="n"/>
      <c r="EO72" s="135" t="n"/>
      <c r="EP72" s="135" t="n"/>
      <c r="EQ72" s="135" t="n"/>
      <c r="ER72" s="135" t="n"/>
      <c r="ES72" s="135" t="n"/>
      <c r="ET72" s="135" t="n"/>
      <c r="EU72" s="135" t="n"/>
      <c r="EV72" s="135" t="n"/>
      <c r="EW72" s="135" t="n"/>
      <c r="EX72" s="135" t="n"/>
      <c r="EY72" s="135" t="n"/>
      <c r="EZ72" s="135" t="n"/>
      <c r="FA72" s="135" t="n"/>
      <c r="FB72" s="135" t="n"/>
      <c r="FC72" s="135" t="n"/>
      <c r="FD72" s="135" t="n"/>
      <c r="FE72" s="135" t="n"/>
      <c r="FF72" s="135" t="n"/>
      <c r="FG72" s="135" t="n"/>
      <c r="FH72" s="135" t="n"/>
      <c r="FI72" s="135" t="n"/>
      <c r="FJ72" s="135" t="n"/>
      <c r="FK72" s="23" t="n"/>
      <c r="FL72" s="374" t="n"/>
      <c r="FM72" s="135" t="n"/>
      <c r="FN72" s="135" t="n"/>
      <c r="FO72" s="135" t="n"/>
      <c r="FP72" s="135" t="n"/>
      <c r="FQ72" s="135" t="n"/>
      <c r="FR72" s="135" t="n"/>
      <c r="FS72" s="135" t="n"/>
      <c r="FT72" s="135" t="n"/>
      <c r="FU72" s="135" t="n"/>
      <c r="FV72" s="135" t="n"/>
      <c r="FW72" s="135" t="n"/>
      <c r="FX72" s="135" t="n"/>
      <c r="FY72" s="135" t="n"/>
      <c r="FZ72" s="311" t="n"/>
      <c r="GA72" s="135" t="n"/>
      <c r="GB72" s="311" t="n"/>
      <c r="GC72" s="135" t="n"/>
      <c r="GD72" s="135" t="n"/>
      <c r="GE72" s="135" t="n"/>
      <c r="GF72" s="135" t="n"/>
      <c r="GG72" s="135" t="n"/>
      <c r="GH72" s="135" t="n"/>
      <c r="GI72" s="135" t="n"/>
      <c r="GJ72" s="135" t="n"/>
      <c r="GK72" s="135" t="n"/>
      <c r="GL72" s="135" t="n"/>
      <c r="GM72" s="135" t="n"/>
      <c r="GN72" s="135" t="n"/>
      <c r="GO72" s="135" t="n"/>
      <c r="GP72" s="135" t="n"/>
      <c r="GQ72" s="135" t="n"/>
      <c r="GS72" s="5" t="n"/>
      <c r="GT72" s="5" t="n"/>
      <c r="GU72" s="5" t="n"/>
      <c r="GV72" s="5" t="n"/>
      <c r="GW72" s="5" t="n"/>
      <c r="GX72" s="5" t="n"/>
      <c r="GY72" s="5" t="n"/>
      <c r="GZ72" s="5" t="n"/>
      <c r="HA72" s="5" t="n"/>
      <c r="HB72" s="5" t="n"/>
      <c r="HC72" s="5" t="n"/>
      <c r="HD72" s="5" t="n"/>
      <c r="HE72" s="5" t="n"/>
      <c r="HF72" s="5" t="n"/>
      <c r="HG72" s="5" t="n"/>
      <c r="HH72" s="5" t="n"/>
      <c r="HI72" s="5" t="n"/>
      <c r="HJ72" s="5" t="n"/>
      <c r="HK72" s="5" t="n"/>
      <c r="HL72" s="5" t="n"/>
      <c r="HM72" s="5" t="n"/>
      <c r="HN72" s="5" t="n"/>
      <c r="HO72" s="5" t="n"/>
      <c r="HQ72" s="5" t="n"/>
      <c r="HR72" s="5" t="n"/>
      <c r="HS72" s="5" t="n"/>
      <c r="HT72" s="5" t="n"/>
      <c r="HU72" s="5" t="n"/>
      <c r="HV72" s="5" t="n"/>
      <c r="HW72" s="5" t="n"/>
      <c r="HX72" s="5" t="n"/>
      <c r="HY72" s="5" t="n"/>
      <c r="HZ72" s="5" t="n"/>
      <c r="IA72" s="5" t="n"/>
      <c r="IB72" s="5" t="n"/>
      <c r="IC72" s="5" t="n"/>
      <c r="IE72" s="5" t="n"/>
      <c r="IF72" s="5" t="n"/>
      <c r="IG72" s="5" t="n"/>
      <c r="IH72" s="5" t="n"/>
      <c r="II72" s="5" t="n"/>
      <c r="IJ72" s="5" t="n"/>
      <c r="IK72" s="5" t="n"/>
      <c r="IL72" s="5" t="n"/>
      <c r="IM72" s="5" t="n"/>
      <c r="IN72" s="5" t="n"/>
      <c r="IO72" s="5" t="n"/>
      <c r="IP72" s="5" t="n"/>
      <c r="IQ72" s="5" t="n"/>
      <c r="IR72" s="5" t="n"/>
      <c r="IT72" s="5" t="n"/>
      <c r="IU72" s="5" t="n"/>
      <c r="IV72" s="5" t="n"/>
      <c r="IW72" s="5" t="n"/>
      <c r="IX72" s="5" t="n"/>
      <c r="IY72" s="5" t="n"/>
      <c r="IZ72" s="5" t="n"/>
      <c r="JA72" s="5" t="n"/>
      <c r="JB72" s="5" t="n"/>
    </row>
    <row r="73">
      <c r="A73" s="626" t="inlineStr">
        <is>
          <t>KIT SACOLA P EUDORA (C/ 10)</t>
        </is>
      </c>
      <c r="B73" s="345" t="n">
        <v>200</v>
      </c>
      <c r="C73" s="834" t="n">
        <v>184.13</v>
      </c>
      <c r="D73" s="382" t="n">
        <v>15</v>
      </c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>
        <v>0</v>
      </c>
      <c r="Y73" s="697" t="n">
        <v>0</v>
      </c>
      <c r="Z73" s="697" t="n">
        <v>20</v>
      </c>
      <c r="AA73" s="697" t="n">
        <v>20</v>
      </c>
      <c r="AB73" s="697" t="n">
        <v>20</v>
      </c>
      <c r="AC73" s="697" t="n">
        <v>15</v>
      </c>
      <c r="AD73" s="697" t="n">
        <v>11</v>
      </c>
      <c r="AE73" s="697">
        <f>6+9</f>
        <v/>
      </c>
      <c r="AF73" s="697" t="n">
        <v>15</v>
      </c>
      <c r="AG73" s="697" t="n">
        <v>8</v>
      </c>
      <c r="AH73" s="697" t="n">
        <v>5</v>
      </c>
      <c r="AI73" s="697" t="n">
        <v>24</v>
      </c>
      <c r="AJ73" s="697" t="n">
        <v>24</v>
      </c>
      <c r="AK73" s="697" t="n">
        <v>23</v>
      </c>
      <c r="AL73" s="697" t="n">
        <v>23</v>
      </c>
      <c r="AM73" s="697" t="n">
        <v>21</v>
      </c>
      <c r="AN73" s="697" t="n">
        <v>20</v>
      </c>
      <c r="AO73" s="697" t="n">
        <v>19</v>
      </c>
      <c r="AP73" s="697" t="n">
        <v>17</v>
      </c>
      <c r="AQ73" s="697" t="n">
        <v>16</v>
      </c>
      <c r="AR73" s="697" t="n">
        <v>16</v>
      </c>
      <c r="AS73" s="697" t="n">
        <v>15</v>
      </c>
      <c r="AT73" s="697" t="n">
        <v>15</v>
      </c>
      <c r="AU73" s="697" t="n">
        <v>13</v>
      </c>
      <c r="AV73" s="697" t="n">
        <v>13</v>
      </c>
      <c r="AW73" s="697" t="n">
        <v>13</v>
      </c>
      <c r="AX73" s="697" t="n">
        <v>13</v>
      </c>
      <c r="AY73" s="697" t="n">
        <v>11</v>
      </c>
      <c r="AZ73" s="697" t="n">
        <v>11</v>
      </c>
      <c r="BA73" s="697" t="n">
        <v>5</v>
      </c>
      <c r="BB73" s="697" t="n">
        <v>0</v>
      </c>
      <c r="BC73" s="697" t="n">
        <v>0</v>
      </c>
      <c r="BD73" s="697" t="n">
        <v>0</v>
      </c>
      <c r="BE73" s="697" t="n">
        <v>0</v>
      </c>
      <c r="BF73" s="697" t="n">
        <v>0</v>
      </c>
      <c r="BG73" s="697" t="n">
        <v>0</v>
      </c>
      <c r="BH73" s="697" t="n">
        <v>0</v>
      </c>
      <c r="BI73" s="697" t="n">
        <v>0</v>
      </c>
      <c r="BJ73" s="237">
        <f>0+CV73</f>
        <v/>
      </c>
      <c r="BK73" s="237" t="n">
        <v>40</v>
      </c>
      <c r="BL73" s="237" t="n">
        <v>40</v>
      </c>
      <c r="BM73" s="237" t="n">
        <v>40</v>
      </c>
      <c r="BN73" s="237" t="n">
        <v>40</v>
      </c>
      <c r="BO73" s="237" t="n">
        <v>40</v>
      </c>
      <c r="BP73" s="237" t="n">
        <v>40</v>
      </c>
      <c r="BQ73" s="237" t="n">
        <v>40</v>
      </c>
      <c r="BR73" s="237" t="n">
        <v>40</v>
      </c>
      <c r="BS73" s="237" t="n"/>
      <c r="BT73" s="237" t="n"/>
      <c r="BU73" s="237" t="n"/>
      <c r="BV73" s="237" t="n"/>
      <c r="BW73" s="237" t="n"/>
      <c r="BX73" s="237" t="n">
        <v>39</v>
      </c>
      <c r="BY73" s="237" t="n">
        <v>36</v>
      </c>
      <c r="BZ73" s="154" t="n">
        <v>36</v>
      </c>
      <c r="CA73" s="154" t="n">
        <v>36</v>
      </c>
      <c r="CB73" s="198">
        <f>BZ73+IF(NOT(ISBLANK(OFFSET(CB73,0,6))),N(OFFSET(CB73,0,6)),N(OFFSET(CB73,0,7)))-CA73</f>
        <v/>
      </c>
      <c r="CD73" s="194" t="n"/>
      <c r="CE73" s="194" t="n"/>
      <c r="CF73" s="5" t="n"/>
      <c r="CG73" s="27" t="n"/>
      <c r="CH73" s="831" t="n">
        <v>0</v>
      </c>
      <c r="CI73" s="135" t="n">
        <v>0</v>
      </c>
      <c r="CJ73" s="135" t="n">
        <v>0</v>
      </c>
      <c r="CK73" s="135" t="n">
        <v>0</v>
      </c>
      <c r="CL73" s="135" t="n"/>
      <c r="CM73" s="135" t="n"/>
      <c r="CN73" s="135" t="n"/>
      <c r="CO73" s="135" t="n"/>
      <c r="CP73" s="135" t="n"/>
      <c r="CQ73" s="135" t="n"/>
      <c r="CR73" s="135" t="n"/>
      <c r="CS73" s="135" t="n"/>
      <c r="CT73" s="135" t="n"/>
      <c r="CU73" s="135" t="n"/>
      <c r="CV73" s="135" t="n"/>
      <c r="CW73" s="135" t="n"/>
      <c r="CX73" s="135" t="n">
        <v>40</v>
      </c>
      <c r="CY73" s="135" t="n"/>
      <c r="CZ73" s="135" t="n"/>
      <c r="DA73" s="135" t="n"/>
      <c r="DB73" s="135" t="n"/>
      <c r="DC73" s="135" t="n"/>
      <c r="DD73" s="135" t="n"/>
      <c r="DE73" s="135" t="n"/>
      <c r="DF73" s="135" t="n"/>
      <c r="DG73" s="135" t="n"/>
      <c r="DH73" s="135" t="n"/>
      <c r="DI73" s="135" t="n"/>
      <c r="DJ73" s="135" t="n"/>
      <c r="DK73" s="135" t="n"/>
      <c r="DL73" s="135" t="n"/>
      <c r="DM73" s="135" t="n"/>
      <c r="DN73" s="374" t="n"/>
      <c r="DO73" s="135" t="n"/>
      <c r="DP73" s="135" t="n"/>
      <c r="DQ73" s="135" t="n"/>
      <c r="DR73" s="135" t="n"/>
      <c r="DS73" s="135" t="n"/>
      <c r="DT73" s="135" t="n"/>
      <c r="DU73" s="135" t="n"/>
      <c r="DV73" s="135" t="n"/>
      <c r="DW73" s="135" t="n"/>
      <c r="DX73" s="135" t="n"/>
      <c r="DY73" s="135" t="n"/>
      <c r="DZ73" s="135" t="n"/>
      <c r="EA73" s="135" t="n"/>
      <c r="EB73" s="135" t="n"/>
      <c r="EC73" s="135" t="n"/>
      <c r="ED73" s="135" t="n"/>
      <c r="EE73" s="135" t="n"/>
      <c r="EF73" s="135" t="n"/>
      <c r="EG73" s="135" t="n"/>
      <c r="EH73" s="135" t="n"/>
      <c r="EI73" s="135" t="n"/>
      <c r="EJ73" s="135" t="n"/>
      <c r="EK73" s="135" t="n"/>
      <c r="EL73" s="135" t="n"/>
      <c r="EM73" s="135" t="n"/>
      <c r="EN73" s="135" t="n"/>
      <c r="EO73" s="135" t="n"/>
      <c r="EP73" s="135" t="n"/>
      <c r="EQ73" s="135" t="n"/>
      <c r="ER73" s="135" t="n"/>
      <c r="ES73" s="135" t="n"/>
      <c r="ET73" s="135" t="n"/>
      <c r="EU73" s="135" t="n">
        <v>20</v>
      </c>
      <c r="EV73" s="135" t="n"/>
      <c r="EW73" s="135" t="n"/>
      <c r="EX73" s="135" t="n"/>
      <c r="EY73" s="135" t="n"/>
      <c r="EZ73" s="406" t="inlineStr">
        <is>
          <t>09 DE CDB</t>
        </is>
      </c>
      <c r="FA73" s="135" t="n"/>
      <c r="FB73" s="135" t="n"/>
      <c r="FC73" s="135" t="n"/>
      <c r="FD73" s="135" t="n"/>
      <c r="FE73" s="135" t="n"/>
      <c r="FF73" s="135" t="n"/>
      <c r="FG73" s="135" t="n"/>
      <c r="FH73" s="135" t="n"/>
      <c r="FI73" s="135" t="n"/>
      <c r="FJ73" s="135" t="n"/>
      <c r="FK73" s="23" t="n"/>
      <c r="FL73" s="374" t="n"/>
      <c r="FM73" s="135" t="n"/>
      <c r="FN73" s="135" t="n"/>
      <c r="FO73" s="135" t="n">
        <v>20</v>
      </c>
      <c r="FP73" s="135" t="n"/>
      <c r="FQ73" s="135" t="n"/>
      <c r="FR73" s="135" t="n"/>
      <c r="FS73" s="135" t="n"/>
      <c r="FT73" s="135" t="n"/>
      <c r="FU73" s="135" t="n"/>
      <c r="FV73" s="135" t="n"/>
      <c r="FW73" s="135" t="n"/>
      <c r="FX73" s="135" t="n"/>
      <c r="FY73" s="135" t="n"/>
      <c r="FZ73" s="219" t="n"/>
      <c r="GA73" s="135" t="n"/>
      <c r="GB73" s="219" t="n"/>
      <c r="GC73" s="135" t="n"/>
      <c r="GD73" s="135" t="n"/>
      <c r="GE73" s="135" t="n"/>
      <c r="GF73" s="135" t="n"/>
      <c r="GG73" s="135" t="n"/>
      <c r="GH73" s="135" t="n"/>
      <c r="GI73" s="135" t="n"/>
      <c r="GJ73" s="135" t="n"/>
      <c r="GK73" s="135" t="n"/>
      <c r="GL73" s="135" t="n"/>
      <c r="GM73" s="135" t="n"/>
      <c r="GN73" s="135" t="n"/>
      <c r="GO73" s="135" t="n"/>
      <c r="GP73" s="135" t="n"/>
      <c r="GQ73" s="135" t="n"/>
      <c r="GS73" s="5" t="n"/>
      <c r="GT73" s="5" t="n"/>
      <c r="GU73" s="5" t="n"/>
      <c r="GV73" s="5" t="n"/>
      <c r="GW73" s="5" t="n"/>
      <c r="GX73" s="5" t="n"/>
      <c r="GY73" s="5" t="n"/>
      <c r="GZ73" s="5" t="n"/>
      <c r="HA73" s="5" t="n"/>
      <c r="HB73" s="5" t="n"/>
      <c r="HC73" s="5" t="n"/>
      <c r="HD73" s="5" t="n"/>
      <c r="HE73" s="5" t="n"/>
      <c r="HF73" s="5" t="n"/>
      <c r="HG73" s="5" t="n"/>
      <c r="HH73" s="5" t="n"/>
      <c r="HI73" s="5" t="n"/>
      <c r="HJ73" s="5" t="n"/>
      <c r="HK73" s="5" t="n"/>
      <c r="HL73" s="5" t="n"/>
      <c r="HM73" s="5" t="n"/>
      <c r="HN73" s="5" t="n"/>
      <c r="HO73" s="5" t="n"/>
      <c r="HQ73" s="5" t="n"/>
      <c r="HR73" s="5" t="n"/>
      <c r="HS73" s="5" t="n"/>
      <c r="HT73" s="5" t="n"/>
      <c r="HU73" s="5" t="n"/>
      <c r="HV73" s="5" t="n"/>
      <c r="HW73" s="5" t="n"/>
      <c r="HX73" s="5" t="n"/>
      <c r="HY73" s="5" t="n"/>
      <c r="HZ73" s="5" t="n"/>
      <c r="IA73" s="5" t="n"/>
      <c r="IB73" s="5" t="n"/>
      <c r="IC73" s="5" t="n"/>
      <c r="IE73" s="5" t="n"/>
      <c r="IF73" s="5" t="n"/>
      <c r="IG73" s="5" t="n"/>
      <c r="IH73" s="5" t="n"/>
      <c r="II73" s="5" t="n"/>
      <c r="IJ73" s="5" t="n"/>
      <c r="IK73" s="5" t="n"/>
      <c r="IL73" s="5" t="n"/>
      <c r="IM73" s="5" t="n"/>
      <c r="IN73" s="5" t="n"/>
      <c r="IO73" s="5" t="n"/>
      <c r="IP73" s="5" t="n"/>
      <c r="IQ73" s="5" t="n"/>
      <c r="IR73" s="5" t="n"/>
      <c r="IT73" s="5" t="n"/>
      <c r="IU73" s="5" t="n"/>
      <c r="IV73" s="5" t="n"/>
      <c r="IW73" s="5" t="n"/>
      <c r="IX73" s="5" t="n"/>
      <c r="IY73" s="5" t="n"/>
      <c r="IZ73" s="5" t="n"/>
      <c r="JA73" s="5" t="n"/>
      <c r="JB73" s="5" t="n"/>
    </row>
    <row r="74">
      <c r="A74" s="626" t="inlineStr">
        <is>
          <t>KIT SACOLA M EUDORA (C/ 10)</t>
        </is>
      </c>
      <c r="B74" s="345" t="n">
        <v>150</v>
      </c>
      <c r="C74" s="834" t="n">
        <v>181.4</v>
      </c>
      <c r="D74" s="382" t="n">
        <v>15</v>
      </c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>
        <v>0</v>
      </c>
      <c r="Y74" s="697" t="n">
        <v>0</v>
      </c>
      <c r="Z74" s="697" t="n">
        <v>15</v>
      </c>
      <c r="AA74" s="697" t="n">
        <v>15</v>
      </c>
      <c r="AB74" s="697" t="n">
        <v>15</v>
      </c>
      <c r="AC74" s="697" t="n">
        <v>15</v>
      </c>
      <c r="AD74" s="697" t="n">
        <v>12</v>
      </c>
      <c r="AE74" s="697" t="n">
        <v>11</v>
      </c>
      <c r="AF74" s="697" t="n">
        <v>11</v>
      </c>
      <c r="AG74" s="697" t="n">
        <v>10</v>
      </c>
      <c r="AH74" s="697" t="n">
        <v>9</v>
      </c>
      <c r="AI74" s="697" t="n">
        <v>24</v>
      </c>
      <c r="AJ74" s="697" t="n">
        <v>24</v>
      </c>
      <c r="AK74" s="697" t="n">
        <v>24</v>
      </c>
      <c r="AL74" s="697" t="n">
        <v>24</v>
      </c>
      <c r="AM74" s="697" t="n">
        <v>24</v>
      </c>
      <c r="AN74" s="697" t="n">
        <v>24</v>
      </c>
      <c r="AO74" s="697" t="n">
        <v>24</v>
      </c>
      <c r="AP74" s="697" t="n">
        <v>24</v>
      </c>
      <c r="AQ74" s="697" t="n">
        <v>24</v>
      </c>
      <c r="AR74" s="697" t="n">
        <v>24</v>
      </c>
      <c r="AS74" s="697" t="n">
        <v>24</v>
      </c>
      <c r="AT74" s="697" t="n">
        <v>23</v>
      </c>
      <c r="AU74" s="697" t="n">
        <v>23</v>
      </c>
      <c r="AV74" s="697" t="n">
        <v>23</v>
      </c>
      <c r="AW74" s="697" t="n">
        <v>23</v>
      </c>
      <c r="AX74" s="697" t="n">
        <v>22</v>
      </c>
      <c r="AY74" s="697">
        <f>22-10</f>
        <v/>
      </c>
      <c r="AZ74" s="697" t="n">
        <v>12</v>
      </c>
      <c r="BA74" s="697" t="n">
        <v>11</v>
      </c>
      <c r="BB74" s="697" t="n">
        <v>10</v>
      </c>
      <c r="BC74" s="237">
        <f>10+DG74</f>
        <v/>
      </c>
      <c r="BD74" s="237" t="n">
        <v>23</v>
      </c>
      <c r="BE74" s="237" t="n">
        <v>23</v>
      </c>
      <c r="BF74" s="237" t="n">
        <v>23</v>
      </c>
      <c r="BG74" s="237" t="n">
        <v>23</v>
      </c>
      <c r="BH74" s="237" t="n">
        <v>23</v>
      </c>
      <c r="BI74" s="237" t="n">
        <v>22</v>
      </c>
      <c r="BJ74" s="237" t="n">
        <v>22</v>
      </c>
      <c r="BK74" s="237" t="n">
        <v>22</v>
      </c>
      <c r="BL74" s="237" t="n">
        <v>22</v>
      </c>
      <c r="BM74" s="237" t="n">
        <v>22</v>
      </c>
      <c r="BN74" s="237" t="n">
        <v>22</v>
      </c>
      <c r="BO74" s="237" t="n">
        <v>22</v>
      </c>
      <c r="BP74" s="237" t="n">
        <v>22</v>
      </c>
      <c r="BQ74" s="237" t="n">
        <v>22</v>
      </c>
      <c r="BR74" s="237" t="n">
        <v>22</v>
      </c>
      <c r="BS74" s="237" t="n"/>
      <c r="BT74" s="237" t="n"/>
      <c r="BU74" s="237" t="n"/>
      <c r="BV74" s="237" t="n"/>
      <c r="BW74" s="237" t="n"/>
      <c r="BX74" s="237" t="n">
        <v>18</v>
      </c>
      <c r="BY74" s="237" t="n">
        <v>17</v>
      </c>
      <c r="BZ74" s="154" t="n">
        <v>17</v>
      </c>
      <c r="CA74" s="154" t="n">
        <v>17</v>
      </c>
      <c r="CB74" s="198">
        <f>BZ74+IF(NOT(ISBLANK(OFFSET(CB74,0,6))),N(OFFSET(CB74,0,6)),N(OFFSET(CB74,0,7)))-CA74</f>
        <v/>
      </c>
      <c r="CD74" s="194" t="n"/>
      <c r="CE74" s="38" t="n"/>
      <c r="CF74" s="5" t="n"/>
      <c r="CG74" s="27" t="n"/>
      <c r="CH74" s="831" t="n">
        <v>0</v>
      </c>
      <c r="CI74" s="135" t="n">
        <v>0</v>
      </c>
      <c r="CJ74" s="135" t="n">
        <v>0</v>
      </c>
      <c r="CK74" s="135" t="n">
        <v>0</v>
      </c>
      <c r="CL74" s="135" t="n"/>
      <c r="CM74" s="135" t="n"/>
      <c r="CN74" s="135" t="n"/>
      <c r="CO74" s="135" t="n"/>
      <c r="CP74" s="135" t="n"/>
      <c r="CQ74" s="135" t="n"/>
      <c r="CR74" s="135" t="n"/>
      <c r="CS74" s="135" t="n"/>
      <c r="CT74" s="135" t="n"/>
      <c r="CU74" s="135" t="n"/>
      <c r="CV74" s="135" t="n"/>
      <c r="CW74" s="135" t="n"/>
      <c r="CX74" s="135" t="n"/>
      <c r="CY74" s="135" t="n"/>
      <c r="CZ74" s="135" t="n"/>
      <c r="DA74" s="135" t="n"/>
      <c r="DB74" s="135" t="n"/>
      <c r="DC74" s="135" t="n"/>
      <c r="DD74" s="135" t="n"/>
      <c r="DE74" s="135" t="n"/>
      <c r="DF74" s="135" t="n"/>
      <c r="DG74" s="135" t="n"/>
      <c r="DH74" s="135" t="n"/>
      <c r="DI74" s="135" t="n">
        <v>15</v>
      </c>
      <c r="DJ74" s="135" t="n"/>
      <c r="DK74" s="135" t="n"/>
      <c r="DL74" s="135" t="n"/>
      <c r="DM74" s="135" t="n"/>
      <c r="DN74" s="192" t="inlineStr">
        <is>
          <t>10 P/ CDB</t>
        </is>
      </c>
      <c r="DO74" s="135" t="n"/>
      <c r="DP74" s="135" t="n"/>
      <c r="DQ74" s="135" t="n"/>
      <c r="DR74" s="135" t="n"/>
      <c r="DS74" s="135" t="n"/>
      <c r="DT74" s="135" t="n"/>
      <c r="DU74" s="135" t="n"/>
      <c r="DV74" s="135" t="n"/>
      <c r="DW74" s="135" t="n"/>
      <c r="DX74" s="135" t="n"/>
      <c r="DY74" s="135" t="n"/>
      <c r="DZ74" s="135" t="n"/>
      <c r="EA74" s="135" t="n"/>
      <c r="EB74" s="135" t="n"/>
      <c r="EC74" s="135" t="n"/>
      <c r="ED74" s="135" t="n"/>
      <c r="EE74" s="135" t="n"/>
      <c r="EF74" s="135" t="n"/>
      <c r="EG74" s="135" t="n"/>
      <c r="EH74" s="135" t="n"/>
      <c r="EI74" s="135" t="n"/>
      <c r="EJ74" s="135" t="n"/>
      <c r="EK74" s="135" t="n"/>
      <c r="EL74" s="135" t="n"/>
      <c r="EM74" s="135" t="n"/>
      <c r="EN74" s="135" t="n"/>
      <c r="EO74" s="135" t="n"/>
      <c r="EP74" s="135" t="n"/>
      <c r="EQ74" s="135" t="n"/>
      <c r="ER74" s="135" t="n"/>
      <c r="ES74" s="135" t="n"/>
      <c r="ET74" s="135" t="n"/>
      <c r="EU74" s="135" t="n">
        <v>15</v>
      </c>
      <c r="EV74" s="135" t="n"/>
      <c r="EW74" s="135" t="n"/>
      <c r="EX74" s="135" t="n"/>
      <c r="EY74" s="135" t="n"/>
      <c r="EZ74" s="135" t="n"/>
      <c r="FA74" s="135" t="n"/>
      <c r="FB74" s="135" t="n"/>
      <c r="FC74" s="135" t="n"/>
      <c r="FD74" s="135" t="n"/>
      <c r="FE74" s="135" t="n"/>
      <c r="FF74" s="135" t="n"/>
      <c r="FG74" s="135" t="n"/>
      <c r="FH74" s="135" t="n"/>
      <c r="FI74" s="135" t="n"/>
      <c r="FJ74" s="135" t="n"/>
      <c r="FK74" s="23" t="n"/>
      <c r="FL74" s="374" t="n"/>
      <c r="FM74" s="135" t="n"/>
      <c r="FN74" s="135" t="n"/>
      <c r="FO74" s="135" t="n">
        <v>15</v>
      </c>
      <c r="FP74" s="135" t="n"/>
      <c r="FQ74" s="135" t="n"/>
      <c r="FR74" s="135" t="n"/>
      <c r="FS74" s="135" t="n"/>
      <c r="FT74" s="135" t="n"/>
      <c r="FU74" s="135" t="n"/>
      <c r="FV74" s="135" t="n"/>
      <c r="FW74" s="135" t="n"/>
      <c r="FX74" s="135" t="n"/>
      <c r="FY74" s="135" t="n"/>
      <c r="FZ74" s="219" t="n"/>
      <c r="GA74" s="135" t="n"/>
      <c r="GB74" s="219" t="n"/>
      <c r="GC74" s="135" t="n"/>
      <c r="GD74" s="135" t="n"/>
      <c r="GE74" s="135" t="n"/>
      <c r="GF74" s="135" t="n"/>
      <c r="GG74" s="135" t="n"/>
      <c r="GH74" s="135" t="n"/>
      <c r="GI74" s="135" t="n"/>
      <c r="GJ74" s="135" t="n"/>
      <c r="GK74" s="135" t="n"/>
      <c r="GL74" s="135" t="n"/>
      <c r="GM74" s="135" t="n"/>
      <c r="GN74" s="135" t="n"/>
      <c r="GO74" s="135" t="n"/>
      <c r="GP74" s="135" t="n"/>
      <c r="GQ74" s="135" t="n"/>
      <c r="GS74" s="5" t="n"/>
      <c r="GT74" s="5" t="n"/>
      <c r="GU74" s="5" t="n"/>
      <c r="GV74" s="5" t="n"/>
      <c r="GW74" s="5" t="n"/>
      <c r="GX74" s="5" t="n"/>
      <c r="GY74" s="5" t="n"/>
      <c r="GZ74" s="5" t="n"/>
      <c r="HA74" s="5" t="n"/>
      <c r="HB74" s="5" t="n"/>
      <c r="HC74" s="5" t="n"/>
      <c r="HD74" s="5" t="n"/>
      <c r="HE74" s="5" t="n"/>
      <c r="HF74" s="5" t="n"/>
      <c r="HG74" s="5" t="n"/>
      <c r="HH74" s="5" t="n"/>
      <c r="HI74" s="5" t="n"/>
      <c r="HJ74" s="5" t="n"/>
      <c r="HK74" s="5" t="n"/>
      <c r="HL74" s="5" t="n"/>
      <c r="HM74" s="5" t="n"/>
      <c r="HN74" s="5" t="n"/>
      <c r="HO74" s="5" t="n"/>
      <c r="HQ74" s="5" t="n"/>
      <c r="HR74" s="5" t="n"/>
      <c r="HS74" s="5" t="n"/>
      <c r="HT74" s="5" t="n"/>
      <c r="HU74" s="5" t="n"/>
      <c r="HV74" s="5" t="n"/>
      <c r="HW74" s="5" t="n"/>
      <c r="HX74" s="5" t="n"/>
      <c r="HY74" s="5" t="n"/>
      <c r="HZ74" s="5" t="n"/>
      <c r="IA74" s="5" t="n"/>
      <c r="IB74" s="5" t="n"/>
      <c r="IC74" s="5" t="n"/>
      <c r="IE74" s="5" t="n"/>
      <c r="IF74" s="5" t="n"/>
      <c r="IG74" s="5" t="n"/>
      <c r="IH74" s="5" t="n"/>
      <c r="II74" s="5" t="n"/>
      <c r="IJ74" s="5" t="n"/>
      <c r="IK74" s="5" t="n"/>
      <c r="IL74" s="5" t="n"/>
      <c r="IM74" s="5" t="n"/>
      <c r="IN74" s="5" t="n"/>
      <c r="IO74" s="5" t="n"/>
      <c r="IP74" s="5" t="n"/>
      <c r="IQ74" s="5" t="n"/>
      <c r="IR74" s="5" t="n"/>
      <c r="IT74" s="5" t="n"/>
      <c r="IU74" s="5" t="n"/>
      <c r="IV74" s="5" t="n"/>
      <c r="IW74" s="5" t="n"/>
      <c r="IX74" s="5" t="n"/>
      <c r="IY74" s="5" t="n"/>
      <c r="IZ74" s="5" t="n"/>
      <c r="JA74" s="5" t="n"/>
      <c r="JB74" s="5" t="n"/>
    </row>
    <row r="75">
      <c r="A75" s="626" t="inlineStr">
        <is>
          <t>KIT SACOLA G EUDORA (C/ 10)</t>
        </is>
      </c>
      <c r="B75" s="345" t="inlineStr">
        <is>
          <t>-</t>
        </is>
      </c>
      <c r="C75" s="834" t="inlineStr">
        <is>
          <t>-</t>
        </is>
      </c>
      <c r="D75" s="382" t="n">
        <v>10</v>
      </c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>
        <v>0</v>
      </c>
      <c r="Y75" s="697" t="n">
        <v>0</v>
      </c>
      <c r="Z75" s="697" t="n">
        <v>0</v>
      </c>
      <c r="AA75" s="697" t="n">
        <v>0</v>
      </c>
      <c r="AB75" s="697" t="n">
        <v>0</v>
      </c>
      <c r="AC75" s="697" t="n">
        <v>0</v>
      </c>
      <c r="AD75" s="697" t="n">
        <v>0</v>
      </c>
      <c r="AE75" s="697" t="n">
        <v>0</v>
      </c>
      <c r="AF75" s="697" t="n">
        <v>0</v>
      </c>
      <c r="AG75" s="697" t="n">
        <v>0</v>
      </c>
      <c r="AH75" s="697" t="n">
        <v>0</v>
      </c>
      <c r="AI75" s="697" t="n">
        <v>0</v>
      </c>
      <c r="AJ75" s="697" t="n">
        <v>0</v>
      </c>
      <c r="AK75" s="697" t="n">
        <v>0</v>
      </c>
      <c r="AL75" s="697" t="n">
        <v>0</v>
      </c>
      <c r="AM75" s="697" t="n">
        <v>0</v>
      </c>
      <c r="AN75" s="697" t="n">
        <v>0</v>
      </c>
      <c r="AO75" s="697" t="n">
        <v>0</v>
      </c>
      <c r="AP75" s="697" t="n">
        <v>0</v>
      </c>
      <c r="AQ75" s="697" t="n">
        <v>0</v>
      </c>
      <c r="AR75" s="697" t="n">
        <v>0</v>
      </c>
      <c r="AS75" s="697" t="n">
        <v>0</v>
      </c>
      <c r="AT75" s="697" t="n">
        <v>0</v>
      </c>
      <c r="AU75" s="697" t="n">
        <v>0</v>
      </c>
      <c r="AV75" s="697" t="n">
        <v>0</v>
      </c>
      <c r="AW75" s="697" t="n">
        <v>0</v>
      </c>
      <c r="AX75" s="697" t="n">
        <v>0</v>
      </c>
      <c r="AY75" s="697" t="n">
        <v>0</v>
      </c>
      <c r="AZ75" s="697" t="n">
        <v>0</v>
      </c>
      <c r="BA75" s="697" t="n">
        <v>0</v>
      </c>
      <c r="BB75" s="697" t="n">
        <v>0</v>
      </c>
      <c r="BC75" s="697" t="n">
        <v>0</v>
      </c>
      <c r="BD75" s="697" t="n">
        <v>0</v>
      </c>
      <c r="BE75" s="697" t="n">
        <v>0</v>
      </c>
      <c r="BF75" s="697" t="n">
        <v>0</v>
      </c>
      <c r="BG75" s="697" t="n">
        <v>0</v>
      </c>
      <c r="BH75" s="697" t="n">
        <v>0</v>
      </c>
      <c r="BI75" s="697" t="n">
        <v>0</v>
      </c>
      <c r="BJ75" s="697" t="n">
        <v>0</v>
      </c>
      <c r="BK75" s="697" t="n">
        <v>0</v>
      </c>
      <c r="BL75" s="697" t="n">
        <v>0</v>
      </c>
      <c r="BM75" s="697" t="n">
        <v>0</v>
      </c>
      <c r="BN75" s="697" t="n">
        <v>0</v>
      </c>
      <c r="BO75" s="697" t="n">
        <v>0</v>
      </c>
      <c r="BP75" s="697" t="n">
        <v>0</v>
      </c>
      <c r="BQ75" s="697" t="n">
        <v>0</v>
      </c>
      <c r="BR75" s="697" t="n">
        <v>0</v>
      </c>
      <c r="BS75" s="697" t="n"/>
      <c r="BT75" s="697" t="n"/>
      <c r="BU75" s="697" t="n"/>
      <c r="BV75" s="697" t="n"/>
      <c r="BW75" s="697" t="n"/>
      <c r="BX75" s="697" t="n">
        <v>0</v>
      </c>
      <c r="BY75" s="697" t="n">
        <v>0</v>
      </c>
      <c r="BZ75" s="699" t="n">
        <v>0</v>
      </c>
      <c r="CA75" s="699" t="n">
        <v>0</v>
      </c>
      <c r="CB75" s="198">
        <f>BZ75+IF(NOT(ISBLANK(OFFSET(CB75,0,6))),N(OFFSET(CB75,0,6)),N(OFFSET(CB75,0,7)))-CA75</f>
        <v/>
      </c>
      <c r="CD75" s="38" t="n"/>
      <c r="CE75" s="38" t="n"/>
      <c r="CF75" s="5" t="n"/>
      <c r="CG75" s="27" t="n"/>
      <c r="CH75" s="831" t="n">
        <v>0</v>
      </c>
      <c r="CI75" s="135" t="n">
        <v>0</v>
      </c>
      <c r="CJ75" s="135" t="n">
        <v>0</v>
      </c>
      <c r="CK75" s="135" t="n">
        <v>0</v>
      </c>
      <c r="CL75" s="135" t="n"/>
      <c r="CM75" s="135" t="n"/>
      <c r="CN75" s="135" t="n"/>
      <c r="CO75" s="135" t="n"/>
      <c r="CP75" s="135" t="n"/>
      <c r="CQ75" s="135" t="n"/>
      <c r="CR75" s="135" t="n"/>
      <c r="CS75" s="135" t="n"/>
      <c r="CT75" s="135" t="n"/>
      <c r="CU75" s="135" t="n"/>
      <c r="CV75" s="135" t="n"/>
      <c r="CW75" s="135" t="n"/>
      <c r="CX75" s="135" t="n"/>
      <c r="CY75" s="135" t="n"/>
      <c r="CZ75" s="135" t="n"/>
      <c r="DA75" s="135" t="n"/>
      <c r="DB75" s="135" t="n"/>
      <c r="DC75" s="135" t="n"/>
      <c r="DD75" s="135" t="n"/>
      <c r="DE75" s="135" t="n"/>
      <c r="DF75" s="135" t="n"/>
      <c r="DG75" s="135" t="n"/>
      <c r="DH75" s="135" t="n"/>
      <c r="DI75" s="135" t="n"/>
      <c r="DJ75" s="135" t="n"/>
      <c r="DK75" s="135" t="n"/>
      <c r="DL75" s="135" t="n"/>
      <c r="DM75" s="135" t="n"/>
      <c r="DN75" s="374" t="n"/>
      <c r="DO75" s="135" t="n"/>
      <c r="DP75" s="135" t="n"/>
      <c r="DQ75" s="135" t="n"/>
      <c r="DR75" s="135" t="n"/>
      <c r="DS75" s="135" t="n"/>
      <c r="DT75" s="135" t="n"/>
      <c r="DU75" s="135" t="n"/>
      <c r="DV75" s="135" t="n"/>
      <c r="DW75" s="135" t="n"/>
      <c r="DX75" s="135" t="n"/>
      <c r="DY75" s="135" t="n"/>
      <c r="DZ75" s="135" t="n"/>
      <c r="EA75" s="135" t="n"/>
      <c r="EB75" s="135" t="n"/>
      <c r="EC75" s="135" t="n"/>
      <c r="ED75" s="135" t="n"/>
      <c r="EE75" s="135" t="n"/>
      <c r="EF75" s="135" t="n"/>
      <c r="EG75" s="135" t="n"/>
      <c r="EH75" s="135" t="n"/>
      <c r="EI75" s="135" t="n"/>
      <c r="EJ75" s="135" t="n"/>
      <c r="EK75" s="135" t="n"/>
      <c r="EL75" s="135" t="n"/>
      <c r="EM75" s="135" t="n"/>
      <c r="EN75" s="135" t="n"/>
      <c r="EO75" s="135" t="n"/>
      <c r="EP75" s="135" t="n"/>
      <c r="EQ75" s="135" t="n"/>
      <c r="ER75" s="135" t="n"/>
      <c r="ES75" s="135" t="n"/>
      <c r="ET75" s="135" t="n"/>
      <c r="EU75" s="135" t="n"/>
      <c r="EV75" s="135" t="n"/>
      <c r="EW75" s="135" t="n"/>
      <c r="EX75" s="135" t="n"/>
      <c r="EY75" s="135" t="n"/>
      <c r="EZ75" s="135" t="n"/>
      <c r="FA75" s="135" t="n"/>
      <c r="FB75" s="135" t="n"/>
      <c r="FC75" s="135" t="n"/>
      <c r="FD75" s="135" t="n"/>
      <c r="FE75" s="135" t="n"/>
      <c r="FF75" s="135" t="n"/>
      <c r="FG75" s="135" t="n"/>
      <c r="FH75" s="135" t="n"/>
      <c r="FI75" s="135" t="n"/>
      <c r="FJ75" s="135" t="n"/>
      <c r="FK75" s="23" t="n"/>
      <c r="FL75" s="374" t="n"/>
      <c r="FM75" s="135" t="n"/>
      <c r="FN75" s="135" t="n"/>
      <c r="FO75" s="135" t="n"/>
      <c r="FP75" s="135" t="n"/>
      <c r="FQ75" s="135" t="n"/>
      <c r="FR75" s="135" t="n"/>
      <c r="FS75" s="135" t="n"/>
      <c r="FT75" s="135" t="n"/>
      <c r="FU75" s="135" t="n"/>
      <c r="FV75" s="135" t="n"/>
      <c r="FW75" s="135" t="n"/>
      <c r="FX75" s="135" t="n"/>
      <c r="FY75" s="135" t="n"/>
      <c r="FZ75" s="312" t="n"/>
      <c r="GA75" s="135" t="n"/>
      <c r="GB75" s="312" t="n"/>
      <c r="GC75" s="135" t="n"/>
      <c r="GD75" s="135" t="n"/>
      <c r="GE75" s="135" t="n"/>
      <c r="GF75" s="135" t="n"/>
      <c r="GG75" s="135" t="n"/>
      <c r="GH75" s="135" t="n"/>
      <c r="GI75" s="135" t="n"/>
      <c r="GJ75" s="135" t="n"/>
      <c r="GK75" s="135" t="n"/>
      <c r="GL75" s="135" t="n"/>
      <c r="GM75" s="135" t="n"/>
      <c r="GN75" s="135" t="n"/>
      <c r="GO75" s="135" t="n"/>
      <c r="GP75" s="135" t="n"/>
      <c r="GQ75" s="135" t="n"/>
      <c r="GS75" s="5" t="n"/>
      <c r="GT75" s="5" t="n"/>
      <c r="GU75" s="5" t="n"/>
      <c r="GV75" s="5" t="n"/>
      <c r="GW75" s="5" t="n"/>
      <c r="GX75" s="5" t="n"/>
      <c r="GY75" s="5" t="n"/>
      <c r="GZ75" s="5" t="n"/>
      <c r="HA75" s="5" t="n"/>
      <c r="HB75" s="5" t="n"/>
      <c r="HC75" s="5" t="n"/>
      <c r="HD75" s="5" t="n"/>
      <c r="HE75" s="5" t="n"/>
      <c r="HF75" s="5" t="n"/>
      <c r="HG75" s="5" t="n"/>
      <c r="HH75" s="5" t="n"/>
      <c r="HI75" s="5" t="n"/>
      <c r="HJ75" s="5" t="n"/>
      <c r="HK75" s="5" t="n"/>
      <c r="HL75" s="5" t="n"/>
      <c r="HM75" s="5" t="n"/>
      <c r="HN75" s="5" t="n"/>
      <c r="HO75" s="5" t="n"/>
      <c r="HQ75" s="5" t="n"/>
      <c r="HR75" s="5" t="n"/>
      <c r="HS75" s="5" t="n"/>
      <c r="HT75" s="5" t="n"/>
      <c r="HU75" s="5" t="n"/>
      <c r="HV75" s="5" t="n"/>
      <c r="HW75" s="5" t="n"/>
      <c r="HX75" s="5" t="n"/>
      <c r="HY75" s="5" t="n"/>
      <c r="HZ75" s="5" t="n"/>
      <c r="IA75" s="5" t="n"/>
      <c r="IB75" s="5" t="n"/>
      <c r="IC75" s="5" t="n"/>
      <c r="IE75" s="5" t="n"/>
      <c r="IF75" s="5" t="n"/>
      <c r="IG75" s="5" t="n"/>
      <c r="IH75" s="5" t="n"/>
      <c r="II75" s="5" t="n"/>
      <c r="IJ75" s="5" t="n"/>
      <c r="IK75" s="5" t="n"/>
      <c r="IL75" s="5" t="n"/>
      <c r="IM75" s="5" t="n"/>
      <c r="IN75" s="5" t="n"/>
      <c r="IO75" s="5" t="n"/>
      <c r="IP75" s="5" t="n"/>
      <c r="IQ75" s="5" t="n"/>
      <c r="IR75" s="5" t="n"/>
      <c r="IT75" s="5" t="n"/>
      <c r="IU75" s="5" t="n"/>
      <c r="IV75" s="5" t="n"/>
      <c r="IW75" s="5" t="n"/>
      <c r="IX75" s="5" t="n"/>
      <c r="IY75" s="5" t="n"/>
      <c r="IZ75" s="5" t="n"/>
      <c r="JA75" s="5" t="n"/>
      <c r="JB75" s="5" t="n"/>
    </row>
    <row r="76">
      <c r="A76" s="626" t="inlineStr">
        <is>
          <t>CAIXA P EUDORA</t>
        </is>
      </c>
      <c r="B76" s="345" t="n">
        <v>150</v>
      </c>
      <c r="C76" s="834" t="n">
        <v>400.5</v>
      </c>
      <c r="D76" s="382" t="n">
        <v>15</v>
      </c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>
        <v>0</v>
      </c>
      <c r="Y76" s="697" t="n">
        <v>0</v>
      </c>
      <c r="Z76" s="697">
        <f>0+75</f>
        <v/>
      </c>
      <c r="AA76" s="697" t="n">
        <v>75</v>
      </c>
      <c r="AB76" s="697" t="n">
        <v>75</v>
      </c>
      <c r="AC76" s="697" t="n">
        <v>75</v>
      </c>
      <c r="AD76" s="697" t="n">
        <v>68</v>
      </c>
      <c r="AE76" s="697" t="n">
        <v>67</v>
      </c>
      <c r="AF76" s="697" t="n">
        <v>67</v>
      </c>
      <c r="AG76" s="697" t="n">
        <v>64</v>
      </c>
      <c r="AH76" s="697" t="n">
        <v>59</v>
      </c>
      <c r="AI76" s="697" t="n">
        <v>59</v>
      </c>
      <c r="AJ76" s="697" t="n">
        <v>55</v>
      </c>
      <c r="AK76" s="697" t="n">
        <v>53</v>
      </c>
      <c r="AL76" s="697" t="n">
        <v>52</v>
      </c>
      <c r="AM76" s="697" t="n">
        <v>11</v>
      </c>
      <c r="AN76" s="697">
        <f>0+75</f>
        <v/>
      </c>
      <c r="AO76" s="697" t="n">
        <v>42</v>
      </c>
      <c r="AP76" s="697" t="n">
        <v>6</v>
      </c>
      <c r="AQ76" s="697" t="n">
        <v>6</v>
      </c>
      <c r="AR76" s="237">
        <f>6+DZ76</f>
        <v/>
      </c>
      <c r="AS76" s="237" t="n">
        <v>154</v>
      </c>
      <c r="AT76" s="237" t="n">
        <v>154</v>
      </c>
      <c r="AU76" s="237" t="n">
        <v>154</v>
      </c>
      <c r="AV76" s="237" t="n">
        <v>154</v>
      </c>
      <c r="AW76" s="237" t="n">
        <v>154</v>
      </c>
      <c r="AX76" s="237" t="n">
        <v>153</v>
      </c>
      <c r="AY76" s="237" t="n">
        <v>153</v>
      </c>
      <c r="AZ76" s="237" t="n">
        <v>153</v>
      </c>
      <c r="BA76" s="237" t="n">
        <v>140</v>
      </c>
      <c r="BB76" s="237" t="n">
        <v>0</v>
      </c>
      <c r="BC76" s="237">
        <f>0+DG76</f>
        <v/>
      </c>
      <c r="BD76" s="237" t="n">
        <v>11</v>
      </c>
      <c r="BE76" s="237" t="n">
        <v>0</v>
      </c>
      <c r="BF76" s="237" t="n">
        <v>0</v>
      </c>
      <c r="BG76" s="237" t="n">
        <v>0</v>
      </c>
      <c r="BH76" s="237" t="n">
        <v>0</v>
      </c>
      <c r="BI76" s="237" t="n">
        <v>36</v>
      </c>
      <c r="BJ76" s="237" t="n">
        <v>35</v>
      </c>
      <c r="BK76" s="237" t="n">
        <v>35</v>
      </c>
      <c r="BL76" s="237" t="n">
        <v>35</v>
      </c>
      <c r="BM76" s="237" t="n">
        <v>35</v>
      </c>
      <c r="BN76" s="237" t="n">
        <v>35</v>
      </c>
      <c r="BO76" s="237" t="n">
        <v>35</v>
      </c>
      <c r="BP76" s="237" t="n">
        <v>34</v>
      </c>
      <c r="BQ76" s="237" t="n">
        <v>31</v>
      </c>
      <c r="BR76" s="237" t="n">
        <v>31</v>
      </c>
      <c r="BS76" s="237" t="n"/>
      <c r="BT76" s="237" t="n"/>
      <c r="BU76" s="237" t="n"/>
      <c r="BV76" s="237" t="n"/>
      <c r="BW76" s="237" t="n"/>
      <c r="BX76" s="237" t="n">
        <v>29</v>
      </c>
      <c r="BY76" s="237" t="n">
        <v>29</v>
      </c>
      <c r="BZ76" s="154" t="n">
        <v>29</v>
      </c>
      <c r="CA76" s="154" t="n">
        <v>29</v>
      </c>
      <c r="CB76" s="198">
        <f>BZ76+IF(NOT(ISBLANK(OFFSET(CB76,0,6))),N(OFFSET(CB76,0,6)),N(OFFSET(CB76,0,7)))-CA76</f>
        <v/>
      </c>
      <c r="CD76" s="38" t="n"/>
      <c r="CE76" s="38" t="n"/>
      <c r="CF76" s="5" t="n"/>
      <c r="CG76" s="27" t="n"/>
      <c r="CH76" s="831" t="n">
        <v>0</v>
      </c>
      <c r="CI76" s="135" t="n">
        <v>0</v>
      </c>
      <c r="CJ76" s="135" t="n">
        <v>0</v>
      </c>
      <c r="CK76" s="135" t="n">
        <v>0</v>
      </c>
      <c r="CL76" s="135" t="n"/>
      <c r="CM76" s="135" t="n"/>
      <c r="CN76" s="135" t="n"/>
      <c r="CO76" s="135" t="n"/>
      <c r="CP76" s="135" t="n"/>
      <c r="CQ76" s="135" t="n"/>
      <c r="CR76" s="135" t="n"/>
      <c r="CS76" s="135" t="n"/>
      <c r="CT76" s="135" t="n"/>
      <c r="CU76" s="135" t="n"/>
      <c r="CV76" s="135" t="n"/>
      <c r="CW76" s="135" t="n"/>
      <c r="CX76" s="135" t="n"/>
      <c r="CY76" s="135" t="n"/>
      <c r="CZ76" s="135" t="n"/>
      <c r="DA76" s="135" t="n"/>
      <c r="DB76" s="135" t="n"/>
      <c r="DC76" s="135" t="n"/>
      <c r="DD76" s="135" t="n"/>
      <c r="DE76" s="135" t="n"/>
      <c r="DF76" s="135" t="n"/>
      <c r="DG76" s="135" t="n"/>
      <c r="DH76" s="135" t="n"/>
      <c r="DI76" s="135" t="n">
        <v>150</v>
      </c>
      <c r="DJ76" s="135" t="n"/>
      <c r="DK76" s="135" t="n"/>
      <c r="DL76" s="135" t="n"/>
      <c r="DM76" s="135" t="n"/>
      <c r="DN76" s="374" t="n"/>
      <c r="DO76" s="135" t="n"/>
      <c r="DP76" s="135" t="n"/>
      <c r="DQ76" s="135" t="n"/>
      <c r="DR76" s="135" t="n"/>
      <c r="DS76" s="135" t="n"/>
      <c r="DT76" s="135" t="n"/>
      <c r="DU76" s="135" t="n"/>
      <c r="DV76" s="135" t="n"/>
      <c r="DW76" s="135" t="n"/>
      <c r="DX76" s="135" t="n"/>
      <c r="DY76" s="135" t="n"/>
      <c r="DZ76" s="135" t="n"/>
      <c r="EA76" s="135" t="n"/>
      <c r="EB76" s="135" t="n">
        <v>150</v>
      </c>
      <c r="EC76" s="135" t="n"/>
      <c r="ED76" s="135" t="n"/>
      <c r="EE76" s="135" t="n"/>
      <c r="EF76" s="135" t="n"/>
      <c r="EG76" s="135" t="n"/>
      <c r="EH76" s="135" t="n"/>
      <c r="EI76" s="192" t="inlineStr">
        <is>
          <t>75 DE CD</t>
        </is>
      </c>
      <c r="EJ76" s="135" t="n"/>
      <c r="EK76" s="135" t="n"/>
      <c r="EL76" s="135" t="n"/>
      <c r="EM76" s="135" t="n"/>
      <c r="EN76" s="135" t="n"/>
      <c r="EO76" s="135" t="n"/>
      <c r="EP76" s="135" t="n"/>
      <c r="EQ76" s="135" t="n"/>
      <c r="ER76" s="135" t="n"/>
      <c r="ES76" s="135" t="n"/>
      <c r="ET76" s="135" t="n"/>
      <c r="EU76" s="135" t="n"/>
      <c r="EV76" s="135" t="n"/>
      <c r="EW76" s="135" t="n"/>
      <c r="EX76" s="135" t="n"/>
      <c r="EY76" s="135" t="n"/>
      <c r="EZ76" s="135" t="n"/>
      <c r="FA76" s="135" t="n"/>
      <c r="FB76" s="135" t="n"/>
      <c r="FC76" s="135" t="n"/>
      <c r="FD76" s="135" t="n"/>
      <c r="FE76" s="135" t="n"/>
      <c r="FF76" s="219" t="n"/>
      <c r="FG76" s="219" t="n"/>
      <c r="FH76" s="135" t="n"/>
      <c r="FI76" s="282" t="inlineStr">
        <is>
          <t>75 DE CDB</t>
        </is>
      </c>
      <c r="FJ76" s="135" t="n"/>
      <c r="FK76" s="23" t="n"/>
      <c r="FL76" s="374" t="n"/>
      <c r="FM76" s="135" t="n"/>
      <c r="FN76" s="135" t="n"/>
      <c r="FO76" s="135" t="n"/>
      <c r="FP76" s="135" t="n"/>
      <c r="FQ76" s="135" t="n"/>
      <c r="FR76" s="135" t="n"/>
      <c r="FS76" s="135" t="n"/>
      <c r="FT76" s="135" t="n"/>
      <c r="FU76" s="135" t="n"/>
      <c r="FV76" s="135" t="n"/>
      <c r="FW76" s="135" t="n"/>
      <c r="FX76" s="135" t="n"/>
      <c r="FY76" s="135" t="n"/>
      <c r="FZ76" s="312" t="n"/>
      <c r="GA76" s="135" t="n"/>
      <c r="GB76" s="312" t="n"/>
      <c r="GC76" s="135" t="n"/>
      <c r="GD76" s="135" t="n"/>
      <c r="GE76" s="135" t="n"/>
      <c r="GF76" s="135" t="n"/>
      <c r="GG76" s="135" t="n"/>
      <c r="GH76" s="135" t="n"/>
      <c r="GI76" s="135" t="n"/>
      <c r="GJ76" s="135" t="n"/>
      <c r="GK76" s="135" t="n"/>
      <c r="GL76" s="135" t="n"/>
      <c r="GM76" s="135" t="n"/>
      <c r="GN76" s="135" t="n"/>
      <c r="GO76" s="135" t="n"/>
      <c r="GP76" s="135" t="n"/>
      <c r="GQ76" s="135" t="n"/>
      <c r="GS76" s="5" t="n"/>
      <c r="GT76" s="5" t="n"/>
      <c r="GU76" s="5" t="n"/>
      <c r="GV76" s="5" t="n"/>
      <c r="GW76" s="5" t="n"/>
      <c r="GX76" s="5" t="n"/>
      <c r="GY76" s="5" t="n"/>
      <c r="GZ76" s="5" t="n"/>
      <c r="HA76" s="5" t="n"/>
      <c r="HB76" s="5" t="n"/>
      <c r="HC76" s="5" t="n"/>
      <c r="HD76" s="5" t="n"/>
      <c r="HE76" s="5" t="n"/>
      <c r="HF76" s="5" t="n"/>
      <c r="HG76" s="5" t="n"/>
      <c r="HH76" s="5" t="n"/>
      <c r="HI76" s="5" t="n"/>
      <c r="HJ76" s="5" t="n"/>
      <c r="HK76" s="5" t="n"/>
      <c r="HL76" s="5" t="n"/>
      <c r="HM76" s="5" t="n"/>
      <c r="HN76" s="5" t="n"/>
      <c r="HO76" s="5" t="n"/>
      <c r="HQ76" s="5" t="n"/>
      <c r="HR76" s="5" t="n"/>
      <c r="HS76" s="5" t="n"/>
      <c r="HT76" s="5" t="n"/>
      <c r="HU76" s="5" t="n"/>
      <c r="HV76" s="5" t="n"/>
      <c r="HW76" s="5" t="n"/>
      <c r="HX76" s="5" t="n"/>
      <c r="HY76" s="5" t="n"/>
      <c r="HZ76" s="5" t="n"/>
      <c r="IA76" s="5" t="n"/>
      <c r="IB76" s="5" t="n"/>
      <c r="IC76" s="5" t="n"/>
      <c r="IE76" s="5" t="n"/>
      <c r="IF76" s="5" t="n"/>
      <c r="IG76" s="5" t="n"/>
      <c r="IH76" s="5" t="n"/>
      <c r="II76" s="5" t="n"/>
      <c r="IJ76" s="5" t="n"/>
      <c r="IK76" s="5" t="n"/>
      <c r="IL76" s="5" t="n"/>
      <c r="IM76" s="5" t="n"/>
      <c r="IN76" s="5" t="n"/>
      <c r="IO76" s="5" t="n"/>
      <c r="IP76" s="5" t="n"/>
      <c r="IQ76" s="5" t="n"/>
      <c r="IR76" s="5" t="n"/>
      <c r="IT76" s="5" t="n"/>
      <c r="IU76" s="5" t="n"/>
      <c r="IV76" s="5" t="n"/>
      <c r="IW76" s="5" t="n"/>
      <c r="IX76" s="5" t="n"/>
      <c r="IY76" s="5" t="n"/>
      <c r="IZ76" s="5" t="n"/>
      <c r="JA76" s="5" t="n"/>
      <c r="JB76" s="5" t="n"/>
    </row>
    <row r="77">
      <c r="A77" s="626" t="inlineStr">
        <is>
          <t>CAIXA M EUDORA</t>
        </is>
      </c>
      <c r="B77" s="345" t="n">
        <v>100</v>
      </c>
      <c r="C77" s="834" t="n">
        <v>365</v>
      </c>
      <c r="D77" s="382" t="n">
        <v>15</v>
      </c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>
        <v>0</v>
      </c>
      <c r="Y77" s="697" t="n">
        <v>0</v>
      </c>
      <c r="Z77" s="697">
        <f>0+50</f>
        <v/>
      </c>
      <c r="AA77" s="697" t="n">
        <v>50</v>
      </c>
      <c r="AB77" s="697" t="n">
        <v>50</v>
      </c>
      <c r="AC77" s="697" t="n">
        <v>49</v>
      </c>
      <c r="AD77" s="697" t="n">
        <v>44</v>
      </c>
      <c r="AE77" s="697" t="n">
        <v>40</v>
      </c>
      <c r="AF77" s="697" t="n">
        <v>40</v>
      </c>
      <c r="AG77" s="697" t="n">
        <v>40</v>
      </c>
      <c r="AH77" s="697" t="n">
        <v>39</v>
      </c>
      <c r="AI77" s="697" t="n">
        <v>38</v>
      </c>
      <c r="AJ77" s="697" t="n">
        <v>38</v>
      </c>
      <c r="AK77" s="697" t="n">
        <v>38</v>
      </c>
      <c r="AL77" s="697" t="n">
        <v>37</v>
      </c>
      <c r="AM77" s="697" t="n">
        <v>36</v>
      </c>
      <c r="AN77" s="697" t="n">
        <v>35</v>
      </c>
      <c r="AO77" s="697" t="n">
        <v>33</v>
      </c>
      <c r="AP77" s="697" t="n">
        <v>29</v>
      </c>
      <c r="AQ77" s="697" t="n">
        <v>29</v>
      </c>
      <c r="AR77" s="697" t="n">
        <v>28</v>
      </c>
      <c r="AS77" s="697" t="n">
        <v>28</v>
      </c>
      <c r="AT77" s="697" t="n">
        <v>27</v>
      </c>
      <c r="AU77" s="697" t="n">
        <v>27</v>
      </c>
      <c r="AV77" s="697" t="n">
        <v>25</v>
      </c>
      <c r="AW77" s="697" t="n">
        <v>24</v>
      </c>
      <c r="AX77" s="697" t="n">
        <v>24</v>
      </c>
      <c r="AY77" s="697" t="n">
        <v>23</v>
      </c>
      <c r="AZ77" s="697" t="n">
        <v>22</v>
      </c>
      <c r="BA77" s="697" t="n">
        <v>22</v>
      </c>
      <c r="BB77" s="697" t="n">
        <v>21</v>
      </c>
      <c r="BC77" s="697" t="n">
        <v>21</v>
      </c>
      <c r="BD77" s="697" t="n">
        <v>15</v>
      </c>
      <c r="BE77" s="697" t="n">
        <v>14</v>
      </c>
      <c r="BF77" s="697" t="n">
        <v>14</v>
      </c>
      <c r="BG77" s="697" t="n">
        <v>13</v>
      </c>
      <c r="BH77" s="697" t="n">
        <v>12</v>
      </c>
      <c r="BI77" s="697" t="n">
        <v>0</v>
      </c>
      <c r="BJ77" s="237">
        <f>0+CV77</f>
        <v/>
      </c>
      <c r="BK77" s="237" t="n">
        <v>99</v>
      </c>
      <c r="BL77" s="237" t="n">
        <v>97</v>
      </c>
      <c r="BM77" s="237" t="n">
        <v>97</v>
      </c>
      <c r="BN77" s="237" t="n">
        <v>97</v>
      </c>
      <c r="BO77" s="237" t="n">
        <v>96</v>
      </c>
      <c r="BP77" s="237" t="n">
        <v>94</v>
      </c>
      <c r="BQ77" s="237" t="n">
        <v>94</v>
      </c>
      <c r="BR77" s="237" t="n">
        <v>92</v>
      </c>
      <c r="BS77" s="237" t="n"/>
      <c r="BT77" s="237" t="n"/>
      <c r="BU77" s="237" t="n"/>
      <c r="BV77" s="237" t="n"/>
      <c r="BW77" s="237" t="n"/>
      <c r="BX77" s="237" t="n">
        <v>88</v>
      </c>
      <c r="BY77" s="237" t="n">
        <v>88</v>
      </c>
      <c r="BZ77" s="154" t="n">
        <v>88</v>
      </c>
      <c r="CA77" s="154" t="n">
        <v>88</v>
      </c>
      <c r="CB77" s="198">
        <f>BZ77+IF(NOT(ISBLANK(OFFSET(CB77,0,6))),N(OFFSET(CB77,0,6)),N(OFFSET(CB77,0,7)))-CA77</f>
        <v/>
      </c>
      <c r="CD77" s="38" t="n"/>
      <c r="CE77" s="38" t="n"/>
      <c r="CG77" s="27" t="n"/>
      <c r="CH77" s="831" t="n">
        <v>0</v>
      </c>
      <c r="CI77" s="135" t="n">
        <v>0</v>
      </c>
      <c r="CJ77" s="135" t="n">
        <v>0</v>
      </c>
      <c r="CK77" s="135" t="n">
        <v>0</v>
      </c>
      <c r="CL77" s="135" t="n"/>
      <c r="CM77" s="135" t="n"/>
      <c r="CN77" s="135" t="n"/>
      <c r="CO77" s="135" t="n"/>
      <c r="CP77" s="135" t="n"/>
      <c r="CQ77" s="135" t="n"/>
      <c r="CR77" s="135" t="n"/>
      <c r="CS77" s="135" t="n"/>
      <c r="CT77" s="135" t="n"/>
      <c r="CU77" s="135" t="n"/>
      <c r="CV77" s="135" t="n"/>
      <c r="CW77" s="135" t="n"/>
      <c r="CX77" s="135" t="n">
        <v>100</v>
      </c>
      <c r="CY77" s="217" t="n"/>
      <c r="CZ77" s="217" t="n"/>
      <c r="DA77" s="217" t="n"/>
      <c r="DB77" s="217" t="n"/>
      <c r="DC77" s="217" t="n"/>
      <c r="DD77" s="217" t="n"/>
      <c r="DE77" s="217" t="n"/>
      <c r="DF77" s="217" t="n"/>
      <c r="DG77" s="217" t="n"/>
      <c r="DH77" s="217" t="n"/>
      <c r="DI77" s="217" t="n"/>
      <c r="DJ77" s="217" t="n"/>
      <c r="DK77" s="217" t="n"/>
      <c r="DL77" s="217" t="n"/>
      <c r="DM77" s="217" t="n"/>
      <c r="DN77" s="311" t="n"/>
      <c r="DO77" s="217" t="n"/>
      <c r="DP77" s="217" t="n"/>
      <c r="DQ77" s="217" t="n"/>
      <c r="DR77" s="217" t="n"/>
      <c r="DS77" s="217" t="n"/>
      <c r="DT77" s="217" t="n"/>
      <c r="DU77" s="217" t="n"/>
      <c r="DV77" s="217" t="n"/>
      <c r="DW77" s="217" t="n"/>
      <c r="DX77" s="217" t="n"/>
      <c r="DY77" s="217" t="n"/>
      <c r="DZ77" s="217" t="n"/>
      <c r="EA77" s="217" t="n"/>
      <c r="EB77" s="217" t="n"/>
      <c r="EC77" s="217" t="n"/>
      <c r="ED77" s="217" t="n"/>
      <c r="EE77" s="217" t="n"/>
      <c r="EF77" s="217" t="n"/>
      <c r="EG77" s="217" t="n"/>
      <c r="EH77" s="217" t="n"/>
      <c r="EI77" s="217" t="n"/>
      <c r="EJ77" s="217" t="n"/>
      <c r="EK77" s="217" t="n"/>
      <c r="EL77" s="217" t="n"/>
      <c r="EM77" s="217" t="n"/>
      <c r="EN77" s="217" t="n"/>
      <c r="EO77" s="217" t="n"/>
      <c r="EP77" s="217" t="n"/>
      <c r="EQ77" s="217" t="n"/>
      <c r="ER77" s="217" t="n"/>
      <c r="ES77" s="217" t="n"/>
      <c r="ET77" s="217" t="n"/>
      <c r="EU77" s="217" t="n"/>
      <c r="EV77" s="217" t="n"/>
      <c r="EW77" s="217" t="n"/>
      <c r="EX77" s="217" t="n"/>
      <c r="EY77" s="217" t="n"/>
      <c r="EZ77" s="217" t="n"/>
      <c r="FA77" s="217" t="n"/>
      <c r="FB77" s="217" t="n"/>
      <c r="FC77" s="217" t="n"/>
      <c r="FD77" s="217" t="n"/>
      <c r="FE77" s="217" t="n"/>
      <c r="FF77" s="219" t="n"/>
      <c r="FG77" s="219" t="n"/>
      <c r="FH77" s="217" t="n"/>
      <c r="FI77" s="282" t="inlineStr">
        <is>
          <t>50 DE CDB</t>
        </is>
      </c>
      <c r="FJ77" s="217" t="n"/>
      <c r="FK77" s="23" t="n"/>
      <c r="FL77" s="375" t="n"/>
      <c r="FM77" s="217" t="n"/>
      <c r="FN77" s="217" t="n"/>
      <c r="FO77" s="217" t="n"/>
      <c r="FP77" s="217" t="n"/>
      <c r="FQ77" s="217" t="n"/>
      <c r="FR77" s="217" t="n"/>
      <c r="FS77" s="217" t="n"/>
      <c r="FT77" s="217" t="n"/>
      <c r="FU77" s="217" t="n"/>
      <c r="FV77" s="217" t="n"/>
      <c r="FW77" s="217" t="n"/>
      <c r="FX77" s="217" t="n"/>
      <c r="FY77" s="217" t="n"/>
      <c r="FZ77" s="312" t="n"/>
      <c r="GA77" s="217" t="n"/>
      <c r="GB77" s="312" t="n"/>
      <c r="GC77" s="217" t="n"/>
      <c r="GD77" s="217" t="n"/>
      <c r="GE77" s="217" t="n"/>
      <c r="GF77" s="217" t="n"/>
      <c r="GG77" s="217" t="n"/>
      <c r="GH77" s="217" t="n"/>
      <c r="GI77" s="217" t="n"/>
      <c r="GJ77" s="217" t="n"/>
      <c r="GK77" s="217" t="n"/>
      <c r="GL77" s="217" t="n"/>
      <c r="GM77" s="217" t="n"/>
      <c r="GN77" s="217" t="n"/>
      <c r="GO77" s="217" t="n"/>
      <c r="GP77" s="217" t="n"/>
      <c r="GQ77" s="217" t="n"/>
      <c r="GS77" s="5" t="n"/>
      <c r="GT77" s="5" t="n"/>
      <c r="GU77" s="5" t="n"/>
      <c r="GV77" s="5" t="n"/>
      <c r="GW77" s="5" t="n"/>
      <c r="GX77" s="5" t="n"/>
      <c r="GY77" s="5" t="n"/>
      <c r="GZ77" s="5" t="n"/>
      <c r="HA77" s="5" t="n"/>
      <c r="HB77" s="5" t="n"/>
      <c r="HC77" s="5" t="n"/>
      <c r="HD77" s="5" t="n"/>
      <c r="HE77" s="5" t="n"/>
      <c r="HF77" s="5" t="n"/>
      <c r="HG77" s="5" t="n"/>
      <c r="HH77" s="5" t="n"/>
      <c r="HI77" s="5" t="n"/>
      <c r="HJ77" s="5" t="n"/>
      <c r="HK77" s="5" t="n"/>
      <c r="HL77" s="5" t="n"/>
      <c r="HM77" s="5" t="n"/>
      <c r="HN77" s="5" t="n"/>
      <c r="HO77" s="5" t="n"/>
      <c r="HQ77" s="5" t="n"/>
      <c r="HR77" s="5" t="n"/>
      <c r="HS77" s="5" t="n"/>
      <c r="HT77" s="5" t="n"/>
      <c r="HU77" s="5" t="n"/>
      <c r="HV77" s="5" t="n"/>
      <c r="HW77" s="5" t="n"/>
      <c r="HX77" s="5" t="n"/>
      <c r="HY77" s="5" t="n"/>
      <c r="HZ77" s="5" t="n"/>
      <c r="IA77" s="5" t="n"/>
      <c r="IB77" s="5" t="n"/>
      <c r="IC77" s="5" t="n"/>
      <c r="IE77" s="5" t="n"/>
      <c r="IF77" s="5" t="n"/>
      <c r="IG77" s="5" t="n"/>
      <c r="IH77" s="5" t="n"/>
      <c r="II77" s="5" t="n"/>
      <c r="IJ77" s="5" t="n"/>
      <c r="IK77" s="5" t="n"/>
      <c r="IL77" s="5" t="n"/>
      <c r="IM77" s="5" t="n"/>
      <c r="IN77" s="5" t="n"/>
      <c r="IO77" s="5" t="n"/>
      <c r="IP77" s="5" t="n"/>
      <c r="IQ77" s="5" t="n"/>
      <c r="IR77" s="5" t="n"/>
      <c r="IT77" s="5" t="n"/>
      <c r="IU77" s="5" t="n"/>
      <c r="IV77" s="5" t="n"/>
      <c r="IW77" s="5" t="n"/>
      <c r="IX77" s="5" t="n"/>
      <c r="IY77" s="5" t="n"/>
      <c r="IZ77" s="5" t="n"/>
      <c r="JA77" s="5" t="n"/>
      <c r="JB77" s="5" t="n"/>
    </row>
    <row r="78">
      <c r="A78" s="626" t="inlineStr">
        <is>
          <t>CAIXA G EUDORA</t>
        </is>
      </c>
      <c r="B78" s="345" t="n">
        <v>75</v>
      </c>
      <c r="C78" s="834" t="n">
        <v>438.75</v>
      </c>
      <c r="D78" s="382" t="n">
        <v>10</v>
      </c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>
        <v>0</v>
      </c>
      <c r="Y78" s="697" t="n">
        <v>0</v>
      </c>
      <c r="Z78" s="697">
        <f>0+25</f>
        <v/>
      </c>
      <c r="AA78" s="697" t="n">
        <v>25</v>
      </c>
      <c r="AB78" s="697" t="n">
        <v>25</v>
      </c>
      <c r="AC78" s="697" t="n">
        <v>25</v>
      </c>
      <c r="AD78" s="697" t="n">
        <v>23</v>
      </c>
      <c r="AE78" s="697">
        <f>23+15</f>
        <v/>
      </c>
      <c r="AF78" s="697" t="n">
        <v>38</v>
      </c>
      <c r="AG78" s="697" t="n">
        <v>37</v>
      </c>
      <c r="AH78" s="697" t="n">
        <v>37</v>
      </c>
      <c r="AI78" s="697" t="n">
        <v>37</v>
      </c>
      <c r="AJ78" s="697" t="n">
        <v>37</v>
      </c>
      <c r="AK78" s="697" t="n">
        <v>36</v>
      </c>
      <c r="AL78" s="697" t="n">
        <v>35</v>
      </c>
      <c r="AM78" s="697" t="n">
        <v>35</v>
      </c>
      <c r="AN78" s="697" t="n">
        <v>33</v>
      </c>
      <c r="AO78" s="697" t="n">
        <v>33</v>
      </c>
      <c r="AP78" s="697" t="n">
        <v>32</v>
      </c>
      <c r="AQ78" s="697" t="n">
        <v>32</v>
      </c>
      <c r="AR78" s="697" t="n">
        <v>32</v>
      </c>
      <c r="AS78" s="697" t="n">
        <v>32</v>
      </c>
      <c r="AT78" s="697" t="n">
        <v>31</v>
      </c>
      <c r="AU78" s="697" t="n">
        <v>31</v>
      </c>
      <c r="AV78" s="697" t="n">
        <v>31</v>
      </c>
      <c r="AW78" s="697" t="n">
        <v>31</v>
      </c>
      <c r="AX78" s="697" t="n">
        <v>31</v>
      </c>
      <c r="AY78" s="697" t="n">
        <v>31</v>
      </c>
      <c r="AZ78" s="697" t="n">
        <v>30</v>
      </c>
      <c r="BA78" s="697" t="n">
        <v>30</v>
      </c>
      <c r="BB78" s="697" t="n">
        <v>30</v>
      </c>
      <c r="BC78" s="697" t="n">
        <v>30</v>
      </c>
      <c r="BD78" s="697" t="n">
        <v>27</v>
      </c>
      <c r="BE78" s="697" t="n">
        <v>27</v>
      </c>
      <c r="BF78" s="697" t="n">
        <v>27</v>
      </c>
      <c r="BG78" s="697" t="n">
        <v>27</v>
      </c>
      <c r="BH78" s="697" t="n">
        <v>27</v>
      </c>
      <c r="BI78" s="697" t="n">
        <v>26</v>
      </c>
      <c r="BJ78" s="697" t="n">
        <v>26</v>
      </c>
      <c r="BK78" s="697" t="n">
        <v>26</v>
      </c>
      <c r="BL78" s="697" t="n">
        <v>26</v>
      </c>
      <c r="BM78" s="697" t="n">
        <v>26</v>
      </c>
      <c r="BN78" s="697" t="n">
        <v>26</v>
      </c>
      <c r="BO78" s="697" t="n">
        <v>24</v>
      </c>
      <c r="BP78" s="697" t="n">
        <v>24</v>
      </c>
      <c r="BQ78" s="697" t="n">
        <v>24</v>
      </c>
      <c r="BR78" s="697" t="n">
        <v>24</v>
      </c>
      <c r="BS78" s="697" t="n"/>
      <c r="BT78" s="697" t="n"/>
      <c r="BU78" s="697" t="n"/>
      <c r="BV78" s="697" t="n"/>
      <c r="BW78" s="697" t="n"/>
      <c r="BX78" s="697" t="n">
        <v>23</v>
      </c>
      <c r="BY78" s="697" t="n">
        <v>23</v>
      </c>
      <c r="BZ78" s="699" t="n">
        <v>23</v>
      </c>
      <c r="CA78" s="699" t="n">
        <v>23</v>
      </c>
      <c r="CB78" s="198">
        <f>BZ78+IF(NOT(ISBLANK(OFFSET(CB78,0,6))),N(OFFSET(CB78,0,6)),N(OFFSET(CB78,0,7)))-CA78</f>
        <v/>
      </c>
      <c r="CD78" s="38" t="n"/>
      <c r="CE78" s="38" t="n"/>
      <c r="CG78" s="27" t="n"/>
      <c r="CH78" s="831" t="n">
        <v>0</v>
      </c>
      <c r="CI78" s="135" t="n">
        <v>0</v>
      </c>
      <c r="CJ78" s="135" t="n">
        <v>0</v>
      </c>
      <c r="CK78" s="135" t="n">
        <v>0</v>
      </c>
      <c r="CL78" s="217" t="n"/>
      <c r="CM78" s="217" t="n"/>
      <c r="CN78" s="217" t="n"/>
      <c r="CO78" s="217" t="n"/>
      <c r="CP78" s="217" t="n"/>
      <c r="CQ78" s="217" t="n"/>
      <c r="CR78" s="217" t="n"/>
      <c r="CS78" s="217" t="n"/>
      <c r="CT78" s="217" t="n"/>
      <c r="CU78" s="217" t="n"/>
      <c r="CV78" s="217" t="n"/>
      <c r="CW78" s="217" t="n"/>
      <c r="CX78" s="217" t="n"/>
      <c r="CY78" s="217" t="n"/>
      <c r="CZ78" s="217" t="n"/>
      <c r="DA78" s="217" t="n"/>
      <c r="DB78" s="217" t="n"/>
      <c r="DC78" s="217" t="n"/>
      <c r="DD78" s="217" t="n"/>
      <c r="DE78" s="217" t="n"/>
      <c r="DF78" s="217" t="n"/>
      <c r="DG78" s="217" t="n"/>
      <c r="DH78" s="217" t="n"/>
      <c r="DI78" s="217" t="n"/>
      <c r="DJ78" s="217" t="n"/>
      <c r="DK78" s="217" t="n"/>
      <c r="DL78" s="217" t="n"/>
      <c r="DM78" s="217" t="n"/>
      <c r="DN78" s="311" t="n"/>
      <c r="DO78" s="217" t="n"/>
      <c r="DP78" s="217" t="n"/>
      <c r="DQ78" s="217" t="n"/>
      <c r="DR78" s="217" t="n"/>
      <c r="DS78" s="217" t="n"/>
      <c r="DT78" s="217" t="n"/>
      <c r="DU78" s="217" t="n"/>
      <c r="DV78" s="217" t="n"/>
      <c r="DW78" s="217" t="n"/>
      <c r="DX78" s="217" t="n"/>
      <c r="DY78" s="217" t="n"/>
      <c r="DZ78" s="217" t="n"/>
      <c r="EA78" s="217" t="n"/>
      <c r="EB78" s="217" t="n"/>
      <c r="EC78" s="217" t="n"/>
      <c r="ED78" s="217" t="n"/>
      <c r="EE78" s="217" t="n"/>
      <c r="EF78" s="217" t="n"/>
      <c r="EG78" s="217" t="n"/>
      <c r="EH78" s="217" t="n"/>
      <c r="EI78" s="217" t="n"/>
      <c r="EJ78" s="217" t="n"/>
      <c r="EK78" s="217" t="n"/>
      <c r="EL78" s="217" t="n"/>
      <c r="EM78" s="217" t="n"/>
      <c r="EN78" s="217" t="n"/>
      <c r="EO78" s="217" t="n"/>
      <c r="EP78" s="217" t="n"/>
      <c r="EQ78" s="217" t="n"/>
      <c r="ER78" s="217" t="n"/>
      <c r="ES78" s="217" t="n"/>
      <c r="ET78" s="217" t="n"/>
      <c r="EU78" s="217" t="n"/>
      <c r="EV78" s="217" t="n"/>
      <c r="EW78" s="217" t="n"/>
      <c r="EX78" s="217" t="n"/>
      <c r="EY78" s="217" t="n"/>
      <c r="EZ78" s="406" t="inlineStr">
        <is>
          <t>15 DE CDB</t>
        </is>
      </c>
      <c r="FA78" s="217" t="n"/>
      <c r="FB78" s="217" t="n"/>
      <c r="FC78" s="217" t="n"/>
      <c r="FD78" s="217" t="n"/>
      <c r="FE78" s="217" t="n"/>
      <c r="FF78" s="219" t="n"/>
      <c r="FG78" s="219" t="n"/>
      <c r="FH78" s="217" t="n"/>
      <c r="FI78" s="282" t="inlineStr">
        <is>
          <t>25 DE CDB</t>
        </is>
      </c>
      <c r="FJ78" s="217" t="n"/>
      <c r="FK78" s="219" t="n"/>
      <c r="FL78" s="375" t="n"/>
      <c r="FM78" s="217" t="n"/>
      <c r="FN78" s="217" t="n"/>
      <c r="FO78" s="217" t="n"/>
      <c r="FP78" s="217" t="n"/>
      <c r="FQ78" s="217" t="n"/>
      <c r="FR78" s="217" t="n"/>
      <c r="FS78" s="217" t="n"/>
      <c r="FT78" s="217" t="n"/>
      <c r="FU78" s="217" t="n"/>
      <c r="FV78" s="217" t="n"/>
      <c r="FW78" s="217" t="n"/>
      <c r="FX78" s="217" t="n"/>
      <c r="FY78" s="217" t="n"/>
      <c r="FZ78" s="312" t="n"/>
      <c r="GA78" s="217" t="n"/>
      <c r="GB78" s="312" t="n"/>
      <c r="GC78" s="217" t="n"/>
      <c r="GD78" s="217" t="n"/>
      <c r="GE78" s="217" t="n"/>
      <c r="GF78" s="217" t="n"/>
      <c r="GG78" s="217" t="n"/>
      <c r="GH78" s="217" t="n"/>
      <c r="GI78" s="217" t="n"/>
      <c r="GJ78" s="217" t="n"/>
      <c r="GK78" s="217" t="n"/>
      <c r="GL78" s="217" t="n"/>
      <c r="GM78" s="217" t="n"/>
      <c r="GN78" s="217" t="n"/>
      <c r="GO78" s="217" t="n"/>
      <c r="GP78" s="217" t="n"/>
      <c r="GQ78" s="217" t="n"/>
      <c r="GS78" s="5" t="n"/>
      <c r="GT78" s="5" t="n"/>
      <c r="GU78" s="5" t="n"/>
      <c r="GV78" s="5" t="n"/>
      <c r="GW78" s="5" t="n"/>
      <c r="GX78" s="5" t="n"/>
      <c r="GY78" s="5" t="n"/>
      <c r="GZ78" s="5" t="n"/>
      <c r="HA78" s="5" t="n"/>
      <c r="HB78" s="5" t="n"/>
      <c r="HC78" s="5" t="n"/>
      <c r="HD78" s="5" t="n"/>
      <c r="HE78" s="5" t="n"/>
      <c r="HF78" s="5" t="n"/>
      <c r="HG78" s="5" t="n"/>
      <c r="HH78" s="5" t="n"/>
      <c r="HI78" s="5" t="n"/>
      <c r="HJ78" s="5" t="n"/>
      <c r="HK78" s="5" t="n"/>
      <c r="HL78" s="5" t="n"/>
      <c r="HM78" s="5" t="n"/>
      <c r="HN78" s="5" t="n"/>
      <c r="HO78" s="5" t="n"/>
      <c r="HQ78" s="5" t="n"/>
      <c r="HR78" s="5" t="n"/>
      <c r="HS78" s="5" t="n"/>
      <c r="HT78" s="5" t="n"/>
      <c r="HU78" s="5" t="n"/>
      <c r="HV78" s="5" t="n"/>
      <c r="HW78" s="5" t="n"/>
      <c r="HX78" s="5" t="n"/>
      <c r="HY78" s="5" t="n"/>
      <c r="HZ78" s="5" t="n"/>
      <c r="IA78" s="5" t="n"/>
      <c r="IB78" s="5" t="n"/>
      <c r="IC78" s="5" t="n"/>
      <c r="IE78" s="5" t="n"/>
      <c r="IF78" s="5" t="n"/>
      <c r="IG78" s="5" t="n"/>
      <c r="IH78" s="5" t="n"/>
      <c r="II78" s="5" t="n"/>
      <c r="IJ78" s="5" t="n"/>
      <c r="IK78" s="5" t="n"/>
      <c r="IL78" s="5" t="n"/>
      <c r="IM78" s="5" t="n"/>
      <c r="IN78" s="5" t="n"/>
      <c r="IO78" s="5" t="n"/>
      <c r="IP78" s="5" t="n"/>
      <c r="IQ78" s="5" t="n"/>
      <c r="IR78" s="5" t="n"/>
      <c r="IT78" s="5" t="n"/>
      <c r="IU78" s="5" t="n"/>
      <c r="IV78" s="5" t="n"/>
      <c r="IW78" s="5" t="n"/>
      <c r="IX78" s="5" t="n"/>
      <c r="IY78" s="5" t="n"/>
      <c r="IZ78" s="5" t="n"/>
      <c r="JA78" s="5" t="n"/>
      <c r="JB78" s="5" t="n"/>
    </row>
    <row r="79">
      <c r="DN79" s="309" t="n"/>
      <c r="FK79" s="47" t="n"/>
    </row>
    <row r="80">
      <c r="A80" s="429" t="inlineStr">
        <is>
          <t>HARRY POTTER/25</t>
        </is>
      </c>
      <c r="B80" s="430" t="inlineStr">
        <is>
          <t>PC</t>
        </is>
      </c>
      <c r="C80" s="430" t="inlineStr">
        <is>
          <t>R$</t>
        </is>
      </c>
      <c r="D80" s="430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  <c r="AA80" s="4" t="n"/>
      <c r="AB80" s="4" t="n"/>
      <c r="AC80" s="4" t="n"/>
      <c r="AD80" s="4" t="n"/>
      <c r="AE80" s="4" t="n"/>
      <c r="AF80" s="4" t="n"/>
      <c r="AG80" s="4" t="n"/>
      <c r="AH80" s="4" t="n"/>
      <c r="AI80" s="4" t="n"/>
      <c r="AJ80" s="4" t="n"/>
      <c r="AK80" s="746" t="n">
        <v>45873</v>
      </c>
      <c r="AL80" s="746" t="n">
        <v>45880</v>
      </c>
      <c r="AM80" s="746" t="n">
        <v>45887</v>
      </c>
      <c r="AN80" s="746" t="n">
        <v>45894</v>
      </c>
      <c r="AO80" s="746" t="n">
        <v>45901</v>
      </c>
      <c r="AP80" s="746" t="n">
        <v>45915</v>
      </c>
      <c r="AQ80" s="746" t="n">
        <v>45922</v>
      </c>
      <c r="AR80" s="746" t="n">
        <v>45929</v>
      </c>
      <c r="AS80" s="746" t="n">
        <v>45936</v>
      </c>
      <c r="AT80" s="746" t="n">
        <v>45943</v>
      </c>
      <c r="AU80" s="746" t="n">
        <v>45950</v>
      </c>
      <c r="AV80" s="746" t="n">
        <v>45957</v>
      </c>
      <c r="AW80" s="746" t="n">
        <v>45964</v>
      </c>
      <c r="AX80" s="746" t="n">
        <v>45971</v>
      </c>
      <c r="AY80" s="746" t="n">
        <v>45978</v>
      </c>
      <c r="AZ80" s="746" t="n">
        <v>45985</v>
      </c>
      <c r="BA80" s="746" t="n">
        <v>45992</v>
      </c>
      <c r="BB80" s="746" t="n">
        <v>45999</v>
      </c>
      <c r="BC80" s="746" t="n">
        <v>46006</v>
      </c>
      <c r="BD80" s="746" t="n">
        <v>46013</v>
      </c>
      <c r="BE80" s="746" t="n">
        <v>46020</v>
      </c>
      <c r="BF80" s="746" t="n">
        <v>46027</v>
      </c>
      <c r="BG80" s="746" t="n">
        <v>46034</v>
      </c>
      <c r="BH80" s="746" t="n">
        <v>46041</v>
      </c>
      <c r="BI80" s="746" t="n">
        <v>46048</v>
      </c>
      <c r="BJ80" s="746" t="n">
        <v>46055</v>
      </c>
      <c r="BK80" s="746" t="n">
        <v>46062</v>
      </c>
      <c r="BL80" s="746" t="n">
        <v>46069</v>
      </c>
      <c r="BM80" s="746" t="n">
        <v>46076</v>
      </c>
      <c r="BN80" s="746" t="n">
        <v>46083</v>
      </c>
      <c r="BO80" s="746" t="n">
        <v>46090</v>
      </c>
      <c r="BP80" s="746" t="n">
        <v>46097</v>
      </c>
      <c r="BQ80" s="746" t="n">
        <v>46104</v>
      </c>
      <c r="BR80" s="746" t="n">
        <v>46111</v>
      </c>
      <c r="BS80" s="746" t="n">
        <v>46118</v>
      </c>
      <c r="BT80" s="746" t="n">
        <v>46125</v>
      </c>
      <c r="BU80" s="746" t="n">
        <v>46132</v>
      </c>
      <c r="BV80" s="746" t="n">
        <v>46139</v>
      </c>
      <c r="BW80" s="746" t="n">
        <v>46146</v>
      </c>
      <c r="BX80" s="746" t="n">
        <v>46154</v>
      </c>
      <c r="BY80" s="746" t="n">
        <v>46160</v>
      </c>
      <c r="BZ80" s="747" t="n">
        <v>46161.48025125</v>
      </c>
      <c r="CA80" s="747" t="n">
        <v>46161.48090906761</v>
      </c>
      <c r="CB80" s="758" t="inlineStr">
        <is>
          <t>USOU</t>
        </is>
      </c>
      <c r="DN80" s="309" t="n"/>
      <c r="GD80" s="309" t="n"/>
      <c r="GE80" s="309" t="n"/>
      <c r="GH80" s="309" t="n"/>
      <c r="GU80" s="309" t="n"/>
      <c r="GV80" s="309" t="n"/>
    </row>
    <row r="81" hidden="1">
      <c r="A81" s="37" t="inlineStr">
        <is>
          <t>SACOLA G HP/25</t>
        </is>
      </c>
      <c r="B81" s="699" t="n">
        <v>100</v>
      </c>
      <c r="C81" s="762" t="n">
        <v>316</v>
      </c>
      <c r="D81" s="382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  <c r="AA81" s="4" t="n"/>
      <c r="AB81" s="4" t="n"/>
      <c r="AC81" s="4" t="n"/>
      <c r="AD81" s="4" t="n"/>
      <c r="AE81" s="4" t="n"/>
      <c r="AF81" s="4" t="n"/>
      <c r="AG81" s="4" t="n"/>
      <c r="AH81" s="4" t="n"/>
      <c r="AI81" s="4" t="n"/>
      <c r="AJ81" s="4" t="n"/>
      <c r="AK81" s="697" t="n">
        <v>0</v>
      </c>
      <c r="AL81" s="697" t="n">
        <v>0</v>
      </c>
      <c r="AM81" s="697" t="n">
        <v>0</v>
      </c>
      <c r="AN81" s="697" t="n">
        <v>0</v>
      </c>
      <c r="AO81" s="697">
        <f>0+60</f>
        <v/>
      </c>
      <c r="AP81" s="697" t="n">
        <v>22</v>
      </c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>
        <v>4</v>
      </c>
      <c r="BA81" s="697" t="n">
        <v>4</v>
      </c>
      <c r="BB81" s="697" t="n">
        <v>4</v>
      </c>
      <c r="BC81" s="697" t="n">
        <v>4</v>
      </c>
      <c r="BD81" s="697" t="n">
        <v>4</v>
      </c>
      <c r="BE81" s="697" t="n">
        <v>4</v>
      </c>
      <c r="BF81" s="697" t="n">
        <v>4</v>
      </c>
      <c r="BG81" s="697" t="n">
        <v>4</v>
      </c>
      <c r="BH81" s="697" t="n">
        <v>4</v>
      </c>
      <c r="BI81" s="697" t="n">
        <v>0</v>
      </c>
      <c r="BJ81" s="697" t="n">
        <v>0</v>
      </c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  <c r="BZ81" s="699" t="n"/>
      <c r="CA81" s="699" t="n"/>
      <c r="CB81" s="431">
        <f>BZ81+IF(NOT(ISBLANK(OFFSET(CB81,0,6))),N(OFFSET(CB81,0,6)),N(OFFSET(CB81,0,7)))-CA81</f>
        <v/>
      </c>
      <c r="DN81" s="309" t="n"/>
      <c r="GD81" s="309" t="n"/>
      <c r="GE81" s="309" t="n"/>
      <c r="GH81" s="309" t="n"/>
      <c r="GU81" s="309" t="n"/>
      <c r="GV81" s="309" t="n"/>
    </row>
    <row r="82" hidden="1">
      <c r="A82" s="37" t="inlineStr">
        <is>
          <t>TAG HP/25</t>
        </is>
      </c>
      <c r="B82" s="699" t="n">
        <v>100</v>
      </c>
      <c r="C82" s="762" t="n">
        <v>41</v>
      </c>
      <c r="D82" s="382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  <c r="AA82" s="4" t="n"/>
      <c r="AB82" s="4" t="n"/>
      <c r="AC82" s="4" t="n"/>
      <c r="AD82" s="4" t="n"/>
      <c r="AE82" s="4" t="n"/>
      <c r="AF82" s="4" t="n"/>
      <c r="AG82" s="4" t="n"/>
      <c r="AH82" s="4" t="n"/>
      <c r="AI82" s="4" t="n"/>
      <c r="AJ82" s="4" t="n"/>
      <c r="AK82" s="697" t="n">
        <v>0</v>
      </c>
      <c r="AL82" s="697" t="n">
        <v>0</v>
      </c>
      <c r="AM82" s="697" t="n">
        <v>0</v>
      </c>
      <c r="AN82" s="697" t="n">
        <v>0</v>
      </c>
      <c r="AO82" s="697">
        <f>0+60</f>
        <v/>
      </c>
      <c r="AP82" s="314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697" t="n"/>
      <c r="BZ82" s="699" t="n"/>
      <c r="CA82" s="699" t="n"/>
      <c r="CB82" s="431">
        <f>BZ82+IF(NOT(ISBLANK(OFFSET(CB82,0,6))),N(OFFSET(CB82,0,6)),N(OFFSET(CB82,0,7)))-CA82</f>
        <v/>
      </c>
      <c r="DN82" s="309" t="n"/>
      <c r="GD82" s="309" t="n"/>
      <c r="GE82" s="309" t="n"/>
      <c r="GH82" s="309" t="n"/>
      <c r="GU82" s="309" t="n"/>
      <c r="GV82" s="309" t="n"/>
    </row>
    <row r="83">
      <c r="A83" s="37" t="inlineStr">
        <is>
          <t>CARTUCHO P HP/25</t>
        </is>
      </c>
      <c r="B83" s="699" t="n">
        <v>150</v>
      </c>
      <c r="C83" s="762" t="n">
        <v>478.5</v>
      </c>
      <c r="D83" s="382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  <c r="AA83" s="4" t="n"/>
      <c r="AB83" s="4" t="n"/>
      <c r="AC83" s="4" t="n"/>
      <c r="AD83" s="4" t="n"/>
      <c r="AE83" s="4" t="n"/>
      <c r="AF83" s="4" t="n"/>
      <c r="AG83" s="4" t="n"/>
      <c r="AH83" s="4" t="n"/>
      <c r="AI83" s="4" t="n"/>
      <c r="AJ83" s="4" t="n"/>
      <c r="AK83" s="697" t="n">
        <v>0</v>
      </c>
      <c r="AL83" s="697" t="n">
        <v>0</v>
      </c>
      <c r="AM83" s="697" t="n">
        <v>0</v>
      </c>
      <c r="AN83" s="697" t="n">
        <v>0</v>
      </c>
      <c r="AO83" s="697">
        <f>0+75</f>
        <v/>
      </c>
      <c r="AP83" s="697" t="n">
        <v>65</v>
      </c>
      <c r="AQ83" s="697" t="n"/>
      <c r="AR83" s="697" t="n"/>
      <c r="AS83" s="697" t="n"/>
      <c r="AT83" s="697" t="n"/>
      <c r="AU83" s="697" t="n"/>
      <c r="AV83" s="697" t="n"/>
      <c r="AW83" s="697" t="n"/>
      <c r="AX83" s="697" t="n"/>
      <c r="AY83" s="697" t="n"/>
      <c r="AZ83" s="697" t="n">
        <v>23</v>
      </c>
      <c r="BA83" s="697" t="n">
        <v>23</v>
      </c>
      <c r="BB83" s="697" t="n">
        <v>18</v>
      </c>
      <c r="BC83" s="697" t="n">
        <v>18</v>
      </c>
      <c r="BD83" s="697" t="n">
        <v>18</v>
      </c>
      <c r="BE83" s="697" t="n">
        <v>18</v>
      </c>
      <c r="BF83" s="697" t="n">
        <v>18</v>
      </c>
      <c r="BG83" s="697" t="n">
        <v>18</v>
      </c>
      <c r="BH83" s="697" t="n">
        <v>18</v>
      </c>
      <c r="BI83" s="697" t="n">
        <v>34</v>
      </c>
      <c r="BJ83" s="697" t="n">
        <v>34</v>
      </c>
      <c r="BK83" s="697" t="n">
        <v>33</v>
      </c>
      <c r="BL83" s="697" t="n">
        <v>33</v>
      </c>
      <c r="BM83" s="697" t="n">
        <v>33</v>
      </c>
      <c r="BN83" s="697" t="n">
        <v>33</v>
      </c>
      <c r="BO83" s="697" t="n">
        <v>33</v>
      </c>
      <c r="BP83" s="697" t="n">
        <v>33</v>
      </c>
      <c r="BQ83" s="697" t="n">
        <v>32</v>
      </c>
      <c r="BR83" s="697" t="n">
        <v>32</v>
      </c>
      <c r="BS83" s="697" t="n">
        <v>32</v>
      </c>
      <c r="BT83" s="697" t="n">
        <v>32</v>
      </c>
      <c r="BU83" s="697" t="n">
        <v>32</v>
      </c>
      <c r="BV83" s="697" t="n">
        <v>32</v>
      </c>
      <c r="BW83" s="697" t="n">
        <v>32</v>
      </c>
      <c r="BX83" s="697" t="n">
        <v>32</v>
      </c>
      <c r="BY83" s="697" t="n">
        <v>32</v>
      </c>
      <c r="BZ83" s="699" t="n">
        <v>146</v>
      </c>
      <c r="CA83" s="699" t="n">
        <v>146</v>
      </c>
      <c r="CB83" s="431">
        <f>BZ83+IF(NOT(ISBLANK(OFFSET(CB83,0,6))),N(OFFSET(CB83,0,6)),N(OFFSET(CB83,0,7)))-CA83</f>
        <v/>
      </c>
      <c r="DN83" s="309" t="n"/>
      <c r="GD83" s="309" t="n"/>
      <c r="GE83" s="309" t="n"/>
      <c r="GH83" s="309" t="n"/>
      <c r="GU83" s="309" t="n"/>
      <c r="GV83" s="309" t="n"/>
    </row>
    <row r="84">
      <c r="DN84" s="309" t="n"/>
      <c r="FK84" s="47" t="n"/>
    </row>
    <row r="85">
      <c r="A85" s="454" t="inlineStr">
        <is>
          <t>HOMEM ARANHA/25</t>
        </is>
      </c>
      <c r="B85" s="455" t="inlineStr">
        <is>
          <t>PC</t>
        </is>
      </c>
      <c r="C85" s="455" t="inlineStr">
        <is>
          <t>R$</t>
        </is>
      </c>
      <c r="D85" s="455" t="n"/>
      <c r="AY85" s="746" t="n">
        <v>45978</v>
      </c>
      <c r="AZ85" s="746" t="n">
        <v>45985</v>
      </c>
      <c r="BA85" s="746" t="n">
        <v>45992</v>
      </c>
      <c r="BB85" s="746" t="n">
        <v>45999</v>
      </c>
      <c r="BC85" s="746" t="n">
        <v>46006</v>
      </c>
      <c r="BD85" s="746" t="n">
        <v>46013</v>
      </c>
      <c r="BE85" s="746" t="n">
        <v>46020</v>
      </c>
      <c r="BF85" s="746" t="n">
        <v>46027</v>
      </c>
      <c r="BG85" s="746" t="n">
        <v>46034</v>
      </c>
      <c r="BH85" s="746" t="n">
        <v>46041</v>
      </c>
      <c r="BI85" s="746" t="n">
        <v>46048</v>
      </c>
      <c r="BJ85" s="746" t="n">
        <v>46055</v>
      </c>
      <c r="BK85" s="746" t="n">
        <v>46062</v>
      </c>
      <c r="BL85" s="746" t="n">
        <v>46069</v>
      </c>
      <c r="BM85" s="746" t="n">
        <v>46076</v>
      </c>
      <c r="BN85" s="746" t="n">
        <v>46083</v>
      </c>
      <c r="BO85" s="746" t="n">
        <v>46090</v>
      </c>
      <c r="BP85" s="746" t="n">
        <v>46097</v>
      </c>
      <c r="BQ85" s="746" t="n">
        <v>46104</v>
      </c>
      <c r="BR85" s="746" t="n">
        <v>46111</v>
      </c>
      <c r="BS85" s="746" t="n">
        <v>46118</v>
      </c>
      <c r="BT85" s="746" t="n">
        <v>46125</v>
      </c>
      <c r="BU85" s="746" t="n">
        <v>46132</v>
      </c>
      <c r="BV85" s="746" t="n">
        <v>46139</v>
      </c>
      <c r="BW85" s="746" t="n">
        <v>46146</v>
      </c>
      <c r="BX85" s="746" t="n">
        <v>46154</v>
      </c>
      <c r="BY85" s="746" t="n">
        <v>46160</v>
      </c>
      <c r="BZ85" s="747" t="n">
        <v>46161.48025125</v>
      </c>
      <c r="CA85" s="747" t="n">
        <v>46161.48090906774</v>
      </c>
      <c r="CB85" s="758" t="inlineStr">
        <is>
          <t>USOU</t>
        </is>
      </c>
      <c r="DN85" s="309" t="n"/>
      <c r="FK85" s="47" t="n"/>
    </row>
    <row r="86" hidden="1">
      <c r="A86" s="37" t="inlineStr">
        <is>
          <t>SACOLA M</t>
        </is>
      </c>
      <c r="B86" s="699" t="n">
        <v>200</v>
      </c>
      <c r="C86" s="762" t="n">
        <v>479.2</v>
      </c>
      <c r="D86" s="382" t="n"/>
      <c r="AY86" s="697" t="n"/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/>
      <c r="BK86" s="697" t="n"/>
      <c r="BL86" s="697" t="n"/>
      <c r="BM86" s="697" t="n"/>
      <c r="BN86" s="697" t="n"/>
      <c r="BO86" s="697" t="n"/>
      <c r="BP86" s="697" t="n"/>
      <c r="BQ86" s="697" t="n"/>
      <c r="BR86" s="697" t="n"/>
      <c r="BS86" s="697" t="n"/>
      <c r="BT86" s="697" t="n"/>
      <c r="BU86" s="697" t="n"/>
      <c r="BV86" s="697" t="n"/>
      <c r="BW86" s="697" t="n"/>
      <c r="BX86" s="697" t="n"/>
      <c r="BY86" s="697" t="n"/>
      <c r="BZ86" s="699" t="n"/>
      <c r="CA86" s="699" t="n"/>
      <c r="CB86" s="431">
        <f>BZ86+IF(NOT(ISBLANK(OFFSET(CB86,0,6))),N(OFFSET(CB86,0,6)),N(OFFSET(CB86,0,7)))-CA86</f>
        <v/>
      </c>
      <c r="DN86" s="309" t="n"/>
      <c r="FK86" s="47" t="n"/>
    </row>
    <row r="87" hidden="1">
      <c r="A87" s="37" t="inlineStr">
        <is>
          <t>PAPEL DE SEDA</t>
        </is>
      </c>
      <c r="B87" s="699" t="n">
        <v>200</v>
      </c>
      <c r="C87" s="762" t="n">
        <v>45.47</v>
      </c>
      <c r="D87" s="382" t="n"/>
      <c r="AY87" s="697" t="n"/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/>
      <c r="BK87" s="697" t="n"/>
      <c r="BL87" s="697" t="n"/>
      <c r="BM87" s="697" t="n"/>
      <c r="BN87" s="697" t="n"/>
      <c r="BO87" s="697" t="n"/>
      <c r="BP87" s="697" t="n"/>
      <c r="BQ87" s="697" t="n"/>
      <c r="BR87" s="697" t="n"/>
      <c r="BS87" s="697" t="n"/>
      <c r="BT87" s="697" t="n"/>
      <c r="BU87" s="697" t="n"/>
      <c r="BV87" s="697" t="n"/>
      <c r="BW87" s="697" t="n"/>
      <c r="BX87" s="697" t="n"/>
      <c r="BY87" s="697" t="n"/>
      <c r="BZ87" s="699" t="n"/>
      <c r="CA87" s="699" t="n"/>
      <c r="CB87" s="431">
        <f>BZ87+IF(NOT(ISBLANK(OFFSET(CB87,0,6))),N(OFFSET(CB87,0,6)),N(OFFSET(CB87,0,7)))-CA87</f>
        <v/>
      </c>
      <c r="DN87" s="309" t="n"/>
      <c r="FK87" s="47" t="n"/>
    </row>
    <row r="88">
      <c r="A88" s="37" t="inlineStr">
        <is>
          <t>CAIXA M</t>
        </is>
      </c>
      <c r="B88" s="699" t="n">
        <v>100</v>
      </c>
      <c r="C88" s="762" t="n">
        <v>1490</v>
      </c>
      <c r="D88" s="382" t="n"/>
      <c r="AY88" s="697" t="n"/>
      <c r="AZ88" s="697" t="n">
        <v>22</v>
      </c>
      <c r="BA88" s="697" t="n">
        <v>22</v>
      </c>
      <c r="BB88" s="697" t="n">
        <v>22</v>
      </c>
      <c r="BC88" s="697" t="n">
        <v>22</v>
      </c>
      <c r="BD88" s="697" t="n">
        <v>22</v>
      </c>
      <c r="BE88" s="697" t="n">
        <v>22</v>
      </c>
      <c r="BF88" s="697" t="n">
        <v>22</v>
      </c>
      <c r="BG88" s="697" t="n">
        <v>22</v>
      </c>
      <c r="BH88" s="697" t="n">
        <v>21</v>
      </c>
      <c r="BI88" s="697" t="n">
        <v>16</v>
      </c>
      <c r="BJ88" s="697" t="n">
        <v>16</v>
      </c>
      <c r="BK88" s="697" t="n">
        <v>16</v>
      </c>
      <c r="BL88" s="697" t="n">
        <v>16</v>
      </c>
      <c r="BM88" s="697" t="n">
        <v>16</v>
      </c>
      <c r="BN88" s="697" t="n">
        <v>16</v>
      </c>
      <c r="BO88" s="697" t="n">
        <v>16</v>
      </c>
      <c r="BP88" s="697" t="n">
        <v>16</v>
      </c>
      <c r="BQ88" s="697" t="n">
        <v>16</v>
      </c>
      <c r="BR88" s="697" t="n">
        <v>16</v>
      </c>
      <c r="BS88" s="697" t="n">
        <v>16</v>
      </c>
      <c r="BT88" s="697" t="n">
        <v>16</v>
      </c>
      <c r="BU88" s="697" t="n">
        <v>16</v>
      </c>
      <c r="BV88" s="697" t="n">
        <v>16</v>
      </c>
      <c r="BW88" s="697" t="n">
        <v>16</v>
      </c>
      <c r="BX88" s="697" t="n">
        <v>15</v>
      </c>
      <c r="BY88" s="697" t="n">
        <v>15</v>
      </c>
      <c r="BZ88" s="699" t="n">
        <v>9</v>
      </c>
      <c r="CA88" s="699" t="n">
        <v>9</v>
      </c>
      <c r="CB88" s="431">
        <f>BZ88+IF(NOT(ISBLANK(OFFSET(CB88,0,6))),N(OFFSET(CB88,0,6)),N(OFFSET(CB88,0,7)))-CA88</f>
        <v/>
      </c>
      <c r="DN88" s="309" t="n"/>
      <c r="FK88" s="47" t="n"/>
    </row>
    <row r="89">
      <c r="DN89" s="309" t="n"/>
      <c r="FK89" s="47" t="n"/>
    </row>
    <row r="90">
      <c r="A90" s="456" t="inlineStr">
        <is>
          <t>EUDORA NATAL/25</t>
        </is>
      </c>
      <c r="B90" s="457" t="inlineStr">
        <is>
          <t>PC</t>
        </is>
      </c>
      <c r="C90" s="457" t="inlineStr">
        <is>
          <t>R$</t>
        </is>
      </c>
      <c r="D90" s="457" t="n"/>
      <c r="AY90" s="746" t="n">
        <v>45978</v>
      </c>
      <c r="AZ90" s="746" t="n">
        <v>45985</v>
      </c>
      <c r="BA90" s="746" t="n">
        <v>45992</v>
      </c>
      <c r="BB90" s="746" t="n">
        <v>45999</v>
      </c>
      <c r="BC90" s="746" t="n">
        <v>46006</v>
      </c>
      <c r="BD90" s="746" t="n">
        <v>46013</v>
      </c>
      <c r="BE90" s="746" t="n">
        <v>46020</v>
      </c>
      <c r="BF90" s="746" t="n">
        <v>46027</v>
      </c>
      <c r="BG90" s="746" t="n">
        <v>46034</v>
      </c>
      <c r="BH90" s="746" t="n">
        <v>46041</v>
      </c>
      <c r="BI90" s="746" t="n">
        <v>46048</v>
      </c>
      <c r="BJ90" s="746" t="n">
        <v>46055</v>
      </c>
      <c r="BK90" s="746" t="n">
        <v>46062</v>
      </c>
      <c r="BL90" s="746" t="n">
        <v>46069</v>
      </c>
      <c r="BM90" s="746" t="n">
        <v>46076</v>
      </c>
      <c r="BN90" s="746" t="n">
        <v>46083</v>
      </c>
      <c r="BO90" s="746" t="n">
        <v>46090</v>
      </c>
      <c r="BP90" s="746" t="n">
        <v>46097</v>
      </c>
      <c r="BQ90" s="746" t="n">
        <v>46104</v>
      </c>
      <c r="BR90" s="746" t="n">
        <v>46111</v>
      </c>
      <c r="BS90" s="746" t="n">
        <v>46118</v>
      </c>
      <c r="BT90" s="746" t="n">
        <v>46125</v>
      </c>
      <c r="BU90" s="746" t="n">
        <v>46132</v>
      </c>
      <c r="BV90" s="746" t="n">
        <v>46139</v>
      </c>
      <c r="BW90" s="746" t="n">
        <v>46146</v>
      </c>
      <c r="BX90" s="746" t="n">
        <v>46154</v>
      </c>
      <c r="BY90" s="746" t="n">
        <v>46160</v>
      </c>
      <c r="BZ90" s="747" t="n">
        <v>46161.48025125</v>
      </c>
      <c r="CA90" s="747" t="n">
        <v>46161.48090906786</v>
      </c>
      <c r="CB90" s="758" t="inlineStr">
        <is>
          <t>USOU</t>
        </is>
      </c>
      <c r="DN90" s="309" t="n"/>
      <c r="FK90" s="47" t="n"/>
    </row>
    <row r="91" hidden="1">
      <c r="A91" s="37" t="inlineStr">
        <is>
          <t xml:space="preserve">SACOLA M </t>
        </is>
      </c>
      <c r="B91" s="699" t="n">
        <v>200</v>
      </c>
      <c r="C91" s="762" t="n">
        <v>336</v>
      </c>
      <c r="D91" s="382" t="n"/>
      <c r="AY91" s="697" t="n"/>
      <c r="AZ91" s="697" t="n">
        <v>402</v>
      </c>
      <c r="BA91" s="697" t="n">
        <v>298</v>
      </c>
      <c r="BB91" s="697" t="n">
        <v>214</v>
      </c>
      <c r="BC91" s="697" t="n">
        <v>87</v>
      </c>
      <c r="BD91" s="697" t="n">
        <v>59</v>
      </c>
      <c r="BE91" s="697" t="n">
        <v>56</v>
      </c>
      <c r="BF91" s="697" t="n">
        <v>56</v>
      </c>
      <c r="BG91" s="697" t="n">
        <v>56</v>
      </c>
      <c r="BH91" s="697" t="n">
        <v>55</v>
      </c>
      <c r="BI91" s="697" t="n">
        <v>0</v>
      </c>
      <c r="BJ91" s="697" t="n">
        <v>0</v>
      </c>
      <c r="BK91" s="697" t="n"/>
      <c r="BL91" s="697" t="n"/>
      <c r="BM91" s="697" t="n"/>
      <c r="BN91" s="697" t="n"/>
      <c r="BO91" s="697" t="n"/>
      <c r="BP91" s="697" t="n"/>
      <c r="BQ91" s="697" t="n"/>
      <c r="BR91" s="697" t="n"/>
      <c r="BS91" s="697" t="n"/>
      <c r="BT91" s="697" t="n"/>
      <c r="BU91" s="697" t="n"/>
      <c r="BV91" s="697" t="n"/>
      <c r="BW91" s="697" t="n"/>
      <c r="BX91" s="697" t="n"/>
      <c r="BY91" s="697" t="n"/>
      <c r="BZ91" s="699" t="n"/>
      <c r="CA91" s="699" t="n"/>
      <c r="CB91" s="431">
        <f>BZ91+IF(NOT(ISBLANK(OFFSET(CB91,0,6))),N(OFFSET(CB91,0,6)),N(OFFSET(CB91,0,7)))-CA91</f>
        <v/>
      </c>
      <c r="DN91" s="309" t="n"/>
      <c r="FK91" s="47" t="n"/>
    </row>
    <row r="92" hidden="1">
      <c r="A92" s="37" t="inlineStr">
        <is>
          <t>PAPEL DE SEDA</t>
        </is>
      </c>
      <c r="B92" s="699" t="n">
        <v>200</v>
      </c>
      <c r="C92" s="762" t="n">
        <v>54</v>
      </c>
      <c r="D92" s="382" t="n"/>
      <c r="AY92" s="697" t="n"/>
      <c r="AZ92" s="697" t="n">
        <v>497</v>
      </c>
      <c r="BA92" s="697" t="n">
        <v>497</v>
      </c>
      <c r="BB92" s="697" t="n">
        <v>490</v>
      </c>
      <c r="BC92" s="697" t="n">
        <v>470</v>
      </c>
      <c r="BD92" s="697" t="n">
        <v>0</v>
      </c>
      <c r="BE92" s="697" t="n">
        <v>0</v>
      </c>
      <c r="BF92" s="697" t="n">
        <v>0</v>
      </c>
      <c r="BG92" s="697" t="n">
        <v>0</v>
      </c>
      <c r="BH92" s="697" t="n">
        <v>0</v>
      </c>
      <c r="BI92" s="697" t="n">
        <v>0</v>
      </c>
      <c r="BJ92" s="697" t="n">
        <v>0</v>
      </c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  <c r="BZ92" s="699" t="n"/>
      <c r="CA92" s="699" t="n"/>
      <c r="CB92" s="431">
        <f>BZ92+IF(NOT(ISBLANK(OFFSET(CB92,0,6))),N(OFFSET(CB92,0,6)),N(OFFSET(CB92,0,7)))-CA92</f>
        <v/>
      </c>
      <c r="DN92" s="309" t="n"/>
      <c r="FK92" s="47" t="n"/>
    </row>
    <row r="93">
      <c r="A93" s="37" t="inlineStr">
        <is>
          <t>KIT TAG 10 C/ 20</t>
        </is>
      </c>
      <c r="B93" s="699" t="n">
        <v>200</v>
      </c>
      <c r="C93" s="762" t="n">
        <v>40</v>
      </c>
      <c r="D93" s="382" t="n"/>
      <c r="AY93" s="697" t="n"/>
      <c r="AZ93" s="697" t="n">
        <v>5</v>
      </c>
      <c r="BA93" s="697" t="n">
        <v>0</v>
      </c>
      <c r="BB93" s="697" t="n">
        <v>0</v>
      </c>
      <c r="BC93" s="697" t="n">
        <v>0</v>
      </c>
      <c r="BD93" s="697" t="n">
        <v>0</v>
      </c>
      <c r="BE93" s="697" t="n">
        <v>0</v>
      </c>
      <c r="BF93" s="697" t="n">
        <v>0</v>
      </c>
      <c r="BG93" s="697" t="n">
        <v>0</v>
      </c>
      <c r="BH93" s="697" t="n">
        <v>0</v>
      </c>
      <c r="BI93" s="697" t="n">
        <v>0</v>
      </c>
      <c r="BJ93" s="697" t="n">
        <v>0</v>
      </c>
      <c r="BK93" s="697" t="n"/>
      <c r="BL93" s="697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>
        <v>0</v>
      </c>
      <c r="BY93" s="314" t="n">
        <v>5</v>
      </c>
      <c r="BZ93" s="218" t="n">
        <v>5</v>
      </c>
      <c r="CA93" s="218" t="n">
        <v>5</v>
      </c>
      <c r="CB93" s="431">
        <f>BZ93+IF(NOT(ISBLANK(OFFSET(CB93,0,6))),N(OFFSET(CB93,0,6)),N(OFFSET(CB93,0,7)))-CA93</f>
        <v/>
      </c>
      <c r="DN93" s="309" t="n"/>
      <c r="FK93" s="47" t="n"/>
    </row>
    <row r="94">
      <c r="A94" s="347" t="inlineStr">
        <is>
          <t>CAIXA M</t>
        </is>
      </c>
      <c r="B94" s="32" t="n">
        <v>100</v>
      </c>
      <c r="C94" s="773" t="n">
        <v>904</v>
      </c>
      <c r="D94" s="32" t="n"/>
      <c r="AY94" s="697" t="n"/>
      <c r="AZ94" s="697" t="n">
        <v>42</v>
      </c>
      <c r="BA94" s="697" t="n">
        <v>37</v>
      </c>
      <c r="BB94" s="697" t="n">
        <v>37</v>
      </c>
      <c r="BC94" s="697" t="n">
        <v>36</v>
      </c>
      <c r="BD94" s="697" t="n">
        <v>34</v>
      </c>
      <c r="BE94" s="697" t="n">
        <v>34</v>
      </c>
      <c r="BF94" s="697" t="n">
        <v>34</v>
      </c>
      <c r="BG94" s="697" t="n">
        <v>34</v>
      </c>
      <c r="BH94" s="697" t="n">
        <v>34</v>
      </c>
      <c r="BI94" s="697" t="n">
        <v>33</v>
      </c>
      <c r="BJ94" s="697" t="n">
        <v>33</v>
      </c>
      <c r="BK94" s="697" t="n">
        <v>32</v>
      </c>
      <c r="BL94" s="697" t="n">
        <v>32</v>
      </c>
      <c r="BM94" s="697" t="n">
        <v>32</v>
      </c>
      <c r="BN94" s="697" t="n">
        <v>32</v>
      </c>
      <c r="BO94" s="697" t="n">
        <v>31</v>
      </c>
      <c r="BP94" s="697" t="n">
        <v>31</v>
      </c>
      <c r="BQ94" s="697" t="n">
        <v>31</v>
      </c>
      <c r="BR94" s="697" t="n">
        <v>31</v>
      </c>
      <c r="BS94" s="697" t="n">
        <v>31</v>
      </c>
      <c r="BT94" s="697" t="n">
        <v>31</v>
      </c>
      <c r="BU94" s="697" t="n">
        <v>31</v>
      </c>
      <c r="BV94" s="697" t="n">
        <v>31</v>
      </c>
      <c r="BW94" s="697" t="n">
        <v>31</v>
      </c>
      <c r="BX94" s="697" t="n">
        <v>29</v>
      </c>
      <c r="BY94" s="697" t="n">
        <v>29</v>
      </c>
      <c r="BZ94" s="699" t="n">
        <v>29</v>
      </c>
      <c r="CA94" s="699" t="n">
        <v>29</v>
      </c>
      <c r="CB94" s="431">
        <f>BZ94+IF(NOT(ISBLANK(OFFSET(CB94,0,6))),N(OFFSET(CB94,0,6)),N(OFFSET(CB94,0,7)))-CA94</f>
        <v/>
      </c>
      <c r="DN94" s="309" t="n"/>
      <c r="FK94" s="47" t="n"/>
    </row>
    <row r="95">
      <c r="A95" s="347" t="inlineStr">
        <is>
          <t>CARTUCHO P</t>
        </is>
      </c>
      <c r="B95" s="32" t="n">
        <v>200</v>
      </c>
      <c r="C95" s="773" t="n">
        <v>464</v>
      </c>
      <c r="D95" s="32" t="n"/>
      <c r="AY95" s="697" t="n"/>
      <c r="AZ95" s="697" t="n">
        <v>184</v>
      </c>
      <c r="BA95" s="697" t="n">
        <v>171</v>
      </c>
      <c r="BB95" s="697" t="n">
        <v>160</v>
      </c>
      <c r="BC95" s="697" t="n">
        <v>151</v>
      </c>
      <c r="BD95" s="697" t="n">
        <v>108</v>
      </c>
      <c r="BE95" s="697" t="n">
        <v>105</v>
      </c>
      <c r="BF95" s="697" t="n">
        <v>105</v>
      </c>
      <c r="BG95" s="697" t="n">
        <v>105</v>
      </c>
      <c r="BH95" s="697" t="n">
        <v>105</v>
      </c>
      <c r="BI95" s="697" t="n">
        <v>87</v>
      </c>
      <c r="BJ95" s="697" t="n">
        <v>87</v>
      </c>
      <c r="BK95" s="697" t="n">
        <v>86</v>
      </c>
      <c r="BL95" s="697" t="n">
        <v>86</v>
      </c>
      <c r="BM95" s="697" t="n">
        <v>86</v>
      </c>
      <c r="BN95" s="697" t="n">
        <v>86</v>
      </c>
      <c r="BO95" s="697" t="n">
        <v>86</v>
      </c>
      <c r="BP95" s="697" t="n">
        <v>86</v>
      </c>
      <c r="BQ95" s="697" t="n">
        <v>86</v>
      </c>
      <c r="BR95" s="697" t="n">
        <v>85</v>
      </c>
      <c r="BS95" s="697" t="n">
        <v>85</v>
      </c>
      <c r="BT95" s="697" t="n">
        <v>85</v>
      </c>
      <c r="BU95" s="697" t="n">
        <v>85</v>
      </c>
      <c r="BV95" s="697" t="n">
        <v>85</v>
      </c>
      <c r="BW95" s="697" t="n">
        <v>85</v>
      </c>
      <c r="BX95" s="697" t="n">
        <v>82</v>
      </c>
      <c r="BY95" s="697" t="n">
        <v>82</v>
      </c>
      <c r="BZ95" s="699" t="n">
        <v>82</v>
      </c>
      <c r="CA95" s="699" t="n">
        <v>82</v>
      </c>
      <c r="CB95" s="431">
        <f>BZ95+IF(NOT(ISBLANK(OFFSET(CB95,0,6))),N(OFFSET(CB95,0,6)),N(OFFSET(CB95,0,7)))-CA95</f>
        <v/>
      </c>
      <c r="DN95" s="309" t="n"/>
      <c r="FK95" s="47" t="n"/>
    </row>
    <row r="96">
      <c r="DN96" s="309" t="n"/>
      <c r="FK96" s="47" t="n"/>
    </row>
    <row r="97">
      <c r="A97" s="458" t="inlineStr">
        <is>
          <t>BOTICÁRIO NATAL/25</t>
        </is>
      </c>
      <c r="B97" s="411" t="inlineStr">
        <is>
          <t>PC</t>
        </is>
      </c>
      <c r="C97" s="411" t="inlineStr">
        <is>
          <t>R$</t>
        </is>
      </c>
      <c r="D97" s="411" t="n"/>
      <c r="AY97" s="746" t="n">
        <v>45978</v>
      </c>
      <c r="AZ97" s="746" t="n">
        <v>45985</v>
      </c>
      <c r="BA97" s="746" t="n">
        <v>45992</v>
      </c>
      <c r="BB97" s="746" t="n">
        <v>45999</v>
      </c>
      <c r="BC97" s="746" t="n">
        <v>46006</v>
      </c>
      <c r="BD97" s="746" t="n">
        <v>46013</v>
      </c>
      <c r="BE97" s="746" t="n">
        <v>46020</v>
      </c>
      <c r="BF97" s="746" t="n">
        <v>46027</v>
      </c>
      <c r="BG97" s="746" t="n">
        <v>46034</v>
      </c>
      <c r="BH97" s="746" t="n">
        <v>46041</v>
      </c>
      <c r="BI97" s="746" t="n">
        <v>46048</v>
      </c>
      <c r="BJ97" s="746" t="n">
        <v>46055</v>
      </c>
      <c r="BK97" s="746" t="n">
        <v>46062</v>
      </c>
      <c r="BL97" s="746" t="n">
        <v>46069</v>
      </c>
      <c r="BM97" s="746" t="n">
        <v>46076</v>
      </c>
      <c r="BN97" s="746" t="n">
        <v>46083</v>
      </c>
      <c r="BO97" s="746" t="n">
        <v>46090</v>
      </c>
      <c r="BP97" s="746" t="n">
        <v>46097</v>
      </c>
      <c r="BQ97" s="746" t="n">
        <v>46104</v>
      </c>
      <c r="BR97" s="746" t="n">
        <v>46111</v>
      </c>
      <c r="BS97" s="746" t="n">
        <v>46118</v>
      </c>
      <c r="BT97" s="746" t="n">
        <v>46125</v>
      </c>
      <c r="BU97" s="746" t="n">
        <v>46132</v>
      </c>
      <c r="BV97" s="746" t="n">
        <v>46139</v>
      </c>
      <c r="BW97" s="746" t="n">
        <v>46146</v>
      </c>
      <c r="BX97" s="746" t="n">
        <v>46154</v>
      </c>
      <c r="BY97" s="746" t="n">
        <v>46160</v>
      </c>
      <c r="BZ97" s="747" t="n">
        <v>46161.48025125</v>
      </c>
      <c r="CA97" s="747" t="n">
        <v>46161.48090906802</v>
      </c>
      <c r="CB97" s="758" t="inlineStr">
        <is>
          <t>USOU</t>
        </is>
      </c>
      <c r="DN97" s="309" t="n"/>
      <c r="FK97" s="47" t="n"/>
    </row>
    <row r="98" hidden="1">
      <c r="A98" s="37" t="inlineStr">
        <is>
          <t>SACOLA P</t>
        </is>
      </c>
      <c r="B98" s="699" t="n">
        <v>200</v>
      </c>
      <c r="C98" s="762" t="n">
        <v>274.2</v>
      </c>
      <c r="D98" s="382" t="n"/>
      <c r="AY98" s="697" t="n"/>
      <c r="AZ98" s="697" t="n">
        <v>374</v>
      </c>
      <c r="BA98" s="697" t="n">
        <v>359</v>
      </c>
      <c r="BB98" s="697" t="n">
        <v>345</v>
      </c>
      <c r="BC98" s="697" t="n">
        <v>328</v>
      </c>
      <c r="BD98" s="697" t="n">
        <v>0</v>
      </c>
      <c r="BE98" s="697" t="n">
        <v>0</v>
      </c>
      <c r="BF98" s="697" t="n">
        <v>0</v>
      </c>
      <c r="BG98" s="697" t="n">
        <v>0</v>
      </c>
      <c r="BH98" s="697" t="n">
        <v>0</v>
      </c>
      <c r="BI98" s="697" t="n">
        <v>0</v>
      </c>
      <c r="BJ98" s="697" t="n">
        <v>0</v>
      </c>
      <c r="BK98" s="697" t="n"/>
      <c r="BL98" s="697" t="n"/>
      <c r="BM98" s="697" t="n"/>
      <c r="BN98" s="697" t="n"/>
      <c r="BO98" s="697" t="n"/>
      <c r="BP98" s="697" t="n"/>
      <c r="BQ98" s="697" t="n"/>
      <c r="BR98" s="697" t="n"/>
      <c r="BS98" s="697" t="n"/>
      <c r="BT98" s="697" t="n"/>
      <c r="BU98" s="697" t="n"/>
      <c r="BV98" s="697" t="n"/>
      <c r="BW98" s="697" t="n"/>
      <c r="BX98" s="697" t="n"/>
      <c r="BY98" s="697" t="n"/>
      <c r="BZ98" s="699" t="n"/>
      <c r="CA98" s="699" t="n"/>
      <c r="CB98" s="431">
        <f>BZ98+IF(NOT(ISBLANK(OFFSET(CB98,0,6))),N(OFFSET(CB98,0,6)),N(OFFSET(CB98,0,7)))-CA98</f>
        <v/>
      </c>
      <c r="DN98" s="309" t="n"/>
      <c r="FK98" s="47" t="n"/>
    </row>
    <row r="99" hidden="1">
      <c r="A99" s="37" t="inlineStr">
        <is>
          <t>SACOLA M</t>
        </is>
      </c>
      <c r="B99" s="699" t="n">
        <v>200</v>
      </c>
      <c r="C99" s="762" t="n">
        <v>347.8</v>
      </c>
      <c r="D99" s="382" t="n"/>
      <c r="AY99" s="697" t="n"/>
      <c r="AZ99" s="697" t="n">
        <v>148</v>
      </c>
      <c r="BA99" s="697" t="n">
        <v>131</v>
      </c>
      <c r="BB99" s="697" t="n">
        <v>123</v>
      </c>
      <c r="BC99" s="697" t="n">
        <v>107</v>
      </c>
      <c r="BD99" s="697" t="n">
        <v>0</v>
      </c>
      <c r="BE99" s="697" t="n">
        <v>0</v>
      </c>
      <c r="BF99" s="697" t="n">
        <v>0</v>
      </c>
      <c r="BG99" s="697" t="n">
        <v>0</v>
      </c>
      <c r="BH99" s="697" t="n">
        <v>0</v>
      </c>
      <c r="BI99" s="697" t="n">
        <v>0</v>
      </c>
      <c r="BJ99" s="697" t="n">
        <v>0</v>
      </c>
      <c r="BK99" s="697" t="n"/>
      <c r="BL99" s="697" t="n"/>
      <c r="BM99" s="697" t="n"/>
      <c r="BN99" s="697" t="n"/>
      <c r="BO99" s="697" t="n"/>
      <c r="BP99" s="697" t="n"/>
      <c r="BQ99" s="697" t="n"/>
      <c r="BR99" s="697" t="n"/>
      <c r="BS99" s="697" t="n"/>
      <c r="BT99" s="697" t="n"/>
      <c r="BU99" s="697" t="n"/>
      <c r="BV99" s="697" t="n"/>
      <c r="BW99" s="697" t="n"/>
      <c r="BX99" s="697" t="n"/>
      <c r="BY99" s="697" t="n"/>
      <c r="BZ99" s="699" t="n"/>
      <c r="CA99" s="699" t="n"/>
      <c r="CB99" s="431">
        <f>BZ99+IF(NOT(ISBLANK(OFFSET(CB99,0,6))),N(OFFSET(CB99,0,6)),N(OFFSET(CB99,0,7)))-CA99</f>
        <v/>
      </c>
      <c r="DN99" s="309" t="n"/>
      <c r="FK99" s="47" t="n"/>
    </row>
    <row r="100" hidden="1">
      <c r="A100" s="37" t="inlineStr">
        <is>
          <t>SACOLA G</t>
        </is>
      </c>
      <c r="B100" s="699" t="n">
        <v>100</v>
      </c>
      <c r="C100" s="762" t="n">
        <v>267</v>
      </c>
      <c r="D100" s="382" t="n"/>
      <c r="AY100" s="697" t="n"/>
      <c r="AZ100" s="697" t="n">
        <v>50</v>
      </c>
      <c r="BA100" s="697" t="n">
        <v>47</v>
      </c>
      <c r="BB100" s="697" t="n">
        <v>46</v>
      </c>
      <c r="BC100" s="697" t="n">
        <v>44</v>
      </c>
      <c r="BD100" s="697" t="n">
        <v>0</v>
      </c>
      <c r="BE100" s="697" t="n">
        <v>0</v>
      </c>
      <c r="BF100" s="697" t="n">
        <v>0</v>
      </c>
      <c r="BG100" s="697" t="n">
        <v>0</v>
      </c>
      <c r="BH100" s="697" t="n">
        <v>0</v>
      </c>
      <c r="BI100" s="697" t="n">
        <v>0</v>
      </c>
      <c r="BJ100" s="697" t="n">
        <v>0</v>
      </c>
      <c r="BK100" s="697" t="n"/>
      <c r="BL100" s="697" t="n"/>
      <c r="BM100" s="697" t="n"/>
      <c r="BN100" s="697" t="n"/>
      <c r="BO100" s="697" t="n"/>
      <c r="BP100" s="697" t="n"/>
      <c r="BQ100" s="697" t="n"/>
      <c r="BR100" s="697" t="n"/>
      <c r="BS100" s="697" t="n"/>
      <c r="BT100" s="697" t="n"/>
      <c r="BU100" s="697" t="n"/>
      <c r="BV100" s="697" t="n"/>
      <c r="BW100" s="697" t="n"/>
      <c r="BX100" s="697" t="n"/>
      <c r="BY100" s="697" t="n"/>
      <c r="BZ100" s="699" t="n"/>
      <c r="CA100" s="699" t="n"/>
      <c r="CB100" s="431">
        <f>BZ100+IF(NOT(ISBLANK(OFFSET(CB100,0,6))),N(OFFSET(CB100,0,6)),N(OFFSET(CB100,0,7)))-CA100</f>
        <v/>
      </c>
      <c r="DN100" s="309" t="n"/>
      <c r="FK100" s="47" t="n"/>
    </row>
    <row r="101" hidden="1">
      <c r="A101" s="347" t="inlineStr">
        <is>
          <t xml:space="preserve">PAPEL DE SEDA </t>
        </is>
      </c>
      <c r="B101" s="32" t="n">
        <v>200</v>
      </c>
      <c r="C101" s="773" t="n">
        <v>44.4</v>
      </c>
      <c r="D101" s="32" t="n"/>
      <c r="AY101" s="697" t="n"/>
      <c r="AZ101" s="697" t="n">
        <v>165</v>
      </c>
      <c r="BA101" s="697" t="n">
        <v>155</v>
      </c>
      <c r="BB101" s="697" t="n">
        <v>154</v>
      </c>
      <c r="BC101" s="697" t="n">
        <v>54</v>
      </c>
      <c r="BD101" s="697" t="n">
        <v>44</v>
      </c>
      <c r="BE101" s="697" t="n">
        <v>44</v>
      </c>
      <c r="BF101" s="697" t="n">
        <v>44</v>
      </c>
      <c r="BG101" s="697" t="n">
        <v>44</v>
      </c>
      <c r="BH101" s="697" t="n">
        <v>44</v>
      </c>
      <c r="BI101" s="697" t="n">
        <v>0</v>
      </c>
      <c r="BJ101" s="697" t="n">
        <v>0</v>
      </c>
      <c r="BK101" s="697" t="n"/>
      <c r="BL101" s="697" t="n"/>
      <c r="BM101" s="697" t="n"/>
      <c r="BN101" s="697" t="n"/>
      <c r="BO101" s="697" t="n"/>
      <c r="BP101" s="697" t="n"/>
      <c r="BQ101" s="697" t="n"/>
      <c r="BR101" s="697" t="n"/>
      <c r="BS101" s="697" t="n"/>
      <c r="BT101" s="697" t="n"/>
      <c r="BU101" s="697" t="n"/>
      <c r="BV101" s="697" t="n"/>
      <c r="BW101" s="697" t="n"/>
      <c r="BX101" s="697" t="n"/>
      <c r="BY101" s="697" t="n"/>
      <c r="BZ101" s="699" t="n"/>
      <c r="CA101" s="699" t="n"/>
      <c r="CB101" s="431">
        <f>BZ101+IF(NOT(ISBLANK(OFFSET(CB101,0,6))),N(OFFSET(CB101,0,6)),N(OFFSET(CB101,0,7)))-CA101</f>
        <v/>
      </c>
      <c r="DN101" s="309" t="n"/>
      <c r="FK101" s="47" t="n"/>
    </row>
    <row r="102">
      <c r="A102" s="347" t="inlineStr">
        <is>
          <t>CAIXA P</t>
        </is>
      </c>
      <c r="B102" s="32" t="n">
        <v>150</v>
      </c>
      <c r="C102" s="773" t="n">
        <v>805.35</v>
      </c>
      <c r="D102" s="32" t="n"/>
      <c r="AY102" s="697" t="n"/>
      <c r="AZ102" s="697" t="n">
        <v>100</v>
      </c>
      <c r="BA102" s="697" t="n">
        <v>88</v>
      </c>
      <c r="BB102" s="697" t="n">
        <v>82</v>
      </c>
      <c r="BC102" s="697" t="n">
        <v>78</v>
      </c>
      <c r="BD102" s="697" t="n">
        <v>48</v>
      </c>
      <c r="BE102" s="697" t="n">
        <v>43</v>
      </c>
      <c r="BF102" s="697" t="n">
        <v>43</v>
      </c>
      <c r="BG102" s="697" t="n">
        <v>43</v>
      </c>
      <c r="BH102" s="697" t="n">
        <v>43</v>
      </c>
      <c r="BI102" s="697" t="n">
        <v>30</v>
      </c>
      <c r="BJ102" s="697" t="n">
        <v>30</v>
      </c>
      <c r="BK102" s="697" t="n">
        <v>30</v>
      </c>
      <c r="BL102" s="697" t="n">
        <v>30</v>
      </c>
      <c r="BM102" s="697" t="n">
        <v>30</v>
      </c>
      <c r="BN102" s="697" t="n">
        <v>30</v>
      </c>
      <c r="BO102" s="697" t="n">
        <v>30</v>
      </c>
      <c r="BP102" s="697" t="n">
        <v>30</v>
      </c>
      <c r="BQ102" s="697" t="n">
        <v>29</v>
      </c>
      <c r="BR102" s="697" t="n">
        <v>28</v>
      </c>
      <c r="BS102" s="697" t="n">
        <v>28</v>
      </c>
      <c r="BT102" s="697" t="n">
        <v>28</v>
      </c>
      <c r="BU102" s="697" t="n">
        <v>28</v>
      </c>
      <c r="BV102" s="697" t="n">
        <v>28</v>
      </c>
      <c r="BW102" s="697" t="n">
        <v>28</v>
      </c>
      <c r="BX102" s="697" t="n">
        <v>26</v>
      </c>
      <c r="BY102" s="697" t="n">
        <v>26</v>
      </c>
      <c r="BZ102" s="699" t="n">
        <v>26</v>
      </c>
      <c r="CA102" s="699" t="n">
        <v>26</v>
      </c>
      <c r="CB102" s="431">
        <f>BZ102+IF(NOT(ISBLANK(OFFSET(CB102,0,6))),N(OFFSET(CB102,0,6)),N(OFFSET(CB102,0,7)))-CA102</f>
        <v/>
      </c>
      <c r="DN102" s="309" t="n"/>
      <c r="FK102" s="47" t="n"/>
    </row>
    <row r="103" hidden="1">
      <c r="A103" s="347" t="inlineStr">
        <is>
          <t>CAIXA M</t>
        </is>
      </c>
      <c r="B103" s="32" t="n">
        <v>100</v>
      </c>
      <c r="C103" s="773" t="n">
        <v>792.2</v>
      </c>
      <c r="D103" s="32" t="n"/>
      <c r="AY103" s="697" t="n"/>
      <c r="AZ103" s="697" t="n">
        <v>141</v>
      </c>
      <c r="BA103" s="697" t="n">
        <v>128</v>
      </c>
      <c r="BB103" s="697" t="n">
        <v>73</v>
      </c>
      <c r="BC103" s="697" t="n">
        <v>64</v>
      </c>
      <c r="BD103" s="697" t="n">
        <v>10</v>
      </c>
      <c r="BE103" s="697" t="n">
        <v>10</v>
      </c>
      <c r="BF103" s="697" t="n">
        <v>10</v>
      </c>
      <c r="BG103" s="697" t="n">
        <v>10</v>
      </c>
      <c r="BH103" s="697" t="n">
        <v>10</v>
      </c>
      <c r="BI103" s="697" t="n">
        <v>0</v>
      </c>
      <c r="BJ103" s="697" t="n">
        <v>0</v>
      </c>
      <c r="BK103" s="697" t="n"/>
      <c r="BL103" s="697" t="n"/>
      <c r="BM103" s="697" t="n"/>
      <c r="BN103" s="697" t="n"/>
      <c r="BO103" s="697" t="n"/>
      <c r="BP103" s="697" t="n"/>
      <c r="BQ103" s="697" t="n"/>
      <c r="BR103" s="697" t="n"/>
      <c r="BS103" s="697" t="n"/>
      <c r="BT103" s="697" t="n"/>
      <c r="BU103" s="697" t="n"/>
      <c r="BV103" s="697" t="n"/>
      <c r="BW103" s="697" t="n"/>
      <c r="BX103" s="697" t="n"/>
      <c r="BY103" s="697" t="n"/>
      <c r="BZ103" s="699" t="n"/>
      <c r="CA103" s="699" t="n"/>
      <c r="CB103" s="431">
        <f>BZ103+IF(NOT(ISBLANK(OFFSET(CB103,0,6))),N(OFFSET(CB103,0,6)),N(OFFSET(CB103,0,7)))-CA103</f>
        <v/>
      </c>
      <c r="DN103" s="309" t="n"/>
      <c r="FK103" s="47" t="n"/>
    </row>
    <row r="104" hidden="1">
      <c r="A104" s="347" t="inlineStr">
        <is>
          <t>CARTUCHO P</t>
        </is>
      </c>
      <c r="B104" s="32" t="n">
        <v>200</v>
      </c>
      <c r="C104" s="773" t="n">
        <v>487.2</v>
      </c>
      <c r="D104" s="32" t="n"/>
      <c r="AY104" s="697" t="n"/>
      <c r="AZ104" s="697" t="n">
        <v>195</v>
      </c>
      <c r="BA104" s="697" t="n">
        <v>189</v>
      </c>
      <c r="BB104" s="697" t="n">
        <v>89</v>
      </c>
      <c r="BC104" s="697" t="n">
        <v>37</v>
      </c>
      <c r="BD104" s="697" t="n">
        <v>0</v>
      </c>
      <c r="BE104" s="697" t="n">
        <v>0</v>
      </c>
      <c r="BF104" s="697" t="n">
        <v>0</v>
      </c>
      <c r="BG104" s="697" t="n">
        <v>0</v>
      </c>
      <c r="BH104" s="697" t="n">
        <v>0</v>
      </c>
      <c r="BI104" s="697" t="n">
        <v>0</v>
      </c>
      <c r="BJ104" s="697" t="n">
        <v>0</v>
      </c>
      <c r="BK104" s="697" t="n"/>
      <c r="BL104" s="697" t="n"/>
      <c r="BM104" s="697" t="n"/>
      <c r="BN104" s="697" t="n"/>
      <c r="BO104" s="697" t="n"/>
      <c r="BP104" s="697" t="n"/>
      <c r="BQ104" s="697" t="n"/>
      <c r="BR104" s="697" t="n"/>
      <c r="BS104" s="697" t="n"/>
      <c r="BT104" s="697" t="n"/>
      <c r="BU104" s="697" t="n"/>
      <c r="BV104" s="697" t="n"/>
      <c r="BW104" s="697" t="n"/>
      <c r="BX104" s="697" t="n"/>
      <c r="BY104" s="697" t="n"/>
      <c r="BZ104" s="699" t="n"/>
      <c r="CA104" s="699" t="n"/>
      <c r="CB104" s="431">
        <f>BZ104+IF(NOT(ISBLANK(OFFSET(CB104,0,6))),N(OFFSET(CB104,0,6)),N(OFFSET(CB104,0,7)))-CA104</f>
        <v/>
      </c>
      <c r="DN104" s="309" t="n"/>
      <c r="FK104" s="47" t="n"/>
    </row>
    <row r="105" hidden="1">
      <c r="A105" s="347" t="inlineStr">
        <is>
          <t>CARTUCHO M</t>
        </is>
      </c>
      <c r="B105" s="32" t="n">
        <v>150</v>
      </c>
      <c r="C105" s="773" t="n">
        <v>460.35</v>
      </c>
      <c r="D105" s="32" t="n"/>
      <c r="AY105" s="697" t="n"/>
      <c r="AZ105" s="697" t="n">
        <v>135</v>
      </c>
      <c r="BA105" s="697" t="n">
        <v>132</v>
      </c>
      <c r="BB105" s="697" t="n">
        <v>41</v>
      </c>
      <c r="BC105" s="697" t="n">
        <v>18</v>
      </c>
      <c r="BD105" s="697" t="n">
        <v>0</v>
      </c>
      <c r="BE105" s="697" t="n">
        <v>0</v>
      </c>
      <c r="BF105" s="697" t="n">
        <v>0</v>
      </c>
      <c r="BG105" s="697" t="n">
        <v>0</v>
      </c>
      <c r="BH105" s="697" t="n">
        <v>0</v>
      </c>
      <c r="BI105" s="697" t="n">
        <v>0</v>
      </c>
      <c r="BJ105" s="697" t="n">
        <v>0</v>
      </c>
      <c r="BK105" s="697" t="n"/>
      <c r="BL105" s="697" t="n"/>
      <c r="BM105" s="697" t="n"/>
      <c r="BN105" s="697" t="n"/>
      <c r="BO105" s="697" t="n"/>
      <c r="BP105" s="697" t="n"/>
      <c r="BQ105" s="697" t="n"/>
      <c r="BR105" s="697" t="n"/>
      <c r="BS105" s="697" t="n"/>
      <c r="BT105" s="697" t="n"/>
      <c r="BU105" s="697" t="n"/>
      <c r="BV105" s="697" t="n"/>
      <c r="BW105" s="697" t="n"/>
      <c r="BX105" s="697" t="n"/>
      <c r="BY105" s="697" t="n"/>
      <c r="BZ105" s="699" t="n"/>
      <c r="CA105" s="699" t="n"/>
      <c r="CB105" s="431">
        <f>BZ105+IF(NOT(ISBLANK(OFFSET(CB105,0,6))),N(OFFSET(CB105,0,6)),N(OFFSET(CB105,0,7)))-CA105</f>
        <v/>
      </c>
      <c r="DN105" s="309" t="n"/>
      <c r="FK105" s="47" t="n"/>
    </row>
    <row r="106">
      <c r="DN106" s="309" t="n"/>
      <c r="FK106" s="47" t="n"/>
    </row>
    <row r="107">
      <c r="A107" s="454" t="inlineStr">
        <is>
          <t>ETIQUETAS ZEBRA</t>
        </is>
      </c>
      <c r="B107" s="455" t="inlineStr">
        <is>
          <t>PC</t>
        </is>
      </c>
      <c r="C107" s="455" t="inlineStr">
        <is>
          <t>R$</t>
        </is>
      </c>
      <c r="D107" s="455" t="n"/>
      <c r="BJ107" s="746" t="n">
        <v>46055</v>
      </c>
      <c r="BK107" s="746" t="n">
        <v>46062</v>
      </c>
      <c r="BL107" s="746" t="n">
        <v>46069</v>
      </c>
      <c r="BM107" s="746" t="n">
        <v>46076</v>
      </c>
      <c r="BN107" s="746" t="n">
        <v>46083</v>
      </c>
      <c r="BO107" s="746" t="n">
        <v>46090</v>
      </c>
      <c r="BP107" s="746" t="n">
        <v>46097</v>
      </c>
      <c r="BQ107" s="746" t="n">
        <v>46104</v>
      </c>
      <c r="BR107" s="746" t="n">
        <v>46111</v>
      </c>
      <c r="BS107" s="746" t="n">
        <v>46118</v>
      </c>
      <c r="BT107" s="746" t="n">
        <v>46125</v>
      </c>
      <c r="BU107" s="746" t="n">
        <v>46132</v>
      </c>
      <c r="BV107" s="746" t="n">
        <v>46139</v>
      </c>
      <c r="BW107" s="746" t="n">
        <v>46146</v>
      </c>
      <c r="BX107" s="746" t="n">
        <v>46154</v>
      </c>
      <c r="BY107" s="746" t="n">
        <v>46160</v>
      </c>
      <c r="BZ107" s="747" t="n">
        <v>46161.48025125</v>
      </c>
      <c r="CA107" s="747" t="n">
        <v>46161.48090906817</v>
      </c>
      <c r="CB107" s="758" t="inlineStr">
        <is>
          <t>USOU</t>
        </is>
      </c>
      <c r="DN107" s="309" t="n"/>
      <c r="FK107" s="47" t="n"/>
    </row>
    <row r="108">
      <c r="A108" s="37" t="inlineStr">
        <is>
          <t>ETIQUETA BRANCA 100X80</t>
        </is>
      </c>
      <c r="B108" s="699" t="n">
        <v>1</v>
      </c>
      <c r="C108" s="762" t="n">
        <v>25.9</v>
      </c>
      <c r="D108" s="382" t="n"/>
      <c r="BJ108" s="697" t="n">
        <v>0</v>
      </c>
      <c r="BK108" s="697" t="n">
        <v>0</v>
      </c>
      <c r="BL108" s="697" t="n">
        <v>20</v>
      </c>
      <c r="BM108" s="697" t="n">
        <v>20</v>
      </c>
      <c r="BN108" s="697" t="n">
        <v>20</v>
      </c>
      <c r="BO108" s="697" t="n">
        <v>20</v>
      </c>
      <c r="BP108" s="697" t="n">
        <v>12</v>
      </c>
      <c r="BQ108" s="697" t="n">
        <v>20</v>
      </c>
      <c r="BR108" s="697" t="n">
        <v>20</v>
      </c>
      <c r="BS108" s="697" t="n">
        <v>20</v>
      </c>
      <c r="BT108" s="697" t="n">
        <v>20</v>
      </c>
      <c r="BU108" s="697" t="n">
        <v>20</v>
      </c>
      <c r="BV108" s="697" t="n">
        <v>10</v>
      </c>
      <c r="BW108" s="697" t="n">
        <v>10</v>
      </c>
      <c r="BX108" s="697" t="n">
        <v>10</v>
      </c>
      <c r="BY108" s="697" t="n"/>
      <c r="BZ108" s="699" t="n"/>
      <c r="CA108" s="699" t="n"/>
      <c r="CB108" s="431">
        <f>BZ108+IF(NOT(ISBLANK(OFFSET(CB108,0,6))),N(OFFSET(CB108,0,6)),N(OFFSET(CB108,0,7)))-CA108</f>
        <v/>
      </c>
      <c r="DN108" s="309" t="n"/>
      <c r="FK108" s="47" t="n"/>
    </row>
    <row r="109">
      <c r="A109" s="37" t="inlineStr">
        <is>
          <t>RIBBON DE CERA 110X74</t>
        </is>
      </c>
      <c r="B109" s="699" t="n">
        <v>1</v>
      </c>
      <c r="C109" s="762" t="n">
        <v>7.9</v>
      </c>
      <c r="D109" s="382" t="n"/>
      <c r="BJ109" s="697" t="n">
        <v>0</v>
      </c>
      <c r="BK109" s="697" t="n">
        <v>0</v>
      </c>
      <c r="BL109" s="697" t="n">
        <v>20</v>
      </c>
      <c r="BM109" s="697" t="n">
        <v>20</v>
      </c>
      <c r="BN109" s="697" t="n">
        <v>20</v>
      </c>
      <c r="BO109" s="697" t="n">
        <v>20</v>
      </c>
      <c r="BP109" s="697" t="n">
        <v>20</v>
      </c>
      <c r="BQ109" s="697" t="n">
        <v>20</v>
      </c>
      <c r="BR109" s="697" t="n">
        <v>20</v>
      </c>
      <c r="BS109" s="697" t="n">
        <v>20</v>
      </c>
      <c r="BT109" s="697" t="n">
        <v>20</v>
      </c>
      <c r="BU109" s="697" t="n">
        <v>20</v>
      </c>
      <c r="BV109" s="697" t="n">
        <v>20</v>
      </c>
      <c r="BW109" s="697" t="n">
        <v>20</v>
      </c>
      <c r="BX109" s="697" t="n">
        <v>20</v>
      </c>
      <c r="BY109" s="697" t="n"/>
      <c r="BZ109" s="699" t="n"/>
      <c r="CA109" s="699" t="n"/>
      <c r="CB109" s="431">
        <f>BZ109+IF(NOT(ISBLANK(OFFSET(CB109,0,6))),N(OFFSET(CB109,0,6)),N(OFFSET(CB109,0,7)))-CA109</f>
        <v/>
      </c>
      <c r="DN109" s="309" t="n"/>
      <c r="FK109" s="47" t="n"/>
    </row>
    <row r="110" ht="19.5" customHeight="1" thickBot="1">
      <c r="DN110" s="309" t="n"/>
      <c r="FK110" s="47" t="n"/>
    </row>
    <row r="111" ht="24" customHeight="1" thickBot="1">
      <c r="A111" s="528" t="n">
        <v>2026</v>
      </c>
      <c r="B111" s="836" t="n"/>
      <c r="C111" s="836" t="n"/>
      <c r="D111" s="836" t="n"/>
      <c r="E111" s="836" t="n"/>
      <c r="F111" s="836" t="n"/>
      <c r="G111" s="836" t="n"/>
      <c r="H111" s="836" t="n"/>
      <c r="I111" s="836" t="n"/>
      <c r="J111" s="836" t="n"/>
      <c r="K111" s="836" t="n"/>
      <c r="L111" s="836" t="n"/>
      <c r="M111" s="836" t="n"/>
      <c r="N111" s="836" t="n"/>
      <c r="O111" s="836" t="n"/>
      <c r="P111" s="836" t="n"/>
      <c r="Q111" s="836" t="n"/>
      <c r="R111" s="836" t="n"/>
      <c r="S111" s="836" t="n"/>
      <c r="T111" s="836" t="n"/>
      <c r="U111" s="836" t="n"/>
      <c r="V111" s="836" t="n"/>
      <c r="W111" s="836" t="n"/>
      <c r="X111" s="836" t="n"/>
      <c r="Y111" s="836" t="n"/>
      <c r="Z111" s="836" t="n"/>
      <c r="AA111" s="836" t="n"/>
      <c r="AB111" s="836" t="n"/>
      <c r="AC111" s="836" t="n"/>
      <c r="AD111" s="836" t="n"/>
      <c r="AE111" s="836" t="n"/>
      <c r="AF111" s="836" t="n"/>
      <c r="AG111" s="836" t="n"/>
      <c r="AH111" s="836" t="n"/>
      <c r="AI111" s="836" t="n"/>
      <c r="AJ111" s="836" t="n"/>
      <c r="AK111" s="836" t="n"/>
      <c r="AL111" s="836" t="n"/>
      <c r="AM111" s="836" t="n"/>
      <c r="AN111" s="836" t="n"/>
      <c r="AO111" s="836" t="n"/>
      <c r="AP111" s="836" t="n"/>
      <c r="AQ111" s="836" t="n"/>
      <c r="AR111" s="836" t="n"/>
      <c r="AS111" s="836" t="n"/>
      <c r="AT111" s="836" t="n"/>
      <c r="AU111" s="836" t="n"/>
      <c r="AV111" s="836" t="n"/>
      <c r="AW111" s="836" t="n"/>
      <c r="AX111" s="836" t="n"/>
      <c r="AY111" s="836" t="n"/>
      <c r="AZ111" s="836" t="n"/>
      <c r="BA111" s="836" t="n"/>
      <c r="BB111" s="836" t="n"/>
      <c r="BC111" s="836" t="n"/>
      <c r="BD111" s="836" t="n"/>
      <c r="BE111" s="836" t="n"/>
      <c r="BF111" s="836" t="n"/>
      <c r="BG111" s="836" t="n"/>
      <c r="BH111" s="836" t="n"/>
      <c r="BI111" s="836" t="n"/>
      <c r="BJ111" s="836" t="n"/>
      <c r="BK111" s="836" t="n"/>
      <c r="BL111" s="836" t="n"/>
      <c r="BM111" s="836" t="n"/>
      <c r="BN111" s="836" t="n"/>
      <c r="BO111" s="836" t="n"/>
      <c r="BP111" s="836" t="n"/>
      <c r="BQ111" s="836" t="n"/>
      <c r="BR111" s="836" t="n"/>
      <c r="BS111" s="836" t="n"/>
      <c r="BT111" s="836" t="n"/>
      <c r="BU111" s="836" t="n"/>
      <c r="BV111" s="836" t="n"/>
      <c r="BW111" s="836" t="n"/>
      <c r="BX111" s="836" t="n"/>
      <c r="BY111" s="836" t="n"/>
      <c r="BZ111" s="836" t="n"/>
      <c r="CA111" s="837" t="n"/>
      <c r="CB111" s="836" t="n"/>
      <c r="CC111" s="530" t="n"/>
      <c r="DN111" s="309" t="n"/>
      <c r="FK111" s="47" t="n"/>
    </row>
    <row r="112">
      <c r="DN112" s="309" t="n"/>
      <c r="FK112" s="47" t="n"/>
    </row>
    <row r="113">
      <c r="A113" s="456" t="inlineStr">
        <is>
          <t>EUDORA MÃES/26</t>
        </is>
      </c>
      <c r="B113" s="457" t="inlineStr">
        <is>
          <t>PC</t>
        </is>
      </c>
      <c r="C113" s="457" t="inlineStr">
        <is>
          <t>R$</t>
        </is>
      </c>
      <c r="D113" s="457" t="n"/>
      <c r="BL113" s="746" t="n">
        <v>46069</v>
      </c>
      <c r="BM113" s="746" t="n">
        <v>46076</v>
      </c>
      <c r="BN113" s="746" t="n">
        <v>46083</v>
      </c>
      <c r="BO113" s="746" t="n">
        <v>46090</v>
      </c>
      <c r="BP113" s="746" t="n">
        <v>46097</v>
      </c>
      <c r="BQ113" s="746" t="n">
        <v>46104</v>
      </c>
      <c r="BR113" s="746" t="n">
        <v>46111</v>
      </c>
      <c r="BS113" s="746" t="n">
        <v>46118</v>
      </c>
      <c r="BT113" s="746" t="n">
        <v>46125</v>
      </c>
      <c r="BU113" s="746" t="n">
        <v>46132</v>
      </c>
      <c r="BV113" s="746" t="n">
        <v>46139</v>
      </c>
      <c r="BW113" s="746" t="n">
        <v>46146</v>
      </c>
      <c r="BX113" s="746" t="n">
        <v>46154</v>
      </c>
      <c r="BY113" s="746" t="n">
        <v>46160</v>
      </c>
      <c r="BZ113" s="747" t="n">
        <v>46161.48025125</v>
      </c>
      <c r="CA113" s="747" t="n">
        <v>46161.48090906828</v>
      </c>
      <c r="CB113" s="758" t="inlineStr">
        <is>
          <t>USOU</t>
        </is>
      </c>
      <c r="DN113" s="309" t="n"/>
      <c r="FK113" s="47" t="n"/>
    </row>
    <row r="114">
      <c r="A114" s="37" t="inlineStr">
        <is>
          <t xml:space="preserve">SACOLA M </t>
        </is>
      </c>
      <c r="B114" s="699" t="n">
        <v>150</v>
      </c>
      <c r="C114" s="762" t="n"/>
      <c r="D114" s="382" t="n"/>
      <c r="BL114" s="697" t="n">
        <v>0</v>
      </c>
      <c r="BM114" s="697" t="n">
        <v>0</v>
      </c>
      <c r="BN114" s="697" t="n">
        <v>0</v>
      </c>
      <c r="BO114" s="697">
        <f>CN10</f>
        <v/>
      </c>
      <c r="BP114" s="697" t="n"/>
      <c r="BQ114" s="697" t="n"/>
      <c r="BR114" s="697" t="n"/>
      <c r="BS114" s="697" t="n">
        <v>1500</v>
      </c>
      <c r="BT114" s="697" t="n">
        <v>1500</v>
      </c>
      <c r="BU114" s="697" t="n">
        <v>450</v>
      </c>
      <c r="BV114" s="697" t="n">
        <v>150</v>
      </c>
      <c r="BW114" s="697" t="n">
        <v>0</v>
      </c>
      <c r="BX114" s="697" t="n">
        <v>0</v>
      </c>
      <c r="BY114" s="697" t="n"/>
      <c r="BZ114" s="699" t="n"/>
      <c r="CA114" s="699" t="n"/>
      <c r="CB114" s="431">
        <f>BZ114+IF(NOT(ISBLANK(OFFSET(CB114,0,6))),N(OFFSET(CB114,0,6)),N(OFFSET(CB114,0,7)))-CA114</f>
        <v/>
      </c>
      <c r="DN114" s="309" t="n"/>
      <c r="FK114" s="47" t="n"/>
    </row>
    <row r="115">
      <c r="A115" s="37" t="inlineStr">
        <is>
          <t>ADESIVO</t>
        </is>
      </c>
      <c r="B115" s="699" t="n">
        <v>1000</v>
      </c>
      <c r="C115" s="762" t="n"/>
      <c r="D115" s="382" t="n"/>
      <c r="BL115" s="697" t="n">
        <v>0</v>
      </c>
      <c r="BM115" s="697" t="n">
        <v>0</v>
      </c>
      <c r="BN115" s="697" t="n">
        <v>0</v>
      </c>
      <c r="BO115" s="697">
        <f>CN17</f>
        <v/>
      </c>
      <c r="BP115" s="697" t="n"/>
      <c r="BQ115" s="697" t="n"/>
      <c r="BR115" s="697" t="n"/>
      <c r="BS115" s="697" t="n">
        <v>0</v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697" t="n"/>
      <c r="BZ115" s="699" t="n"/>
      <c r="CA115" s="699" t="n"/>
      <c r="CB115" s="431">
        <f>BZ115+IF(NOT(ISBLANK(OFFSET(CB115,0,6))),N(OFFSET(CB115,0,6)),N(OFFSET(CB115,0,7)))-CA115</f>
        <v/>
      </c>
      <c r="DN115" s="309" t="n"/>
      <c r="FK115" s="47" t="n"/>
    </row>
    <row r="116">
      <c r="A116" s="37" t="inlineStr">
        <is>
          <t>PAPEL DE SEDA</t>
        </is>
      </c>
      <c r="B116" s="699" t="n">
        <v>200</v>
      </c>
      <c r="C116" s="762" t="n"/>
      <c r="D116" s="382" t="n"/>
      <c r="BL116" s="697" t="n">
        <v>0</v>
      </c>
      <c r="BM116" s="697" t="n">
        <v>0</v>
      </c>
      <c r="BN116" s="697" t="n">
        <v>0</v>
      </c>
      <c r="BO116" s="697">
        <f>CN16</f>
        <v/>
      </c>
      <c r="BP116" s="697" t="n"/>
      <c r="BQ116" s="697" t="n"/>
      <c r="BR116" s="697" t="n"/>
      <c r="BS116" s="697" t="n">
        <v>0</v>
      </c>
      <c r="BT116" s="697" t="n">
        <v>0</v>
      </c>
      <c r="BU116" s="697" t="n">
        <v>0</v>
      </c>
      <c r="BV116" s="697" t="n">
        <v>0</v>
      </c>
      <c r="BW116" s="697" t="n">
        <v>0</v>
      </c>
      <c r="BX116" s="697" t="n">
        <v>0</v>
      </c>
      <c r="BY116" s="697" t="n"/>
      <c r="BZ116" s="699" t="n"/>
      <c r="CA116" s="699" t="n"/>
      <c r="CB116" s="431">
        <f>BZ116+IF(NOT(ISBLANK(OFFSET(CB116,0,6))),N(OFFSET(CB116,0,6)),N(OFFSET(CB116,0,7)))-CA116</f>
        <v/>
      </c>
      <c r="DN116" s="309" t="n"/>
      <c r="FK116" s="47" t="n"/>
    </row>
    <row r="117">
      <c r="A117" s="37" t="inlineStr">
        <is>
          <t>SACOLA M VENDA</t>
        </is>
      </c>
      <c r="B117" s="699" t="n">
        <v>150</v>
      </c>
      <c r="C117" s="762" t="n"/>
      <c r="D117" s="382" t="n"/>
      <c r="BL117" s="697" t="n">
        <v>0</v>
      </c>
      <c r="BM117" s="697" t="n">
        <v>0</v>
      </c>
      <c r="BN117" s="697" t="n">
        <v>0</v>
      </c>
      <c r="BO117" s="697">
        <f>CN24</f>
        <v/>
      </c>
      <c r="BP117" s="697" t="n">
        <v>130</v>
      </c>
      <c r="BQ117" s="697" t="n">
        <v>0</v>
      </c>
      <c r="BR117" s="697" t="n">
        <v>0</v>
      </c>
      <c r="BS117" s="697" t="n"/>
      <c r="BT117" s="697" t="n"/>
      <c r="BU117" s="697" t="n"/>
      <c r="BV117" s="697" t="n"/>
      <c r="BW117" s="697" t="n"/>
      <c r="BX117" s="697" t="n">
        <v>0</v>
      </c>
      <c r="BY117" s="697" t="n">
        <v>0</v>
      </c>
      <c r="BZ117" s="699" t="n">
        <v>0</v>
      </c>
      <c r="CA117" s="699" t="n">
        <v>0</v>
      </c>
      <c r="CB117" s="431">
        <f>BZ117+IF(NOT(ISBLANK(OFFSET(CB117,0,6))),N(OFFSET(CB117,0,6)),N(OFFSET(CB117,0,7)))-CA117</f>
        <v/>
      </c>
      <c r="DN117" s="309" t="n"/>
      <c r="FK117" s="47" t="n"/>
    </row>
    <row r="118">
      <c r="A118" s="37" t="inlineStr">
        <is>
          <t>KIT TAG 10 C/ 20</t>
        </is>
      </c>
      <c r="B118" s="699" t="n">
        <v>200</v>
      </c>
      <c r="C118" s="762" t="n"/>
      <c r="D118" s="382" t="n"/>
      <c r="BL118" s="697" t="n">
        <v>0</v>
      </c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5</v>
      </c>
      <c r="BS118" s="697" t="n"/>
      <c r="BT118" s="697" t="n"/>
      <c r="BU118" s="697" t="n"/>
      <c r="BV118" s="697" t="n"/>
      <c r="BW118" s="697" t="n"/>
      <c r="BX118" s="697" t="n">
        <v>0</v>
      </c>
      <c r="BY118" s="697" t="n">
        <v>0</v>
      </c>
      <c r="BZ118" s="699" t="n">
        <v>0</v>
      </c>
      <c r="CA118" s="699" t="n">
        <v>0</v>
      </c>
      <c r="CB118" s="431">
        <f>BZ118+IF(NOT(ISBLANK(OFFSET(CB118,0,6))),N(OFFSET(CB118,0,6)),N(OFFSET(CB118,0,7)))-CA118</f>
        <v/>
      </c>
      <c r="DN118" s="309" t="n"/>
      <c r="FK118" s="47" t="n"/>
    </row>
    <row r="119">
      <c r="A119" s="347" t="inlineStr">
        <is>
          <t>CAIXA M</t>
        </is>
      </c>
      <c r="B119" s="32" t="n">
        <v>100</v>
      </c>
      <c r="C119" s="773" t="n"/>
      <c r="D119" s="32" t="n"/>
      <c r="BL119" s="697" t="n">
        <v>0</v>
      </c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50</v>
      </c>
      <c r="BS119" s="697" t="n"/>
      <c r="BT119" s="697" t="n"/>
      <c r="BU119" s="697" t="n"/>
      <c r="BV119" s="697" t="n"/>
      <c r="BW119" s="697" t="n"/>
      <c r="BX119" s="697" t="n">
        <v>50</v>
      </c>
      <c r="BY119" s="697" t="n">
        <v>50</v>
      </c>
      <c r="BZ119" s="699" t="n">
        <v>50</v>
      </c>
      <c r="CA119" s="699" t="n">
        <v>50</v>
      </c>
      <c r="CB119" s="431">
        <f>BZ119+IF(NOT(ISBLANK(OFFSET(CB119,0,6))),N(OFFSET(CB119,0,6)),N(OFFSET(CB119,0,7)))-CA119</f>
        <v/>
      </c>
      <c r="DN119" s="309" t="n"/>
      <c r="FK119" s="47" t="n"/>
    </row>
    <row r="120">
      <c r="A120" s="347" t="inlineStr">
        <is>
          <t>CARTUCHO P</t>
        </is>
      </c>
      <c r="B120" s="32" t="n">
        <v>200</v>
      </c>
      <c r="C120" s="773" t="n"/>
      <c r="D120" s="32" t="n"/>
      <c r="BL120" s="697" t="n">
        <v>0</v>
      </c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50</v>
      </c>
      <c r="BS120" s="697" t="n"/>
      <c r="BT120" s="697" t="n"/>
      <c r="BU120" s="697" t="n"/>
      <c r="BV120" s="697" t="n"/>
      <c r="BW120" s="697" t="n"/>
      <c r="BX120" s="697" t="n">
        <v>31</v>
      </c>
      <c r="BY120" s="697" t="n">
        <v>31</v>
      </c>
      <c r="BZ120" s="699" t="n">
        <v>31</v>
      </c>
      <c r="CA120" s="699" t="n">
        <v>31</v>
      </c>
      <c r="CB120" s="431">
        <f>BZ120+IF(NOT(ISBLANK(OFFSET(CB120,0,6))),N(OFFSET(CB120,0,6)),N(OFFSET(CB120,0,7)))-CA120</f>
        <v/>
      </c>
      <c r="DN120" s="309" t="n"/>
      <c r="FK120" s="47" t="n"/>
    </row>
    <row r="121">
      <c r="DN121" s="309" t="n"/>
      <c r="FK121" s="47" t="n"/>
    </row>
    <row r="122">
      <c r="A122" s="458" t="inlineStr">
        <is>
          <t>BOTICÁRIO MÃES/26</t>
        </is>
      </c>
      <c r="B122" s="411" t="inlineStr">
        <is>
          <t>PC</t>
        </is>
      </c>
      <c r="C122" s="411" t="inlineStr">
        <is>
          <t>R$</t>
        </is>
      </c>
      <c r="D122" s="411" t="n"/>
      <c r="BL122" s="746" t="n">
        <v>46069</v>
      </c>
      <c r="BM122" s="746" t="n">
        <v>46076</v>
      </c>
      <c r="BN122" s="746" t="n">
        <v>46083</v>
      </c>
      <c r="BO122" s="746" t="n">
        <v>46090</v>
      </c>
      <c r="BP122" s="746" t="n">
        <v>46097</v>
      </c>
      <c r="BQ122" s="746" t="n">
        <v>46104</v>
      </c>
      <c r="BR122" s="746" t="n">
        <v>46111</v>
      </c>
      <c r="BS122" s="746" t="n">
        <v>46118</v>
      </c>
      <c r="BT122" s="746" t="n">
        <v>46125</v>
      </c>
      <c r="BU122" s="746" t="n">
        <v>46132</v>
      </c>
      <c r="BV122" s="746" t="n">
        <v>46139</v>
      </c>
      <c r="BW122" s="746" t="n">
        <v>46146</v>
      </c>
      <c r="BX122" s="746" t="n">
        <v>46154</v>
      </c>
      <c r="BY122" s="746" t="n">
        <v>46160</v>
      </c>
      <c r="BZ122" s="747" t="n">
        <v>46161.48025125</v>
      </c>
      <c r="CA122" s="747" t="n">
        <v>46161.48090906846</v>
      </c>
      <c r="CB122" s="758" t="inlineStr">
        <is>
          <t>USOU</t>
        </is>
      </c>
      <c r="DN122" s="309" t="n"/>
      <c r="FK122" s="47" t="n"/>
    </row>
    <row r="123">
      <c r="A123" s="37" t="inlineStr">
        <is>
          <t>SACOLA P</t>
        </is>
      </c>
      <c r="B123" s="699" t="n">
        <v>200</v>
      </c>
      <c r="C123" s="762" t="n"/>
      <c r="D123" s="382" t="n"/>
      <c r="BL123" s="697" t="n">
        <v>0</v>
      </c>
      <c r="BM123" s="697" t="n">
        <v>0</v>
      </c>
      <c r="BN123" s="697" t="n">
        <v>0</v>
      </c>
      <c r="BO123" s="697" t="n">
        <v>0</v>
      </c>
      <c r="BP123" s="697" t="n">
        <v>0</v>
      </c>
      <c r="BQ123" s="697" t="n">
        <v>0</v>
      </c>
      <c r="BR123" s="697">
        <f>CL9</f>
        <v/>
      </c>
      <c r="BS123" s="697" t="n">
        <v>1600</v>
      </c>
      <c r="BT123" s="697" t="n">
        <v>600</v>
      </c>
      <c r="BU123" s="697" t="n">
        <v>200</v>
      </c>
      <c r="BV123" s="697" t="n">
        <v>200</v>
      </c>
      <c r="BW123" s="697" t="n">
        <v>0</v>
      </c>
      <c r="BX123" s="697" t="n">
        <v>0</v>
      </c>
      <c r="BY123" s="697" t="n"/>
      <c r="BZ123" s="699" t="n"/>
      <c r="CA123" s="699" t="n"/>
      <c r="CB123" s="431">
        <f>BZ123+IF(NOT(ISBLANK(OFFSET(CB123,0,6))),N(OFFSET(CB123,0,6)),N(OFFSET(CB123,0,7)))-CA123</f>
        <v/>
      </c>
      <c r="DN123" s="309" t="n"/>
      <c r="FK123" s="47" t="n"/>
    </row>
    <row r="124">
      <c r="A124" s="37" t="inlineStr">
        <is>
          <t>SACOLA M</t>
        </is>
      </c>
      <c r="B124" s="699" t="n">
        <v>200</v>
      </c>
      <c r="C124" s="762" t="n"/>
      <c r="D124" s="382" t="n"/>
      <c r="BL124" s="697" t="n">
        <v>0</v>
      </c>
      <c r="BM124" s="697" t="n">
        <v>0</v>
      </c>
      <c r="BN124" s="697" t="n">
        <v>0</v>
      </c>
      <c r="BO124" s="697" t="n">
        <v>0</v>
      </c>
      <c r="BP124" s="697" t="n">
        <v>0</v>
      </c>
      <c r="BQ124" s="697" t="n">
        <v>0</v>
      </c>
      <c r="BR124" s="697">
        <f>CK10</f>
        <v/>
      </c>
      <c r="BS124" s="697" t="n">
        <v>2200</v>
      </c>
      <c r="BT124" s="697" t="n">
        <v>1200</v>
      </c>
      <c r="BU124" s="697" t="n">
        <v>800</v>
      </c>
      <c r="BV124" s="697" t="n">
        <v>600</v>
      </c>
      <c r="BW124" s="697" t="n">
        <v>0</v>
      </c>
      <c r="BX124" s="697" t="n">
        <v>0</v>
      </c>
      <c r="BY124" s="697" t="n"/>
      <c r="BZ124" s="699" t="n"/>
      <c r="CA124" s="699" t="n"/>
      <c r="CB124" s="431">
        <f>BZ124+IF(NOT(ISBLANK(OFFSET(CB124,0,6))),N(OFFSET(CB124,0,6)),N(OFFSET(CB124,0,7)))-CA124</f>
        <v/>
      </c>
      <c r="DN124" s="309" t="n"/>
      <c r="FK124" s="47" t="n"/>
    </row>
    <row r="125">
      <c r="A125" s="37" t="inlineStr">
        <is>
          <t>SACOLA G</t>
        </is>
      </c>
      <c r="B125" s="699" t="n">
        <v>100</v>
      </c>
      <c r="C125" s="762" t="n"/>
      <c r="D125" s="382" t="n"/>
      <c r="BL125" s="697" t="n">
        <v>0</v>
      </c>
      <c r="BM125" s="697" t="n">
        <v>0</v>
      </c>
      <c r="BN125" s="697" t="n">
        <v>0</v>
      </c>
      <c r="BO125" s="697" t="n">
        <v>0</v>
      </c>
      <c r="BP125" s="697" t="n">
        <v>0</v>
      </c>
      <c r="BQ125" s="697" t="n">
        <v>0</v>
      </c>
      <c r="BR125" s="697">
        <f>CK11</f>
        <v/>
      </c>
      <c r="BS125" s="697" t="n">
        <v>100</v>
      </c>
      <c r="BT125" s="697" t="n">
        <v>0</v>
      </c>
      <c r="BU125" s="697" t="n">
        <v>400</v>
      </c>
      <c r="BV125" s="697" t="n">
        <v>300</v>
      </c>
      <c r="BW125" s="697" t="n">
        <v>300</v>
      </c>
      <c r="BX125" s="697" t="n">
        <v>300</v>
      </c>
      <c r="BY125" s="697" t="n"/>
      <c r="BZ125" s="699" t="n"/>
      <c r="CA125" s="699" t="n"/>
      <c r="CB125" s="431">
        <f>BZ125+IF(NOT(ISBLANK(OFFSET(CB125,0,6))),N(OFFSET(CB125,0,6)),N(OFFSET(CB125,0,7)))-CA125</f>
        <v/>
      </c>
      <c r="DN125" s="309" t="n"/>
      <c r="FK125" s="47" t="n"/>
    </row>
    <row r="126">
      <c r="A126" s="37" t="inlineStr">
        <is>
          <t>SACOLA P VENDA</t>
        </is>
      </c>
      <c r="B126" s="699" t="n">
        <v>200</v>
      </c>
      <c r="C126" s="762" t="n"/>
      <c r="D126" s="382" t="n"/>
      <c r="BL126" s="697" t="n">
        <v>0</v>
      </c>
      <c r="BM126" s="697" t="n">
        <v>0</v>
      </c>
      <c r="BN126" s="697" t="n">
        <v>0</v>
      </c>
      <c r="BO126" s="697" t="n">
        <v>0</v>
      </c>
      <c r="BP126" s="697" t="n">
        <v>0</v>
      </c>
      <c r="BQ126" s="697" t="n">
        <v>0</v>
      </c>
      <c r="BR126" s="697">
        <f>CK22</f>
        <v/>
      </c>
      <c r="BS126" s="697" t="n"/>
      <c r="BT126" s="697" t="n"/>
      <c r="BU126" s="697" t="n"/>
      <c r="BV126" s="697" t="n"/>
      <c r="BW126" s="697" t="n"/>
      <c r="BX126" s="314">
        <f>127-114</f>
        <v/>
      </c>
      <c r="BY126" s="697" t="n">
        <v>10</v>
      </c>
      <c r="BZ126" s="699" t="n">
        <v>10</v>
      </c>
      <c r="CA126" s="699" t="n">
        <v>10</v>
      </c>
      <c r="CB126" s="431">
        <f>BZ126+IF(NOT(ISBLANK(OFFSET(CB126,0,6))),N(OFFSET(CB126,0,6)),N(OFFSET(CB126,0,7)))-CA126</f>
        <v/>
      </c>
      <c r="DN126" s="309" t="n"/>
      <c r="FK126" s="47" t="n"/>
    </row>
    <row r="127">
      <c r="A127" s="37" t="inlineStr">
        <is>
          <t>SACOLA M VENDA</t>
        </is>
      </c>
      <c r="B127" s="699" t="n">
        <v>200</v>
      </c>
      <c r="C127" s="762" t="n"/>
      <c r="D127" s="382" t="n"/>
      <c r="BL127" s="697" t="n">
        <v>0</v>
      </c>
      <c r="BM127" s="697" t="n">
        <v>0</v>
      </c>
      <c r="BN127" s="697" t="n">
        <v>0</v>
      </c>
      <c r="BO127" s="697" t="n">
        <v>0</v>
      </c>
      <c r="BP127" s="697" t="n">
        <v>0</v>
      </c>
      <c r="BQ127" s="697" t="n">
        <v>0</v>
      </c>
      <c r="BR127" s="697" t="n">
        <v>0</v>
      </c>
      <c r="BS127" s="697" t="n"/>
      <c r="BT127" s="697" t="n"/>
      <c r="BU127" s="697" t="n"/>
      <c r="BV127" s="697" t="n"/>
      <c r="BW127" s="697" t="n"/>
      <c r="BX127" s="697" t="n">
        <v>21</v>
      </c>
      <c r="BY127" s="697" t="n">
        <v>15</v>
      </c>
      <c r="BZ127" s="699" t="n">
        <v>15</v>
      </c>
      <c r="CA127" s="699" t="n">
        <v>15</v>
      </c>
      <c r="CB127" s="431">
        <f>BZ127+IF(NOT(ISBLANK(OFFSET(CB127,0,6))),N(OFFSET(CB127,0,6)),N(OFFSET(CB127,0,7)))-CA127</f>
        <v/>
      </c>
      <c r="DN127" s="309" t="n"/>
      <c r="FK127" s="47" t="n"/>
    </row>
    <row r="128">
      <c r="A128" s="347" t="inlineStr">
        <is>
          <t>KIT PAPEL DE SEDA 10 C/ 20</t>
        </is>
      </c>
      <c r="B128" s="32" t="n">
        <v>200</v>
      </c>
      <c r="C128" s="773" t="n"/>
      <c r="D128" s="32" t="n"/>
      <c r="BL128" s="697" t="n">
        <v>0</v>
      </c>
      <c r="BM128" s="697" t="n">
        <v>0</v>
      </c>
      <c r="BN128" s="697" t="n">
        <v>0</v>
      </c>
      <c r="BO128" s="697" t="n">
        <v>0</v>
      </c>
      <c r="BP128" s="697" t="n">
        <v>0</v>
      </c>
      <c r="BQ128" s="697" t="n">
        <v>0</v>
      </c>
      <c r="BR128" s="697">
        <f>CK27</f>
        <v/>
      </c>
      <c r="BS128" s="697" t="n"/>
      <c r="BT128" s="697" t="n"/>
      <c r="BU128" s="697" t="n"/>
      <c r="BV128" s="697" t="n"/>
      <c r="BW128" s="697" t="n"/>
      <c r="BX128" s="697" t="n">
        <v>0</v>
      </c>
      <c r="BY128" s="697" t="n">
        <v>0</v>
      </c>
      <c r="BZ128" s="699" t="n">
        <v>0</v>
      </c>
      <c r="CA128" s="699" t="n">
        <v>0</v>
      </c>
      <c r="CB128" s="431">
        <f>BZ128+IF(NOT(ISBLANK(OFFSET(CB128,0,6))),N(OFFSET(CB128,0,6)),N(OFFSET(CB128,0,7)))-CA128</f>
        <v/>
      </c>
      <c r="DN128" s="309" t="n"/>
      <c r="FK128" s="47" t="n"/>
    </row>
    <row r="129">
      <c r="A129" s="347" t="inlineStr">
        <is>
          <t>CAIXA P</t>
        </is>
      </c>
      <c r="B129" s="32" t="n">
        <v>150</v>
      </c>
      <c r="C129" s="773" t="n"/>
      <c r="D129" s="32" t="n"/>
      <c r="BL129" s="697" t="n">
        <v>0</v>
      </c>
      <c r="BM129" s="697" t="n">
        <v>0</v>
      </c>
      <c r="BN129" s="697" t="n">
        <v>0</v>
      </c>
      <c r="BO129" s="697" t="n">
        <v>0</v>
      </c>
      <c r="BP129" s="697" t="n">
        <v>0</v>
      </c>
      <c r="BQ129" s="697" t="n">
        <v>0</v>
      </c>
      <c r="BR129" s="697" t="n">
        <v>0</v>
      </c>
      <c r="BS129" s="697" t="n"/>
      <c r="BT129" s="697" t="n"/>
      <c r="BU129" s="697" t="n"/>
      <c r="BV129" s="697" t="n"/>
      <c r="BW129" s="697" t="n"/>
      <c r="BX129" s="697" t="n">
        <v>63</v>
      </c>
      <c r="BY129" s="697" t="n">
        <v>63</v>
      </c>
      <c r="BZ129" s="699" t="n">
        <v>63</v>
      </c>
      <c r="CA129" s="699" t="n">
        <v>63</v>
      </c>
      <c r="CB129" s="431">
        <f>BZ129+IF(NOT(ISBLANK(OFFSET(CB129,0,6))),N(OFFSET(CB129,0,6)),N(OFFSET(CB129,0,7)))-CA129</f>
        <v/>
      </c>
      <c r="DN129" s="309" t="n"/>
      <c r="FK129" s="47" t="n"/>
    </row>
    <row r="130">
      <c r="A130" s="347" t="inlineStr">
        <is>
          <t>CAIXA M</t>
        </is>
      </c>
      <c r="B130" s="32" t="n">
        <v>100</v>
      </c>
      <c r="C130" s="773" t="n"/>
      <c r="D130" s="32" t="n"/>
      <c r="BL130" s="697" t="n">
        <v>0</v>
      </c>
      <c r="BM130" s="697" t="n">
        <v>0</v>
      </c>
      <c r="BN130" s="697" t="n">
        <v>0</v>
      </c>
      <c r="BO130" s="697" t="n">
        <v>0</v>
      </c>
      <c r="BP130" s="697" t="n">
        <v>0</v>
      </c>
      <c r="BQ130" s="697" t="n">
        <v>0</v>
      </c>
      <c r="BR130" s="697" t="n">
        <v>0</v>
      </c>
      <c r="BS130" s="697" t="n"/>
      <c r="BT130" s="697" t="n"/>
      <c r="BU130" s="697" t="n"/>
      <c r="BV130" s="697" t="n"/>
      <c r="BW130" s="697" t="n"/>
      <c r="BX130" s="697" t="n">
        <v>1</v>
      </c>
      <c r="BY130" s="697" t="n">
        <v>0</v>
      </c>
      <c r="BZ130" s="699" t="n">
        <v>0</v>
      </c>
      <c r="CA130" s="699" t="n">
        <v>0</v>
      </c>
      <c r="CB130" s="431">
        <f>BZ130+IF(NOT(ISBLANK(OFFSET(CB130,0,6))),N(OFFSET(CB130,0,6)),N(OFFSET(CB130,0,7)))-CA130</f>
        <v/>
      </c>
      <c r="DN130" s="309" t="n"/>
      <c r="FK130" s="47" t="n"/>
    </row>
    <row r="131">
      <c r="A131" s="347" t="inlineStr">
        <is>
          <t>CARTUCHO M</t>
        </is>
      </c>
      <c r="B131" s="32" t="n">
        <v>150</v>
      </c>
      <c r="C131" s="773" t="n"/>
      <c r="D131" s="32" t="n"/>
      <c r="BL131" s="697" t="n">
        <v>0</v>
      </c>
      <c r="BM131" s="697" t="n">
        <v>0</v>
      </c>
      <c r="BN131" s="697" t="n">
        <v>0</v>
      </c>
      <c r="BO131" s="697" t="n">
        <v>0</v>
      </c>
      <c r="BP131" s="697" t="n">
        <v>0</v>
      </c>
      <c r="BQ131" s="697" t="n">
        <v>0</v>
      </c>
      <c r="BR131" s="697" t="n">
        <v>0</v>
      </c>
      <c r="BS131" s="697" t="n"/>
      <c r="BT131" s="697" t="n"/>
      <c r="BU131" s="697" t="n"/>
      <c r="BV131" s="697" t="n"/>
      <c r="BW131" s="697" t="n"/>
      <c r="BX131" s="697" t="n">
        <v>0</v>
      </c>
      <c r="BY131" s="697" t="n">
        <v>0</v>
      </c>
      <c r="BZ131" s="699" t="n">
        <v>0</v>
      </c>
      <c r="CA131" s="699" t="n">
        <v>0</v>
      </c>
      <c r="CB131" s="431">
        <f>BZ131+IF(NOT(ISBLANK(OFFSET(CB131,0,6))),N(OFFSET(CB131,0,6)),N(OFFSET(CB131,0,7)))-CA131</f>
        <v/>
      </c>
      <c r="DN131" s="309" t="n"/>
      <c r="FK131" s="47" t="n"/>
    </row>
    <row r="132">
      <c r="DN132" s="309" t="n"/>
      <c r="FK132" s="47" t="n"/>
    </row>
    <row r="133">
      <c r="DN133" s="309" t="n"/>
      <c r="FK133" s="47" t="n"/>
    </row>
    <row r="134" ht="21" customHeight="1">
      <c r="A134" s="838" t="inlineStr">
        <is>
          <t>SOBRAS DATAS COMEMORATIVAS</t>
        </is>
      </c>
      <c r="B134" s="731" t="n"/>
      <c r="C134" s="775" t="n"/>
      <c r="ID134" s="29" t="n"/>
      <c r="IS134" s="29" t="n"/>
      <c r="JC134" s="29" t="n"/>
      <c r="JD134" s="29" t="n"/>
      <c r="JE134" s="29" t="n"/>
      <c r="JF134" s="29" t="n"/>
      <c r="JG134" s="29" t="n"/>
      <c r="JH134" s="29" t="n"/>
      <c r="JI134" s="29" t="n"/>
      <c r="JK134" s="29" t="n"/>
      <c r="JM134" s="29" t="n"/>
      <c r="JN134" s="29" t="n"/>
      <c r="JO134" s="29" t="n"/>
      <c r="JP134" s="29" t="n"/>
      <c r="JQ134" s="29" t="n"/>
      <c r="JR134" s="29" t="n"/>
      <c r="JS134" s="29" t="n"/>
      <c r="JT134" s="29" t="n"/>
      <c r="JU134" s="29" t="n"/>
      <c r="JV134" s="29" t="n"/>
      <c r="JW134" s="29" t="n"/>
      <c r="JX134" s="29" t="n"/>
      <c r="JY134" s="29" t="n"/>
      <c r="JZ134" s="29" t="n"/>
      <c r="KA134" s="29" t="n"/>
      <c r="KB134" s="29" t="n"/>
      <c r="KC134" s="29" t="n"/>
      <c r="KD134" s="29" t="n"/>
      <c r="KE134" s="29" t="n"/>
      <c r="KF134" s="29" t="n"/>
      <c r="KG134" s="29" t="n"/>
      <c r="KH134" s="29" t="n"/>
      <c r="KI134" s="29" t="n"/>
      <c r="KJ134" s="29" t="n"/>
      <c r="KK134" s="29" t="n"/>
      <c r="KL134" s="29" t="n"/>
      <c r="KM134" s="29" t="n"/>
      <c r="KN134" s="29" t="n"/>
      <c r="KO134" s="29" t="n"/>
      <c r="KP134" s="29" t="n"/>
      <c r="KQ134" s="29" t="n"/>
      <c r="KR134" s="29" t="n"/>
      <c r="KS134" s="29" t="n"/>
      <c r="KT134" s="29" t="n"/>
      <c r="KU134" s="29" t="n"/>
      <c r="KV134" s="29" t="n"/>
      <c r="KW134" s="29" t="n"/>
      <c r="KX134" s="29" t="n"/>
      <c r="KY134" s="29" t="n"/>
      <c r="KZ134" s="29" t="n"/>
      <c r="LA134" s="29" t="n"/>
      <c r="LB134" s="29" t="n"/>
      <c r="LC134" s="29" t="n"/>
      <c r="LD134" s="29" t="n"/>
      <c r="LE134" s="29" t="n"/>
      <c r="LF134" s="29" t="n"/>
      <c r="LG134" s="29" t="n"/>
      <c r="LH134" s="29" t="n"/>
      <c r="LI134" s="29" t="n"/>
      <c r="LJ134" s="29" t="n"/>
      <c r="LK134" s="29" t="n"/>
      <c r="LL134" s="29" t="n"/>
      <c r="LM134" s="29" t="n"/>
      <c r="LN134" s="29" t="n"/>
      <c r="LO134" s="29" t="n"/>
      <c r="LP134" s="29" t="n"/>
      <c r="LQ134" s="29" t="n"/>
      <c r="LR134" s="29" t="n"/>
      <c r="LS134" s="29" t="n"/>
      <c r="LT134" s="29" t="n"/>
      <c r="LU134" s="29" t="n"/>
      <c r="LV134" s="29" t="n"/>
      <c r="LW134" s="29" t="n"/>
      <c r="LX134" s="29" t="n"/>
      <c r="LY134" s="29" t="n"/>
      <c r="LZ134" s="29" t="n"/>
      <c r="MA134" s="29" t="n"/>
      <c r="MB134" s="29" t="n"/>
      <c r="MC134" s="29" t="n"/>
      <c r="MD134" s="29" t="n"/>
      <c r="ME134" s="29" t="n"/>
      <c r="MF134" s="29" t="n"/>
      <c r="MG134" s="29" t="n"/>
      <c r="MH134" s="29" t="n"/>
      <c r="MI134" s="29" t="n"/>
      <c r="MJ134" s="29" t="n"/>
      <c r="MK134" s="29" t="n"/>
      <c r="ML134" s="29" t="n"/>
      <c r="MM134" s="29" t="n"/>
      <c r="MN134" s="29" t="n"/>
      <c r="MO134" s="29" t="n"/>
      <c r="MP134" s="29" t="n"/>
      <c r="MQ134" s="29" t="n"/>
      <c r="MR134" s="29" t="n"/>
      <c r="MS134" s="29" t="n"/>
      <c r="MT134" s="29" t="n"/>
      <c r="MU134" s="29" t="n"/>
      <c r="MV134" s="29" t="n"/>
      <c r="MW134" s="29" t="n"/>
      <c r="MX134" s="29" t="n"/>
      <c r="MY134" s="29" t="n"/>
      <c r="MZ134" s="29" t="n"/>
      <c r="NA134" s="29" t="n"/>
      <c r="NB134" s="29" t="n"/>
      <c r="NC134" s="29" t="n"/>
      <c r="ND134" s="29" t="n"/>
      <c r="NE134" s="29" t="n"/>
      <c r="NF134" s="29" t="n"/>
      <c r="NG134" s="29" t="n"/>
      <c r="NH134" s="29" t="n"/>
      <c r="NI134" s="29" t="n"/>
      <c r="NJ134" s="29" t="n"/>
      <c r="NK134" s="29" t="n"/>
      <c r="NL134" s="29" t="n"/>
      <c r="NM134" s="29" t="n"/>
      <c r="NN134" s="29" t="n"/>
      <c r="NO134" s="29" t="n"/>
      <c r="NP134" s="29" t="n"/>
      <c r="NQ134" s="29" t="n"/>
      <c r="NR134" s="29" t="n"/>
      <c r="NS134" s="29" t="n"/>
      <c r="NT134" s="29" t="n"/>
    </row>
    <row r="135" ht="37.5" customHeight="1">
      <c r="A135" s="165" t="inlineStr">
        <is>
          <t>ITENS</t>
        </is>
      </c>
      <c r="B135" s="165" t="n"/>
      <c r="C135" s="165" t="inlineStr">
        <is>
          <t>TEMOS EM ESTOQUE</t>
        </is>
      </c>
    </row>
    <row r="136">
      <c r="A136" s="190" t="n"/>
      <c r="B136" s="32" t="n"/>
      <c r="C136" s="32" t="n"/>
      <c r="CD136" s="5" t="n"/>
      <c r="CE136" s="5" t="n"/>
      <c r="CG136" s="5" t="n"/>
      <c r="CH136" s="5" t="n"/>
      <c r="CI136" s="5" t="n"/>
      <c r="CJ136" s="5" t="n"/>
      <c r="CK136" s="5" t="n"/>
      <c r="CL136" s="5" t="n"/>
      <c r="CM136" s="5" t="n"/>
      <c r="CN136" s="5" t="n"/>
      <c r="CO136" s="5" t="n"/>
      <c r="CP136" s="5" t="n"/>
      <c r="CQ136" s="5" t="n"/>
      <c r="CR136" s="5" t="n"/>
      <c r="CS136" s="5" t="n"/>
      <c r="CT136" s="5" t="n"/>
      <c r="CU136" s="5" t="n"/>
      <c r="CV136" s="5" t="n"/>
      <c r="CW136" s="5" t="n"/>
      <c r="CX136" s="5" t="n"/>
      <c r="CY136" s="5" t="n"/>
      <c r="CZ136" s="5" t="n"/>
      <c r="DA136" s="5" t="n"/>
      <c r="DB136" s="5" t="n"/>
      <c r="DC136" s="5" t="n"/>
      <c r="DD136" s="5" t="n"/>
      <c r="DE136" s="5" t="n"/>
      <c r="DF136" s="5" t="n"/>
      <c r="DG136" s="5" t="n"/>
      <c r="DH136" s="5" t="n"/>
      <c r="DI136" s="5" t="n"/>
      <c r="DJ136" s="5" t="n"/>
      <c r="DK136" s="5" t="n"/>
      <c r="DL136" s="5" t="n"/>
      <c r="DM136" s="5" t="n"/>
      <c r="DN136" s="306" t="n"/>
      <c r="DO136" s="5" t="n"/>
      <c r="DP136" s="5" t="n"/>
      <c r="DQ136" s="5" t="n"/>
      <c r="DR136" s="5" t="n"/>
      <c r="DS136" s="5" t="n"/>
      <c r="DT136" s="5" t="n"/>
      <c r="DU136" s="5" t="n"/>
      <c r="DV136" s="5" t="n"/>
      <c r="DW136" s="5" t="n"/>
      <c r="DX136" s="5" t="n"/>
      <c r="DY136" s="5" t="n"/>
      <c r="DZ136" s="5" t="n"/>
      <c r="EA136" s="5" t="n"/>
      <c r="EB136" s="5" t="n"/>
      <c r="EC136" s="5" t="n"/>
      <c r="ED136" s="5" t="n"/>
      <c r="EE136" s="5" t="n"/>
      <c r="EF136" s="5" t="n"/>
      <c r="EG136" s="5" t="n"/>
      <c r="EH136" s="5" t="n"/>
      <c r="EI136" s="5" t="n"/>
      <c r="EJ136" s="5" t="n"/>
      <c r="EK136" s="5" t="n"/>
      <c r="EL136" s="5" t="n"/>
      <c r="EM136" s="5" t="n"/>
      <c r="EN136" s="5" t="n"/>
      <c r="EO136" s="5" t="n"/>
      <c r="EP136" s="5" t="n"/>
      <c r="EQ136" s="5" t="n"/>
      <c r="ER136" s="5" t="n"/>
      <c r="ES136" s="5" t="n"/>
      <c r="ET136" s="5" t="n"/>
      <c r="EU136" s="5" t="n"/>
      <c r="EV136" s="5" t="n"/>
      <c r="EW136" s="5" t="n"/>
      <c r="EX136" s="5" t="n"/>
      <c r="EY136" s="5" t="n"/>
      <c r="EZ136" s="5" t="n"/>
      <c r="FA136" s="5" t="n"/>
      <c r="FB136" s="5" t="n"/>
      <c r="FC136" s="5" t="n"/>
      <c r="FD136" s="5" t="n"/>
      <c r="FE136" s="5" t="n"/>
      <c r="FF136" s="5" t="n"/>
      <c r="FG136" s="5" t="n"/>
      <c r="FH136" s="5" t="n"/>
      <c r="FI136" s="5" t="n"/>
      <c r="FJ136" s="5" t="n"/>
      <c r="FK136" s="47" t="n"/>
      <c r="FL136" s="5" t="n"/>
      <c r="FM136" s="5" t="n"/>
      <c r="FN136" s="5" t="n"/>
      <c r="FO136" s="5" t="n"/>
      <c r="FP136" s="5" t="n"/>
      <c r="FQ136" s="5" t="n"/>
      <c r="FR136" s="5" t="n"/>
      <c r="FS136" s="5" t="n"/>
      <c r="FT136" s="5" t="n"/>
      <c r="FU136" s="5" t="n"/>
      <c r="FV136" s="5" t="n"/>
      <c r="FW136" s="5" t="n"/>
      <c r="FX136" s="5" t="n"/>
      <c r="FY136" s="5" t="n"/>
      <c r="GA136" s="5" t="n"/>
      <c r="GC136" s="5" t="n"/>
      <c r="GD136" s="5" t="n"/>
      <c r="GE136" s="5" t="n"/>
      <c r="GF136" s="5" t="n"/>
      <c r="GG136" s="5" t="n"/>
      <c r="GH136" s="5" t="n"/>
      <c r="GI136" s="5" t="n"/>
      <c r="GJ136" s="5" t="n"/>
      <c r="GK136" s="5" t="n"/>
      <c r="GL136" s="5" t="n"/>
      <c r="GM136" s="5" t="n"/>
      <c r="GN136" s="5" t="n"/>
      <c r="GO136" s="5" t="n"/>
      <c r="GP136" s="5" t="n"/>
      <c r="GQ136" s="5" t="n"/>
    </row>
    <row r="137">
      <c r="A137" s="843" t="n"/>
      <c r="B137" s="731" t="n"/>
      <c r="C137" s="775" t="n"/>
      <c r="FK137" s="47" t="n"/>
    </row>
    <row r="138">
      <c r="A138" s="223" t="n"/>
      <c r="B138" s="32" t="n"/>
      <c r="C138" s="32" t="n"/>
    </row>
  </sheetData>
  <mergeCells count="103">
    <mergeCell ref="A111:BZ111"/>
    <mergeCell ref="HP21:HP22"/>
    <mergeCell ref="IJ21:IJ22"/>
    <mergeCell ref="GQ5:GQ6"/>
    <mergeCell ref="GS5:GS6"/>
    <mergeCell ref="A1:E1"/>
    <mergeCell ref="HK5:HK6"/>
    <mergeCell ref="IB7:IB9"/>
    <mergeCell ref="HT31:HT32"/>
    <mergeCell ref="IL7:IL8"/>
    <mergeCell ref="IH7:IH9"/>
    <mergeCell ref="IN7:IN8"/>
    <mergeCell ref="IJ7:IJ9"/>
    <mergeCell ref="HM5:HN6"/>
    <mergeCell ref="IP7:IP8"/>
    <mergeCell ref="IR7:IR8"/>
    <mergeCell ref="HY5:HZ6"/>
    <mergeCell ref="IF31:IF32"/>
    <mergeCell ref="GY5:GY6"/>
    <mergeCell ref="HA5:HA6"/>
    <mergeCell ref="IC31:IC32"/>
    <mergeCell ref="IE31:IE32"/>
    <mergeCell ref="IA21:IA22"/>
    <mergeCell ref="IC21:IC22"/>
    <mergeCell ref="HP7:HP9"/>
    <mergeCell ref="HD5:HD6"/>
    <mergeCell ref="HU7:HU9"/>
    <mergeCell ref="HM31:HM32"/>
    <mergeCell ref="ID7:ID9"/>
    <mergeCell ref="B3:C3"/>
    <mergeCell ref="HM21:HM22"/>
    <mergeCell ref="IA7:IA9"/>
    <mergeCell ref="IO7:IO8"/>
    <mergeCell ref="HP31:HP32"/>
    <mergeCell ref="HY7:HY9"/>
    <mergeCell ref="B2:C2"/>
    <mergeCell ref="IB31:IB32"/>
    <mergeCell ref="HN21:HN22"/>
    <mergeCell ref="ID31:ID32"/>
    <mergeCell ref="HZ21:HZ22"/>
    <mergeCell ref="HF5:HF6"/>
    <mergeCell ref="HR21:HR22"/>
    <mergeCell ref="IH31:IH32"/>
    <mergeCell ref="HT21:HT22"/>
    <mergeCell ref="GU5:GU6"/>
    <mergeCell ref="IF21:IF22"/>
    <mergeCell ref="GW5:GW6"/>
    <mergeCell ref="IH21:IH22"/>
    <mergeCell ref="HN7:HN9"/>
    <mergeCell ref="HG5:HG6"/>
    <mergeCell ref="HI5:HI6"/>
    <mergeCell ref="HZ7:HZ9"/>
    <mergeCell ref="IF7:IF9"/>
    <mergeCell ref="C5:C6"/>
    <mergeCell ref="HU31:HU32"/>
    <mergeCell ref="HW31:HW32"/>
    <mergeCell ref="HS21:HS22"/>
    <mergeCell ref="IG7:IG9"/>
    <mergeCell ref="HU21:HU22"/>
    <mergeCell ref="HY31:HY32"/>
    <mergeCell ref="IA31:IA32"/>
    <mergeCell ref="HW21:HW22"/>
    <mergeCell ref="HT7:HT9"/>
    <mergeCell ref="HY21:HY22"/>
    <mergeCell ref="GZ5:GZ6"/>
    <mergeCell ref="HQ7:HQ9"/>
    <mergeCell ref="HB5:HB6"/>
    <mergeCell ref="GR5:GR6"/>
    <mergeCell ref="HS7:HS9"/>
    <mergeCell ref="GT5:GT6"/>
    <mergeCell ref="A134:C134"/>
    <mergeCell ref="HW7:HW9"/>
    <mergeCell ref="IM7:IM8"/>
    <mergeCell ref="HN31:HN32"/>
    <mergeCell ref="HR7:HR9"/>
    <mergeCell ref="A137:C137"/>
    <mergeCell ref="IB21:IB22"/>
    <mergeCell ref="ID21:ID22"/>
    <mergeCell ref="IL5:IQ6"/>
    <mergeCell ref="GQ37:HJ37"/>
    <mergeCell ref="IJ31:IJ32"/>
    <mergeCell ref="HC5:HC6"/>
    <mergeCell ref="HE5:HE6"/>
    <mergeCell ref="IG31:IG32"/>
    <mergeCell ref="IE21:IE22"/>
    <mergeCell ref="IG21:IG22"/>
    <mergeCell ref="HO31:HO32"/>
    <mergeCell ref="A5:A6"/>
    <mergeCell ref="HQ31:HQ32"/>
    <mergeCell ref="HS31:HS32"/>
    <mergeCell ref="HO21:HO22"/>
    <mergeCell ref="IC7:IC9"/>
    <mergeCell ref="HQ21:HQ22"/>
    <mergeCell ref="IE7:IE9"/>
    <mergeCell ref="B5:B6"/>
    <mergeCell ref="D5:D6"/>
    <mergeCell ref="GV5:GV6"/>
    <mergeCell ref="HM7:HM9"/>
    <mergeCell ref="GX5:GX6"/>
    <mergeCell ref="HO7:HO9"/>
    <mergeCell ref="HH5:HH6"/>
    <mergeCell ref="HZ31:HZ32"/>
    <mergeCell ref="HR31:HR32"/>
  </mergeCells>
  <conditionalFormatting sqref="CB8:CB9 CB11 CB22:CC25 CB27:CB29 CB32:CC35 CB37:CC38 CB45:CC45 CB59:CC59 CB71:CC71 CC8:CC11 CC27:CC30">
    <cfRule type="cellIs" priority="6" operator="lessThan" dxfId="48">
      <formula>0</formula>
    </cfRule>
  </conditionalFormatting>
  <conditionalFormatting sqref="CE22:CE38">
    <cfRule type="cellIs" priority="1" operator="lessThan" dxfId="48">
      <formula>0</formula>
    </cfRule>
  </conditionalFormatting>
  <conditionalFormatting sqref="CE8:CE19 CE41:CE47">
    <cfRule type="cellIs" priority="3" operator="lessThan" dxfId="48">
      <formula>0</formula>
    </cfRule>
  </conditionalFormatting>
  <conditionalFormatting sqref="CE51">
    <cfRule type="cellIs" priority="5" operator="lessThan" dxfId="48">
      <formula>0</formula>
    </cfRule>
  </conditionalFormatting>
  <conditionalFormatting sqref="CE55:CE64">
    <cfRule type="cellIs" priority="4" operator="lessThan" dxfId="48">
      <formula>0</formula>
    </cfRule>
  </conditionalFormatting>
  <conditionalFormatting sqref="CE67:CE78">
    <cfRule type="cellIs" priority="2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8" horizontalDpi="4294967295" verticalDpi="429496729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Planilha33">
    <tabColor theme="8"/>
    <outlinePr summaryBelow="1" summaryRight="1"/>
    <pageSetUpPr fitToPage="1"/>
  </sheetPr>
  <dimension ref="A1:NE138"/>
  <sheetViews>
    <sheetView showGridLines="0" topLeftCell="A49" zoomScale="80" zoomScaleNormal="80" zoomScaleSheetLayoutView="50" workbookViewId="0">
      <selection activeCell="BY67" sqref="BY67:BY72"/>
    </sheetView>
  </sheetViews>
  <sheetFormatPr baseColWidth="8" defaultColWidth="9.140625" defaultRowHeight="18.75"/>
  <cols>
    <col width="38.42578125" customWidth="1" style="42" min="1" max="1"/>
    <col width="10.28515625" customWidth="1" style="5" min="2" max="2"/>
    <col width="15.85546875" customWidth="1" style="5" min="3" max="3"/>
    <col width="16.42578125" customWidth="1" style="5" min="4" max="4"/>
    <col width="1.140625" customWidth="1" style="5" min="5" max="5"/>
    <col hidden="1" width="9.5703125" customWidth="1" style="5" min="6" max="74"/>
    <col width="9.5703125" customWidth="1" style="5" min="75" max="76"/>
    <col width="10.5703125" customWidth="1" style="5" min="77" max="77"/>
    <col width="1.5703125" customWidth="1" style="5" min="78" max="78"/>
    <col width="17.5703125" customWidth="1" style="29" min="79" max="79"/>
    <col width="17.140625" bestFit="1" customWidth="1" style="29" min="80" max="80"/>
    <col width="1.42578125" customWidth="1" style="5" min="81" max="81"/>
    <col width="15.7109375" customWidth="1" style="29" min="82" max="82"/>
    <col width="1.42578125" customWidth="1" style="5" min="83" max="83"/>
    <col width="9.28515625" customWidth="1" style="29" min="84" max="92"/>
    <col width="11.5703125" bestFit="1" customWidth="1" style="29" min="93" max="93"/>
    <col width="9.28515625" customWidth="1" style="29" min="94" max="94"/>
    <col hidden="1" width="9.28515625" customWidth="1" style="29" min="95" max="114"/>
    <col hidden="1" width="14.5703125" customWidth="1" style="305" min="115" max="115"/>
    <col hidden="1" width="9.28515625" customWidth="1" style="29" min="116" max="131"/>
    <col hidden="1" width="12.85546875" customWidth="1" style="29" min="132" max="132"/>
    <col hidden="1" width="9.28515625" customWidth="1" style="29" min="133" max="133"/>
    <col hidden="1" width="11.42578125" customWidth="1" style="29" min="134" max="134"/>
    <col hidden="1" width="9.28515625" customWidth="1" style="29" min="135" max="135"/>
    <col hidden="1" width="11" customWidth="1" style="29" min="136" max="136"/>
    <col hidden="1" width="9.28515625" customWidth="1" style="29" min="137" max="139"/>
    <col hidden="1" width="14.42578125" customWidth="1" style="29" min="140" max="140"/>
    <col hidden="1" width="9.28515625" customWidth="1" style="29" min="141" max="141"/>
    <col hidden="1" width="11" customWidth="1" style="29" min="142" max="142"/>
    <col hidden="1" width="9.28515625" customWidth="1" style="29" min="143" max="145"/>
    <col hidden="1" width="11" customWidth="1" style="29" min="146" max="146"/>
    <col hidden="1" width="11.42578125" customWidth="1" style="29" min="147" max="147"/>
    <col hidden="1" width="9.28515625" customWidth="1" style="29" min="148" max="148"/>
    <col hidden="1" width="14" customWidth="1" style="29" min="149" max="149"/>
    <col hidden="1" width="9.28515625" customWidth="1" style="29" min="150" max="152"/>
    <col hidden="1" width="14" customWidth="1" style="29" min="153" max="153"/>
    <col hidden="1" width="9.28515625" customWidth="1" style="29" min="154" max="158"/>
    <col hidden="1" width="14.5703125" customWidth="1" style="29" min="159" max="160"/>
    <col hidden="1" width="9.28515625" customWidth="1" style="29" min="161" max="161"/>
    <col hidden="1" width="14.5703125" customWidth="1" style="29" min="162" max="162"/>
    <col hidden="1" width="13.140625" customWidth="1" style="29" min="163" max="163"/>
    <col hidden="1" width="15.7109375" customWidth="1" style="29" min="164" max="164"/>
    <col hidden="1" width="9.28515625" customWidth="1" style="29" min="165" max="165"/>
    <col hidden="1" width="12.85546875" customWidth="1" style="29" min="166" max="166"/>
    <col hidden="1" width="9.28515625" customWidth="1" style="29" min="167" max="168"/>
    <col hidden="1" width="12.85546875" customWidth="1" style="29" min="169" max="169"/>
    <col hidden="1" width="9.28515625" customWidth="1" style="29" min="170" max="173"/>
    <col hidden="1" width="12.85546875" customWidth="1" style="29" min="174" max="174"/>
    <col hidden="1" width="9.28515625" customWidth="1" style="29" min="175" max="176"/>
    <col hidden="1" width="12.85546875" customWidth="1" style="29" min="177" max="177"/>
    <col hidden="1" width="9.28515625" customWidth="1" style="29" min="178" max="178"/>
    <col hidden="1" width="12" customWidth="1" style="305" min="179" max="179"/>
    <col hidden="1" width="9.28515625" customWidth="1" style="29" min="180" max="180"/>
    <col hidden="1" width="12" customWidth="1" style="305" min="181" max="181"/>
    <col hidden="1" width="11.7109375" customWidth="1" style="29" min="182" max="182"/>
    <col hidden="1" width="9.28515625" customWidth="1" style="29" min="183" max="187"/>
    <col hidden="1" width="13.140625" customWidth="1" style="29" min="188" max="188"/>
    <col hidden="1" width="9.28515625" customWidth="1" style="29" min="189" max="190"/>
    <col hidden="1" width="11.7109375" customWidth="1" style="29" min="191" max="191"/>
    <col hidden="1" width="9.28515625" customWidth="1" style="29" min="192" max="196"/>
    <col width="4" customWidth="1" style="5" min="197" max="197"/>
    <col hidden="1" width="32.85546875" customWidth="1" style="5" min="198" max="198"/>
    <col hidden="1" width="9.140625" customWidth="1" style="5" min="199" max="199"/>
    <col hidden="1" width="8.7109375" customWidth="1" style="5" min="200" max="216"/>
    <col hidden="1" width="10.5703125" customWidth="1" style="5" min="217" max="217"/>
    <col width="4.85546875" customWidth="1" style="5" min="218" max="218"/>
    <col hidden="1" width="32.85546875" customWidth="1" style="5" min="219" max="219"/>
    <col hidden="1" width="13" customWidth="1" style="5" min="220" max="220"/>
    <col hidden="1" width="8.7109375" customWidth="1" style="5" min="221" max="227"/>
    <col hidden="1" width="10.5703125" customWidth="1" style="5" min="228" max="228"/>
    <col width="5.42578125" customWidth="1" style="5" min="229" max="229"/>
    <col hidden="1" width="32.85546875" customWidth="1" style="5" min="230" max="230"/>
    <col hidden="1" width="9.140625" customWidth="1" style="5" min="231" max="231"/>
    <col hidden="1" width="8.7109375" customWidth="1" style="5" min="232" max="233"/>
    <col hidden="1" width="8.85546875" customWidth="1" style="5" min="234" max="239"/>
    <col hidden="1" width="10.5703125" customWidth="1" style="5" min="240" max="240"/>
    <col width="3.5703125" customWidth="1" style="5" min="241" max="241"/>
    <col hidden="1" width="32.85546875" customWidth="1" style="5" min="242" max="242"/>
    <col hidden="1" width="9.140625" customWidth="1" style="5" min="243" max="243"/>
    <col hidden="1" width="8.7109375" customWidth="1" style="5" min="244" max="246"/>
    <col hidden="1" width="10.5703125" customWidth="1" style="5" min="247" max="247"/>
    <col hidden="1" width="13" customWidth="1" style="5" min="248" max="248"/>
    <col hidden="1" width="11.42578125" customWidth="1" style="5" min="249" max="249"/>
    <col width="9.140625" customWidth="1" style="5" min="250" max="1638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5" t="n"/>
      <c r="CB1" s="5" t="n"/>
      <c r="CD1" s="5" t="n"/>
      <c r="CF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306" t="n"/>
      <c r="DL1" s="5" t="n"/>
      <c r="DM1" s="5" t="n"/>
      <c r="DN1" s="5" t="n"/>
      <c r="DO1" s="5" t="n"/>
      <c r="DP1" s="5" t="n"/>
      <c r="DQ1" s="5" t="n"/>
      <c r="DR1" s="5" t="n"/>
      <c r="DS1" s="5" t="n"/>
      <c r="DT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I1" s="5" t="n"/>
      <c r="FJ1" s="5" t="n"/>
      <c r="FK1" s="5" t="n"/>
      <c r="FL1" s="5" t="n"/>
      <c r="FM1" s="5" t="n"/>
      <c r="FN1" s="5" t="n"/>
      <c r="FO1" s="5" t="n"/>
      <c r="FP1" s="5" t="n"/>
      <c r="FQ1" s="5" t="n"/>
      <c r="FR1" s="5" t="n"/>
      <c r="FS1" s="5" t="n"/>
      <c r="FT1" s="5" t="n"/>
      <c r="FU1" s="5" t="n"/>
      <c r="FV1" s="5" t="n"/>
      <c r="FX1" s="5" t="n"/>
      <c r="FZ1" s="5" t="n"/>
      <c r="GA1" s="5" t="n"/>
      <c r="GB1" s="5" t="n"/>
      <c r="GC1" s="5" t="n"/>
      <c r="GD1" s="5" t="n"/>
      <c r="GE1" s="5" t="n"/>
      <c r="GF1" s="5" t="n"/>
      <c r="GG1" s="5" t="n"/>
      <c r="GH1" s="5" t="n"/>
      <c r="GI1" s="5" t="n"/>
      <c r="GJ1" s="5" t="n"/>
      <c r="GK1" s="5" t="n"/>
      <c r="GL1" s="5" t="n"/>
      <c r="GM1" s="5" t="n"/>
      <c r="GN1" s="5" t="n"/>
    </row>
    <row r="2">
      <c r="A2" s="43" t="inlineStr">
        <is>
          <t>LOJA:</t>
        </is>
      </c>
      <c r="B2" s="722" t="inlineStr">
        <is>
          <t>ER BAURU</t>
        </is>
      </c>
      <c r="C2" s="724" t="n"/>
      <c r="D2" s="394" t="n"/>
      <c r="CD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306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I2" s="5" t="n"/>
      <c r="FJ2" s="5" t="n"/>
      <c r="FK2" s="5" t="n"/>
      <c r="FL2" s="5" t="n"/>
      <c r="FM2" s="5" t="n"/>
      <c r="FN2" s="5" t="n"/>
      <c r="FO2" s="5" t="n"/>
      <c r="FP2" s="5" t="n"/>
      <c r="FQ2" s="5" t="n"/>
      <c r="FR2" s="5" t="n"/>
      <c r="FS2" s="5" t="n"/>
      <c r="FT2" s="5" t="n"/>
      <c r="FU2" s="5" t="n"/>
      <c r="FV2" s="5" t="n"/>
      <c r="FX2" s="5" t="n"/>
      <c r="FZ2" s="5" t="n"/>
      <c r="GA2" s="5" t="n"/>
      <c r="GB2" s="5" t="n"/>
      <c r="GC2" s="5" t="n"/>
      <c r="GD2" s="5" t="n"/>
      <c r="GE2" s="5" t="n"/>
      <c r="GF2" s="5" t="n"/>
      <c r="GG2" s="5" t="n"/>
      <c r="GH2" s="5" t="n"/>
      <c r="GI2" s="5" t="n"/>
      <c r="GJ2" s="5" t="n"/>
      <c r="GK2" s="5" t="n"/>
      <c r="GL2" s="5" t="n"/>
      <c r="GM2" s="5" t="n"/>
      <c r="GN2" s="5" t="n"/>
    </row>
    <row r="3">
      <c r="A3" s="43" t="inlineStr">
        <is>
          <t>Responsável:</t>
        </is>
      </c>
      <c r="B3" s="725" t="inlineStr">
        <is>
          <t>DANIEL</t>
        </is>
      </c>
      <c r="C3" s="724" t="n"/>
      <c r="D3" s="59" t="n"/>
      <c r="E3" s="726" t="n"/>
      <c r="BY3" s="726" t="n"/>
      <c r="CA3" s="5" t="n"/>
      <c r="CB3" s="5" t="n"/>
      <c r="CC3" s="726" t="n"/>
      <c r="CF3" s="5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306" t="n"/>
      <c r="DL3" s="5" t="n"/>
      <c r="DM3" s="5" t="n"/>
      <c r="DN3" s="5" t="n"/>
      <c r="DO3" s="5" t="n"/>
      <c r="DP3" s="5" t="n"/>
      <c r="DQ3" s="5" t="n"/>
      <c r="DR3" s="5" t="n"/>
      <c r="DS3" s="5" t="n"/>
      <c r="DT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I3" s="5" t="n"/>
      <c r="FJ3" s="5" t="n"/>
      <c r="FK3" s="5" t="n"/>
      <c r="FL3" s="5" t="n"/>
      <c r="FM3" s="5" t="n"/>
      <c r="FN3" s="5" t="n"/>
      <c r="FO3" s="5" t="n"/>
      <c r="FP3" s="5" t="n"/>
      <c r="FQ3" s="5" t="n"/>
      <c r="FR3" s="5" t="n"/>
      <c r="FS3" s="5" t="n"/>
      <c r="FT3" s="5" t="n"/>
      <c r="FU3" s="5" t="n"/>
      <c r="FV3" s="5" t="n"/>
      <c r="FX3" s="5" t="n"/>
      <c r="FZ3" s="5" t="n"/>
      <c r="GA3" s="5" t="n"/>
      <c r="GB3" s="5" t="n"/>
      <c r="GC3" s="5" t="n"/>
      <c r="GD3" s="5" t="n"/>
      <c r="GE3" s="5" t="n"/>
      <c r="GF3" s="5" t="n"/>
      <c r="GG3" s="5" t="n"/>
      <c r="GH3" s="5" t="n"/>
      <c r="GI3" s="5" t="n"/>
      <c r="GJ3" s="5" t="n"/>
      <c r="GK3" s="5" t="n"/>
      <c r="GL3" s="5" t="n"/>
      <c r="GM3" s="5" t="n"/>
      <c r="GN3" s="5" t="n"/>
    </row>
    <row r="4" ht="8.25" customHeight="1">
      <c r="CA4" s="5" t="n"/>
      <c r="CB4" s="5" t="n"/>
      <c r="CD4" s="5" t="n"/>
      <c r="CF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306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5" t="n"/>
      <c r="FQ4" s="5" t="n"/>
      <c r="FR4" s="5" t="n"/>
      <c r="FS4" s="5" t="n"/>
      <c r="FT4" s="5" t="n"/>
      <c r="FU4" s="5" t="n"/>
      <c r="FV4" s="5" t="n"/>
      <c r="FW4" s="306" t="n"/>
      <c r="FX4" s="5" t="n"/>
      <c r="FY4" s="306" t="n"/>
      <c r="FZ4" s="5" t="n"/>
      <c r="GA4" s="5" t="n"/>
      <c r="GB4" s="5" t="n"/>
      <c r="GC4" s="5" t="n"/>
      <c r="GD4" s="5" t="n"/>
      <c r="GE4" s="5" t="n"/>
      <c r="GF4" s="5" t="n"/>
      <c r="GG4" s="5" t="n"/>
      <c r="GH4" s="5" t="n"/>
      <c r="GI4" s="5" t="n"/>
      <c r="GJ4" s="5" t="n"/>
      <c r="GK4" s="5" t="n"/>
      <c r="GL4" s="5" t="n"/>
      <c r="GM4" s="5" t="n"/>
      <c r="GN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CA5" s="44" t="inlineStr">
        <is>
          <t>Pendências</t>
        </is>
      </c>
      <c r="CB5" s="44" t="inlineStr">
        <is>
          <t>Pendências</t>
        </is>
      </c>
      <c r="CD5" s="12" t="inlineStr">
        <is>
          <t>Novo Pedido</t>
        </is>
      </c>
      <c r="CF5" s="794" t="n">
        <v>46149</v>
      </c>
      <c r="CG5" s="794" t="n">
        <v>46142</v>
      </c>
      <c r="CH5" s="794" t="n">
        <v>46114</v>
      </c>
      <c r="CI5" s="794" t="n">
        <v>46107</v>
      </c>
      <c r="CJ5" s="795" t="n">
        <v>46065</v>
      </c>
      <c r="CK5" s="794" t="n">
        <v>46099</v>
      </c>
      <c r="CL5" s="794" t="n">
        <v>46092</v>
      </c>
      <c r="CM5" s="796" t="n">
        <v>46045</v>
      </c>
      <c r="CN5" s="794" t="n">
        <v>46084</v>
      </c>
      <c r="CO5" s="797" t="inlineStr">
        <is>
          <t>TRANSF.</t>
        </is>
      </c>
      <c r="CP5" s="794" t="n">
        <v>46077</v>
      </c>
      <c r="CQ5" s="794" t="n">
        <v>46071</v>
      </c>
      <c r="CR5" s="794" t="n">
        <v>46056</v>
      </c>
      <c r="CS5" s="794" t="n">
        <v>46048</v>
      </c>
      <c r="CT5" s="794" t="n">
        <v>46056</v>
      </c>
      <c r="CU5" s="794" t="n">
        <v>46048</v>
      </c>
      <c r="CV5" s="794" t="n">
        <v>46043</v>
      </c>
      <c r="CW5" s="794" t="n">
        <v>46035</v>
      </c>
      <c r="CX5" s="794" t="n">
        <v>46043</v>
      </c>
      <c r="CY5" s="794" t="n">
        <v>46035</v>
      </c>
      <c r="CZ5" s="794" t="n">
        <v>46035</v>
      </c>
      <c r="DA5" s="794" t="n">
        <v>46029</v>
      </c>
      <c r="DB5" s="794" t="n">
        <v>46017</v>
      </c>
      <c r="DC5" s="794" t="n">
        <v>46007</v>
      </c>
      <c r="DD5" s="794" t="n">
        <v>46007</v>
      </c>
      <c r="DE5" s="794" t="n">
        <v>46001</v>
      </c>
      <c r="DF5" s="794" t="n">
        <v>46001</v>
      </c>
      <c r="DG5" s="794" t="n">
        <v>45994</v>
      </c>
      <c r="DH5" s="794" t="n">
        <v>45994</v>
      </c>
      <c r="DI5" s="794" t="n">
        <v>45986</v>
      </c>
      <c r="DJ5" s="794" t="n">
        <v>45980</v>
      </c>
      <c r="DK5" s="797" t="inlineStr">
        <is>
          <t>TRANSF.</t>
        </is>
      </c>
      <c r="DL5" s="794" t="n">
        <v>45973</v>
      </c>
      <c r="DM5" s="794" t="n">
        <v>45965</v>
      </c>
      <c r="DN5" s="794" t="n">
        <v>45965</v>
      </c>
      <c r="DO5" s="794" t="n">
        <v>45960</v>
      </c>
      <c r="DP5" s="794" t="n">
        <v>45960</v>
      </c>
      <c r="DQ5" s="794" t="n">
        <v>45951</v>
      </c>
      <c r="DR5" s="794" t="n">
        <v>45945</v>
      </c>
      <c r="DS5" s="737" t="n">
        <v>45903</v>
      </c>
      <c r="DT5" s="794" t="n">
        <v>45945</v>
      </c>
      <c r="DU5" s="794" t="n">
        <v>45937</v>
      </c>
      <c r="DV5" s="794" t="n">
        <v>45923</v>
      </c>
      <c r="DW5" s="794" t="n">
        <v>45931</v>
      </c>
      <c r="DX5" s="794" t="n">
        <v>45931</v>
      </c>
      <c r="DY5" s="794" t="n">
        <v>45915</v>
      </c>
      <c r="DZ5" s="794" t="n">
        <v>45923</v>
      </c>
      <c r="EA5" s="794" t="n">
        <v>45915</v>
      </c>
      <c r="EB5" s="797" t="inlineStr">
        <is>
          <t>TRANSF.</t>
        </is>
      </c>
      <c r="EC5" s="794" t="n">
        <v>45903</v>
      </c>
      <c r="ED5" s="738" t="inlineStr">
        <is>
          <t>TRANSF.</t>
        </is>
      </c>
      <c r="EE5" s="794" t="n">
        <v>45895</v>
      </c>
      <c r="EF5" s="797" t="inlineStr">
        <is>
          <t>TRANSF.</t>
        </is>
      </c>
      <c r="EG5" s="794" t="n">
        <v>45888</v>
      </c>
      <c r="EH5" s="794" t="n">
        <v>45888</v>
      </c>
      <c r="EI5" s="794" t="n">
        <v>45881</v>
      </c>
      <c r="EJ5" s="797" t="inlineStr">
        <is>
          <t>TRANSF.</t>
        </is>
      </c>
      <c r="EK5" s="794" t="n">
        <v>45874</v>
      </c>
      <c r="EL5" s="797" t="inlineStr">
        <is>
          <t>TRANSF.</t>
        </is>
      </c>
      <c r="EM5" s="794" t="n">
        <v>45867</v>
      </c>
      <c r="EN5" s="794" t="n">
        <v>45860</v>
      </c>
      <c r="EO5" s="794" t="n">
        <v>45839</v>
      </c>
      <c r="EP5" s="797" t="inlineStr">
        <is>
          <t>TRANSF.</t>
        </is>
      </c>
      <c r="EQ5" s="797" t="inlineStr">
        <is>
          <t>TRANSF.</t>
        </is>
      </c>
      <c r="ER5" s="794" t="n">
        <v>45853</v>
      </c>
      <c r="ES5" s="739" t="inlineStr">
        <is>
          <t xml:space="preserve">TRANSF. </t>
        </is>
      </c>
      <c r="ET5" s="794" t="n">
        <v>45848</v>
      </c>
      <c r="EU5" s="794" t="n">
        <v>45839</v>
      </c>
      <c r="EV5" s="739" t="n">
        <v>45791</v>
      </c>
      <c r="EW5" s="797" t="inlineStr">
        <is>
          <t>TRANSF.</t>
        </is>
      </c>
      <c r="EX5" s="794" t="n">
        <v>45832</v>
      </c>
      <c r="EY5" s="794" t="n">
        <v>45825</v>
      </c>
      <c r="EZ5" s="794" t="n">
        <v>45819</v>
      </c>
      <c r="FA5" s="794" t="n">
        <v>45813</v>
      </c>
      <c r="FB5" s="794" t="n">
        <v>45805</v>
      </c>
      <c r="FC5" s="797" t="inlineStr">
        <is>
          <t>TRANSF.</t>
        </is>
      </c>
      <c r="FD5" s="797" t="inlineStr">
        <is>
          <t>TRANSF.</t>
        </is>
      </c>
      <c r="FE5" s="794" t="n">
        <v>45798</v>
      </c>
      <c r="FF5" s="797" t="inlineStr">
        <is>
          <t>TRANSF.</t>
        </is>
      </c>
      <c r="FG5" s="742" t="inlineStr">
        <is>
          <t>TRANSF.</t>
        </is>
      </c>
      <c r="FH5" s="797" t="inlineStr">
        <is>
          <t>TRANSF.</t>
        </is>
      </c>
      <c r="FI5" s="742" t="n">
        <v>45735</v>
      </c>
      <c r="FJ5" s="797" t="inlineStr">
        <is>
          <t>TRANSF.</t>
        </is>
      </c>
      <c r="FK5" s="794" t="n">
        <v>45790</v>
      </c>
      <c r="FL5" s="794" t="n">
        <v>45784</v>
      </c>
      <c r="FM5" s="797" t="inlineStr">
        <is>
          <t>TRANSF.</t>
        </is>
      </c>
      <c r="FN5" s="794" t="n">
        <v>45783</v>
      </c>
      <c r="FO5" s="794" t="n">
        <v>45770</v>
      </c>
      <c r="FP5" s="794" t="n">
        <v>45775</v>
      </c>
      <c r="FQ5" s="794" t="n">
        <v>45770</v>
      </c>
      <c r="FR5" s="797" t="inlineStr">
        <is>
          <t>TRANSF.</t>
        </is>
      </c>
      <c r="FS5" s="794" t="n">
        <v>45756</v>
      </c>
      <c r="FT5" s="794" t="n">
        <v>45749</v>
      </c>
      <c r="FU5" s="797" t="inlineStr">
        <is>
          <t>TRANSF.</t>
        </is>
      </c>
      <c r="FV5" s="794" t="n">
        <v>45743</v>
      </c>
      <c r="FW5" s="746" t="inlineStr">
        <is>
          <t>TRANSF.</t>
        </is>
      </c>
      <c r="FX5" s="794" t="n">
        <v>45722</v>
      </c>
      <c r="FY5" s="746" t="n">
        <v>45700</v>
      </c>
      <c r="FZ5" s="797" t="inlineStr">
        <is>
          <t>TRANSF.</t>
        </is>
      </c>
      <c r="GA5" s="794" t="n">
        <v>45714</v>
      </c>
      <c r="GB5" s="794" t="n">
        <v>45706</v>
      </c>
      <c r="GC5" s="794" t="n">
        <v>45699</v>
      </c>
      <c r="GD5" s="794" t="n">
        <v>45693</v>
      </c>
      <c r="GE5" s="794" t="n">
        <v>45685</v>
      </c>
      <c r="GF5" s="797" t="inlineStr">
        <is>
          <t>TRANSF.</t>
        </is>
      </c>
      <c r="GG5" s="794" t="n">
        <v>45664</v>
      </c>
      <c r="GH5" s="794" t="n">
        <v>45679</v>
      </c>
      <c r="GI5" s="797" t="inlineStr">
        <is>
          <t>TRANSF.</t>
        </is>
      </c>
      <c r="GJ5" s="794" t="n">
        <v>45664</v>
      </c>
      <c r="GK5" s="794" t="n">
        <v>45660</v>
      </c>
      <c r="GL5" s="794" t="n">
        <v>45652</v>
      </c>
      <c r="GM5" s="794" t="n">
        <v>45643</v>
      </c>
      <c r="GN5" s="794" t="n">
        <v>45638</v>
      </c>
      <c r="GP5" s="235" t="inlineStr">
        <is>
          <t>MÃES/2025</t>
        </is>
      </c>
      <c r="GQ5" s="798" t="inlineStr">
        <is>
          <t>PCT</t>
        </is>
      </c>
      <c r="GR5" s="322" t="n">
        <v>45726</v>
      </c>
      <c r="GS5" s="322" t="n">
        <v>45733</v>
      </c>
      <c r="GT5" s="322" t="n">
        <v>45740</v>
      </c>
      <c r="GU5" s="322" t="n">
        <v>45747</v>
      </c>
      <c r="GV5" s="322" t="n">
        <v>45754</v>
      </c>
      <c r="GW5" s="322" t="n">
        <v>45761</v>
      </c>
      <c r="GX5" s="322" t="n">
        <v>45768</v>
      </c>
      <c r="GY5" s="322" t="n">
        <v>45775</v>
      </c>
      <c r="GZ5" s="322" t="n">
        <v>45782</v>
      </c>
      <c r="HA5" s="322" t="n">
        <v>45789</v>
      </c>
      <c r="HB5" s="322" t="n">
        <v>45796</v>
      </c>
      <c r="HC5" s="322" t="n">
        <v>45803</v>
      </c>
      <c r="HD5" s="322" t="n">
        <v>45810</v>
      </c>
      <c r="HE5" s="322" t="n">
        <v>45817</v>
      </c>
      <c r="HF5" s="322" t="n">
        <v>45824</v>
      </c>
      <c r="HG5" s="322" t="n">
        <v>45831</v>
      </c>
      <c r="HH5" s="322" t="n">
        <v>45838</v>
      </c>
      <c r="HI5" s="801" t="inlineStr">
        <is>
          <t>USOU</t>
        </is>
      </c>
      <c r="HK5" s="542" t="inlineStr">
        <is>
          <t>NAMORADOS/2025</t>
        </is>
      </c>
      <c r="HM5" s="363" t="n"/>
      <c r="HN5" s="363" t="n"/>
      <c r="HO5" s="363" t="n"/>
      <c r="HP5" s="363" t="n"/>
      <c r="HQ5" s="363" t="n"/>
      <c r="HR5" s="363" t="n"/>
      <c r="HS5" s="363" t="n"/>
      <c r="HT5" s="363" t="n"/>
      <c r="HV5" s="550" t="inlineStr">
        <is>
          <t>PAIS/2025</t>
        </is>
      </c>
      <c r="HX5" s="407" t="n"/>
      <c r="HY5" s="407" t="n"/>
      <c r="HZ5" s="407" t="n"/>
      <c r="IA5" s="407" t="n"/>
      <c r="IB5" s="407" t="n"/>
      <c r="IC5" s="407" t="n"/>
      <c r="ID5" s="407" t="n"/>
      <c r="IE5" s="407" t="n"/>
      <c r="IF5" s="407" t="n"/>
      <c r="IH5" s="554" t="inlineStr">
        <is>
          <t>NATAL 2025</t>
        </is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45915</v>
      </c>
      <c r="AQ6" s="746" t="n">
        <v>45922</v>
      </c>
      <c r="AR6" s="746" t="n">
        <v>45929</v>
      </c>
      <c r="AS6" s="746" t="n">
        <v>45936</v>
      </c>
      <c r="AT6" s="746" t="n">
        <v>45943</v>
      </c>
      <c r="AU6" s="746" t="n">
        <v>45950</v>
      </c>
      <c r="AV6" s="746" t="n">
        <v>45957</v>
      </c>
      <c r="AW6" s="746" t="n">
        <v>45964</v>
      </c>
      <c r="AX6" s="746" t="n">
        <v>45971</v>
      </c>
      <c r="AY6" s="746" t="n">
        <v>45978</v>
      </c>
      <c r="AZ6" s="746" t="n">
        <v>45985</v>
      </c>
      <c r="BA6" s="746" t="n">
        <v>45992</v>
      </c>
      <c r="BB6" s="746" t="n">
        <v>45999</v>
      </c>
      <c r="BC6" s="746" t="n">
        <v>46006</v>
      </c>
      <c r="BD6" s="746" t="n">
        <v>46013</v>
      </c>
      <c r="BE6" s="746" t="n">
        <v>46020</v>
      </c>
      <c r="BF6" s="746" t="n">
        <v>46027</v>
      </c>
      <c r="BG6" s="746" t="n">
        <v>46034</v>
      </c>
      <c r="BH6" s="746" t="n">
        <v>46041</v>
      </c>
      <c r="BI6" s="746" t="n">
        <v>46048</v>
      </c>
      <c r="BJ6" s="746" t="n">
        <v>46055</v>
      </c>
      <c r="BK6" s="746" t="n">
        <v>46062</v>
      </c>
      <c r="BL6" s="746" t="n">
        <v>46069</v>
      </c>
      <c r="BM6" s="746" t="n">
        <v>46076</v>
      </c>
      <c r="BN6" s="746" t="n">
        <v>46083</v>
      </c>
      <c r="BO6" s="746" t="n">
        <v>46090</v>
      </c>
      <c r="BP6" s="746" t="n">
        <v>46097</v>
      </c>
      <c r="BQ6" s="746" t="n">
        <v>46104</v>
      </c>
      <c r="BR6" s="746" t="n">
        <v>46111</v>
      </c>
      <c r="BS6" s="746" t="n">
        <v>46118</v>
      </c>
      <c r="BT6" s="746" t="n">
        <v>46125</v>
      </c>
      <c r="BU6" s="746" t="n">
        <v>46132</v>
      </c>
      <c r="BV6" s="746" t="n">
        <v>46139</v>
      </c>
      <c r="BW6" s="746" t="n">
        <v>46146</v>
      </c>
      <c r="BX6" s="746" t="n">
        <v>46154</v>
      </c>
      <c r="BY6" s="748" t="inlineStr">
        <is>
          <t>USOU</t>
        </is>
      </c>
      <c r="BZ6" s="5" t="n"/>
      <c r="CA6" s="841" t="inlineStr">
        <is>
          <t>TRANSF.</t>
        </is>
      </c>
      <c r="CB6" s="750" t="n"/>
      <c r="CC6" s="5" t="n"/>
      <c r="CD6" s="752" t="n"/>
      <c r="CE6" s="751" t="n"/>
      <c r="CF6" s="794" t="n"/>
      <c r="CG6" s="794" t="n">
        <v>46148</v>
      </c>
      <c r="CH6" s="794" t="n">
        <v>46121</v>
      </c>
      <c r="CI6" s="794" t="n">
        <v>46113</v>
      </c>
      <c r="CJ6" s="795" t="n">
        <v>46111</v>
      </c>
      <c r="CK6" s="794" t="n">
        <v>46104</v>
      </c>
      <c r="CL6" s="794" t="n">
        <v>46099</v>
      </c>
      <c r="CM6" s="796" t="n">
        <v>46091</v>
      </c>
      <c r="CN6" s="794" t="n">
        <v>46090</v>
      </c>
      <c r="CO6" s="797" t="n">
        <v>46085</v>
      </c>
      <c r="CP6" s="794" t="n">
        <v>46083</v>
      </c>
      <c r="CQ6" s="794" t="n">
        <v>46076</v>
      </c>
      <c r="CR6" s="794" t="n">
        <v>46072</v>
      </c>
      <c r="CS6" s="794" t="n">
        <v>46072</v>
      </c>
      <c r="CT6" s="794" t="n">
        <v>46062</v>
      </c>
      <c r="CU6" s="794" t="n">
        <v>46055</v>
      </c>
      <c r="CV6" s="794" t="n">
        <v>46051</v>
      </c>
      <c r="CW6" s="794" t="n">
        <v>46051</v>
      </c>
      <c r="CX6" s="794" t="n">
        <v>46048</v>
      </c>
      <c r="CY6" s="794" t="n">
        <v>46048</v>
      </c>
      <c r="CZ6" s="794" t="n">
        <v>46037</v>
      </c>
      <c r="DA6" s="794" t="n">
        <v>46035</v>
      </c>
      <c r="DB6" s="794" t="n">
        <v>46030</v>
      </c>
      <c r="DC6" s="794" t="n">
        <v>46027</v>
      </c>
      <c r="DD6" s="794" t="n">
        <v>46010</v>
      </c>
      <c r="DE6" s="794" t="n">
        <v>46010</v>
      </c>
      <c r="DF6" s="794" t="n">
        <v>46008</v>
      </c>
      <c r="DG6" s="794" t="n">
        <v>46009</v>
      </c>
      <c r="DH6" s="794" t="n">
        <v>46000</v>
      </c>
      <c r="DI6" s="794" t="n">
        <v>45992</v>
      </c>
      <c r="DJ6" s="794" t="n">
        <v>45987</v>
      </c>
      <c r="DK6" s="797" t="n">
        <v>45982</v>
      </c>
      <c r="DL6" s="794" t="n">
        <v>45980</v>
      </c>
      <c r="DM6" s="794" t="n">
        <v>45978</v>
      </c>
      <c r="DN6" s="794" t="n">
        <v>45971</v>
      </c>
      <c r="DO6" s="794" t="n">
        <v>45967</v>
      </c>
      <c r="DP6" s="794" t="n">
        <v>45965</v>
      </c>
      <c r="DQ6" s="794" t="n">
        <v>45958</v>
      </c>
      <c r="DR6" s="794" t="n">
        <v>45958</v>
      </c>
      <c r="DS6" s="753" t="n">
        <v>45957</v>
      </c>
      <c r="DT6" s="794" t="n">
        <v>45952</v>
      </c>
      <c r="DU6" s="794" t="n">
        <v>45944</v>
      </c>
      <c r="DV6" s="794" t="n">
        <v>45946</v>
      </c>
      <c r="DW6" s="794" t="n">
        <v>45938</v>
      </c>
      <c r="DX6" s="794" t="n">
        <v>45937</v>
      </c>
      <c r="DY6" s="794" t="n">
        <v>45930</v>
      </c>
      <c r="DZ6" s="794" t="n">
        <v>45930</v>
      </c>
      <c r="EA6" s="794" t="n">
        <v>45919</v>
      </c>
      <c r="EB6" s="797" t="n">
        <v>45918</v>
      </c>
      <c r="EC6" s="794" t="n">
        <v>45909</v>
      </c>
      <c r="ED6" s="738" t="n">
        <v>45903</v>
      </c>
      <c r="EE6" s="794" t="n">
        <v>45901</v>
      </c>
      <c r="EF6" s="797" t="n">
        <v>45896</v>
      </c>
      <c r="EG6" s="794" t="n">
        <v>45890</v>
      </c>
      <c r="EH6" s="794" t="n">
        <v>45890</v>
      </c>
      <c r="EI6" s="794" t="n">
        <v>45888</v>
      </c>
      <c r="EJ6" s="797" t="n">
        <v>45881</v>
      </c>
      <c r="EK6" s="794" t="n">
        <v>45880</v>
      </c>
      <c r="EL6" s="797" t="n">
        <v>45876</v>
      </c>
      <c r="EM6" s="794" t="n">
        <v>45873</v>
      </c>
      <c r="EN6" s="794" t="n">
        <v>45863</v>
      </c>
      <c r="EO6" s="794" t="n">
        <v>45862</v>
      </c>
      <c r="EP6" s="797" t="n">
        <v>45861</v>
      </c>
      <c r="EQ6" s="797" t="n">
        <v>45860</v>
      </c>
      <c r="ER6" s="794" t="n">
        <v>45856</v>
      </c>
      <c r="ES6" s="739" t="n">
        <v>45855</v>
      </c>
      <c r="ET6" s="794" t="n">
        <v>45852</v>
      </c>
      <c r="EU6" s="794" t="n">
        <v>45845</v>
      </c>
      <c r="EV6" s="739" t="n">
        <v>45840</v>
      </c>
      <c r="EW6" s="797" t="n">
        <v>45835</v>
      </c>
      <c r="EX6" s="794" t="n">
        <v>45835</v>
      </c>
      <c r="EY6" s="794" t="n">
        <v>45832</v>
      </c>
      <c r="EZ6" s="794" t="n">
        <v>45824</v>
      </c>
      <c r="FA6" s="794" t="n">
        <v>45819</v>
      </c>
      <c r="FB6" s="794" t="n">
        <v>45811</v>
      </c>
      <c r="FC6" s="797" t="n">
        <v>45811</v>
      </c>
      <c r="FD6" s="797" t="n">
        <v>45810</v>
      </c>
      <c r="FE6" s="794" t="n">
        <v>45800</v>
      </c>
      <c r="FF6" s="797" t="n">
        <v>45803</v>
      </c>
      <c r="FG6" s="755" t="n">
        <v>45803</v>
      </c>
      <c r="FH6" s="797" t="n">
        <v>45800</v>
      </c>
      <c r="FI6" s="755" t="n">
        <v>45797</v>
      </c>
      <c r="FJ6" s="797" t="n">
        <v>45796</v>
      </c>
      <c r="FK6" s="794" t="n">
        <v>45793</v>
      </c>
      <c r="FL6" s="794" t="n">
        <v>45791</v>
      </c>
      <c r="FM6" s="797" t="n">
        <v>45791</v>
      </c>
      <c r="FN6" s="794" t="n">
        <v>45785</v>
      </c>
      <c r="FO6" s="794" t="n">
        <v>45784</v>
      </c>
      <c r="FP6" s="794" t="n">
        <v>45779</v>
      </c>
      <c r="FQ6" s="794" t="n">
        <v>45776</v>
      </c>
      <c r="FR6" s="797" t="n">
        <v>45775</v>
      </c>
      <c r="FS6" s="794" t="n">
        <v>45772</v>
      </c>
      <c r="FT6" s="794" t="n">
        <v>45755</v>
      </c>
      <c r="FU6" s="797" t="n">
        <v>45751</v>
      </c>
      <c r="FV6" s="794" t="n">
        <v>45749</v>
      </c>
      <c r="FW6" s="746" t="n">
        <v>45729</v>
      </c>
      <c r="FX6" s="794" t="n">
        <v>45726</v>
      </c>
      <c r="FY6" s="746" t="n">
        <v>45722</v>
      </c>
      <c r="FZ6" s="797" t="n">
        <v>45722</v>
      </c>
      <c r="GA6" s="794" t="n">
        <v>45721</v>
      </c>
      <c r="GB6" s="794" t="n">
        <v>45713</v>
      </c>
      <c r="GC6" s="794" t="n">
        <v>45706</v>
      </c>
      <c r="GD6" s="794" t="n">
        <v>45699</v>
      </c>
      <c r="GE6" s="794" t="n">
        <v>45688</v>
      </c>
      <c r="GF6" s="797" t="n">
        <v>45687</v>
      </c>
      <c r="GG6" s="794" t="n">
        <v>45686</v>
      </c>
      <c r="GH6" s="794" t="n">
        <v>45685</v>
      </c>
      <c r="GI6" s="797" t="n">
        <v>45684</v>
      </c>
      <c r="GJ6" s="794" t="n">
        <v>45670</v>
      </c>
      <c r="GK6" s="794" t="n">
        <v>45665</v>
      </c>
      <c r="GL6" s="794" t="n">
        <v>45659</v>
      </c>
      <c r="GM6" s="794" t="n">
        <v>45652</v>
      </c>
      <c r="GN6" s="794" t="n">
        <v>45652</v>
      </c>
      <c r="GP6" s="745" t="n"/>
      <c r="GQ6" s="745" t="n"/>
      <c r="GR6" s="745" t="n"/>
      <c r="GS6" s="745" t="n"/>
      <c r="GT6" s="745" t="n"/>
      <c r="GU6" s="745" t="n"/>
      <c r="GV6" s="745" t="n"/>
      <c r="GW6" s="745" t="n"/>
      <c r="GX6" s="745" t="n"/>
      <c r="GY6" s="745" t="n"/>
      <c r="GZ6" s="745" t="n"/>
      <c r="HA6" s="745" t="n"/>
      <c r="HB6" s="745" t="n"/>
      <c r="HC6" s="745" t="n"/>
      <c r="HD6" s="745" t="n"/>
      <c r="HE6" s="745" t="n"/>
      <c r="HF6" s="745" t="n"/>
      <c r="HG6" s="745" t="n"/>
      <c r="HH6" s="745" t="n"/>
      <c r="HI6" s="745" t="n"/>
      <c r="HK6" s="803" t="n"/>
      <c r="HL6" s="782" t="n"/>
      <c r="HM6" s="363" t="n"/>
      <c r="HN6" s="363" t="n"/>
      <c r="HO6" s="363" t="n"/>
      <c r="HP6" s="363" t="n"/>
      <c r="HQ6" s="363" t="n"/>
      <c r="HR6" s="363" t="n"/>
      <c r="HS6" s="363" t="n"/>
      <c r="HT6" s="363" t="n"/>
      <c r="HV6" s="803" t="n"/>
      <c r="HW6" s="782" t="n"/>
      <c r="HX6" s="407" t="n"/>
      <c r="HY6" s="407" t="n"/>
      <c r="HZ6" s="407" t="n"/>
      <c r="IA6" s="407" t="n"/>
      <c r="IB6" s="407" t="n"/>
      <c r="IC6" s="407" t="n"/>
      <c r="ID6" s="407" t="n"/>
      <c r="IE6" s="407" t="n"/>
      <c r="IF6" s="407" t="n"/>
      <c r="IH6" s="803" t="n"/>
      <c r="II6" s="782" t="n"/>
      <c r="IJ6" s="782" t="n"/>
      <c r="IK6" s="782" t="n"/>
      <c r="IL6" s="782" t="n"/>
      <c r="IM6" s="782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5" t="n"/>
      <c r="CA7" s="13" t="n"/>
      <c r="CB7" s="13" t="n"/>
      <c r="CC7" s="5" t="n"/>
      <c r="CD7" s="13" t="n"/>
      <c r="CE7" s="5" t="n"/>
      <c r="CF7" s="203" t="n"/>
      <c r="CG7" s="203" t="n"/>
      <c r="CH7" s="203" t="n"/>
      <c r="CI7" s="203" t="n"/>
      <c r="CJ7" s="307" t="inlineStr">
        <is>
          <t>MÃES</t>
        </is>
      </c>
      <c r="CK7" s="203" t="n"/>
      <c r="CL7" s="203" t="n"/>
      <c r="CM7" s="307" t="inlineStr">
        <is>
          <t>MÃES</t>
        </is>
      </c>
      <c r="CN7" s="203" t="n"/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33" t="n"/>
      <c r="DL7" s="203" t="n"/>
      <c r="DM7" s="203" t="n"/>
      <c r="DN7" s="203" t="n"/>
      <c r="DO7" s="203" t="n"/>
      <c r="DP7" s="203" t="n"/>
      <c r="DQ7" s="203" t="n"/>
      <c r="DR7" s="203" t="n"/>
      <c r="DS7" s="203" t="n"/>
      <c r="DT7" s="203" t="n"/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307" t="inlineStr">
        <is>
          <t>HP</t>
        </is>
      </c>
      <c r="EE7" s="203" t="n"/>
      <c r="EF7" s="203" t="n"/>
      <c r="EG7" s="203" t="n"/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33" t="inlineStr">
        <is>
          <t>PAIS/25</t>
        </is>
      </c>
      <c r="ET7" s="203" t="n"/>
      <c r="EU7" s="203" t="n"/>
      <c r="EV7" s="203" t="n"/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13" t="inlineStr">
        <is>
          <t>NAMO/25</t>
        </is>
      </c>
      <c r="FH7" s="307" t="n"/>
      <c r="FI7" s="203" t="n"/>
      <c r="FJ7" s="203" t="n"/>
      <c r="FK7" s="203" t="n"/>
      <c r="FL7" s="203" t="n"/>
      <c r="FM7" s="203" t="n"/>
      <c r="FN7" s="203" t="n"/>
      <c r="FO7" s="203" t="n"/>
      <c r="FP7" s="203" t="n"/>
      <c r="FQ7" s="203" t="n"/>
      <c r="FR7" s="203" t="n"/>
      <c r="FS7" s="203" t="n"/>
      <c r="FT7" s="203" t="n"/>
      <c r="FU7" s="203" t="n"/>
      <c r="FV7" s="203" t="n"/>
      <c r="FW7" s="307" t="inlineStr">
        <is>
          <t>MÃES/25</t>
        </is>
      </c>
      <c r="FX7" s="203" t="n"/>
      <c r="FY7" s="307" t="inlineStr">
        <is>
          <t>MÃES/25</t>
        </is>
      </c>
      <c r="FZ7" s="203" t="n"/>
      <c r="GA7" s="203" t="n"/>
      <c r="GB7" s="203" t="n"/>
      <c r="GC7" s="203" t="n"/>
      <c r="GD7" s="203" t="n"/>
      <c r="GE7" s="203" t="n"/>
      <c r="GF7" s="203" t="n"/>
      <c r="GG7" s="203" t="n"/>
      <c r="GH7" s="203" t="n"/>
      <c r="GI7" s="203" t="n"/>
      <c r="GJ7" s="203" t="n"/>
      <c r="GK7" s="203" t="n"/>
      <c r="GL7" s="203" t="n"/>
      <c r="GM7" s="203" t="n"/>
      <c r="GN7" s="203" t="n"/>
      <c r="GP7" s="298" t="inlineStr">
        <is>
          <t xml:space="preserve">SACOLAS </t>
        </is>
      </c>
      <c r="GQ7" s="298" t="n"/>
      <c r="GR7" s="298" t="n"/>
      <c r="GS7" s="298" t="n"/>
      <c r="GT7" s="298" t="n"/>
      <c r="GU7" s="298" t="n"/>
      <c r="GV7" s="298" t="n"/>
      <c r="GW7" s="298" t="n"/>
      <c r="GX7" s="298" t="n"/>
      <c r="GY7" s="298" t="n"/>
      <c r="GZ7" s="298" t="n"/>
      <c r="HA7" s="298" t="n"/>
      <c r="HB7" s="298" t="n"/>
      <c r="HC7" s="298" t="n"/>
      <c r="HD7" s="298" t="n"/>
      <c r="HE7" s="298" t="n"/>
      <c r="HF7" s="298" t="n"/>
      <c r="HG7" s="298" t="n"/>
      <c r="HH7" s="298" t="n"/>
      <c r="HI7" s="298" t="n"/>
      <c r="HK7" s="804" t="inlineStr">
        <is>
          <t xml:space="preserve">SACOLAS </t>
        </is>
      </c>
      <c r="HL7" s="805" t="inlineStr">
        <is>
          <t>PCT</t>
        </is>
      </c>
      <c r="HM7" s="398" t="n">
        <v>45796</v>
      </c>
      <c r="HN7" s="398" t="n">
        <v>45803</v>
      </c>
      <c r="HO7" s="398" t="n">
        <v>45810</v>
      </c>
      <c r="HP7" s="398" t="n">
        <v>45817</v>
      </c>
      <c r="HQ7" s="398" t="n">
        <v>45824</v>
      </c>
      <c r="HR7" s="398" t="n">
        <v>45831</v>
      </c>
      <c r="HS7" s="398" t="n">
        <v>45838</v>
      </c>
      <c r="HT7" s="808" t="inlineStr">
        <is>
          <t>USOU</t>
        </is>
      </c>
      <c r="HV7" s="809" t="inlineStr">
        <is>
          <t xml:space="preserve">SACOLAS </t>
        </is>
      </c>
      <c r="HW7" s="810" t="inlineStr">
        <is>
          <t>PCT</t>
        </is>
      </c>
      <c r="HX7" s="811" t="n">
        <v>45845</v>
      </c>
      <c r="HY7" s="811" t="n">
        <v>45852</v>
      </c>
      <c r="HZ7" s="811" t="n">
        <v>45859</v>
      </c>
      <c r="IA7" s="811" t="n">
        <v>45866</v>
      </c>
      <c r="IB7" s="811" t="n">
        <v>45873</v>
      </c>
      <c r="IC7" s="811" t="n">
        <v>45880</v>
      </c>
      <c r="ID7" s="811" t="n">
        <v>45887</v>
      </c>
      <c r="IE7" s="811" t="n">
        <v>45894</v>
      </c>
      <c r="IF7" s="813" t="inlineStr">
        <is>
          <t>USOU</t>
        </is>
      </c>
      <c r="IH7" s="814" t="inlineStr">
        <is>
          <t>SACOLAS VENDA</t>
        </is>
      </c>
      <c r="II7" s="815" t="inlineStr">
        <is>
          <t>PCT</t>
        </is>
      </c>
      <c r="IJ7" s="513" t="n">
        <v>45950</v>
      </c>
      <c r="IK7" s="513" t="n">
        <v>45957</v>
      </c>
      <c r="IL7" s="513" t="n">
        <v>45964</v>
      </c>
      <c r="IM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1200</v>
      </c>
      <c r="E8" s="5" t="n"/>
      <c r="F8" s="237">
        <f>1500+GL8</f>
        <v/>
      </c>
      <c r="G8" s="237" t="n">
        <v>3000</v>
      </c>
      <c r="H8" s="237">
        <f>2700+GJ8</f>
        <v/>
      </c>
      <c r="I8" s="237" t="n">
        <v>4500</v>
      </c>
      <c r="J8" s="237" t="n">
        <v>3900</v>
      </c>
      <c r="K8" s="237" t="n">
        <v>3300</v>
      </c>
      <c r="L8" s="237" t="n">
        <v>3000</v>
      </c>
      <c r="M8" s="237" t="n">
        <v>2100</v>
      </c>
      <c r="N8" s="237" t="n">
        <v>1800</v>
      </c>
      <c r="O8" s="237">
        <f>1500+GA8</f>
        <v/>
      </c>
      <c r="P8" s="237">
        <f>2100+FX8</f>
        <v/>
      </c>
      <c r="Q8" s="237" t="n">
        <v>1800</v>
      </c>
      <c r="R8" s="237" t="n">
        <v>1200</v>
      </c>
      <c r="S8" s="237">
        <f>600+FV8</f>
        <v/>
      </c>
      <c r="T8" s="237">
        <f>1500+FT8</f>
        <v/>
      </c>
      <c r="U8" s="237" t="n">
        <v>1500</v>
      </c>
      <c r="V8" s="237" t="n">
        <v>1200</v>
      </c>
      <c r="W8" s="237" t="n">
        <v>900</v>
      </c>
      <c r="X8" s="237" t="n">
        <v>1200</v>
      </c>
      <c r="Y8" s="237" t="n">
        <v>1800</v>
      </c>
      <c r="Z8" s="237" t="n">
        <v>1800</v>
      </c>
      <c r="AA8" s="237" t="n">
        <v>1500</v>
      </c>
      <c r="AB8" s="237" t="n">
        <v>1200</v>
      </c>
      <c r="AC8" s="237" t="n">
        <v>900</v>
      </c>
      <c r="AD8" s="237" t="n">
        <v>300</v>
      </c>
      <c r="AE8" s="237">
        <f>0+EY8</f>
        <v/>
      </c>
      <c r="AF8" s="237" t="n">
        <v>1200</v>
      </c>
      <c r="AG8" s="237" t="n">
        <v>900</v>
      </c>
      <c r="AH8" s="237">
        <f>900+ET8</f>
        <v/>
      </c>
      <c r="AI8" s="237" t="n">
        <v>900</v>
      </c>
      <c r="AJ8" s="237" t="n">
        <v>1500</v>
      </c>
      <c r="AK8" s="237" t="n">
        <v>1200</v>
      </c>
      <c r="AL8" s="237" t="n">
        <v>900</v>
      </c>
      <c r="AM8" s="237" t="n">
        <v>300</v>
      </c>
      <c r="AN8" s="237">
        <f>0+EH8</f>
        <v/>
      </c>
      <c r="AO8" s="237" t="n">
        <v>900</v>
      </c>
      <c r="AP8" s="237" t="n">
        <v>0</v>
      </c>
      <c r="AQ8" s="237">
        <f>0+EA8</f>
        <v/>
      </c>
      <c r="AR8" s="237" t="n">
        <v>1200</v>
      </c>
      <c r="AS8" s="237" t="n">
        <v>0</v>
      </c>
      <c r="AT8" s="237">
        <f>0+DU8</f>
        <v/>
      </c>
      <c r="AU8" s="237" t="n">
        <v>1200</v>
      </c>
      <c r="AV8" s="237" t="n">
        <v>300</v>
      </c>
      <c r="AW8" s="237" t="n">
        <v>0</v>
      </c>
      <c r="AX8" s="237" t="n">
        <v>600</v>
      </c>
      <c r="AY8" s="237">
        <f>300+DL8</f>
        <v/>
      </c>
      <c r="AZ8" s="237">
        <f>600+DJ8</f>
        <v/>
      </c>
      <c r="BA8" s="237">
        <f>1500+DI8</f>
        <v/>
      </c>
      <c r="BB8" s="237" t="n">
        <v>1800</v>
      </c>
      <c r="BC8" s="237">
        <f>1200+DF8</f>
        <v/>
      </c>
      <c r="BD8" s="237" t="n">
        <v>1200</v>
      </c>
      <c r="BE8" s="237" t="n">
        <v>1200</v>
      </c>
      <c r="BF8" s="237" t="n">
        <v>0</v>
      </c>
      <c r="BG8" s="237" t="n">
        <v>0</v>
      </c>
      <c r="BH8" s="237" t="n">
        <v>0</v>
      </c>
      <c r="BI8" s="237" t="n">
        <v>0</v>
      </c>
      <c r="BJ8" s="237" t="n">
        <v>0</v>
      </c>
      <c r="BK8" s="237" t="n">
        <v>0</v>
      </c>
      <c r="BL8" s="237" t="n">
        <v>0</v>
      </c>
      <c r="BM8" s="237">
        <f>0+CQ8</f>
        <v/>
      </c>
      <c r="BN8" s="237" t="n">
        <v>300</v>
      </c>
      <c r="BO8" s="237">
        <f>0+CN8</f>
        <v/>
      </c>
      <c r="BP8" s="237">
        <f>300+CL8</f>
        <v/>
      </c>
      <c r="BQ8" s="237">
        <f>300+CK8</f>
        <v/>
      </c>
      <c r="BR8" s="237" t="n">
        <v>0</v>
      </c>
      <c r="BS8" s="237" t="n">
        <v>0</v>
      </c>
      <c r="BT8" s="237" t="n">
        <v>600</v>
      </c>
      <c r="BU8" s="237" t="n">
        <v>900</v>
      </c>
      <c r="BV8" s="237" t="n">
        <v>600</v>
      </c>
      <c r="BW8" s="237">
        <f>600+CG8</f>
        <v/>
      </c>
      <c r="BX8" s="237" t="n">
        <v>300</v>
      </c>
      <c r="BY8" s="198">
        <f>BW8+IF(NOT(ISBLANK(OFFSET(BY8,0,6))),N(OFFSET(BY8,0,6)),N(OFFSET(BY8,0,7)))-BX8</f>
        <v/>
      </c>
      <c r="BZ8" s="5" t="n"/>
      <c r="CA8" s="22" t="n"/>
      <c r="CB8" s="22" t="n"/>
      <c r="CC8" s="5" t="n"/>
      <c r="CD8" s="27" t="n">
        <v>1200</v>
      </c>
      <c r="CE8" s="1" t="n"/>
      <c r="CF8" s="23" t="n">
        <v>0</v>
      </c>
      <c r="CG8" s="23" t="n">
        <v>900</v>
      </c>
      <c r="CH8" s="23" t="n">
        <v>1500</v>
      </c>
      <c r="CI8" s="23" t="n"/>
      <c r="CJ8" s="23" t="n"/>
      <c r="CK8" s="23" t="n">
        <v>1200</v>
      </c>
      <c r="CL8" s="23" t="n">
        <v>300</v>
      </c>
      <c r="CM8" s="23" t="n"/>
      <c r="CN8" s="23" t="n">
        <v>1200</v>
      </c>
      <c r="CO8" s="23" t="n"/>
      <c r="CP8" s="23" t="n"/>
      <c r="CQ8" s="23" t="n">
        <v>1200</v>
      </c>
      <c r="CR8" s="23" t="n"/>
      <c r="CS8" s="23" t="n"/>
      <c r="CT8" s="23" t="n"/>
      <c r="CU8" s="23" t="n"/>
      <c r="CV8" s="23" t="n"/>
      <c r="CW8" s="23" t="n"/>
      <c r="CX8" s="23" t="n"/>
      <c r="CY8" s="23" t="n"/>
      <c r="CZ8" s="23" t="n"/>
      <c r="DA8" s="23" t="n"/>
      <c r="DB8" s="23" t="n"/>
      <c r="DC8" s="23" t="n"/>
      <c r="DD8" s="23" t="n"/>
      <c r="DE8" s="23" t="n"/>
      <c r="DF8" s="23" t="n">
        <v>900</v>
      </c>
      <c r="DG8" s="23" t="n"/>
      <c r="DH8" s="23" t="n"/>
      <c r="DI8" s="23" t="n">
        <v>1200</v>
      </c>
      <c r="DJ8" s="23" t="n">
        <v>1200</v>
      </c>
      <c r="DK8" s="219" t="n"/>
      <c r="DL8" s="23" t="n">
        <v>1200</v>
      </c>
      <c r="DM8" s="23" t="n"/>
      <c r="DN8" s="23" t="n"/>
      <c r="DO8" s="23" t="n">
        <v>1200</v>
      </c>
      <c r="DP8" s="23" t="n"/>
      <c r="DQ8" s="23" t="n"/>
      <c r="DR8" s="23" t="n"/>
      <c r="DS8" s="219" t="n"/>
      <c r="DT8" s="23" t="n"/>
      <c r="DU8" s="23" t="n">
        <v>1200</v>
      </c>
      <c r="DV8" s="23" t="n"/>
      <c r="DW8" s="23" t="n"/>
      <c r="DX8" s="23" t="n"/>
      <c r="DY8" s="23" t="n"/>
      <c r="DZ8" s="23" t="n"/>
      <c r="EA8" s="23" t="n">
        <v>1200</v>
      </c>
      <c r="EB8" s="23" t="n"/>
      <c r="EC8" s="23" t="n"/>
      <c r="ED8" s="23" t="n"/>
      <c r="EE8" s="23" t="n"/>
      <c r="EF8" s="23" t="n"/>
      <c r="EG8" s="23" t="n"/>
      <c r="EH8" s="23" t="n">
        <v>1200</v>
      </c>
      <c r="EI8" s="23" t="n"/>
      <c r="EJ8" s="23" t="n"/>
      <c r="EK8" s="23" t="n"/>
      <c r="EL8" s="23" t="n"/>
      <c r="EM8" s="23" t="n"/>
      <c r="EN8" s="23" t="n">
        <v>900</v>
      </c>
      <c r="EO8" s="23" t="n"/>
      <c r="EP8" s="23" t="n"/>
      <c r="EQ8" s="23" t="n"/>
      <c r="ER8" s="23" t="n"/>
      <c r="ES8" s="23" t="n"/>
      <c r="ET8" s="23" t="n">
        <v>600</v>
      </c>
      <c r="EU8" s="23" t="n"/>
      <c r="EV8" s="23" t="n"/>
      <c r="EW8" s="23" t="n"/>
      <c r="EX8" s="23" t="n"/>
      <c r="EY8" s="23" t="n">
        <v>1200</v>
      </c>
      <c r="EZ8" s="23" t="n"/>
      <c r="FA8" s="23" t="n"/>
      <c r="FB8" s="23" t="n"/>
      <c r="FC8" s="23" t="n"/>
      <c r="FD8" s="23" t="n"/>
      <c r="FE8" s="23" t="n"/>
      <c r="FF8" s="23" t="n"/>
      <c r="FG8" s="23" t="n"/>
      <c r="FH8" s="23" t="n"/>
      <c r="FI8" s="219" t="n"/>
      <c r="FJ8" s="23" t="n"/>
      <c r="FK8" s="23" t="n"/>
      <c r="FL8" s="23" t="n"/>
      <c r="FM8" s="23" t="n"/>
      <c r="FN8" s="23" t="n">
        <v>900</v>
      </c>
      <c r="FO8" s="23" t="n"/>
      <c r="FP8" s="23" t="n">
        <v>900</v>
      </c>
      <c r="FQ8" s="23" t="n"/>
      <c r="FR8" s="23" t="n"/>
      <c r="FS8" s="23" t="n"/>
      <c r="FT8" s="23" t="n">
        <v>600</v>
      </c>
      <c r="FU8" s="23" t="n"/>
      <c r="FV8" s="23" t="n">
        <v>900</v>
      </c>
      <c r="FW8" s="219" t="n"/>
      <c r="FX8" s="23" t="n">
        <v>300</v>
      </c>
      <c r="FY8" s="219" t="n"/>
      <c r="FZ8" s="23" t="n"/>
      <c r="GA8" s="23" t="n">
        <v>600</v>
      </c>
      <c r="GB8" s="23" t="n"/>
      <c r="GC8" s="23" t="n"/>
      <c r="GD8" s="23" t="n"/>
      <c r="GE8" s="23" t="n"/>
      <c r="GF8" s="23" t="n"/>
      <c r="GG8" s="23" t="n"/>
      <c r="GH8" s="23" t="n"/>
      <c r="GI8" s="23" t="n"/>
      <c r="GJ8" s="23" t="n">
        <v>2100</v>
      </c>
      <c r="GK8" s="23" t="n"/>
      <c r="GL8" s="23" t="n">
        <v>2100</v>
      </c>
      <c r="GM8" s="23" t="n"/>
      <c r="GN8" s="23" t="n"/>
      <c r="GP8" s="299" t="n"/>
      <c r="GQ8" s="299" t="n"/>
      <c r="GR8" s="299" t="n"/>
      <c r="GS8" s="299" t="n"/>
      <c r="GT8" s="299" t="n"/>
      <c r="GU8" s="299" t="n"/>
      <c r="GV8" s="299" t="n"/>
      <c r="GW8" s="299" t="n"/>
      <c r="GX8" s="299" t="n"/>
      <c r="GY8" s="299" t="n"/>
      <c r="GZ8" s="299" t="n"/>
      <c r="HA8" s="299" t="n"/>
      <c r="HB8" s="299" t="n"/>
      <c r="HC8" s="299" t="n"/>
      <c r="HD8" s="299" t="n"/>
      <c r="HE8" s="299" t="n"/>
      <c r="HF8" s="299" t="n"/>
      <c r="HG8" s="299" t="n"/>
      <c r="HH8" s="299" t="n"/>
      <c r="HI8" s="299" t="n"/>
      <c r="HK8" s="816" t="n"/>
      <c r="HL8" s="816" t="n"/>
      <c r="HM8" s="816" t="n"/>
      <c r="HN8" s="816" t="n"/>
      <c r="HO8" s="816" t="n"/>
      <c r="HP8" s="816" t="n"/>
      <c r="HQ8" s="816" t="n"/>
      <c r="HR8" s="816" t="n"/>
      <c r="HS8" s="816" t="n"/>
      <c r="HT8" s="816" t="n"/>
      <c r="HV8" s="816" t="n"/>
      <c r="HW8" s="816" t="n"/>
      <c r="HX8" s="816" t="n"/>
      <c r="HY8" s="816" t="n"/>
      <c r="HZ8" s="816" t="n"/>
      <c r="IA8" s="816" t="n"/>
      <c r="IB8" s="816" t="n"/>
      <c r="IC8" s="816" t="n"/>
      <c r="ID8" s="816" t="n"/>
      <c r="IE8" s="816" t="n"/>
      <c r="IF8" s="816" t="n"/>
      <c r="IH8" s="819" t="n"/>
      <c r="II8" s="745" t="n"/>
      <c r="IJ8" s="816" t="n"/>
      <c r="IK8" s="816" t="n"/>
      <c r="IL8" s="816" t="n"/>
      <c r="IM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4000</v>
      </c>
      <c r="E9" s="5" t="n"/>
      <c r="F9" s="237">
        <f>1600+GL9</f>
        <v/>
      </c>
      <c r="G9" s="237">
        <f>1800+GK9</f>
        <v/>
      </c>
      <c r="H9" s="237">
        <f>3000+GJ9</f>
        <v/>
      </c>
      <c r="I9" s="237" t="n">
        <v>3200</v>
      </c>
      <c r="J9" s="237">
        <f>1800+GH9</f>
        <v/>
      </c>
      <c r="K9" s="237" t="n">
        <v>3800</v>
      </c>
      <c r="L9" s="237">
        <f>2600+GD9</f>
        <v/>
      </c>
      <c r="M9" s="237">
        <f>2400+GC9</f>
        <v/>
      </c>
      <c r="N9" s="237">
        <f>2000+GB9</f>
        <v/>
      </c>
      <c r="O9" s="237">
        <f>3400+GA9</f>
        <v/>
      </c>
      <c r="P9" s="237">
        <f>5000+FX9</f>
        <v/>
      </c>
      <c r="Q9" s="237" t="n">
        <v>4200</v>
      </c>
      <c r="R9" s="237" t="n">
        <v>2600</v>
      </c>
      <c r="S9" s="237">
        <f>1200+FV9</f>
        <v/>
      </c>
      <c r="T9" s="237">
        <f>3400+FT9</f>
        <v/>
      </c>
      <c r="U9" s="237" t="n">
        <v>2800</v>
      </c>
      <c r="V9" s="237">
        <f>200+400</f>
        <v/>
      </c>
      <c r="W9" s="237">
        <f>400+FS9</f>
        <v/>
      </c>
      <c r="X9" s="237" t="n">
        <v>3400</v>
      </c>
      <c r="Y9" s="237" t="n">
        <v>4400</v>
      </c>
      <c r="Z9" s="237" t="n">
        <v>5000</v>
      </c>
      <c r="AA9" s="237" t="n">
        <v>1800</v>
      </c>
      <c r="AB9" s="237">
        <f>400+FB9</f>
        <v/>
      </c>
      <c r="AC9" s="237">
        <f>200+FA9</f>
        <v/>
      </c>
      <c r="AD9" s="237">
        <f>0+EZ9</f>
        <v/>
      </c>
      <c r="AE9" s="237">
        <f>800+EY9</f>
        <v/>
      </c>
      <c r="AF9" s="237" t="n">
        <v>3600</v>
      </c>
      <c r="AG9" s="237">
        <f>1200+EU9</f>
        <v/>
      </c>
      <c r="AH9" s="237">
        <f>600+ET9</f>
        <v/>
      </c>
      <c r="AI9" s="237" t="n">
        <v>3000</v>
      </c>
      <c r="AJ9" s="237" t="n">
        <v>3800</v>
      </c>
      <c r="AK9" s="237">
        <f>2000+EM9</f>
        <v/>
      </c>
      <c r="AL9" s="237">
        <f>1400+1000</f>
        <v/>
      </c>
      <c r="AM9" s="237">
        <f>0+EI9</f>
        <v/>
      </c>
      <c r="AN9" s="237" t="n">
        <v>2000</v>
      </c>
      <c r="AO9" s="237">
        <f>600+EE9</f>
        <v/>
      </c>
      <c r="AP9" s="237">
        <f>800+400</f>
        <v/>
      </c>
      <c r="AQ9" s="237" t="n">
        <v>4200</v>
      </c>
      <c r="AR9" s="237">
        <f>2200+DY9</f>
        <v/>
      </c>
      <c r="AS9" s="237">
        <f>600+DX9</f>
        <v/>
      </c>
      <c r="AT9" s="237">
        <f>3200+DV9</f>
        <v/>
      </c>
      <c r="AU9" s="237">
        <f>800+DT9</f>
        <v/>
      </c>
      <c r="AV9" s="237">
        <f>1000+DQ9</f>
        <v/>
      </c>
      <c r="AW9" s="237" t="n">
        <v>2600</v>
      </c>
      <c r="AX9" s="237">
        <f>0+DN9</f>
        <v/>
      </c>
      <c r="AY9" s="237">
        <f>200+400</f>
        <v/>
      </c>
      <c r="AZ9" s="237">
        <f>0+DJ9</f>
        <v/>
      </c>
      <c r="BA9" s="237">
        <f>2400+DI9</f>
        <v/>
      </c>
      <c r="BB9" s="237" t="n">
        <v>3000</v>
      </c>
      <c r="BC9" s="237">
        <f>400+DF9</f>
        <v/>
      </c>
      <c r="BD9" s="237" t="n">
        <v>6600</v>
      </c>
      <c r="BE9" s="237" t="n">
        <v>4000</v>
      </c>
      <c r="BF9" s="237" t="n">
        <v>3200</v>
      </c>
      <c r="BG9" s="237">
        <f>2200+DA9</f>
        <v/>
      </c>
      <c r="BH9" s="237" t="n">
        <v>4800</v>
      </c>
      <c r="BI9" s="237">
        <f>2300+CX9</f>
        <v/>
      </c>
      <c r="BJ9" s="237">
        <f>3800+CU9</f>
        <v/>
      </c>
      <c r="BK9" s="237">
        <f>2000+CT9</f>
        <v/>
      </c>
      <c r="BL9" s="237" t="n">
        <v>1200</v>
      </c>
      <c r="BM9" s="237">
        <f>400+CQ9</f>
        <v/>
      </c>
      <c r="BN9" s="237" t="n">
        <v>3300</v>
      </c>
      <c r="BO9" s="237">
        <f>0+CN9</f>
        <v/>
      </c>
      <c r="BP9" s="237">
        <f>200+CL9</f>
        <v/>
      </c>
      <c r="BQ9" s="237">
        <f>2800+CK9</f>
        <v/>
      </c>
      <c r="BR9" s="237" t="n">
        <v>4200</v>
      </c>
      <c r="BS9" s="237" t="n">
        <v>1400</v>
      </c>
      <c r="BT9" s="237" t="n">
        <v>7800</v>
      </c>
      <c r="BU9" s="237" t="n">
        <v>5000</v>
      </c>
      <c r="BV9" s="237" t="n">
        <v>3200</v>
      </c>
      <c r="BW9" s="237" t="n">
        <v>1800</v>
      </c>
      <c r="BX9" s="237" t="n">
        <v>1000</v>
      </c>
      <c r="BY9" s="198">
        <f>BW9+IF(NOT(ISBLANK(OFFSET(BY9,0,6))),N(OFFSET(BY9,0,6)),N(OFFSET(BY9,0,7)))-BX9</f>
        <v/>
      </c>
      <c r="BZ9" s="5" t="n"/>
      <c r="CA9" s="22" t="n"/>
      <c r="CB9" s="22" t="n"/>
      <c r="CC9" s="5" t="n"/>
      <c r="CD9" s="27" t="n">
        <v>3000</v>
      </c>
      <c r="CE9" s="1" t="n"/>
      <c r="CF9" s="23" t="n">
        <v>0</v>
      </c>
      <c r="CG9" s="23" t="n">
        <v>0</v>
      </c>
      <c r="CH9" s="23" t="n">
        <v>6000</v>
      </c>
      <c r="CI9" s="23" t="n"/>
      <c r="CJ9" s="419" t="n">
        <v>4000</v>
      </c>
      <c r="CK9" s="23" t="n">
        <v>2000</v>
      </c>
      <c r="CL9" s="23" t="n">
        <v>4000</v>
      </c>
      <c r="CM9" s="23" t="n"/>
      <c r="CN9" s="23" t="n">
        <v>2000</v>
      </c>
      <c r="CO9" s="23" t="n"/>
      <c r="CP9" s="23" t="n"/>
      <c r="CQ9" s="23" t="n">
        <v>4000</v>
      </c>
      <c r="CR9" s="23" t="n"/>
      <c r="CS9" s="23" t="n"/>
      <c r="CT9" s="23" t="n">
        <v>4000</v>
      </c>
      <c r="CU9" s="23" t="n">
        <v>1000</v>
      </c>
      <c r="CV9" s="23" t="n"/>
      <c r="CW9" s="23" t="n"/>
      <c r="CX9" s="23" t="n">
        <v>4000</v>
      </c>
      <c r="CY9" s="23" t="n"/>
      <c r="CZ9" s="23" t="n">
        <v>4000</v>
      </c>
      <c r="DA9" s="23" t="n">
        <v>2000</v>
      </c>
      <c r="DB9" s="23" t="n">
        <v>2000</v>
      </c>
      <c r="DC9" s="23" t="n"/>
      <c r="DD9" s="23" t="n">
        <v>4000</v>
      </c>
      <c r="DE9" s="23" t="n"/>
      <c r="DF9" s="23" t="n">
        <v>5000</v>
      </c>
      <c r="DG9" s="23" t="n"/>
      <c r="DH9" s="23" t="n"/>
      <c r="DI9" s="23" t="n">
        <v>4000</v>
      </c>
      <c r="DJ9" s="23" t="n">
        <v>4000</v>
      </c>
      <c r="DK9" s="192" t="inlineStr">
        <is>
          <t>400 DE CDB</t>
        </is>
      </c>
      <c r="DL9" s="23" t="n"/>
      <c r="DM9" s="23" t="n"/>
      <c r="DN9" s="23" t="n">
        <v>4000</v>
      </c>
      <c r="DO9" s="23" t="n"/>
      <c r="DP9" s="23" t="n"/>
      <c r="DQ9" s="23" t="n">
        <v>4000</v>
      </c>
      <c r="DR9" s="23" t="n"/>
      <c r="DS9" s="219" t="n">
        <v>400</v>
      </c>
      <c r="DT9" s="23" t="n">
        <v>2400</v>
      </c>
      <c r="DU9" s="23" t="n"/>
      <c r="DV9" s="23" t="n">
        <v>200</v>
      </c>
      <c r="DW9" s="23" t="n"/>
      <c r="DX9" s="23" t="n">
        <v>4000</v>
      </c>
      <c r="DY9" s="23" t="n">
        <v>800</v>
      </c>
      <c r="DZ9" s="23" t="n"/>
      <c r="EA9" s="23" t="n">
        <v>4000</v>
      </c>
      <c r="EB9" s="192" t="inlineStr">
        <is>
          <t>400 DE CD</t>
        </is>
      </c>
      <c r="EC9" s="23" t="n"/>
      <c r="ED9" s="23" t="n"/>
      <c r="EE9" s="23" t="n">
        <v>4000</v>
      </c>
      <c r="EF9" s="23" t="n"/>
      <c r="EG9" s="23" t="n"/>
      <c r="EH9" s="23" t="n"/>
      <c r="EI9" s="23" t="n">
        <v>4000</v>
      </c>
      <c r="EJ9" s="192" t="inlineStr">
        <is>
          <t>1000 DE CD</t>
        </is>
      </c>
      <c r="EK9" s="23" t="n"/>
      <c r="EL9" s="23" t="n"/>
      <c r="EM9" s="23" t="n">
        <v>2000</v>
      </c>
      <c r="EN9" s="23" t="n">
        <v>1800</v>
      </c>
      <c r="EO9" s="23" t="n"/>
      <c r="EP9" s="23" t="n"/>
      <c r="EQ9" s="23" t="n"/>
      <c r="ER9" s="23" t="n"/>
      <c r="ES9" s="23" t="n"/>
      <c r="ET9" s="23" t="n">
        <v>4000</v>
      </c>
      <c r="EU9" s="23" t="n">
        <v>1000</v>
      </c>
      <c r="EV9" s="23" t="n"/>
      <c r="EW9" s="23" t="n"/>
      <c r="EX9" s="23" t="n"/>
      <c r="EY9" s="23" t="n">
        <v>4000</v>
      </c>
      <c r="EZ9" s="23" t="n">
        <v>2200</v>
      </c>
      <c r="FA9" s="23" t="n">
        <v>2000</v>
      </c>
      <c r="FB9" s="23" t="n">
        <v>2000</v>
      </c>
      <c r="FC9" s="23" t="n"/>
      <c r="FD9" s="23" t="n"/>
      <c r="FE9" s="23" t="n"/>
      <c r="FF9" s="23" t="n"/>
      <c r="FG9" s="23" t="n"/>
      <c r="FH9" s="23" t="n"/>
      <c r="FI9" s="219" t="n"/>
      <c r="FJ9" s="23" t="n"/>
      <c r="FK9" s="23" t="n">
        <v>2200</v>
      </c>
      <c r="FL9" s="23" t="n"/>
      <c r="FM9" s="23" t="n"/>
      <c r="FN9" s="23" t="n">
        <v>3000</v>
      </c>
      <c r="FO9" s="23" t="n"/>
      <c r="FP9" s="23" t="n"/>
      <c r="FQ9" s="23" t="n">
        <v>3000</v>
      </c>
      <c r="FR9" s="282" t="inlineStr">
        <is>
          <t>400 DE CD</t>
        </is>
      </c>
      <c r="FS9" s="23" t="n">
        <v>2000</v>
      </c>
      <c r="FT9" s="23" t="n">
        <v>1000</v>
      </c>
      <c r="FU9" s="23" t="n"/>
      <c r="FV9" s="23" t="n">
        <v>4000</v>
      </c>
      <c r="FW9" s="219" t="n"/>
      <c r="FX9" s="23" t="n">
        <v>1800</v>
      </c>
      <c r="FY9" s="219" t="n">
        <v>2600</v>
      </c>
      <c r="FZ9" s="23" t="n"/>
      <c r="GA9" s="23" t="n">
        <v>2000</v>
      </c>
      <c r="GB9" s="23" t="n">
        <v>3000</v>
      </c>
      <c r="GC9" s="23" t="n">
        <v>1000</v>
      </c>
      <c r="GD9" s="23" t="n">
        <v>2400</v>
      </c>
      <c r="GE9" s="23" t="n">
        <v>2000</v>
      </c>
      <c r="GF9" s="23" t="n"/>
      <c r="GG9" s="23" t="n"/>
      <c r="GH9" s="23" t="n">
        <v>2000</v>
      </c>
      <c r="GI9" s="23" t="n"/>
      <c r="GJ9" s="23" t="n">
        <v>2000</v>
      </c>
      <c r="GK9" s="23" t="n">
        <v>2400</v>
      </c>
      <c r="GL9" s="23" t="n">
        <v>1600</v>
      </c>
      <c r="GM9" s="23" t="n"/>
      <c r="GN9" s="23" t="n"/>
      <c r="GP9" s="300" t="inlineStr">
        <is>
          <t>SACOLA P</t>
        </is>
      </c>
      <c r="GQ9" s="301" t="n">
        <v>200</v>
      </c>
      <c r="GR9" s="162">
        <f>FY9</f>
        <v/>
      </c>
      <c r="GS9" s="162" t="n">
        <v>2000</v>
      </c>
      <c r="GT9" s="162" t="n">
        <v>1000</v>
      </c>
      <c r="GU9" s="162" t="n">
        <v>800</v>
      </c>
      <c r="GV9" s="162" t="n">
        <v>800</v>
      </c>
      <c r="GW9" s="162" t="n">
        <v>400</v>
      </c>
      <c r="GX9" s="162" t="n">
        <v>400</v>
      </c>
      <c r="GY9" s="162" t="n">
        <v>400</v>
      </c>
      <c r="GZ9" s="162" t="n">
        <v>400</v>
      </c>
      <c r="HA9" s="162" t="n">
        <v>400</v>
      </c>
      <c r="HB9" s="162" t="n">
        <v>400</v>
      </c>
      <c r="HC9" s="162" t="n">
        <v>0</v>
      </c>
      <c r="HD9" s="162" t="n">
        <v>0</v>
      </c>
      <c r="HE9" s="162" t="n">
        <v>0</v>
      </c>
      <c r="HF9" s="162" t="n">
        <v>0</v>
      </c>
      <c r="HG9" s="162" t="n">
        <v>0</v>
      </c>
      <c r="HH9" s="162" t="n">
        <v>0</v>
      </c>
      <c r="HI9" s="302" t="n">
        <v>0</v>
      </c>
      <c r="HK9" s="819" t="n"/>
      <c r="HL9" s="745" t="n"/>
      <c r="HM9" s="745" t="n"/>
      <c r="HN9" s="745" t="n"/>
      <c r="HO9" s="745" t="n"/>
      <c r="HP9" s="745" t="n"/>
      <c r="HQ9" s="745" t="n"/>
      <c r="HR9" s="745" t="n"/>
      <c r="HS9" s="745" t="n"/>
      <c r="HT9" s="745" t="n"/>
      <c r="HV9" s="819" t="n"/>
      <c r="HW9" s="745" t="n"/>
      <c r="HX9" s="745" t="n"/>
      <c r="HY9" s="745" t="n"/>
      <c r="HZ9" s="745" t="n"/>
      <c r="IA9" s="745" t="n"/>
      <c r="IB9" s="745" t="n"/>
      <c r="IC9" s="745" t="n"/>
      <c r="ID9" s="745" t="n"/>
      <c r="IE9" s="745" t="n"/>
      <c r="IF9" s="745" t="n"/>
      <c r="IH9" s="65" t="inlineStr">
        <is>
          <t>SACOLA P</t>
        </is>
      </c>
      <c r="II9" s="208" t="n">
        <v>200</v>
      </c>
      <c r="IJ9" s="162" t="n">
        <v>0</v>
      </c>
      <c r="IK9" s="162">
        <f>DS9</f>
        <v/>
      </c>
      <c r="IL9" s="162" t="n"/>
      <c r="IM9" s="842" t="n"/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2000</v>
      </c>
      <c r="E10" s="5" t="n"/>
      <c r="F10" s="237" t="n">
        <v>3400</v>
      </c>
      <c r="G10" s="237">
        <f>3200+GK10</f>
        <v/>
      </c>
      <c r="H10" s="237">
        <f>3800+GJ10</f>
        <v/>
      </c>
      <c r="I10" s="237" t="n">
        <v>3600</v>
      </c>
      <c r="J10" s="237">
        <f>3000+GH10</f>
        <v/>
      </c>
      <c r="K10" s="237" t="n">
        <v>4200</v>
      </c>
      <c r="L10" s="237" t="n">
        <v>3800</v>
      </c>
      <c r="M10" s="237" t="n">
        <v>3000</v>
      </c>
      <c r="N10" s="237" t="n">
        <v>2800</v>
      </c>
      <c r="O10" s="237" t="n">
        <v>2800</v>
      </c>
      <c r="P10" s="237" t="n">
        <v>2600</v>
      </c>
      <c r="Q10" s="237" t="n">
        <v>1600</v>
      </c>
      <c r="R10" s="237" t="n">
        <v>600</v>
      </c>
      <c r="S10" s="237">
        <f>200+FV10+400</f>
        <v/>
      </c>
      <c r="T10" s="237" t="n">
        <v>2400</v>
      </c>
      <c r="U10" s="237" t="n">
        <v>2200</v>
      </c>
      <c r="V10" s="237" t="n">
        <v>1200</v>
      </c>
      <c r="W10" s="237" t="n">
        <v>1200</v>
      </c>
      <c r="X10" s="237" t="n">
        <v>2400</v>
      </c>
      <c r="Y10" s="237" t="n">
        <v>1200</v>
      </c>
      <c r="Z10" s="237" t="n">
        <v>200</v>
      </c>
      <c r="AA10" s="237">
        <f>400+2000</f>
        <v/>
      </c>
      <c r="AB10" s="237" t="n">
        <v>1400</v>
      </c>
      <c r="AC10" s="237">
        <f>1000+FA10</f>
        <v/>
      </c>
      <c r="AD10" s="237" t="n">
        <v>1800</v>
      </c>
      <c r="AE10" s="237">
        <f>1600+EY10</f>
        <v/>
      </c>
      <c r="AF10" s="237" t="n">
        <v>2200</v>
      </c>
      <c r="AG10" s="237" t="n">
        <v>1400</v>
      </c>
      <c r="AH10" s="237">
        <f>1200+ET10</f>
        <v/>
      </c>
      <c r="AI10" s="237" t="n">
        <v>1000</v>
      </c>
      <c r="AJ10" s="237" t="n">
        <v>1600</v>
      </c>
      <c r="AK10" s="237" t="n">
        <v>1200</v>
      </c>
      <c r="AL10" s="237">
        <f>600+600</f>
        <v/>
      </c>
      <c r="AM10" s="237">
        <f>400+EI10</f>
        <v/>
      </c>
      <c r="AN10" s="237" t="n">
        <v>1400</v>
      </c>
      <c r="AO10" s="237">
        <f>1000+EE10</f>
        <v/>
      </c>
      <c r="AP10" s="237">
        <f>0+400</f>
        <v/>
      </c>
      <c r="AQ10" s="237" t="n">
        <v>2200</v>
      </c>
      <c r="AR10" s="237" t="n">
        <v>200</v>
      </c>
      <c r="AS10" s="237">
        <f>0+DX10</f>
        <v/>
      </c>
      <c r="AT10" s="237" t="n">
        <v>800</v>
      </c>
      <c r="AU10" s="237">
        <f>0+DT10</f>
        <v/>
      </c>
      <c r="AV10" s="237" t="n">
        <v>1400</v>
      </c>
      <c r="AW10" s="237" t="n">
        <v>0</v>
      </c>
      <c r="AX10" s="237">
        <f>400+DN10</f>
        <v/>
      </c>
      <c r="AY10" s="237">
        <f>800+400</f>
        <v/>
      </c>
      <c r="AZ10" s="237">
        <f>0+DJ10</f>
        <v/>
      </c>
      <c r="BA10" s="237">
        <f>1200+DI10</f>
        <v/>
      </c>
      <c r="BB10" s="237" t="n">
        <v>1400</v>
      </c>
      <c r="BC10" s="237">
        <f>400+DF10</f>
        <v/>
      </c>
      <c r="BD10" s="237" t="n">
        <v>2400</v>
      </c>
      <c r="BE10" s="237" t="n">
        <v>2000</v>
      </c>
      <c r="BF10" s="237" t="n">
        <v>1200</v>
      </c>
      <c r="BG10" s="237" t="n">
        <v>1600</v>
      </c>
      <c r="BH10" s="237" t="n">
        <v>2200</v>
      </c>
      <c r="BI10" s="237" t="n">
        <v>1400</v>
      </c>
      <c r="BJ10" s="237" t="n">
        <v>1000</v>
      </c>
      <c r="BK10" s="237" t="n">
        <v>600</v>
      </c>
      <c r="BL10" s="237" t="n">
        <v>0</v>
      </c>
      <c r="BM10" s="237">
        <f>0+CQ10</f>
        <v/>
      </c>
      <c r="BN10" s="237" t="n">
        <v>1200</v>
      </c>
      <c r="BO10" s="237">
        <f>0+CN10</f>
        <v/>
      </c>
      <c r="BP10" s="237">
        <f>200+CL10</f>
        <v/>
      </c>
      <c r="BQ10" s="237">
        <f>400+CK10</f>
        <v/>
      </c>
      <c r="BR10" s="237" t="n">
        <v>600</v>
      </c>
      <c r="BS10" s="237" t="n">
        <v>400</v>
      </c>
      <c r="BT10" s="237" t="n">
        <v>1600</v>
      </c>
      <c r="BU10" s="237" t="n">
        <v>1800</v>
      </c>
      <c r="BV10" s="237" t="n">
        <v>1000</v>
      </c>
      <c r="BW10" s="237" t="n">
        <v>800</v>
      </c>
      <c r="BX10" s="237" t="n">
        <v>0</v>
      </c>
      <c r="BY10" s="198">
        <f>BW10+IF(NOT(ISBLANK(OFFSET(BY10,0,6))),N(OFFSET(BY10,0,6)),N(OFFSET(BY10,0,7)))-BX10</f>
        <v/>
      </c>
      <c r="BZ10" s="5" t="n"/>
      <c r="CA10" s="22" t="n"/>
      <c r="CB10" s="22" t="n"/>
      <c r="CC10" s="5" t="n"/>
      <c r="CD10" s="27" t="n">
        <v>1000</v>
      </c>
      <c r="CE10" s="1" t="n"/>
      <c r="CF10" s="23" t="n">
        <v>0</v>
      </c>
      <c r="CG10" s="23" t="n">
        <v>0</v>
      </c>
      <c r="CH10" s="23" t="n">
        <v>2000</v>
      </c>
      <c r="CI10" s="23" t="n"/>
      <c r="CJ10" s="419" t="n">
        <v>3000</v>
      </c>
      <c r="CK10" s="23" t="n">
        <v>600</v>
      </c>
      <c r="CL10" s="23" t="n">
        <v>1600</v>
      </c>
      <c r="CM10" s="467" t="n">
        <v>1500</v>
      </c>
      <c r="CN10" s="23" t="n">
        <v>800</v>
      </c>
      <c r="CO10" s="23" t="n"/>
      <c r="CP10" s="23" t="n"/>
      <c r="CQ10" s="23" t="n">
        <v>2000</v>
      </c>
      <c r="CR10" s="23" t="n"/>
      <c r="CS10" s="23" t="n"/>
      <c r="CT10" s="23" t="n"/>
      <c r="CU10" s="23" t="n"/>
      <c r="CV10" s="23" t="n"/>
      <c r="CW10" s="23" t="n"/>
      <c r="CX10" s="23" t="n"/>
      <c r="CY10" s="23" t="n"/>
      <c r="CZ10" s="23" t="n">
        <v>1000</v>
      </c>
      <c r="DA10" s="23" t="n"/>
      <c r="DB10" s="23" t="n">
        <v>1000</v>
      </c>
      <c r="DC10" s="23" t="n"/>
      <c r="DD10" s="23" t="n">
        <v>1000</v>
      </c>
      <c r="DE10" s="23" t="n"/>
      <c r="DF10" s="23" t="n">
        <v>2600</v>
      </c>
      <c r="DG10" s="23" t="n"/>
      <c r="DH10" s="23" t="n"/>
      <c r="DI10" s="23" t="n">
        <v>1600</v>
      </c>
      <c r="DJ10" s="23" t="n">
        <v>2000</v>
      </c>
      <c r="DK10" s="192" t="inlineStr">
        <is>
          <t>400 DE CDB</t>
        </is>
      </c>
      <c r="DL10" s="23" t="n"/>
      <c r="DM10" s="23" t="n"/>
      <c r="DN10" s="23" t="n">
        <v>2000</v>
      </c>
      <c r="DO10" s="23" t="n">
        <v>600</v>
      </c>
      <c r="DP10" s="23" t="n"/>
      <c r="DQ10" s="23" t="n"/>
      <c r="DR10" s="23" t="n"/>
      <c r="DS10" s="219" t="n">
        <v>200</v>
      </c>
      <c r="DT10" s="23" t="n">
        <v>2000</v>
      </c>
      <c r="DU10" s="23" t="n"/>
      <c r="DV10" s="23" t="n"/>
      <c r="DW10" s="23" t="n"/>
      <c r="DX10" s="23" t="n">
        <v>2000</v>
      </c>
      <c r="DY10" s="23" t="n"/>
      <c r="DZ10" s="23" t="n"/>
      <c r="EA10" s="23" t="n">
        <v>2000</v>
      </c>
      <c r="EB10" s="192" t="inlineStr">
        <is>
          <t>400 DE CD</t>
        </is>
      </c>
      <c r="EC10" s="23" t="n">
        <v>400</v>
      </c>
      <c r="ED10" s="23" t="n"/>
      <c r="EE10" s="23" t="n">
        <v>600</v>
      </c>
      <c r="EF10" s="23" t="n"/>
      <c r="EG10" s="23" t="n"/>
      <c r="EH10" s="23" t="n">
        <v>1000</v>
      </c>
      <c r="EI10" s="23" t="n">
        <v>600</v>
      </c>
      <c r="EJ10" s="192" t="inlineStr">
        <is>
          <t>600 DE CD</t>
        </is>
      </c>
      <c r="EK10" s="23" t="n"/>
      <c r="EL10" s="23" t="n"/>
      <c r="EM10" s="23" t="n"/>
      <c r="EN10" s="23" t="n">
        <v>1000</v>
      </c>
      <c r="EO10" s="23" t="n"/>
      <c r="EP10" s="23" t="n"/>
      <c r="EQ10" s="23" t="n"/>
      <c r="ER10" s="23" t="n"/>
      <c r="ES10" s="292" t="inlineStr">
        <is>
          <t>1000 P/ CD</t>
        </is>
      </c>
      <c r="ET10" s="23" t="n">
        <v>800</v>
      </c>
      <c r="EU10" s="23" t="n"/>
      <c r="EV10" s="219" t="n">
        <v>2000</v>
      </c>
      <c r="EW10" s="23" t="n"/>
      <c r="EX10" s="23" t="n"/>
      <c r="EY10" s="23" t="n">
        <v>1000</v>
      </c>
      <c r="EZ10" s="23" t="n"/>
      <c r="FA10" s="23" t="n">
        <v>2000</v>
      </c>
      <c r="FB10" s="23" t="n"/>
      <c r="FC10" s="23" t="n"/>
      <c r="FD10" s="23" t="n"/>
      <c r="FE10" s="23" t="n">
        <v>1000</v>
      </c>
      <c r="FF10" s="282" t="inlineStr">
        <is>
          <t>2000 DE CD</t>
        </is>
      </c>
      <c r="FG10" s="23" t="n"/>
      <c r="FH10" s="23" t="n"/>
      <c r="FI10" s="219" t="n">
        <v>300</v>
      </c>
      <c r="FJ10" s="23" t="n"/>
      <c r="FK10" s="23" t="n"/>
      <c r="FL10" s="23" t="n"/>
      <c r="FM10" s="23" t="n"/>
      <c r="FN10" s="23" t="n"/>
      <c r="FO10" s="23" t="n"/>
      <c r="FP10" s="23" t="n"/>
      <c r="FQ10" s="23" t="n">
        <v>1600</v>
      </c>
      <c r="FR10" s="23" t="n"/>
      <c r="FS10" s="23" t="n"/>
      <c r="FT10" s="23" t="n"/>
      <c r="FU10" s="282" t="inlineStr">
        <is>
          <t>400 DE CD</t>
        </is>
      </c>
      <c r="FV10" s="23" t="n">
        <v>3000</v>
      </c>
      <c r="FW10" s="219" t="n"/>
      <c r="FX10" s="23" t="n"/>
      <c r="FY10" s="219" t="n">
        <v>1200</v>
      </c>
      <c r="FZ10" s="23" t="n"/>
      <c r="GA10" s="23" t="n"/>
      <c r="GB10" s="23" t="n"/>
      <c r="GC10" s="23" t="n"/>
      <c r="GD10" s="23" t="n"/>
      <c r="GE10" s="23" t="n"/>
      <c r="GF10" s="23" t="n"/>
      <c r="GG10" s="23" t="n"/>
      <c r="GH10" s="23" t="n">
        <v>1200</v>
      </c>
      <c r="GI10" s="23" t="n"/>
      <c r="GJ10" s="23" t="n">
        <v>800</v>
      </c>
      <c r="GK10" s="23" t="n">
        <v>800</v>
      </c>
      <c r="GL10" s="23" t="n"/>
      <c r="GM10" s="23" t="n">
        <v>1000</v>
      </c>
      <c r="GN10" s="23" t="n"/>
      <c r="GP10" s="65" t="inlineStr">
        <is>
          <t>SACOLA M</t>
        </is>
      </c>
      <c r="GQ10" s="208" t="n">
        <v>200</v>
      </c>
      <c r="GR10" s="699">
        <f>FY10</f>
        <v/>
      </c>
      <c r="GS10" s="699" t="n">
        <v>200</v>
      </c>
      <c r="GT10" s="699" t="n">
        <v>0</v>
      </c>
      <c r="GU10" s="162" t="n">
        <v>0</v>
      </c>
      <c r="GV10" s="162" t="n">
        <v>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162" t="n">
        <v>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302" t="n">
        <v>0</v>
      </c>
      <c r="HK10" s="65" t="inlineStr">
        <is>
          <t>SACOLA M</t>
        </is>
      </c>
      <c r="HL10" s="208" t="n">
        <v>200</v>
      </c>
      <c r="HM10" s="162">
        <f>FI10</f>
        <v/>
      </c>
      <c r="HN10" s="162" t="n">
        <v>300</v>
      </c>
      <c r="HO10" s="162" t="n">
        <v>200</v>
      </c>
      <c r="HP10" s="162" t="n">
        <v>200</v>
      </c>
      <c r="HQ10" s="162" t="n">
        <v>200</v>
      </c>
      <c r="HR10" s="162" t="n">
        <v>200</v>
      </c>
      <c r="HS10" s="162" t="n">
        <v>200</v>
      </c>
      <c r="HT10" s="525">
        <f>HR10-HS10</f>
        <v/>
      </c>
      <c r="HV10" s="65" t="inlineStr">
        <is>
          <t>SACOLA M</t>
        </is>
      </c>
      <c r="HW10" s="208" t="n">
        <v>200</v>
      </c>
      <c r="HX10" s="162">
        <f>EV10</f>
        <v/>
      </c>
      <c r="HY10" s="162">
        <f>2000-1000</f>
        <v/>
      </c>
      <c r="HZ10" s="162" t="n">
        <v>1000</v>
      </c>
      <c r="IA10" s="162" t="n">
        <v>1000</v>
      </c>
      <c r="IB10" s="162" t="n">
        <v>800</v>
      </c>
      <c r="IC10" s="162" t="n">
        <v>800</v>
      </c>
      <c r="ID10" s="162" t="n">
        <v>0</v>
      </c>
      <c r="IE10" s="162" t="n">
        <v>0</v>
      </c>
      <c r="IF10" s="520" t="n">
        <v>0</v>
      </c>
      <c r="IH10" s="65" t="inlineStr">
        <is>
          <t>SACOLA M</t>
        </is>
      </c>
      <c r="II10" s="208" t="n">
        <v>200</v>
      </c>
      <c r="IJ10" s="162" t="n">
        <v>0</v>
      </c>
      <c r="IK10" s="162">
        <f>DS10</f>
        <v/>
      </c>
      <c r="IL10" s="162" t="n"/>
      <c r="IM10" s="445" t="n"/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500</v>
      </c>
      <c r="E11" s="5" t="n"/>
      <c r="F11" s="237" t="n">
        <v>1300</v>
      </c>
      <c r="G11" s="237" t="n">
        <v>1100</v>
      </c>
      <c r="H11" s="237">
        <f>1000+GJ11</f>
        <v/>
      </c>
      <c r="I11" s="237" t="n">
        <v>1300</v>
      </c>
      <c r="J11" s="237" t="n">
        <v>1100</v>
      </c>
      <c r="K11" s="237" t="n">
        <v>1100</v>
      </c>
      <c r="L11" s="237" t="n">
        <v>1000</v>
      </c>
      <c r="M11" s="237" t="n">
        <v>800</v>
      </c>
      <c r="N11" s="237">
        <f>800+GB11</f>
        <v/>
      </c>
      <c r="O11" s="237" t="n">
        <v>1000</v>
      </c>
      <c r="P11" s="237" t="n">
        <v>1000</v>
      </c>
      <c r="Q11" s="237" t="n">
        <v>800</v>
      </c>
      <c r="R11" s="237" t="n">
        <v>700</v>
      </c>
      <c r="S11" s="237" t="n">
        <v>600</v>
      </c>
      <c r="T11" s="237" t="n">
        <v>400</v>
      </c>
      <c r="U11" s="237" t="n">
        <v>400</v>
      </c>
      <c r="V11" s="237" t="n">
        <v>300</v>
      </c>
      <c r="W11" s="237">
        <f>200+FS11</f>
        <v/>
      </c>
      <c r="X11" s="237" t="n">
        <v>400</v>
      </c>
      <c r="Y11" s="237" t="n">
        <v>400</v>
      </c>
      <c r="Z11" s="237" t="n">
        <v>0</v>
      </c>
      <c r="AA11" s="237" t="n">
        <v>500</v>
      </c>
      <c r="AB11" s="237" t="n">
        <v>400</v>
      </c>
      <c r="AC11" s="237" t="n">
        <v>200</v>
      </c>
      <c r="AD11" s="237" t="n">
        <v>0</v>
      </c>
      <c r="AE11" s="237">
        <f>0+EY11</f>
        <v/>
      </c>
      <c r="AF11" s="237" t="n">
        <v>400</v>
      </c>
      <c r="AG11" s="237">
        <f>400+EU11</f>
        <v/>
      </c>
      <c r="AH11" s="237" t="n">
        <v>300</v>
      </c>
      <c r="AI11" s="237" t="n">
        <v>500</v>
      </c>
      <c r="AJ11" s="237" t="n">
        <v>400</v>
      </c>
      <c r="AK11" s="237" t="n">
        <v>300</v>
      </c>
      <c r="AL11" s="237">
        <f>300+EK11</f>
        <v/>
      </c>
      <c r="AM11" s="237" t="n">
        <v>300</v>
      </c>
      <c r="AN11" s="237" t="n">
        <v>300</v>
      </c>
      <c r="AO11" s="237">
        <f>300+EE11</f>
        <v/>
      </c>
      <c r="AP11" s="237" t="n">
        <v>300</v>
      </c>
      <c r="AQ11" s="237" t="n">
        <v>500</v>
      </c>
      <c r="AR11" s="237" t="n">
        <v>500</v>
      </c>
      <c r="AS11" s="237" t="n">
        <v>100</v>
      </c>
      <c r="AT11" s="237">
        <f>0+DU11</f>
        <v/>
      </c>
      <c r="AU11" s="237" t="n">
        <v>400</v>
      </c>
      <c r="AV11" s="237">
        <f>300+DQ11</f>
        <v/>
      </c>
      <c r="AW11" s="237" t="n">
        <v>400</v>
      </c>
      <c r="AX11" s="237">
        <f>300+DN11</f>
        <v/>
      </c>
      <c r="AY11" s="237">
        <f>400+DL11</f>
        <v/>
      </c>
      <c r="AZ11" s="237" t="n">
        <v>600</v>
      </c>
      <c r="BA11" s="237">
        <f>600+DI11</f>
        <v/>
      </c>
      <c r="BB11" s="237" t="n">
        <v>700</v>
      </c>
      <c r="BC11" s="237">
        <f>300+DF11</f>
        <v/>
      </c>
      <c r="BD11" s="237" t="n">
        <v>1200</v>
      </c>
      <c r="BE11" s="237" t="n">
        <v>1200</v>
      </c>
      <c r="BF11" s="237" t="n">
        <v>1000</v>
      </c>
      <c r="BG11" s="237" t="n">
        <v>800</v>
      </c>
      <c r="BH11" s="237" t="n">
        <v>1000</v>
      </c>
      <c r="BI11" s="237" t="n">
        <v>1000</v>
      </c>
      <c r="BJ11" s="237" t="n">
        <v>900</v>
      </c>
      <c r="BK11" s="237" t="n">
        <v>900</v>
      </c>
      <c r="BL11" s="237" t="n">
        <v>1000</v>
      </c>
      <c r="BM11" s="237" t="n">
        <v>1000</v>
      </c>
      <c r="BN11" s="237">
        <f>0+CP11</f>
        <v/>
      </c>
      <c r="BO11" s="237">
        <f>500+CN11</f>
        <v/>
      </c>
      <c r="BP11" s="237" t="n">
        <v>900</v>
      </c>
      <c r="BQ11" s="237">
        <f>600+CK11</f>
        <v/>
      </c>
      <c r="BR11" s="237" t="n">
        <v>1000</v>
      </c>
      <c r="BS11" s="237" t="n">
        <v>1400</v>
      </c>
      <c r="BT11" s="237" t="n">
        <v>1800</v>
      </c>
      <c r="BU11" s="237" t="n">
        <v>1200</v>
      </c>
      <c r="BV11" s="237" t="n">
        <v>1200</v>
      </c>
      <c r="BW11" s="237" t="n">
        <v>1200</v>
      </c>
      <c r="BX11" s="237" t="n">
        <v>1000</v>
      </c>
      <c r="BY11" s="198">
        <f>BW11+IF(NOT(ISBLANK(OFFSET(BY11,0,6))),N(OFFSET(BY11,0,6)),N(OFFSET(BY11,0,7)))-BX11</f>
        <v/>
      </c>
      <c r="BZ11" s="5" t="n"/>
      <c r="CA11" s="22" t="inlineStr">
        <is>
          <t>500 P/ CDB</t>
        </is>
      </c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>
        <v>0</v>
      </c>
      <c r="CI11" s="23" t="n"/>
      <c r="CJ11" s="419" t="n">
        <v>100</v>
      </c>
      <c r="CK11" s="23" t="n">
        <v>600</v>
      </c>
      <c r="CL11" s="23" t="n"/>
      <c r="CM11" s="23" t="n"/>
      <c r="CN11" s="23" t="n">
        <v>1000</v>
      </c>
      <c r="CO11" s="23" t="n"/>
      <c r="CP11" s="23" t="n">
        <v>600</v>
      </c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>
        <v>300</v>
      </c>
      <c r="DA11" s="23" t="n"/>
      <c r="DB11" s="23" t="n"/>
      <c r="DC11" s="23" t="n"/>
      <c r="DD11" s="23" t="n">
        <v>500</v>
      </c>
      <c r="DE11" s="23" t="n"/>
      <c r="DF11" s="23" t="n">
        <v>500</v>
      </c>
      <c r="DG11" s="23" t="n"/>
      <c r="DH11" s="23" t="n"/>
      <c r="DI11" s="23" t="n">
        <v>500</v>
      </c>
      <c r="DJ11" s="23" t="n"/>
      <c r="DK11" s="219" t="n"/>
      <c r="DL11" s="23" t="n">
        <v>500</v>
      </c>
      <c r="DM11" s="23" t="n"/>
      <c r="DN11" s="23" t="n">
        <v>100</v>
      </c>
      <c r="DO11" s="23" t="n"/>
      <c r="DP11" s="23" t="n"/>
      <c r="DQ11" s="23" t="n">
        <v>200</v>
      </c>
      <c r="DR11" s="23" t="n"/>
      <c r="DS11" s="219" t="n"/>
      <c r="DT11" s="23" t="n"/>
      <c r="DU11" s="23" t="n">
        <v>500</v>
      </c>
      <c r="DV11" s="23" t="n"/>
      <c r="DW11" s="23" t="n"/>
      <c r="DX11" s="23" t="n"/>
      <c r="DY11" s="23" t="n"/>
      <c r="DZ11" s="23" t="n"/>
      <c r="EA11" s="23" t="n">
        <v>200</v>
      </c>
      <c r="EB11" s="23" t="n"/>
      <c r="EC11" s="23" t="n"/>
      <c r="ED11" s="434" t="inlineStr">
        <is>
          <t>60 DE CD</t>
        </is>
      </c>
      <c r="EE11" s="23" t="n">
        <v>200</v>
      </c>
      <c r="EF11" s="23" t="n"/>
      <c r="EG11" s="23" t="n"/>
      <c r="EH11" s="23" t="n">
        <v>200</v>
      </c>
      <c r="EI11" s="23" t="n"/>
      <c r="EJ11" s="23" t="n"/>
      <c r="EK11" s="23" t="n">
        <v>200</v>
      </c>
      <c r="EL11" s="23" t="n"/>
      <c r="EM11" s="23" t="n"/>
      <c r="EN11" s="23" t="n"/>
      <c r="EO11" s="23" t="n"/>
      <c r="EP11" s="23" t="n"/>
      <c r="EQ11" s="23" t="n"/>
      <c r="ER11" s="23" t="n">
        <v>200</v>
      </c>
      <c r="ES11" s="23" t="n"/>
      <c r="ET11" s="23" t="n"/>
      <c r="EU11" s="23" t="n">
        <v>100</v>
      </c>
      <c r="EV11" s="23" t="n"/>
      <c r="EW11" s="23" t="n"/>
      <c r="EX11" s="23" t="n"/>
      <c r="EY11" s="23" t="n">
        <v>500</v>
      </c>
      <c r="EZ11" s="23" t="n"/>
      <c r="FA11" s="23" t="n"/>
      <c r="FB11" s="23" t="n"/>
      <c r="FC11" s="23" t="n"/>
      <c r="FD11" s="23" t="n"/>
      <c r="FE11" s="23" t="n">
        <v>500</v>
      </c>
      <c r="FF11" s="23" t="n"/>
      <c r="FG11" s="23" t="n"/>
      <c r="FH11" s="23" t="n"/>
      <c r="FI11" s="219" t="n">
        <v>70</v>
      </c>
      <c r="FJ11" s="23" t="n"/>
      <c r="FK11" s="23" t="n"/>
      <c r="FL11" s="23" t="n"/>
      <c r="FM11" s="23" t="n"/>
      <c r="FN11" s="23" t="n">
        <v>200</v>
      </c>
      <c r="FO11" s="23" t="n"/>
      <c r="FP11" s="23" t="n"/>
      <c r="FQ11" s="23" t="n"/>
      <c r="FR11" s="23" t="n"/>
      <c r="FS11" s="23" t="n">
        <v>300</v>
      </c>
      <c r="FT11" s="23" t="n"/>
      <c r="FU11" s="23" t="n"/>
      <c r="FV11" s="23" t="n"/>
      <c r="FW11" s="219" t="n"/>
      <c r="FX11" s="23" t="n"/>
      <c r="FY11" s="219" t="n">
        <v>800</v>
      </c>
      <c r="FZ11" s="23" t="n"/>
      <c r="GA11" s="23" t="n"/>
      <c r="GB11" s="23" t="n">
        <v>200</v>
      </c>
      <c r="GC11" s="23" t="n"/>
      <c r="GD11" s="23" t="n"/>
      <c r="GE11" s="23" t="n"/>
      <c r="GF11" s="23" t="n"/>
      <c r="GG11" s="23" t="n"/>
      <c r="GH11" s="23" t="n"/>
      <c r="GI11" s="23" t="n"/>
      <c r="GJ11" s="23" t="n">
        <v>400</v>
      </c>
      <c r="GK11" s="23" t="n"/>
      <c r="GL11" s="23" t="n"/>
      <c r="GM11" s="23" t="n"/>
      <c r="GN11" s="23" t="n"/>
      <c r="GP11" s="66" t="inlineStr">
        <is>
          <t>SACOLA G</t>
        </is>
      </c>
      <c r="GQ11" s="208" t="n">
        <v>100</v>
      </c>
      <c r="GR11" s="699">
        <f>FY11</f>
        <v/>
      </c>
      <c r="GS11" s="699" t="n">
        <v>0</v>
      </c>
      <c r="GT11" s="699" t="n">
        <v>0</v>
      </c>
      <c r="GU11" s="162" t="n">
        <v>0</v>
      </c>
      <c r="GV11" s="162" t="n">
        <v>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162" t="n">
        <v>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302" t="n">
        <v>0</v>
      </c>
      <c r="HK11" s="66" t="inlineStr">
        <is>
          <t>SACOLA G</t>
        </is>
      </c>
      <c r="HL11" s="208" t="n">
        <v>100</v>
      </c>
      <c r="HM11" s="162">
        <f>FI11</f>
        <v/>
      </c>
      <c r="HN11" s="162" t="n">
        <v>70</v>
      </c>
      <c r="HO11" s="162" t="n">
        <v>50</v>
      </c>
      <c r="HP11" s="162" t="n">
        <v>0</v>
      </c>
      <c r="HQ11" s="162" t="n">
        <v>0</v>
      </c>
      <c r="HR11" s="162" t="n">
        <v>0</v>
      </c>
      <c r="HS11" s="162" t="n">
        <v>0</v>
      </c>
      <c r="HT11" s="525">
        <f>HR11-HS11</f>
        <v/>
      </c>
      <c r="HV11" s="35" t="n"/>
      <c r="IH11" s="65" t="inlineStr">
        <is>
          <t>SACOLA G</t>
        </is>
      </c>
      <c r="II11" s="208" t="n">
        <v>100</v>
      </c>
      <c r="IJ11" s="162" t="n">
        <v>0</v>
      </c>
      <c r="IK11" s="162" t="n">
        <v>0</v>
      </c>
      <c r="IL11" s="162" t="n"/>
      <c r="IM11" s="446" t="n"/>
      <c r="IO11" s="449" t="inlineStr">
        <is>
          <t>50 DE CD</t>
        </is>
      </c>
    </row>
    <row r="12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382" t="n">
        <v>700</v>
      </c>
      <c r="E12" s="5" t="n"/>
      <c r="F12" s="237" t="n">
        <v>800</v>
      </c>
      <c r="G12" s="237" t="n">
        <v>800</v>
      </c>
      <c r="H12" s="237" t="n">
        <v>800</v>
      </c>
      <c r="I12" s="237" t="n">
        <v>600</v>
      </c>
      <c r="J12" s="237">
        <f>400+GH12+600</f>
        <v/>
      </c>
      <c r="K12" s="237" t="n">
        <v>1400</v>
      </c>
      <c r="L12" s="237" t="n">
        <v>1400</v>
      </c>
      <c r="M12" s="237" t="n">
        <v>1000</v>
      </c>
      <c r="N12" s="237">
        <f>1000+GB12</f>
        <v/>
      </c>
      <c r="O12" s="237" t="n">
        <v>1400</v>
      </c>
      <c r="P12" s="237" t="n">
        <v>1400</v>
      </c>
      <c r="Q12" s="237" t="n">
        <v>1200</v>
      </c>
      <c r="R12" s="237" t="n">
        <v>800</v>
      </c>
      <c r="S12" s="237">
        <f>600+FV12</f>
        <v/>
      </c>
      <c r="T12" s="237" t="n">
        <v>1000</v>
      </c>
      <c r="U12" s="237" t="n">
        <v>800</v>
      </c>
      <c r="V12" s="237" t="n">
        <v>600</v>
      </c>
      <c r="W12" s="237" t="n">
        <v>600</v>
      </c>
      <c r="X12" s="237" t="n">
        <v>400</v>
      </c>
      <c r="Y12" s="237" t="n">
        <v>400</v>
      </c>
      <c r="Z12" s="237">
        <f>200+1000</f>
        <v/>
      </c>
      <c r="AA12" s="237" t="n">
        <v>1600</v>
      </c>
      <c r="AB12" s="237" t="n">
        <v>1400</v>
      </c>
      <c r="AC12" s="237" t="n">
        <v>1200</v>
      </c>
      <c r="AD12" s="237" t="n">
        <v>1200</v>
      </c>
      <c r="AE12" s="237" t="n">
        <v>800</v>
      </c>
      <c r="AF12" s="237" t="n">
        <v>1200</v>
      </c>
      <c r="AG12" s="237" t="n">
        <v>1000</v>
      </c>
      <c r="AH12" s="237" t="n">
        <v>600</v>
      </c>
      <c r="AI12" s="237" t="n">
        <v>600</v>
      </c>
      <c r="AJ12" s="237" t="n">
        <v>400</v>
      </c>
      <c r="AK12" s="237" t="n">
        <v>200</v>
      </c>
      <c r="AL12" s="237">
        <f>0+EK12</f>
        <v/>
      </c>
      <c r="AM12" s="237" t="n">
        <v>200</v>
      </c>
      <c r="AN12" s="237" t="n">
        <v>600</v>
      </c>
      <c r="AO12" s="237">
        <f>200+EE12</f>
        <v/>
      </c>
      <c r="AP12" s="237" t="n">
        <v>800</v>
      </c>
      <c r="AQ12" s="237" t="n">
        <v>1400</v>
      </c>
      <c r="AR12" s="237" t="n">
        <v>1200</v>
      </c>
      <c r="AS12" s="237" t="n">
        <v>800</v>
      </c>
      <c r="AT12" s="237" t="n">
        <v>400</v>
      </c>
      <c r="AU12" s="237" t="n">
        <v>0</v>
      </c>
      <c r="AV12" s="237">
        <f>0+DR12</f>
        <v/>
      </c>
      <c r="AW12" s="237" t="n">
        <v>400</v>
      </c>
      <c r="AX12" s="237" t="n">
        <v>0</v>
      </c>
      <c r="AY12" s="237" t="n">
        <v>0</v>
      </c>
      <c r="AZ12" s="237">
        <f>0+DJ12</f>
        <v/>
      </c>
      <c r="BA12" s="237" t="n">
        <v>600</v>
      </c>
      <c r="BB12" s="237" t="n">
        <v>200</v>
      </c>
      <c r="BC12" s="237">
        <f>200+DG12</f>
        <v/>
      </c>
      <c r="BD12" s="237">
        <f>200+DE12</f>
        <v/>
      </c>
      <c r="BE12" s="237" t="n">
        <v>800</v>
      </c>
      <c r="BF12" s="237" t="n">
        <v>600</v>
      </c>
      <c r="BG12" s="237">
        <f>600+DA12</f>
        <v/>
      </c>
      <c r="BH12" s="237" t="n">
        <v>400</v>
      </c>
      <c r="BI12" s="237">
        <f>400+CX12</f>
        <v/>
      </c>
      <c r="BJ12" s="459">
        <f>1000+CU12</f>
        <v/>
      </c>
      <c r="BK12" s="237" t="n">
        <v>1200</v>
      </c>
      <c r="BL12" s="237" t="n">
        <v>600</v>
      </c>
      <c r="BM12" s="237">
        <f>200+CQ12</f>
        <v/>
      </c>
      <c r="BN12" s="237">
        <f>1000+CP12</f>
        <v/>
      </c>
      <c r="BO12" s="237" t="n">
        <v>1400</v>
      </c>
      <c r="BP12" s="237" t="n">
        <v>600</v>
      </c>
      <c r="BQ12" s="237">
        <f>400+CK12</f>
        <v/>
      </c>
      <c r="BR12" s="237" t="n">
        <v>1200</v>
      </c>
      <c r="BS12" s="237" t="n">
        <v>1000</v>
      </c>
      <c r="BT12" s="237" t="n">
        <v>800</v>
      </c>
      <c r="BU12" s="237" t="n">
        <v>800</v>
      </c>
      <c r="BV12" s="237" t="n">
        <v>200</v>
      </c>
      <c r="BW12" s="237">
        <f>0+CG12</f>
        <v/>
      </c>
      <c r="BX12" s="237" t="n">
        <v>600</v>
      </c>
      <c r="BY12" s="198">
        <f>BW12+IF(NOT(ISBLANK(OFFSET(BY12,0,6))),N(OFFSET(BY12,0,6)),N(OFFSET(BY12,0,7)))-BX12</f>
        <v/>
      </c>
      <c r="BZ12" s="5" t="n"/>
      <c r="CA12" s="22" t="n"/>
      <c r="CB12" s="22" t="n"/>
      <c r="CC12" s="5" t="n"/>
      <c r="CD12" s="27" t="n"/>
      <c r="CE12" s="5" t="n"/>
      <c r="CF12" s="23" t="n">
        <v>0</v>
      </c>
      <c r="CG12" s="23" t="n">
        <v>800</v>
      </c>
      <c r="CH12" s="23" t="n">
        <v>0</v>
      </c>
      <c r="CI12" s="23" t="n"/>
      <c r="CJ12" s="23" t="n"/>
      <c r="CK12" s="23" t="n">
        <v>800</v>
      </c>
      <c r="CL12" s="23" t="n"/>
      <c r="CM12" s="23" t="n"/>
      <c r="CN12" s="23" t="n"/>
      <c r="CO12" s="23" t="n"/>
      <c r="CP12" s="23" t="n">
        <v>400</v>
      </c>
      <c r="CQ12" s="23" t="n">
        <v>600</v>
      </c>
      <c r="CR12" s="23" t="n"/>
      <c r="CS12" s="23" t="n"/>
      <c r="CT12" s="23" t="n"/>
      <c r="CU12" s="23" t="n">
        <v>400</v>
      </c>
      <c r="CV12" s="23" t="n"/>
      <c r="CW12" s="23" t="n"/>
      <c r="CX12" s="23" t="n">
        <v>600</v>
      </c>
      <c r="CY12" s="23" t="n">
        <v>400</v>
      </c>
      <c r="CZ12" s="23" t="n"/>
      <c r="DA12" s="23" t="n">
        <v>200</v>
      </c>
      <c r="DB12" s="23" t="n">
        <v>400</v>
      </c>
      <c r="DC12" s="23" t="n"/>
      <c r="DD12" s="23" t="n"/>
      <c r="DE12" s="23" t="n">
        <v>600</v>
      </c>
      <c r="DF12" s="23" t="n"/>
      <c r="DG12" s="23" t="n">
        <v>400</v>
      </c>
      <c r="DH12" s="23" t="n"/>
      <c r="DI12" s="23" t="n"/>
      <c r="DJ12" s="23" t="n">
        <v>800</v>
      </c>
      <c r="DK12" s="219" t="n"/>
      <c r="DL12" s="23" t="n"/>
      <c r="DM12" s="23" t="n">
        <v>400</v>
      </c>
      <c r="DN12" s="23" t="n"/>
      <c r="DO12" s="23" t="n"/>
      <c r="DP12" s="23" t="n"/>
      <c r="DQ12" s="23" t="n"/>
      <c r="DR12" s="23" t="n">
        <v>600</v>
      </c>
      <c r="DS12" s="219" t="n"/>
      <c r="DT12" s="23" t="n"/>
      <c r="DU12" s="23" t="n"/>
      <c r="DV12" s="23" t="n"/>
      <c r="DW12" s="23" t="n"/>
      <c r="DX12" s="23" t="n"/>
      <c r="DY12" s="23" t="n"/>
      <c r="DZ12" s="23" t="n"/>
      <c r="EA12" s="23" t="n">
        <v>700</v>
      </c>
      <c r="EB12" s="23" t="n"/>
      <c r="EC12" s="23" t="n">
        <v>800</v>
      </c>
      <c r="ED12" s="434" t="inlineStr">
        <is>
          <t>60 DE CD</t>
        </is>
      </c>
      <c r="EE12" s="23" t="n">
        <v>200</v>
      </c>
      <c r="EF12" s="23" t="n"/>
      <c r="EG12" s="23" t="n"/>
      <c r="EH12" s="23" t="n">
        <v>600</v>
      </c>
      <c r="EI12" s="23" t="n"/>
      <c r="EJ12" s="23" t="n"/>
      <c r="EK12" s="23" t="n">
        <v>600</v>
      </c>
      <c r="EL12" s="23" t="n"/>
      <c r="EM12" s="23" t="n"/>
      <c r="EN12" s="23" t="n"/>
      <c r="EO12" s="23" t="n"/>
      <c r="EP12" s="23" t="n"/>
      <c r="EQ12" s="23" t="n"/>
      <c r="ER12" s="23" t="n">
        <v>200</v>
      </c>
      <c r="ES12" s="23" t="n"/>
      <c r="ET12" s="23" t="n"/>
      <c r="EU12" s="23" t="n"/>
      <c r="EV12" s="23" t="n"/>
      <c r="EW12" s="23" t="n"/>
      <c r="EX12" s="23" t="n">
        <v>400</v>
      </c>
      <c r="EY12" s="23" t="n"/>
      <c r="EZ12" s="23" t="n"/>
      <c r="FA12" s="23" t="n"/>
      <c r="FB12" s="23" t="n"/>
      <c r="FC12" s="23" t="n"/>
      <c r="FD12" s="23" t="n"/>
      <c r="FE12" s="23" t="n">
        <v>600</v>
      </c>
      <c r="FF12" s="23" t="n"/>
      <c r="FG12" s="23" t="n"/>
      <c r="FH12" s="282" t="inlineStr">
        <is>
          <t>1000 DE CDJ</t>
        </is>
      </c>
      <c r="FI12" s="219" t="n"/>
      <c r="FJ12" s="23" t="n"/>
      <c r="FK12" s="23" t="n"/>
      <c r="FL12" s="23" t="n"/>
      <c r="FM12" s="23" t="n"/>
      <c r="FN12" s="23" t="n">
        <v>200</v>
      </c>
      <c r="FO12" s="23" t="n"/>
      <c r="FP12" s="23" t="n"/>
      <c r="FQ12" s="23" t="n"/>
      <c r="FR12" s="23" t="n"/>
      <c r="FS12" s="23" t="n"/>
      <c r="FT12" s="23" t="n"/>
      <c r="FU12" s="23" t="n"/>
      <c r="FV12" s="23" t="n">
        <v>600</v>
      </c>
      <c r="FW12" s="219" t="n"/>
      <c r="FX12" s="23" t="n"/>
      <c r="FY12" s="219" t="n"/>
      <c r="FZ12" s="23" t="n"/>
      <c r="GA12" s="23" t="n"/>
      <c r="GB12" s="23" t="n">
        <v>600</v>
      </c>
      <c r="GC12" s="23" t="n"/>
      <c r="GD12" s="23" t="n"/>
      <c r="GE12" s="23" t="n">
        <v>200</v>
      </c>
      <c r="GF12" s="282" t="inlineStr">
        <is>
          <t>600 DE CD</t>
        </is>
      </c>
      <c r="GG12" s="23" t="n"/>
      <c r="GH12" s="23" t="n">
        <v>400</v>
      </c>
      <c r="GI12" s="23" t="n"/>
      <c r="GJ12" s="23" t="n"/>
      <c r="GK12" s="23" t="n"/>
      <c r="GL12" s="23" t="n"/>
      <c r="GM12" s="23" t="n"/>
      <c r="GN12" s="23" t="n"/>
      <c r="GP12" s="35" t="n"/>
      <c r="HK12" s="35" t="n"/>
      <c r="HV12" s="35" t="n"/>
      <c r="IH12" s="35" t="n"/>
    </row>
    <row r="13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382" t="n">
        <v>400</v>
      </c>
      <c r="E13" s="5" t="n"/>
      <c r="F13" s="697" t="n">
        <v>700</v>
      </c>
      <c r="G13" s="697" t="n">
        <v>700</v>
      </c>
      <c r="H13" s="697" t="n">
        <v>700</v>
      </c>
      <c r="I13" s="697" t="n">
        <v>700</v>
      </c>
      <c r="J13" s="697">
        <f>700+600</f>
        <v/>
      </c>
      <c r="K13" s="697" t="n">
        <v>1300</v>
      </c>
      <c r="L13" s="697" t="n">
        <v>1300</v>
      </c>
      <c r="M13" s="697" t="n">
        <v>1100</v>
      </c>
      <c r="N13" s="697" t="n">
        <v>1100</v>
      </c>
      <c r="O13" s="697" t="n">
        <v>1100</v>
      </c>
      <c r="P13" s="697" t="n">
        <v>1000</v>
      </c>
      <c r="Q13" s="697" t="n">
        <v>900</v>
      </c>
      <c r="R13" s="697" t="n">
        <v>700</v>
      </c>
      <c r="S13" s="697" t="n">
        <v>600</v>
      </c>
      <c r="T13" s="697" t="n">
        <v>400</v>
      </c>
      <c r="U13" s="697" t="n">
        <v>300</v>
      </c>
      <c r="V13" s="697" t="n">
        <v>200</v>
      </c>
      <c r="W13" s="697">
        <f>100+FS13</f>
        <v/>
      </c>
      <c r="X13" s="697" t="n">
        <v>300</v>
      </c>
      <c r="Y13" s="697" t="n">
        <v>400</v>
      </c>
      <c r="Z13" s="697" t="n">
        <v>400</v>
      </c>
      <c r="AA13" s="697" t="n">
        <v>200</v>
      </c>
      <c r="AB13" s="697" t="n">
        <v>100</v>
      </c>
      <c r="AC13" s="697">
        <f>0+FA13</f>
        <v/>
      </c>
      <c r="AD13" s="697" t="n">
        <v>200</v>
      </c>
      <c r="AE13" s="697">
        <f>100+EY13</f>
        <v/>
      </c>
      <c r="AF13" s="697" t="n">
        <v>300</v>
      </c>
      <c r="AG13" s="697">
        <f>200+EU13</f>
        <v/>
      </c>
      <c r="AH13" s="697">
        <f>300+ET13</f>
        <v/>
      </c>
      <c r="AI13" s="697" t="n">
        <v>200</v>
      </c>
      <c r="AJ13" s="697" t="n">
        <v>300</v>
      </c>
      <c r="AK13" s="697" t="n">
        <v>300</v>
      </c>
      <c r="AL13" s="697" t="n">
        <v>0</v>
      </c>
      <c r="AM13" s="697">
        <f>0+EI13</f>
        <v/>
      </c>
      <c r="AN13" s="697" t="n">
        <v>300</v>
      </c>
      <c r="AO13" s="697">
        <f>200+EE13</f>
        <v/>
      </c>
      <c r="AP13" s="697" t="n">
        <v>100</v>
      </c>
      <c r="AQ13" s="697" t="n">
        <v>300</v>
      </c>
      <c r="AR13" s="697">
        <f>200+DZ13</f>
        <v/>
      </c>
      <c r="AS13" s="697">
        <f>100+DX13</f>
        <v/>
      </c>
      <c r="AT13" s="697">
        <f>200+DU13</f>
        <v/>
      </c>
      <c r="AU13" s="697">
        <f>200+DT13</f>
        <v/>
      </c>
      <c r="AV13" s="697">
        <f>100+DQ13</f>
        <v/>
      </c>
      <c r="AW13" s="697" t="n">
        <v>0</v>
      </c>
      <c r="AX13" s="697">
        <f>100+DN13</f>
        <v/>
      </c>
      <c r="AY13" s="697">
        <f>100+DL13</f>
        <v/>
      </c>
      <c r="AZ13" s="697">
        <f>200+DJ13</f>
        <v/>
      </c>
      <c r="BA13" s="697" t="n">
        <v>300</v>
      </c>
      <c r="BB13" s="697">
        <f>100+DH13</f>
        <v/>
      </c>
      <c r="BC13" s="697">
        <f>300+DF13</f>
        <v/>
      </c>
      <c r="BD13" s="697" t="n">
        <v>600</v>
      </c>
      <c r="BE13" s="697" t="n">
        <v>600</v>
      </c>
      <c r="BF13" s="697">
        <f>400+DC13</f>
        <v/>
      </c>
      <c r="BG13" s="697">
        <f>600+DA13</f>
        <v/>
      </c>
      <c r="BH13" s="697" t="n">
        <v>700</v>
      </c>
      <c r="BI13" s="697">
        <f>500+CX13</f>
        <v/>
      </c>
      <c r="BJ13" s="697" t="n">
        <v>500</v>
      </c>
      <c r="BK13" s="697">
        <f>500+CT13</f>
        <v/>
      </c>
      <c r="BL13" s="697" t="n">
        <v>500</v>
      </c>
      <c r="BM13" s="697">
        <f>400+CQ13</f>
        <v/>
      </c>
      <c r="BN13" s="697">
        <f>400+CP13</f>
        <v/>
      </c>
      <c r="BO13" s="697">
        <f>800+CN13</f>
        <v/>
      </c>
      <c r="BP13" s="697" t="n">
        <v>900</v>
      </c>
      <c r="BQ13" s="697" t="n">
        <v>900</v>
      </c>
      <c r="BR13" s="697" t="n">
        <v>700</v>
      </c>
      <c r="BS13" s="697" t="n">
        <v>500</v>
      </c>
      <c r="BT13" s="697" t="n">
        <v>300</v>
      </c>
      <c r="BU13" s="697" t="n">
        <v>200</v>
      </c>
      <c r="BV13" s="697" t="n">
        <v>0</v>
      </c>
      <c r="BW13" s="697">
        <f>0+CG13</f>
        <v/>
      </c>
      <c r="BX13" s="697" t="n">
        <v>0</v>
      </c>
      <c r="BY13" s="198">
        <f>BW13+IF(NOT(ISBLANK(OFFSET(BY13,0,6))),N(OFFSET(BY13,0,6)),N(OFFSET(BY13,0,7)))-BX13</f>
        <v/>
      </c>
      <c r="BZ13" s="5" t="n"/>
      <c r="CA13" s="22" t="n"/>
      <c r="CB13" s="22" t="n"/>
      <c r="CC13" s="5" t="n"/>
      <c r="CD13" s="27" t="n">
        <v>400</v>
      </c>
      <c r="CE13" s="5" t="n"/>
      <c r="CF13" s="23" t="n">
        <v>0</v>
      </c>
      <c r="CG13" s="23" t="n">
        <v>400</v>
      </c>
      <c r="CH13" s="23" t="n">
        <v>0</v>
      </c>
      <c r="CI13" s="23" t="n"/>
      <c r="CJ13" s="23" t="n"/>
      <c r="CK13" s="23" t="n"/>
      <c r="CL13" s="23" t="n"/>
      <c r="CM13" s="23" t="n"/>
      <c r="CN13" s="23" t="n">
        <v>200</v>
      </c>
      <c r="CO13" s="23" t="n"/>
      <c r="CP13" s="23" t="n">
        <v>600</v>
      </c>
      <c r="CQ13" s="23" t="n">
        <v>200</v>
      </c>
      <c r="CR13" s="23" t="n"/>
      <c r="CS13" s="23" t="n"/>
      <c r="CT13" s="23" t="n">
        <v>200</v>
      </c>
      <c r="CU13" s="23" t="n"/>
      <c r="CV13" s="23" t="n"/>
      <c r="CW13" s="23" t="n"/>
      <c r="CX13" s="23" t="n">
        <v>200</v>
      </c>
      <c r="CY13" s="23" t="n"/>
      <c r="CZ13" s="23" t="n">
        <v>200</v>
      </c>
      <c r="DA13" s="23" t="n">
        <v>100</v>
      </c>
      <c r="DB13" s="23" t="n"/>
      <c r="DC13" s="23" t="n">
        <v>400</v>
      </c>
      <c r="DD13" s="23" t="n"/>
      <c r="DE13" s="23" t="n"/>
      <c r="DF13" s="23" t="n">
        <v>500</v>
      </c>
      <c r="DG13" s="23" t="n"/>
      <c r="DH13" s="23" t="n">
        <v>400</v>
      </c>
      <c r="DI13" s="23" t="n"/>
      <c r="DJ13" s="23" t="n">
        <v>300</v>
      </c>
      <c r="DK13" s="219" t="n"/>
      <c r="DL13" s="23" t="n">
        <v>100</v>
      </c>
      <c r="DM13" s="23" t="n"/>
      <c r="DN13" s="23" t="n">
        <v>200</v>
      </c>
      <c r="DO13" s="23" t="n">
        <v>200</v>
      </c>
      <c r="DP13" s="23" t="n"/>
      <c r="DQ13" s="23" t="n">
        <v>200</v>
      </c>
      <c r="DR13" s="23" t="n"/>
      <c r="DS13" s="219" t="n"/>
      <c r="DT13" s="23" t="n">
        <v>100</v>
      </c>
      <c r="DU13" s="23" t="n">
        <v>200</v>
      </c>
      <c r="DV13" s="23" t="n"/>
      <c r="DW13" s="23" t="n"/>
      <c r="DX13" s="23" t="n">
        <v>200</v>
      </c>
      <c r="DY13" s="23" t="n"/>
      <c r="DZ13" s="23" t="n">
        <v>100</v>
      </c>
      <c r="EA13" s="23" t="n">
        <v>300</v>
      </c>
      <c r="EB13" s="23" t="n"/>
      <c r="EC13" s="23" t="n">
        <v>100</v>
      </c>
      <c r="ED13" s="434" t="inlineStr">
        <is>
          <t>75 DE CD</t>
        </is>
      </c>
      <c r="EE13" s="23" t="n">
        <v>100</v>
      </c>
      <c r="EF13" s="23" t="n"/>
      <c r="EG13" s="23" t="n"/>
      <c r="EH13" s="23" t="n"/>
      <c r="EI13" s="23" t="n">
        <v>400</v>
      </c>
      <c r="EJ13" s="23" t="n"/>
      <c r="EK13" s="23" t="n"/>
      <c r="EL13" s="23" t="n"/>
      <c r="EM13" s="23" t="n"/>
      <c r="EN13" s="23" t="n">
        <v>300</v>
      </c>
      <c r="EO13" s="23" t="n"/>
      <c r="EP13" s="23" t="n"/>
      <c r="EQ13" s="23" t="n"/>
      <c r="ER13" s="23" t="n"/>
      <c r="ES13" s="23" t="n"/>
      <c r="ET13" s="23" t="n">
        <v>100</v>
      </c>
      <c r="EU13" s="23" t="n">
        <v>100</v>
      </c>
      <c r="EV13" s="23" t="n"/>
      <c r="EW13" s="23" t="n"/>
      <c r="EX13" s="23" t="n">
        <v>100</v>
      </c>
      <c r="EY13" s="23" t="n">
        <v>200</v>
      </c>
      <c r="EZ13" s="23" t="n"/>
      <c r="FA13" s="23" t="n">
        <v>400</v>
      </c>
      <c r="FB13" s="23" t="n"/>
      <c r="FC13" s="23" t="n"/>
      <c r="FD13" s="23" t="n"/>
      <c r="FE13" s="23" t="n"/>
      <c r="FF13" s="23" t="n"/>
      <c r="FG13" s="23" t="n"/>
      <c r="FH13" s="23" t="n"/>
      <c r="FI13" s="219" t="n"/>
      <c r="FJ13" s="23" t="n"/>
      <c r="FK13" s="23" t="n"/>
      <c r="FL13" s="23" t="n"/>
      <c r="FM13" s="23" t="n"/>
      <c r="FN13" s="23" t="n">
        <v>200</v>
      </c>
      <c r="FO13" s="23" t="n"/>
      <c r="FP13" s="23" t="n"/>
      <c r="FQ13" s="23" t="n"/>
      <c r="FR13" s="23" t="n"/>
      <c r="FS13" s="23" t="n">
        <v>300</v>
      </c>
      <c r="FT13" s="23" t="n"/>
      <c r="FU13" s="23" t="n"/>
      <c r="FV13" s="23" t="n"/>
      <c r="FW13" s="219" t="n"/>
      <c r="FX13" s="23" t="n"/>
      <c r="FY13" s="219" t="n"/>
      <c r="FZ13" s="23" t="n"/>
      <c r="GA13" s="23" t="n"/>
      <c r="GB13" s="23" t="n"/>
      <c r="GC13" s="23" t="n"/>
      <c r="GD13" s="23" t="n"/>
      <c r="GE13" s="23" t="n"/>
      <c r="GF13" s="282" t="inlineStr">
        <is>
          <t>600 DE CD</t>
        </is>
      </c>
      <c r="GG13" s="23" t="n"/>
      <c r="GH13" s="23" t="n"/>
      <c r="GI13" s="23" t="n"/>
      <c r="GJ13" s="23" t="n"/>
      <c r="GK13" s="23" t="n"/>
      <c r="GL13" s="23" t="n"/>
      <c r="GM13" s="23" t="n"/>
      <c r="GN13" s="23" t="n"/>
      <c r="GP13" s="35" t="n"/>
      <c r="HK13" s="35" t="n"/>
      <c r="HV13" s="35" t="n"/>
      <c r="IH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150" t="n"/>
      <c r="CB14" s="150" t="n"/>
      <c r="CC14" s="5" t="n"/>
      <c r="CD14" s="18" t="n"/>
      <c r="CE14" s="726" t="n"/>
      <c r="CF14" s="20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308" t="n"/>
      <c r="DL14" s="20" t="n"/>
      <c r="DM14" s="20" t="n"/>
      <c r="DN14" s="20" t="n"/>
      <c r="DO14" s="20" t="n"/>
      <c r="DP14" s="20" t="n"/>
      <c r="DQ14" s="20" t="n"/>
      <c r="DR14" s="20" t="n"/>
      <c r="DS14" s="20" t="n"/>
      <c r="DT14" s="20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I14" s="20" t="n"/>
      <c r="FJ14" s="20" t="n"/>
      <c r="FK14" s="20" t="n"/>
      <c r="FL14" s="20" t="n"/>
      <c r="FM14" s="20" t="n"/>
      <c r="FN14" s="20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308" t="n"/>
      <c r="FX14" s="20" t="n"/>
      <c r="FY14" s="308" t="n"/>
      <c r="FZ14" s="20" t="n"/>
      <c r="GA14" s="20" t="n"/>
      <c r="GB14" s="20" t="n"/>
      <c r="GC14" s="20" t="n"/>
      <c r="GD14" s="20" t="n"/>
      <c r="GE14" s="20" t="n"/>
      <c r="GF14" s="20" t="n"/>
      <c r="GG14" s="20" t="n"/>
      <c r="GH14" s="20" t="n"/>
      <c r="GI14" s="20" t="n"/>
      <c r="GJ14" s="20" t="n"/>
      <c r="GK14" s="20" t="n"/>
      <c r="GL14" s="20" t="n"/>
      <c r="GM14" s="20" t="n"/>
      <c r="GN14" s="20" t="n"/>
      <c r="GP14" s="35" t="n"/>
      <c r="HK14" s="35" t="n"/>
      <c r="HV14" s="35" t="n"/>
      <c r="IH14" s="35" t="n"/>
    </row>
    <row r="15" customFormat="1" s="3">
      <c r="A15" s="36" t="inlineStr">
        <is>
          <t>DIVERSOS DOADOS E. R. BOTICÁRIO</t>
        </is>
      </c>
      <c r="B15" s="13" t="n"/>
      <c r="C15" s="13" t="n"/>
      <c r="D15" s="13" t="n"/>
      <c r="E15" s="2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45915</v>
      </c>
      <c r="AQ15" s="746" t="n">
        <v>45922</v>
      </c>
      <c r="AR15" s="746" t="n">
        <v>45929</v>
      </c>
      <c r="AS15" s="746" t="n">
        <v>45936</v>
      </c>
      <c r="AT15" s="746" t="n">
        <v>45943</v>
      </c>
      <c r="AU15" s="746" t="n">
        <v>45950</v>
      </c>
      <c r="AV15" s="746" t="n">
        <v>45957</v>
      </c>
      <c r="AW15" s="746" t="n">
        <v>45964</v>
      </c>
      <c r="AX15" s="746" t="n">
        <v>45971</v>
      </c>
      <c r="AY15" s="746" t="n">
        <v>45978</v>
      </c>
      <c r="AZ15" s="746" t="n">
        <v>45985</v>
      </c>
      <c r="BA15" s="746" t="n">
        <v>45992</v>
      </c>
      <c r="BB15" s="746" t="n">
        <v>45999</v>
      </c>
      <c r="BC15" s="746" t="n">
        <v>46006</v>
      </c>
      <c r="BD15" s="746" t="n">
        <v>46013</v>
      </c>
      <c r="BE15" s="746" t="n">
        <v>46020</v>
      </c>
      <c r="BF15" s="746" t="n">
        <v>46027</v>
      </c>
      <c r="BG15" s="746" t="n">
        <v>46034</v>
      </c>
      <c r="BH15" s="746" t="n">
        <v>46041</v>
      </c>
      <c r="BI15" s="746" t="n">
        <v>46048</v>
      </c>
      <c r="BJ15" s="746" t="n">
        <v>46055</v>
      </c>
      <c r="BK15" s="746" t="n">
        <v>46062</v>
      </c>
      <c r="BL15" s="746" t="n">
        <v>46069</v>
      </c>
      <c r="BM15" s="746" t="n">
        <v>46076</v>
      </c>
      <c r="BN15" s="746" t="n">
        <v>46083</v>
      </c>
      <c r="BO15" s="746" t="n">
        <v>46090</v>
      </c>
      <c r="BP15" s="746" t="n">
        <v>46097</v>
      </c>
      <c r="BQ15" s="746" t="n">
        <v>46104</v>
      </c>
      <c r="BR15" s="746" t="n">
        <v>46111</v>
      </c>
      <c r="BS15" s="746" t="n">
        <v>46118</v>
      </c>
      <c r="BT15" s="746" t="n">
        <v>46125</v>
      </c>
      <c r="BU15" s="746" t="n">
        <v>46132</v>
      </c>
      <c r="BV15" s="746" t="n">
        <v>46139</v>
      </c>
      <c r="BW15" s="746" t="n">
        <v>46146</v>
      </c>
      <c r="BX15" s="746" t="n">
        <v>46154</v>
      </c>
      <c r="BY15" s="748" t="inlineStr">
        <is>
          <t>USOU</t>
        </is>
      </c>
      <c r="BZ15" s="5" t="n"/>
      <c r="CA15" s="44" t="inlineStr">
        <is>
          <t>Pendências</t>
        </is>
      </c>
      <c r="CB15" s="44" t="inlineStr">
        <is>
          <t>Pendências</t>
        </is>
      </c>
      <c r="CC15" s="5" t="n"/>
      <c r="CD15" s="12" t="inlineStr">
        <is>
          <t>Novo Pedido</t>
        </is>
      </c>
      <c r="CE15" s="726" t="n"/>
      <c r="CF15" s="794" t="n">
        <v>46149</v>
      </c>
      <c r="CG15" s="794" t="n">
        <v>46142</v>
      </c>
      <c r="CH15" s="794" t="n">
        <v>46114</v>
      </c>
      <c r="CI15" s="794" t="n">
        <v>46107</v>
      </c>
      <c r="CJ15" s="795" t="n">
        <v>46065</v>
      </c>
      <c r="CK15" s="794" t="n">
        <v>46099</v>
      </c>
      <c r="CL15" s="794" t="n">
        <v>46092</v>
      </c>
      <c r="CM15" s="796" t="n">
        <v>46045</v>
      </c>
      <c r="CN15" s="794" t="n">
        <v>46084</v>
      </c>
      <c r="CO15" s="797" t="n">
        <v>46085</v>
      </c>
      <c r="CP15" s="794" t="n">
        <v>46077</v>
      </c>
      <c r="CQ15" s="794" t="n">
        <v>46071</v>
      </c>
      <c r="CR15" s="794" t="n">
        <v>46056</v>
      </c>
      <c r="CS15" s="794" t="n">
        <v>46048</v>
      </c>
      <c r="CT15" s="794" t="n">
        <v>46056</v>
      </c>
      <c r="CU15" s="794" t="n">
        <v>46048</v>
      </c>
      <c r="CV15" s="794" t="n">
        <v>46043</v>
      </c>
      <c r="CW15" s="794" t="n">
        <v>46035</v>
      </c>
      <c r="CX15" s="794" t="n">
        <v>46043</v>
      </c>
      <c r="CY15" s="794" t="n">
        <v>46035</v>
      </c>
      <c r="CZ15" s="794" t="n">
        <v>46035</v>
      </c>
      <c r="DA15" s="794" t="n">
        <v>46029</v>
      </c>
      <c r="DB15" s="794" t="n">
        <v>46017</v>
      </c>
      <c r="DC15" s="794" t="n">
        <v>46007</v>
      </c>
      <c r="DD15" s="794" t="n">
        <v>46007</v>
      </c>
      <c r="DE15" s="794" t="n">
        <v>46001</v>
      </c>
      <c r="DF15" s="794" t="n">
        <v>46001</v>
      </c>
      <c r="DG15" s="794" t="n">
        <v>45994</v>
      </c>
      <c r="DH15" s="794" t="n">
        <v>45994</v>
      </c>
      <c r="DI15" s="794" t="n">
        <v>45986</v>
      </c>
      <c r="DJ15" s="794" t="n">
        <v>45980</v>
      </c>
      <c r="DK15" s="797" t="n">
        <v>45982</v>
      </c>
      <c r="DL15" s="794" t="n">
        <v>45973</v>
      </c>
      <c r="DM15" s="794" t="n">
        <v>45965</v>
      </c>
      <c r="DN15" s="794" t="n">
        <v>45965</v>
      </c>
      <c r="DO15" s="794" t="n">
        <v>45960</v>
      </c>
      <c r="DP15" s="794" t="n">
        <v>45960</v>
      </c>
      <c r="DQ15" s="794" t="n">
        <v>45951</v>
      </c>
      <c r="DR15" s="794" t="n">
        <v>45945</v>
      </c>
      <c r="DS15" s="737" t="n">
        <v>45903</v>
      </c>
      <c r="DT15" s="794" t="n">
        <v>45945</v>
      </c>
      <c r="DU15" s="794" t="n">
        <v>45937</v>
      </c>
      <c r="DV15" s="794" t="n">
        <v>45923</v>
      </c>
      <c r="DW15" s="794" t="n">
        <v>45931</v>
      </c>
      <c r="DX15" s="794" t="n">
        <v>45931</v>
      </c>
      <c r="DY15" s="794" t="n">
        <v>45915</v>
      </c>
      <c r="DZ15" s="794" t="n">
        <v>45923</v>
      </c>
      <c r="EA15" s="794" t="n">
        <v>45915</v>
      </c>
      <c r="EB15" s="797" t="n">
        <v>45918</v>
      </c>
      <c r="EC15" s="794" t="n">
        <v>45903</v>
      </c>
      <c r="ED15" s="738" t="n">
        <v>45903</v>
      </c>
      <c r="EE15" s="794" t="n">
        <v>45895</v>
      </c>
      <c r="EF15" s="797" t="n">
        <v>45896</v>
      </c>
      <c r="EG15" s="794" t="n">
        <v>45888</v>
      </c>
      <c r="EH15" s="794" t="n">
        <v>45888</v>
      </c>
      <c r="EI15" s="794" t="n">
        <v>45881</v>
      </c>
      <c r="EJ15" s="797" t="n">
        <v>45881</v>
      </c>
      <c r="EK15" s="794" t="n">
        <v>45874</v>
      </c>
      <c r="EL15" s="797" t="n">
        <v>45876</v>
      </c>
      <c r="EM15" s="794" t="n">
        <v>45867</v>
      </c>
      <c r="EN15" s="794" t="n">
        <v>45860</v>
      </c>
      <c r="EO15" s="794" t="n">
        <v>45839</v>
      </c>
      <c r="EP15" s="797" t="n">
        <v>45861</v>
      </c>
      <c r="EQ15" s="797" t="n">
        <v>45860</v>
      </c>
      <c r="ER15" s="794" t="n">
        <v>45853</v>
      </c>
      <c r="ES15" s="739" t="n">
        <v>45855</v>
      </c>
      <c r="ET15" s="794" t="n">
        <v>45848</v>
      </c>
      <c r="EU15" s="794" t="n">
        <v>45839</v>
      </c>
      <c r="EV15" s="739" t="n">
        <v>45791</v>
      </c>
      <c r="EW15" s="797" t="n">
        <v>45835</v>
      </c>
      <c r="EX15" s="794" t="n">
        <v>45832</v>
      </c>
      <c r="EY15" s="794" t="n">
        <v>45825</v>
      </c>
      <c r="EZ15" s="794" t="n">
        <v>45819</v>
      </c>
      <c r="FA15" s="794" t="n">
        <v>45813</v>
      </c>
      <c r="FB15" s="794" t="n">
        <v>45805</v>
      </c>
      <c r="FC15" s="797" t="n">
        <v>45811</v>
      </c>
      <c r="FD15" s="797" t="n">
        <v>45810</v>
      </c>
      <c r="FE15" s="794" t="n">
        <v>45798</v>
      </c>
      <c r="FF15" s="797" t="n">
        <v>45803</v>
      </c>
      <c r="FG15" s="755" t="n">
        <v>45803</v>
      </c>
      <c r="FH15" s="797" t="n">
        <v>45800</v>
      </c>
      <c r="FI15" s="742" t="n">
        <v>45735</v>
      </c>
      <c r="FJ15" s="797" t="n">
        <v>45796</v>
      </c>
      <c r="FK15" s="794" t="n">
        <v>45790</v>
      </c>
      <c r="FL15" s="794" t="n">
        <v>45784</v>
      </c>
      <c r="FM15" s="797" t="n">
        <v>45791</v>
      </c>
      <c r="FN15" s="794" t="n">
        <v>45783</v>
      </c>
      <c r="FO15" s="794" t="n">
        <v>45770</v>
      </c>
      <c r="FP15" s="794" t="n">
        <v>45775</v>
      </c>
      <c r="FQ15" s="794" t="n">
        <v>45770</v>
      </c>
      <c r="FR15" s="797" t="n">
        <v>45775</v>
      </c>
      <c r="FS15" s="794" t="n">
        <v>45756</v>
      </c>
      <c r="FT15" s="794" t="n">
        <v>45749</v>
      </c>
      <c r="FU15" s="797" t="n">
        <v>45751</v>
      </c>
      <c r="FV15" s="794" t="n">
        <v>45743</v>
      </c>
      <c r="FW15" s="746" t="n">
        <v>45729</v>
      </c>
      <c r="FX15" s="794" t="n">
        <v>45722</v>
      </c>
      <c r="FY15" s="746" t="n">
        <v>45700</v>
      </c>
      <c r="FZ15" s="797" t="n">
        <v>45722</v>
      </c>
      <c r="GA15" s="794" t="n">
        <v>45714</v>
      </c>
      <c r="GB15" s="794" t="n">
        <v>45706</v>
      </c>
      <c r="GC15" s="794" t="n">
        <v>45699</v>
      </c>
      <c r="GD15" s="794" t="n">
        <v>45693</v>
      </c>
      <c r="GE15" s="794" t="n">
        <v>45685</v>
      </c>
      <c r="GF15" s="797" t="n">
        <v>45687</v>
      </c>
      <c r="GG15" s="794" t="n">
        <v>45664</v>
      </c>
      <c r="GH15" s="794" t="n">
        <v>45679</v>
      </c>
      <c r="GI15" s="797" t="n">
        <v>45684</v>
      </c>
      <c r="GJ15" s="794" t="n">
        <v>45664</v>
      </c>
      <c r="GK15" s="794" t="n">
        <v>45660</v>
      </c>
      <c r="GL15" s="794" t="n">
        <v>45652</v>
      </c>
      <c r="GM15" s="794" t="n">
        <v>45643</v>
      </c>
      <c r="GN15" s="794" t="n">
        <v>45638</v>
      </c>
      <c r="GP15" s="298" t="inlineStr">
        <is>
          <t>DIVERSOS</t>
        </is>
      </c>
      <c r="GQ15" s="544" t="inlineStr">
        <is>
          <t>PCT</t>
        </is>
      </c>
      <c r="GR15" s="536" t="n">
        <v>45726</v>
      </c>
      <c r="GS15" s="536" t="n">
        <v>45733</v>
      </c>
      <c r="GT15" s="536" t="n">
        <v>45740</v>
      </c>
      <c r="GU15" s="536" t="n">
        <v>45747</v>
      </c>
      <c r="GV15" s="536" t="n">
        <v>45754</v>
      </c>
      <c r="GW15" s="536" t="n">
        <v>45761</v>
      </c>
      <c r="GX15" s="536" t="n">
        <v>45768</v>
      </c>
      <c r="GY15" s="536" t="n">
        <v>45775</v>
      </c>
      <c r="GZ15" s="536" t="n">
        <v>45782</v>
      </c>
      <c r="HA15" s="536" t="n">
        <v>45789</v>
      </c>
      <c r="HB15" s="536" t="n">
        <v>45796</v>
      </c>
      <c r="HC15" s="536" t="n">
        <v>45803</v>
      </c>
      <c r="HD15" s="536" t="n">
        <v>45810</v>
      </c>
      <c r="HE15" s="536" t="n">
        <v>45817</v>
      </c>
      <c r="HF15" s="536" t="n">
        <v>45824</v>
      </c>
      <c r="HG15" s="536" t="n">
        <v>45831</v>
      </c>
      <c r="HH15" s="536" t="n">
        <v>45838</v>
      </c>
      <c r="HI15" s="235" t="inlineStr">
        <is>
          <t>USOU</t>
        </is>
      </c>
      <c r="HK15" s="35" t="n"/>
      <c r="HV15" s="35" t="n"/>
    </row>
    <row r="16" customFormat="1" s="3">
      <c r="A16" s="197" t="inlineStr">
        <is>
          <t>PAPEL DE SEDA (espaço Revend)</t>
        </is>
      </c>
      <c r="B16" s="162" t="n">
        <v>500</v>
      </c>
      <c r="C16" s="762" t="n">
        <v>99.26000000000001</v>
      </c>
      <c r="D16" s="382" t="n">
        <v>3</v>
      </c>
      <c r="E16" s="2" t="n"/>
      <c r="F16" s="74">
        <f>2+GL16</f>
        <v/>
      </c>
      <c r="G16" s="74">
        <f>2+GK16</f>
        <v/>
      </c>
      <c r="H16" s="74" t="n">
        <v>3</v>
      </c>
      <c r="I16" s="74" t="n">
        <v>2</v>
      </c>
      <c r="J16" s="74">
        <f>2+GH16</f>
        <v/>
      </c>
      <c r="K16" s="74" t="n">
        <v>3</v>
      </c>
      <c r="L16" s="74">
        <f>3+GD16</f>
        <v/>
      </c>
      <c r="M16" s="74" t="n">
        <v>4</v>
      </c>
      <c r="N16" s="74" t="n">
        <v>4</v>
      </c>
      <c r="O16" s="74" t="n">
        <v>3</v>
      </c>
      <c r="P16" s="74">
        <f>3+FX16</f>
        <v/>
      </c>
      <c r="Q16" s="74" t="n">
        <v>3</v>
      </c>
      <c r="R16" s="74" t="n">
        <v>2</v>
      </c>
      <c r="S16" s="74">
        <f>2+FV16</f>
        <v/>
      </c>
      <c r="T16" s="74" t="n">
        <v>2</v>
      </c>
      <c r="U16" s="74" t="n">
        <v>2</v>
      </c>
      <c r="V16" s="74" t="n">
        <v>0</v>
      </c>
      <c r="W16" s="74">
        <f>0+FS16</f>
        <v/>
      </c>
      <c r="X16" s="74" t="n">
        <v>3</v>
      </c>
      <c r="Y16" s="74" t="n">
        <v>2</v>
      </c>
      <c r="Z16" s="74">
        <f>0+2</f>
        <v/>
      </c>
      <c r="AA16" s="74" t="n">
        <v>1</v>
      </c>
      <c r="AB16" s="74">
        <f>0+FB16</f>
        <v/>
      </c>
      <c r="AC16" s="74" t="n">
        <v>2</v>
      </c>
      <c r="AD16" s="74">
        <f>1+EZ16</f>
        <v/>
      </c>
      <c r="AE16" s="74">
        <f>3+EY16</f>
        <v/>
      </c>
      <c r="AF16" s="74" t="n">
        <v>5</v>
      </c>
      <c r="AG16" s="74" t="n">
        <v>4</v>
      </c>
      <c r="AH16" s="74" t="n">
        <v>3</v>
      </c>
      <c r="AI16" s="74" t="n">
        <v>3</v>
      </c>
      <c r="AJ16" s="74" t="n">
        <v>2</v>
      </c>
      <c r="AK16" s="74">
        <f>1+EM16</f>
        <v/>
      </c>
      <c r="AL16" s="74" t="n">
        <v>0</v>
      </c>
      <c r="AM16" s="74">
        <f>0+EI16</f>
        <v/>
      </c>
      <c r="AN16" s="74" t="n">
        <v>2</v>
      </c>
      <c r="AO16" s="74">
        <f>1+EE16</f>
        <v/>
      </c>
      <c r="AP16" s="74" t="n">
        <v>1</v>
      </c>
      <c r="AQ16" s="74" t="n">
        <v>3</v>
      </c>
      <c r="AR16" s="74" t="n">
        <v>2</v>
      </c>
      <c r="AS16" s="74">
        <f>0+DX16</f>
        <v/>
      </c>
      <c r="AT16" s="74">
        <f>0+DU16</f>
        <v/>
      </c>
      <c r="AU16" s="74">
        <f>0+DT16</f>
        <v/>
      </c>
      <c r="AV16" s="74" t="n">
        <v>0</v>
      </c>
      <c r="AW16" s="74" t="n">
        <v>0</v>
      </c>
      <c r="AX16" s="74" t="n">
        <v>4</v>
      </c>
      <c r="AY16" s="74" t="n">
        <v>1</v>
      </c>
      <c r="AZ16" s="74">
        <f>0+DJ16</f>
        <v/>
      </c>
      <c r="BA16" s="74">
        <f>0+DI16</f>
        <v/>
      </c>
      <c r="BB16" s="74" t="n">
        <v>4</v>
      </c>
      <c r="BC16" s="74">
        <f>0+DF16</f>
        <v/>
      </c>
      <c r="BD16" s="74" t="n">
        <v>0</v>
      </c>
      <c r="BE16" s="74" t="n">
        <v>0</v>
      </c>
      <c r="BF16" s="74" t="n">
        <v>0</v>
      </c>
      <c r="BG16" s="74" t="n">
        <v>9</v>
      </c>
      <c r="BH16" s="74" t="n">
        <v>11</v>
      </c>
      <c r="BI16" s="74" t="n">
        <v>10</v>
      </c>
      <c r="BJ16" s="74" t="n">
        <v>7</v>
      </c>
      <c r="BK16" s="74">
        <f>3+CT16</f>
        <v/>
      </c>
      <c r="BL16" s="74" t="n">
        <v>3</v>
      </c>
      <c r="BM16" s="74">
        <f>0+CQ16</f>
        <v/>
      </c>
      <c r="BN16" s="74">
        <f>2+CP16</f>
        <v/>
      </c>
      <c r="BO16" s="74" t="n">
        <v>2</v>
      </c>
      <c r="BP16" s="74" t="n">
        <v>1</v>
      </c>
      <c r="BQ16" s="74" t="n">
        <v>0</v>
      </c>
      <c r="BR16" s="74" t="n">
        <v>0</v>
      </c>
      <c r="BS16" s="74" t="n">
        <v>0</v>
      </c>
      <c r="BT16" s="74" t="n">
        <v>5</v>
      </c>
      <c r="BU16" s="74" t="n">
        <v>5</v>
      </c>
      <c r="BV16" s="74" t="n">
        <v>3</v>
      </c>
      <c r="BW16" s="74">
        <f>1+CG16</f>
        <v/>
      </c>
      <c r="BX16" s="74" t="n">
        <v>0</v>
      </c>
      <c r="BY16" s="193">
        <f>BW16+IF(NOT(ISBLANK(OFFSET(BY16,0,6))),N(OFFSET(BY16,0,6)),N(OFFSET(BY16,0,7)))-BX16</f>
        <v/>
      </c>
      <c r="BZ16" s="5" t="n"/>
      <c r="CA16" s="194" t="n"/>
      <c r="CB16" s="194" t="n"/>
      <c r="CC16" s="5" t="n"/>
      <c r="CD16" s="195" t="n">
        <v>6</v>
      </c>
      <c r="CE16" s="2" t="n"/>
      <c r="CF16" s="23" t="n">
        <v>0</v>
      </c>
      <c r="CG16" s="23" t="n">
        <v>5</v>
      </c>
      <c r="CH16" s="23" t="n">
        <v>10</v>
      </c>
      <c r="CI16" s="23" t="n"/>
      <c r="CJ16" s="23" t="n"/>
      <c r="CK16" s="23" t="n"/>
      <c r="CL16" s="23" t="n"/>
      <c r="CM16" s="467" t="n">
        <v>200</v>
      </c>
      <c r="CN16" s="23" t="n"/>
      <c r="CO16" s="23" t="n"/>
      <c r="CP16" s="23" t="n">
        <v>4</v>
      </c>
      <c r="CQ16" s="23" t="n">
        <v>4</v>
      </c>
      <c r="CR16" s="23" t="n"/>
      <c r="CS16" s="23" t="n"/>
      <c r="CT16" s="23" t="n">
        <v>3</v>
      </c>
      <c r="CU16" s="23" t="n"/>
      <c r="CV16" s="23" t="n"/>
      <c r="CW16" s="23" t="n"/>
      <c r="CX16" s="23" t="n"/>
      <c r="CY16" s="23" t="n"/>
      <c r="CZ16" s="23" t="n">
        <v>5</v>
      </c>
      <c r="DA16" s="23" t="n"/>
      <c r="DB16" s="23" t="n">
        <v>10</v>
      </c>
      <c r="DC16" s="23" t="n"/>
      <c r="DD16" s="23" t="n">
        <v>4</v>
      </c>
      <c r="DE16" s="23" t="n"/>
      <c r="DF16" s="23" t="n">
        <v>2</v>
      </c>
      <c r="DG16" s="23" t="n"/>
      <c r="DH16" s="23" t="n"/>
      <c r="DI16" s="23" t="n">
        <v>5</v>
      </c>
      <c r="DJ16" s="23" t="n">
        <v>5</v>
      </c>
      <c r="DK16" s="219" t="n"/>
      <c r="DL16" s="23" t="n"/>
      <c r="DM16" s="23" t="n"/>
      <c r="DN16" s="23" t="n"/>
      <c r="DO16" s="23" t="n">
        <v>4</v>
      </c>
      <c r="DP16" s="23" t="n"/>
      <c r="DQ16" s="23" t="n"/>
      <c r="DR16" s="23" t="n"/>
      <c r="DS16" s="219" t="n"/>
      <c r="DT16" s="23" t="n">
        <v>2</v>
      </c>
      <c r="DU16" s="23" t="n">
        <v>1</v>
      </c>
      <c r="DV16" s="23" t="n"/>
      <c r="DW16" s="23" t="n"/>
      <c r="DX16" s="23" t="n">
        <v>1</v>
      </c>
      <c r="DY16" s="23" t="n"/>
      <c r="DZ16" s="23" t="n"/>
      <c r="EA16" s="23" t="n">
        <v>3</v>
      </c>
      <c r="EB16" s="23" t="n"/>
      <c r="EC16" s="23" t="n">
        <v>1</v>
      </c>
      <c r="ED16" s="23" t="n"/>
      <c r="EE16" s="23" t="n">
        <v>1</v>
      </c>
      <c r="EF16" s="23" t="n"/>
      <c r="EG16" s="23" t="n"/>
      <c r="EH16" s="23" t="n">
        <v>1</v>
      </c>
      <c r="EI16" s="23" t="n">
        <v>2</v>
      </c>
      <c r="EJ16" s="23" t="n"/>
      <c r="EK16" s="23" t="n"/>
      <c r="EL16" s="23" t="n"/>
      <c r="EM16" s="23" t="n">
        <v>1</v>
      </c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>
        <v>3</v>
      </c>
      <c r="EZ16" s="23" t="n">
        <v>2</v>
      </c>
      <c r="FA16" s="23" t="n"/>
      <c r="FB16" s="23" t="n">
        <v>4</v>
      </c>
      <c r="FC16" s="23" t="n"/>
      <c r="FD16" s="23" t="n"/>
      <c r="FE16" s="23" t="n">
        <v>2</v>
      </c>
      <c r="FF16" s="23" t="n"/>
      <c r="FG16" s="23" t="n"/>
      <c r="FH16" s="373" t="inlineStr">
        <is>
          <t>02 DE ERJ</t>
        </is>
      </c>
      <c r="FI16" s="219" t="n"/>
      <c r="FJ16" s="23" t="n"/>
      <c r="FK16" s="23" t="n"/>
      <c r="FL16" s="23" t="n"/>
      <c r="FM16" s="23" t="n"/>
      <c r="FN16" s="23" t="n"/>
      <c r="FO16" s="23" t="n"/>
      <c r="FP16" s="23" t="n"/>
      <c r="FQ16" s="23" t="n">
        <v>1</v>
      </c>
      <c r="FR16" s="23" t="n"/>
      <c r="FS16" s="23" t="n">
        <v>2</v>
      </c>
      <c r="FT16" s="23" t="n"/>
      <c r="FU16" s="23" t="n"/>
      <c r="FV16" s="23" t="n">
        <v>1</v>
      </c>
      <c r="FW16" s="219" t="n"/>
      <c r="FX16" s="23" t="n">
        <v>2</v>
      </c>
      <c r="FY16" s="219" t="n">
        <v>4</v>
      </c>
      <c r="FZ16" s="23" t="n"/>
      <c r="GA16" s="23" t="n"/>
      <c r="GB16" s="23" t="n"/>
      <c r="GC16" s="23" t="n"/>
      <c r="GD16" s="23" t="n">
        <v>2</v>
      </c>
      <c r="GE16" s="23" t="n"/>
      <c r="GF16" s="23" t="n"/>
      <c r="GG16" s="23" t="n"/>
      <c r="GH16" s="23" t="n">
        <v>2</v>
      </c>
      <c r="GI16" s="23" t="n"/>
      <c r="GJ16" s="23" t="n"/>
      <c r="GK16" s="23" t="n">
        <v>1</v>
      </c>
      <c r="GL16" s="23" t="n">
        <v>1</v>
      </c>
      <c r="GM16" s="23" t="n">
        <v>2</v>
      </c>
      <c r="GN16" s="23" t="n"/>
      <c r="GP16" s="65" t="inlineStr">
        <is>
          <t>PAPEL DE SEDA</t>
        </is>
      </c>
      <c r="GQ16" s="208" t="n">
        <v>200</v>
      </c>
      <c r="GR16" s="699">
        <f>FY16</f>
        <v/>
      </c>
      <c r="GS16" s="699" t="n">
        <v>1</v>
      </c>
      <c r="GT16" s="699" t="n">
        <v>1</v>
      </c>
      <c r="GU16" s="699" t="n">
        <v>1</v>
      </c>
      <c r="GV16" s="699" t="n">
        <v>0</v>
      </c>
      <c r="GW16" s="699" t="n">
        <v>0</v>
      </c>
      <c r="GX16" s="699" t="n">
        <v>0</v>
      </c>
      <c r="GY16" s="699" t="n">
        <v>0</v>
      </c>
      <c r="GZ16" s="699" t="n">
        <v>0</v>
      </c>
      <c r="HA16" s="699" t="n">
        <v>0</v>
      </c>
      <c r="HB16" s="699" t="n">
        <v>0</v>
      </c>
      <c r="HC16" s="699" t="n">
        <v>0</v>
      </c>
      <c r="HD16" s="699" t="n">
        <v>0</v>
      </c>
      <c r="HE16" s="699" t="n">
        <v>0</v>
      </c>
      <c r="HF16" s="699" t="n">
        <v>0</v>
      </c>
      <c r="HG16" s="699" t="n">
        <v>0</v>
      </c>
      <c r="HH16" s="699" t="n">
        <v>0</v>
      </c>
      <c r="HI16" s="303" t="n">
        <v>0</v>
      </c>
      <c r="HK16" s="35" t="n"/>
      <c r="HV16" s="35" t="n"/>
    </row>
    <row r="17" customFormat="1" s="3">
      <c r="A17" s="58" t="inlineStr">
        <is>
          <t>ETIQUETAS ( espaço Revendedor)</t>
        </is>
      </c>
      <c r="B17" s="699" t="n">
        <v>2000</v>
      </c>
      <c r="C17" s="762" t="n">
        <v>55.36</v>
      </c>
      <c r="D17" s="382" t="n">
        <v>2</v>
      </c>
      <c r="E17" s="2" t="n"/>
      <c r="F17" s="74">
        <f>1+GL17</f>
        <v/>
      </c>
      <c r="G17" s="74" t="n">
        <v>2</v>
      </c>
      <c r="H17" s="74" t="n">
        <v>2</v>
      </c>
      <c r="I17" s="74" t="n">
        <v>1</v>
      </c>
      <c r="J17" s="74">
        <f>1+GH17</f>
        <v/>
      </c>
      <c r="K17" s="74" t="n">
        <v>2</v>
      </c>
      <c r="L17" s="74">
        <f>2+GD17</f>
        <v/>
      </c>
      <c r="M17" s="74" t="n">
        <v>5</v>
      </c>
      <c r="N17" s="74" t="n">
        <v>5</v>
      </c>
      <c r="O17" s="74" t="n">
        <v>4</v>
      </c>
      <c r="P17" s="74">
        <f>4+FX17</f>
        <v/>
      </c>
      <c r="Q17" s="74" t="n">
        <v>4</v>
      </c>
      <c r="R17" s="74" t="n">
        <v>3</v>
      </c>
      <c r="S17" s="74" t="n">
        <v>1</v>
      </c>
      <c r="T17" s="74">
        <f>1+FT17</f>
        <v/>
      </c>
      <c r="U17" s="74" t="n">
        <v>4</v>
      </c>
      <c r="V17" s="74" t="n">
        <v>3</v>
      </c>
      <c r="W17" s="74" t="n">
        <v>3</v>
      </c>
      <c r="X17" s="74" t="n">
        <v>3</v>
      </c>
      <c r="Y17" s="74" t="n">
        <v>2</v>
      </c>
      <c r="Z17" s="74" t="n">
        <v>1</v>
      </c>
      <c r="AA17" s="74" t="n">
        <v>1</v>
      </c>
      <c r="AB17" s="74">
        <f>1+FB17</f>
        <v/>
      </c>
      <c r="AC17" s="74">
        <f>1+FA17</f>
        <v/>
      </c>
      <c r="AD17" s="74" t="n">
        <v>2</v>
      </c>
      <c r="AE17" s="74" t="n">
        <v>0</v>
      </c>
      <c r="AF17" s="74" t="n">
        <v>2</v>
      </c>
      <c r="AG17" s="74" t="n">
        <v>1</v>
      </c>
      <c r="AH17" s="74">
        <f>0+ET17</f>
        <v/>
      </c>
      <c r="AI17" s="74" t="n">
        <v>0</v>
      </c>
      <c r="AJ17" s="74" t="n">
        <v>1</v>
      </c>
      <c r="AK17" s="74">
        <f>1+EM17</f>
        <v/>
      </c>
      <c r="AL17" s="74" t="n">
        <v>1</v>
      </c>
      <c r="AM17" s="74">
        <f>1+EI17</f>
        <v/>
      </c>
      <c r="AN17" s="74" t="n">
        <v>1</v>
      </c>
      <c r="AO17" s="74">
        <f>1+EE17</f>
        <v/>
      </c>
      <c r="AP17" s="74" t="n">
        <v>0</v>
      </c>
      <c r="AQ17" s="74" t="n">
        <v>2</v>
      </c>
      <c r="AR17" s="74" t="n">
        <v>1</v>
      </c>
      <c r="AS17" s="74">
        <f>0+DX17</f>
        <v/>
      </c>
      <c r="AT17" s="74" t="n">
        <v>0</v>
      </c>
      <c r="AU17" s="74">
        <f>0+DT17</f>
        <v/>
      </c>
      <c r="AV17" s="74" t="n">
        <v>0</v>
      </c>
      <c r="AW17" s="74" t="n">
        <v>0</v>
      </c>
      <c r="AX17" s="74" t="n">
        <v>0</v>
      </c>
      <c r="AY17" s="74">
        <f>0+DL17</f>
        <v/>
      </c>
      <c r="AZ17" s="74" t="n">
        <v>0</v>
      </c>
      <c r="BA17" s="74">
        <f>0+DI17</f>
        <v/>
      </c>
      <c r="BB17" s="74" t="n">
        <v>0</v>
      </c>
      <c r="BC17" s="74">
        <f>0+DF17</f>
        <v/>
      </c>
      <c r="BD17" s="74" t="n">
        <v>0</v>
      </c>
      <c r="BE17" s="74" t="n">
        <v>0</v>
      </c>
      <c r="BF17" s="74" t="n">
        <v>0</v>
      </c>
      <c r="BG17" s="74" t="n">
        <v>10</v>
      </c>
      <c r="BH17" s="74" t="n">
        <v>20</v>
      </c>
      <c r="BI17" s="74" t="n">
        <v>19</v>
      </c>
      <c r="BJ17" s="74" t="n">
        <v>17</v>
      </c>
      <c r="BK17" s="74" t="n">
        <v>12</v>
      </c>
      <c r="BL17" s="74" t="n">
        <v>8</v>
      </c>
      <c r="BM17" s="74" t="n">
        <v>7</v>
      </c>
      <c r="BN17" s="74">
        <f>3+10</f>
        <v/>
      </c>
      <c r="BO17" s="74" t="n">
        <v>8</v>
      </c>
      <c r="BP17" s="74" t="n">
        <v>8</v>
      </c>
      <c r="BQ17" s="74" t="n">
        <v>5</v>
      </c>
      <c r="BR17" s="74" t="n">
        <v>0</v>
      </c>
      <c r="BS17" s="74" t="n">
        <v>0</v>
      </c>
      <c r="BT17" s="74" t="n">
        <v>2</v>
      </c>
      <c r="BU17" s="74" t="n">
        <v>0</v>
      </c>
      <c r="BV17" s="74" t="n">
        <v>0</v>
      </c>
      <c r="BW17" s="74">
        <f>0+CG17</f>
        <v/>
      </c>
      <c r="BX17" s="74" t="n">
        <v>0</v>
      </c>
      <c r="BY17" s="193">
        <f>BW17+IF(NOT(ISBLANK(OFFSET(BY17,0,6))),N(OFFSET(BY17,0,6)),N(OFFSET(BY17,0,7)))-BX17</f>
        <v/>
      </c>
      <c r="BZ17" s="5" t="n"/>
      <c r="CA17" s="194" t="n"/>
      <c r="CB17" s="194" t="n"/>
      <c r="CC17" s="5" t="n"/>
      <c r="CD17" s="27" t="n">
        <v>5</v>
      </c>
      <c r="CE17" s="2" t="n"/>
      <c r="CF17" s="23" t="n">
        <v>0</v>
      </c>
      <c r="CG17" s="23" t="n">
        <v>5</v>
      </c>
      <c r="CH17" s="23" t="n">
        <v>5</v>
      </c>
      <c r="CI17" s="23" t="n"/>
      <c r="CJ17" s="23" t="n"/>
      <c r="CK17" s="23" t="n"/>
      <c r="CL17" s="23" t="n"/>
      <c r="CM17" s="467" t="n">
        <v>2</v>
      </c>
      <c r="CN17" s="23" t="n"/>
      <c r="CO17" s="192" t="inlineStr">
        <is>
          <t>10 DE GV</t>
        </is>
      </c>
      <c r="CP17" s="23" t="n"/>
      <c r="CQ17" s="23" t="n"/>
      <c r="CR17" s="23" t="n"/>
      <c r="CS17" s="23" t="n"/>
      <c r="CT17" s="23" t="n"/>
      <c r="CU17" s="23" t="n"/>
      <c r="CV17" s="23" t="n"/>
      <c r="CW17" s="23" t="n"/>
      <c r="CX17" s="23" t="n"/>
      <c r="CY17" s="23" t="n"/>
      <c r="CZ17" s="23" t="n">
        <v>10</v>
      </c>
      <c r="DA17" s="23" t="n"/>
      <c r="DB17" s="23" t="n">
        <v>10</v>
      </c>
      <c r="DC17" s="23" t="n"/>
      <c r="DD17" s="23" t="n"/>
      <c r="DE17" s="23" t="n"/>
      <c r="DF17" s="23" t="n">
        <v>10</v>
      </c>
      <c r="DG17" s="23" t="n"/>
      <c r="DH17" s="23" t="n"/>
      <c r="DI17" s="23" t="n">
        <v>10</v>
      </c>
      <c r="DJ17" s="23" t="n"/>
      <c r="DK17" s="219" t="n"/>
      <c r="DL17" s="23" t="n">
        <v>5</v>
      </c>
      <c r="DM17" s="23" t="n"/>
      <c r="DN17" s="23" t="n"/>
      <c r="DO17" s="23" t="n">
        <v>3</v>
      </c>
      <c r="DP17" s="23" t="n"/>
      <c r="DQ17" s="23" t="n"/>
      <c r="DR17" s="23" t="n"/>
      <c r="DS17" s="219" t="n"/>
      <c r="DT17" s="23" t="n">
        <v>1</v>
      </c>
      <c r="DU17" s="23" t="n"/>
      <c r="DV17" s="23" t="n"/>
      <c r="DW17" s="23" t="n"/>
      <c r="DX17" s="23" t="n">
        <v>1</v>
      </c>
      <c r="DY17" s="23" t="n"/>
      <c r="DZ17" s="23" t="n"/>
      <c r="EA17" s="23" t="n">
        <v>2</v>
      </c>
      <c r="EB17" s="23" t="n"/>
      <c r="EC17" s="23" t="n"/>
      <c r="ED17" s="23" t="n"/>
      <c r="EE17" s="23" t="n">
        <v>1</v>
      </c>
      <c r="EF17" s="23" t="n"/>
      <c r="EG17" s="23" t="n"/>
      <c r="EH17" s="23" t="n"/>
      <c r="EI17" s="23" t="n">
        <v>1</v>
      </c>
      <c r="EJ17" s="23" t="n"/>
      <c r="EK17" s="23" t="n"/>
      <c r="EL17" s="23" t="n"/>
      <c r="EM17" s="23" t="n">
        <v>1</v>
      </c>
      <c r="EN17" s="23" t="n">
        <v>2</v>
      </c>
      <c r="EO17" s="23" t="n"/>
      <c r="EP17" s="23" t="n"/>
      <c r="EQ17" s="23" t="n"/>
      <c r="ER17" s="23" t="n">
        <v>1</v>
      </c>
      <c r="ES17" s="23" t="n"/>
      <c r="ET17" s="23" t="n">
        <v>1</v>
      </c>
      <c r="EU17" s="23" t="n"/>
      <c r="EV17" s="23" t="n"/>
      <c r="EW17" s="23" t="n"/>
      <c r="EX17" s="23" t="n">
        <v>2</v>
      </c>
      <c r="EY17" s="23" t="n"/>
      <c r="EZ17" s="23" t="n"/>
      <c r="FA17" s="23" t="n">
        <v>1</v>
      </c>
      <c r="FB17" s="23" t="n">
        <v>1</v>
      </c>
      <c r="FC17" s="23" t="n"/>
      <c r="FD17" s="23" t="n"/>
      <c r="FE17" s="23" t="n">
        <v>1</v>
      </c>
      <c r="FF17" s="23" t="n"/>
      <c r="FG17" s="23" t="n"/>
      <c r="FH17" s="23" t="n"/>
      <c r="FI17" s="219" t="n"/>
      <c r="FJ17" s="23" t="n"/>
      <c r="FK17" s="23" t="n"/>
      <c r="FL17" s="23" t="n"/>
      <c r="FM17" s="23" t="n"/>
      <c r="FN17" s="23" t="n"/>
      <c r="FO17" s="23" t="n"/>
      <c r="FP17" s="23" t="n"/>
      <c r="FQ17" s="23" t="n"/>
      <c r="FR17" s="23" t="n"/>
      <c r="FS17" s="23" t="n"/>
      <c r="FT17" s="23" t="n">
        <v>3</v>
      </c>
      <c r="FU17" s="23" t="n"/>
      <c r="FV17" s="23" t="n"/>
      <c r="FW17" s="219" t="n"/>
      <c r="FX17" s="23" t="n">
        <v>1</v>
      </c>
      <c r="FY17" s="219" t="n">
        <v>4</v>
      </c>
      <c r="FZ17" s="23" t="n"/>
      <c r="GA17" s="23" t="n"/>
      <c r="GB17" s="23" t="n"/>
      <c r="GC17" s="23" t="n"/>
      <c r="GD17" s="23" t="n">
        <v>3</v>
      </c>
      <c r="GE17" s="23" t="n"/>
      <c r="GF17" s="23" t="n"/>
      <c r="GG17" s="23" t="n"/>
      <c r="GH17" s="23" t="n">
        <v>3</v>
      </c>
      <c r="GI17" s="23" t="n"/>
      <c r="GJ17" s="23" t="n"/>
      <c r="GK17" s="23" t="n"/>
      <c r="GL17" s="23" t="n">
        <v>1</v>
      </c>
      <c r="GM17" s="23" t="n">
        <v>1</v>
      </c>
      <c r="GN17" s="23" t="n"/>
      <c r="GP17" s="66" t="inlineStr">
        <is>
          <t>TAGS</t>
        </is>
      </c>
      <c r="GQ17" s="208" t="n">
        <v>300</v>
      </c>
      <c r="GR17" s="699">
        <f>FY17</f>
        <v/>
      </c>
      <c r="GS17" s="699" t="n">
        <v>1</v>
      </c>
      <c r="GT17" s="699" t="n">
        <v>1</v>
      </c>
      <c r="GU17" s="699" t="n">
        <v>1</v>
      </c>
      <c r="GV17" s="699" t="n">
        <v>0</v>
      </c>
      <c r="GW17" s="699" t="n">
        <v>0</v>
      </c>
      <c r="GX17" s="699" t="n">
        <v>0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699" t="n">
        <v>0</v>
      </c>
      <c r="HD17" s="699" t="n">
        <v>0</v>
      </c>
      <c r="HE17" s="699" t="n">
        <v>0</v>
      </c>
      <c r="HF17" s="699" t="n">
        <v>0</v>
      </c>
      <c r="HG17" s="699" t="n">
        <v>0</v>
      </c>
      <c r="HH17" s="699" t="n">
        <v>0</v>
      </c>
      <c r="HI17" s="303" t="n">
        <v>0</v>
      </c>
      <c r="HK17" s="35" t="n"/>
      <c r="HV17" s="35" t="n"/>
    </row>
    <row r="18" customFormat="1" s="3">
      <c r="A18" s="58" t="inlineStr">
        <is>
          <t>TAG ( espaço Revendedor)</t>
        </is>
      </c>
      <c r="B18" s="699" t="n">
        <v>200</v>
      </c>
      <c r="C18" s="762" t="n">
        <v>10.28</v>
      </c>
      <c r="D18" s="382" t="n">
        <v>3</v>
      </c>
      <c r="E18" s="2" t="n"/>
      <c r="F18" s="74" t="n">
        <v>3</v>
      </c>
      <c r="G18" s="74" t="n">
        <v>2</v>
      </c>
      <c r="H18" s="74">
        <f>1+GJ18</f>
        <v/>
      </c>
      <c r="I18" s="74" t="n">
        <v>3</v>
      </c>
      <c r="J18" s="74" t="n">
        <v>3</v>
      </c>
      <c r="K18" s="74" t="n">
        <v>2</v>
      </c>
      <c r="L18" s="74">
        <f>1+GD18</f>
        <v/>
      </c>
      <c r="M18" s="74" t="n">
        <v>3</v>
      </c>
      <c r="N18" s="74" t="n">
        <v>3</v>
      </c>
      <c r="O18" s="74" t="n">
        <v>3</v>
      </c>
      <c r="P18" s="74" t="n">
        <v>2</v>
      </c>
      <c r="Q18" s="74" t="n">
        <v>2</v>
      </c>
      <c r="R18" s="74" t="n">
        <v>1</v>
      </c>
      <c r="S18" s="74">
        <f>1+FV18</f>
        <v/>
      </c>
      <c r="T18" s="74">
        <f>2+FT18</f>
        <v/>
      </c>
      <c r="U18" s="74" t="n">
        <v>2</v>
      </c>
      <c r="V18" s="74" t="n">
        <v>2</v>
      </c>
      <c r="W18" s="74" t="n">
        <v>2</v>
      </c>
      <c r="X18" s="74" t="n">
        <v>3</v>
      </c>
      <c r="Y18" s="74" t="n">
        <v>2</v>
      </c>
      <c r="Z18" s="74" t="n">
        <v>1</v>
      </c>
      <c r="AA18" s="74" t="n">
        <v>2</v>
      </c>
      <c r="AB18" s="74">
        <f>1+FB18</f>
        <v/>
      </c>
      <c r="AC18" s="74">
        <f>1+FA18</f>
        <v/>
      </c>
      <c r="AD18" s="74" t="n">
        <v>3</v>
      </c>
      <c r="AE18" s="74" t="n">
        <v>2</v>
      </c>
      <c r="AF18" s="74" t="n">
        <v>3</v>
      </c>
      <c r="AG18" s="74" t="n">
        <v>3</v>
      </c>
      <c r="AH18" s="74" t="n">
        <v>3</v>
      </c>
      <c r="AI18" s="74" t="n">
        <v>1</v>
      </c>
      <c r="AJ18" s="74" t="n">
        <v>1</v>
      </c>
      <c r="AK18" s="74">
        <f>1+EM18</f>
        <v/>
      </c>
      <c r="AL18" s="74" t="n">
        <v>1</v>
      </c>
      <c r="AM18" s="74">
        <f>1+EI18</f>
        <v/>
      </c>
      <c r="AN18" s="74" t="n">
        <v>3</v>
      </c>
      <c r="AO18" s="74">
        <f>2+EE18</f>
        <v/>
      </c>
      <c r="AP18" s="74" t="n">
        <v>1</v>
      </c>
      <c r="AQ18" s="74" t="n">
        <v>2</v>
      </c>
      <c r="AR18" s="74">
        <f>2+DZ18</f>
        <v/>
      </c>
      <c r="AS18" s="74" t="n">
        <v>3</v>
      </c>
      <c r="AT18" s="74" t="n">
        <v>1</v>
      </c>
      <c r="AU18" s="74" t="n">
        <v>1</v>
      </c>
      <c r="AV18" s="74" t="n">
        <v>0</v>
      </c>
      <c r="AW18" s="74" t="n">
        <v>0</v>
      </c>
      <c r="AX18" s="74" t="n">
        <v>2</v>
      </c>
      <c r="AY18" s="74" t="n">
        <v>1</v>
      </c>
      <c r="AZ18" s="74" t="n">
        <v>0</v>
      </c>
      <c r="BA18" s="74" t="n">
        <v>0</v>
      </c>
      <c r="BB18" s="74" t="n">
        <v>0</v>
      </c>
      <c r="BC18" s="74" t="n">
        <v>0</v>
      </c>
      <c r="BD18" s="74" t="n">
        <v>0</v>
      </c>
      <c r="BE18" s="74" t="n">
        <v>0</v>
      </c>
      <c r="BF18" s="74" t="n">
        <v>0</v>
      </c>
      <c r="BG18" s="74" t="n">
        <v>0</v>
      </c>
      <c r="BH18" s="74" t="n">
        <v>0</v>
      </c>
      <c r="BI18" s="74" t="n">
        <v>0</v>
      </c>
      <c r="BJ18" s="74" t="n">
        <v>0</v>
      </c>
      <c r="BK18" s="74" t="n">
        <v>0</v>
      </c>
      <c r="BL18" s="74" t="n">
        <v>0</v>
      </c>
      <c r="BM18" s="74" t="n">
        <v>0</v>
      </c>
      <c r="BN18" s="74" t="n">
        <v>0</v>
      </c>
      <c r="BO18" s="74" t="n">
        <v>0</v>
      </c>
      <c r="BP18" s="74" t="n">
        <v>0</v>
      </c>
      <c r="BQ18" s="74" t="n">
        <v>0</v>
      </c>
      <c r="BR18" s="74" t="n">
        <v>0</v>
      </c>
      <c r="BS18" s="74" t="n">
        <v>0</v>
      </c>
      <c r="BT18" s="74" t="n">
        <v>0</v>
      </c>
      <c r="BU18" s="74" t="n">
        <v>0</v>
      </c>
      <c r="BV18" s="74" t="n">
        <v>0</v>
      </c>
      <c r="BW18" s="74" t="n">
        <v>0</v>
      </c>
      <c r="BX18" s="74" t="n">
        <v>0</v>
      </c>
      <c r="BY18" s="193">
        <f>BW18+IF(NOT(ISBLANK(OFFSET(BY18,0,6))),N(OFFSET(BY18,0,6)),N(OFFSET(BY18,0,7)))-BX18</f>
        <v/>
      </c>
      <c r="BZ18" s="5" t="n"/>
      <c r="CA18" s="194" t="n"/>
      <c r="CB18" s="194" t="n"/>
      <c r="CC18" s="5" t="n"/>
      <c r="CD18" s="27" t="n">
        <v>2</v>
      </c>
      <c r="CE18" s="2" t="n"/>
      <c r="CF18" s="23" t="n">
        <v>0</v>
      </c>
      <c r="CG18" s="23" t="n">
        <v>0</v>
      </c>
      <c r="CH18" s="23" t="n">
        <v>0</v>
      </c>
      <c r="CI18" s="23" t="n"/>
      <c r="CJ18" s="23" t="n"/>
      <c r="CK18" s="23" t="n"/>
      <c r="CL18" s="23" t="n"/>
      <c r="CM18" s="23" t="n"/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/>
      <c r="CX18" s="23" t="n"/>
      <c r="CY18" s="23" t="n"/>
      <c r="CZ18" s="23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19" t="n"/>
      <c r="DL18" s="23" t="n"/>
      <c r="DM18" s="23" t="n"/>
      <c r="DN18" s="23" t="n"/>
      <c r="DO18" s="23" t="n">
        <v>2</v>
      </c>
      <c r="DP18" s="23" t="n"/>
      <c r="DQ18" s="23" t="n"/>
      <c r="DR18" s="23" t="n"/>
      <c r="DS18" s="219" t="n"/>
      <c r="DT18" s="23" t="n"/>
      <c r="DU18" s="23" t="n"/>
      <c r="DV18" s="23" t="n"/>
      <c r="DW18" s="23" t="n"/>
      <c r="DX18" s="23" t="n"/>
      <c r="DY18" s="23" t="n"/>
      <c r="DZ18" s="23" t="n">
        <v>1</v>
      </c>
      <c r="EA18" s="23" t="n">
        <v>2</v>
      </c>
      <c r="EB18" s="23" t="n"/>
      <c r="EC18" s="23" t="n"/>
      <c r="ED18" s="23" t="n"/>
      <c r="EE18" s="23" t="n">
        <v>1</v>
      </c>
      <c r="EF18" s="23" t="n"/>
      <c r="EG18" s="23" t="n"/>
      <c r="EH18" s="23" t="n"/>
      <c r="EI18" s="23" t="n">
        <v>3</v>
      </c>
      <c r="EJ18" s="23" t="n"/>
      <c r="EK18" s="23" t="n"/>
      <c r="EL18" s="23" t="n"/>
      <c r="EM18" s="23" t="n">
        <v>3</v>
      </c>
      <c r="EN18" s="23" t="n">
        <v>2</v>
      </c>
      <c r="EO18" s="23" t="n"/>
      <c r="EP18" s="23" t="n"/>
      <c r="EQ18" s="23" t="n"/>
      <c r="ER18" s="23" t="n"/>
      <c r="ES18" s="23" t="n"/>
      <c r="ET18" s="23" t="n"/>
      <c r="EU18" s="23" t="n"/>
      <c r="EV18" s="23" t="n"/>
      <c r="EW18" s="23" t="n"/>
      <c r="EX18" s="23" t="n">
        <v>1</v>
      </c>
      <c r="EY18" s="23" t="n"/>
      <c r="EZ18" s="23" t="n"/>
      <c r="FA18" s="23" t="n">
        <v>3</v>
      </c>
      <c r="FB18" s="23" t="n">
        <v>1</v>
      </c>
      <c r="FC18" s="23" t="n"/>
      <c r="FD18" s="23" t="n"/>
      <c r="FE18" s="23" t="n">
        <v>2</v>
      </c>
      <c r="FF18" s="23" t="n"/>
      <c r="FG18" s="23" t="n"/>
      <c r="FH18" s="23" t="n"/>
      <c r="FI18" s="219" t="n"/>
      <c r="FJ18" s="23" t="n"/>
      <c r="FK18" s="23" t="n"/>
      <c r="FL18" s="23" t="n"/>
      <c r="FM18" s="23" t="n"/>
      <c r="FN18" s="23" t="n"/>
      <c r="FO18" s="23" t="n"/>
      <c r="FP18" s="23" t="n"/>
      <c r="FQ18" s="23" t="n">
        <v>1</v>
      </c>
      <c r="FR18" s="23" t="n"/>
      <c r="FS18" s="23" t="n"/>
      <c r="FT18" s="23" t="n">
        <v>1</v>
      </c>
      <c r="FU18" s="23" t="n"/>
      <c r="FV18" s="23" t="n">
        <v>2</v>
      </c>
      <c r="FW18" s="219" t="n"/>
      <c r="FX18" s="23" t="n"/>
      <c r="FY18" s="219" t="n"/>
      <c r="FZ18" s="23" t="n"/>
      <c r="GA18" s="23" t="n"/>
      <c r="GB18" s="23" t="n"/>
      <c r="GC18" s="23" t="n"/>
      <c r="GD18" s="23" t="n">
        <v>2</v>
      </c>
      <c r="GE18" s="23" t="n"/>
      <c r="GF18" s="23" t="n"/>
      <c r="GG18" s="23" t="n"/>
      <c r="GH18" s="23" t="n"/>
      <c r="GI18" s="23" t="n"/>
      <c r="GJ18" s="23" t="n">
        <v>2</v>
      </c>
      <c r="GK18" s="23" t="n"/>
      <c r="GL18" s="23" t="n"/>
      <c r="GM18" s="23" t="n">
        <v>3</v>
      </c>
      <c r="GN18" s="23" t="n"/>
      <c r="GP18" s="35" t="n"/>
      <c r="HK18" s="35" t="n"/>
      <c r="HV18" s="35" t="n"/>
      <c r="IH18" s="35" t="n"/>
    </row>
    <row r="19" customFormat="1" s="3">
      <c r="A19" s="58" t="inlineStr">
        <is>
          <t>LÂMINA OLFATIVA (espaço Revendedor)</t>
        </is>
      </c>
      <c r="B19" s="699" t="n">
        <v>3000</v>
      </c>
      <c r="C19" s="762" t="n">
        <v>71.8</v>
      </c>
      <c r="D19" s="382" t="n">
        <v>1</v>
      </c>
      <c r="E19" s="2" t="n"/>
      <c r="F19" s="74" t="n">
        <v>3</v>
      </c>
      <c r="G19" s="74" t="n">
        <v>3</v>
      </c>
      <c r="H19" s="74" t="n">
        <v>3</v>
      </c>
      <c r="I19" s="74" t="n">
        <v>3</v>
      </c>
      <c r="J19" s="74" t="n">
        <v>3</v>
      </c>
      <c r="K19" s="74" t="n">
        <v>3</v>
      </c>
      <c r="L19" s="74" t="n">
        <v>3</v>
      </c>
      <c r="M19" s="74" t="n">
        <v>3</v>
      </c>
      <c r="N19" s="74" t="n">
        <v>3</v>
      </c>
      <c r="O19" s="74" t="n">
        <v>3</v>
      </c>
      <c r="P19" s="74" t="n">
        <v>3</v>
      </c>
      <c r="Q19" s="74" t="n">
        <v>3</v>
      </c>
      <c r="R19" s="74" t="n">
        <v>3</v>
      </c>
      <c r="S19" s="74" t="n">
        <v>3</v>
      </c>
      <c r="T19" s="74" t="n">
        <v>3</v>
      </c>
      <c r="U19" s="74" t="n">
        <v>3</v>
      </c>
      <c r="V19" s="74" t="n">
        <v>3</v>
      </c>
      <c r="W19" s="74" t="n">
        <v>3</v>
      </c>
      <c r="X19" s="74" t="n">
        <v>3</v>
      </c>
      <c r="Y19" s="74" t="n">
        <v>3</v>
      </c>
      <c r="Z19" s="74" t="n">
        <v>3</v>
      </c>
      <c r="AA19" s="74" t="n">
        <v>3</v>
      </c>
      <c r="AB19" s="74" t="n">
        <v>3</v>
      </c>
      <c r="AC19" s="74" t="n">
        <v>3</v>
      </c>
      <c r="AD19" s="74" t="n">
        <v>3</v>
      </c>
      <c r="AE19" s="74" t="n">
        <v>3</v>
      </c>
      <c r="AF19" s="74" t="n">
        <v>3</v>
      </c>
      <c r="AG19" s="74" t="n">
        <v>3</v>
      </c>
      <c r="AH19" s="74" t="n">
        <v>3</v>
      </c>
      <c r="AI19" s="74" t="n">
        <v>3</v>
      </c>
      <c r="AJ19" s="74" t="n">
        <v>3</v>
      </c>
      <c r="AK19" s="74" t="n">
        <v>3</v>
      </c>
      <c r="AL19" s="74" t="n">
        <v>3</v>
      </c>
      <c r="AM19" s="74" t="n">
        <v>3</v>
      </c>
      <c r="AN19" s="74" t="n">
        <v>3</v>
      </c>
      <c r="AO19" s="74" t="n">
        <v>1</v>
      </c>
      <c r="AP19" s="74" t="n">
        <v>2</v>
      </c>
      <c r="AQ19" s="74" t="n">
        <v>1</v>
      </c>
      <c r="AR19" s="74">
        <f>1+DZ19</f>
        <v/>
      </c>
      <c r="AS19" s="74" t="n">
        <v>1</v>
      </c>
      <c r="AT19" s="74">
        <f>1+DU19</f>
        <v/>
      </c>
      <c r="AU19" s="74" t="n">
        <v>2</v>
      </c>
      <c r="AV19" s="74" t="n">
        <v>2</v>
      </c>
      <c r="AW19" s="74" t="n">
        <v>2</v>
      </c>
      <c r="AX19" s="74" t="n">
        <v>1</v>
      </c>
      <c r="AY19" s="74">
        <f>1+DL19</f>
        <v/>
      </c>
      <c r="AZ19" s="74" t="n">
        <v>3</v>
      </c>
      <c r="BA19" s="74" t="n">
        <v>3</v>
      </c>
      <c r="BB19" s="74" t="n">
        <v>2</v>
      </c>
      <c r="BC19" s="74">
        <f>2+DF19</f>
        <v/>
      </c>
      <c r="BD19" s="74" t="n">
        <v>3</v>
      </c>
      <c r="BE19" s="74" t="n">
        <v>3</v>
      </c>
      <c r="BF19" s="74" t="n">
        <v>3</v>
      </c>
      <c r="BG19" s="74" t="n">
        <v>4</v>
      </c>
      <c r="BH19" s="74" t="n">
        <v>4</v>
      </c>
      <c r="BI19" s="74" t="n">
        <v>4</v>
      </c>
      <c r="BJ19" s="74" t="n">
        <v>4</v>
      </c>
      <c r="BK19" s="74" t="n">
        <v>3</v>
      </c>
      <c r="BL19" s="74" t="n">
        <v>3</v>
      </c>
      <c r="BM19" s="74" t="n">
        <v>3</v>
      </c>
      <c r="BN19" s="74" t="n">
        <v>3</v>
      </c>
      <c r="BO19" s="74" t="n">
        <v>3</v>
      </c>
      <c r="BP19" s="74" t="n">
        <v>3</v>
      </c>
      <c r="BQ19" s="74" t="n">
        <v>3</v>
      </c>
      <c r="BR19" s="74" t="n">
        <v>3</v>
      </c>
      <c r="BS19" s="74" t="n">
        <v>3</v>
      </c>
      <c r="BT19" s="74" t="n">
        <v>3</v>
      </c>
      <c r="BU19" s="74" t="n">
        <v>3</v>
      </c>
      <c r="BV19" s="74" t="n">
        <v>2</v>
      </c>
      <c r="BW19" s="74" t="n">
        <v>2</v>
      </c>
      <c r="BX19" s="74" t="n">
        <v>2</v>
      </c>
      <c r="BY19" s="193">
        <f>BW19+IF(NOT(ISBLANK(OFFSET(BY19,0,6))),N(OFFSET(BY19,0,6)),N(OFFSET(BY19,0,7)))-BX19</f>
        <v/>
      </c>
      <c r="BZ19" s="5" t="n"/>
      <c r="CA19" s="194" t="n"/>
      <c r="CB19" s="194" t="n"/>
      <c r="CC19" s="5" t="n"/>
      <c r="CD19" s="27" t="n"/>
      <c r="CE19" s="2" t="n"/>
      <c r="CF19" s="40" t="n">
        <v>0</v>
      </c>
      <c r="CG19" s="40" t="n">
        <v>0</v>
      </c>
      <c r="CH19" s="40" t="n">
        <v>0</v>
      </c>
      <c r="CI19" s="40" t="n"/>
      <c r="CJ19" s="40" t="n"/>
      <c r="CK19" s="40" t="n"/>
      <c r="CL19" s="40" t="n"/>
      <c r="CM19" s="40" t="n"/>
      <c r="CN19" s="40" t="n"/>
      <c r="CO19" s="40" t="n"/>
      <c r="CP19" s="40" t="n"/>
      <c r="CQ19" s="40" t="n"/>
      <c r="CR19" s="40" t="n"/>
      <c r="CS19" s="40" t="n"/>
      <c r="CT19" s="40" t="n"/>
      <c r="CU19" s="40" t="n"/>
      <c r="CV19" s="40" t="n"/>
      <c r="CW19" s="40" t="n"/>
      <c r="CX19" s="40" t="n"/>
      <c r="CY19" s="40" t="n"/>
      <c r="CZ19" s="40" t="n"/>
      <c r="DA19" s="40" t="n"/>
      <c r="DB19" s="40" t="n">
        <v>1</v>
      </c>
      <c r="DC19" s="40" t="n"/>
      <c r="DD19" s="40" t="n"/>
      <c r="DE19" s="40" t="n"/>
      <c r="DF19" s="40" t="n">
        <v>2</v>
      </c>
      <c r="DG19" s="40" t="n"/>
      <c r="DH19" s="40" t="n"/>
      <c r="DI19" s="40" t="n"/>
      <c r="DJ19" s="40" t="n"/>
      <c r="DK19" s="219" t="n"/>
      <c r="DL19" s="40" t="n">
        <v>2</v>
      </c>
      <c r="DM19" s="40" t="n"/>
      <c r="DN19" s="40" t="n"/>
      <c r="DO19" s="40" t="n"/>
      <c r="DP19" s="40" t="n"/>
      <c r="DQ19" s="40" t="n"/>
      <c r="DR19" s="40" t="n"/>
      <c r="DS19" s="219" t="n"/>
      <c r="DT19" s="40" t="n"/>
      <c r="DU19" s="40" t="n">
        <v>1</v>
      </c>
      <c r="DV19" s="40" t="n"/>
      <c r="DW19" s="40" t="n"/>
      <c r="DX19" s="40" t="n"/>
      <c r="DY19" s="40" t="n"/>
      <c r="DZ19" s="40" t="n">
        <v>1</v>
      </c>
      <c r="EA19" s="40" t="n"/>
      <c r="EB19" s="40" t="n"/>
      <c r="EC19" s="40" t="n">
        <v>1</v>
      </c>
      <c r="ED19" s="40" t="n"/>
      <c r="EE19" s="40" t="n"/>
      <c r="EF19" s="40" t="n"/>
      <c r="EG19" s="40" t="n"/>
      <c r="EH19" s="40" t="n"/>
      <c r="EI19" s="40" t="n"/>
      <c r="EJ19" s="40" t="n"/>
      <c r="EK19" s="40" t="n"/>
      <c r="EL19" s="40" t="n"/>
      <c r="EM19" s="40" t="n"/>
      <c r="EN19" s="40" t="n"/>
      <c r="EO19" s="40" t="n"/>
      <c r="EP19" s="40" t="n"/>
      <c r="EQ19" s="40" t="n"/>
      <c r="ER19" s="40" t="n"/>
      <c r="ES19" s="40" t="n"/>
      <c r="ET19" s="40" t="n"/>
      <c r="EU19" s="40" t="n"/>
      <c r="EV19" s="40" t="n"/>
      <c r="EW19" s="40" t="n"/>
      <c r="EX19" s="40" t="n"/>
      <c r="EY19" s="40" t="n"/>
      <c r="EZ19" s="40" t="n"/>
      <c r="FA19" s="40" t="n"/>
      <c r="FB19" s="40" t="n"/>
      <c r="FC19" s="40" t="n"/>
      <c r="FD19" s="40" t="n"/>
      <c r="FE19" s="40" t="n"/>
      <c r="FF19" s="40" t="n"/>
      <c r="FG19" s="40" t="n"/>
      <c r="FH19" s="23" t="n"/>
      <c r="FI19" s="219" t="n"/>
      <c r="FJ19" s="40" t="n"/>
      <c r="FK19" s="40" t="n"/>
      <c r="FL19" s="40" t="n"/>
      <c r="FM19" s="40" t="n"/>
      <c r="FN19" s="40" t="n"/>
      <c r="FO19" s="40" t="n"/>
      <c r="FP19" s="40" t="n"/>
      <c r="FQ19" s="40" t="n"/>
      <c r="FR19" s="40" t="n"/>
      <c r="FS19" s="40" t="n"/>
      <c r="FT19" s="40" t="n"/>
      <c r="FU19" s="40" t="n"/>
      <c r="FV19" s="40" t="n"/>
      <c r="FW19" s="219" t="n"/>
      <c r="FX19" s="40" t="n"/>
      <c r="FY19" s="219" t="n"/>
      <c r="FZ19" s="40" t="n"/>
      <c r="GA19" s="40" t="n"/>
      <c r="GB19" s="40" t="n"/>
      <c r="GC19" s="40" t="n"/>
      <c r="GD19" s="40" t="n"/>
      <c r="GE19" s="40" t="n"/>
      <c r="GF19" s="40" t="n"/>
      <c r="GG19" s="40" t="n"/>
      <c r="GH19" s="40" t="n"/>
      <c r="GI19" s="40" t="n"/>
      <c r="GJ19" s="40" t="n"/>
      <c r="GK19" s="40" t="n"/>
      <c r="GL19" s="40" t="n"/>
      <c r="GM19" s="40" t="n"/>
      <c r="GN19" s="40" t="n"/>
      <c r="GP19" s="35" t="n"/>
      <c r="HK19" s="35" t="n"/>
      <c r="HV19" s="35" t="n"/>
      <c r="IH19" s="35" t="n"/>
    </row>
    <row r="20" ht="19.5" customFormat="1" customHeight="1" s="3">
      <c r="A20" s="35" t="n"/>
      <c r="B20" s="2" t="n"/>
      <c r="C20" s="2" t="n"/>
      <c r="D20" s="2" t="n"/>
      <c r="E20" s="5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  <c r="AA20" s="4" t="n"/>
      <c r="AB20" s="4" t="n"/>
      <c r="AC20" s="4" t="n"/>
      <c r="AD20" s="4" t="n"/>
      <c r="AE20" s="4" t="n"/>
      <c r="AF20" s="4" t="n"/>
      <c r="AG20" s="4" t="n"/>
      <c r="AH20" s="4" t="n"/>
      <c r="AI20" s="4" t="n"/>
      <c r="AJ20" s="4" t="n"/>
      <c r="AK20" s="4" t="n"/>
      <c r="AL20" s="4" t="n"/>
      <c r="AM20" s="4" t="n"/>
      <c r="AN20" s="4" t="n"/>
      <c r="AO20" s="4" t="n"/>
      <c r="AP20" s="4" t="n"/>
      <c r="AQ20" s="4" t="n"/>
      <c r="AR20" s="4" t="n"/>
      <c r="AS20" s="4" t="n"/>
      <c r="AT20" s="4" t="n"/>
      <c r="AU20" s="4" t="n"/>
      <c r="AV20" s="4" t="n"/>
      <c r="AW20" s="4" t="n"/>
      <c r="AX20" s="4" t="n"/>
      <c r="AY20" s="4" t="n"/>
      <c r="AZ20" s="4" t="n"/>
      <c r="BA20" s="4" t="n"/>
      <c r="BB20" s="4" t="n"/>
      <c r="BC20" s="4" t="n"/>
      <c r="BD20" s="4" t="n"/>
      <c r="BE20" s="4" t="n"/>
      <c r="BF20" s="4" t="n"/>
      <c r="BG20" s="4" t="n"/>
      <c r="BH20" s="4" t="n"/>
      <c r="BI20" s="4" t="n"/>
      <c r="BJ20" s="4" t="n"/>
      <c r="BK20" s="4" t="n"/>
      <c r="BL20" s="4" t="n"/>
      <c r="BM20" s="4" t="n"/>
      <c r="BN20" s="4" t="n"/>
      <c r="BO20" s="4" t="n"/>
      <c r="BP20" s="4" t="n"/>
      <c r="BQ20" s="4" t="n"/>
      <c r="BR20" s="4" t="n"/>
      <c r="BS20" s="4" t="n"/>
      <c r="BT20" s="4" t="n"/>
      <c r="BU20" s="4" t="n"/>
      <c r="BV20" s="4" t="n"/>
      <c r="BW20" s="4" t="n"/>
      <c r="BX20" s="4" t="n"/>
      <c r="BY20" s="16" t="n"/>
      <c r="BZ20" s="5" t="n"/>
      <c r="CA20" s="16" t="n"/>
      <c r="CB20" s="16" t="n"/>
      <c r="CC20" s="5" t="n"/>
      <c r="CD20" s="4" t="n"/>
      <c r="CE20" s="5" t="n"/>
      <c r="CF20" s="20" t="n"/>
      <c r="CG20" s="20" t="n"/>
      <c r="CH20" s="20" t="n"/>
      <c r="CI20" s="20" t="n"/>
      <c r="CJ20" s="20" t="n"/>
      <c r="CK20" s="20" t="n"/>
      <c r="CL20" s="20" t="n"/>
      <c r="CM20" s="20" t="n"/>
      <c r="CN20" s="20" t="n"/>
      <c r="CO20" s="20" t="n"/>
      <c r="CP20" s="20" t="n"/>
      <c r="CQ20" s="20" t="n"/>
      <c r="CR20" s="20" t="n"/>
      <c r="CS20" s="20" t="n"/>
      <c r="CT20" s="20" t="n"/>
      <c r="CU20" s="20" t="n"/>
      <c r="CV20" s="20" t="n"/>
      <c r="CW20" s="20" t="n"/>
      <c r="CX20" s="20" t="n"/>
      <c r="CY20" s="20" t="n"/>
      <c r="CZ20" s="20" t="n"/>
      <c r="DA20" s="20" t="n"/>
      <c r="DB20" s="20" t="n"/>
      <c r="DC20" s="20" t="n"/>
      <c r="DD20" s="20" t="n"/>
      <c r="DE20" s="20" t="n"/>
      <c r="DF20" s="20" t="n"/>
      <c r="DG20" s="20" t="n"/>
      <c r="DH20" s="20" t="n"/>
      <c r="DI20" s="20" t="n"/>
      <c r="DJ20" s="20" t="n"/>
      <c r="DK20" s="308" t="n"/>
      <c r="DL20" s="20" t="n"/>
      <c r="DM20" s="20" t="n"/>
      <c r="DN20" s="20" t="n"/>
      <c r="DO20" s="20" t="n"/>
      <c r="DP20" s="20" t="n"/>
      <c r="DQ20" s="20" t="n"/>
      <c r="DR20" s="20" t="n"/>
      <c r="DS20" s="20" t="n"/>
      <c r="DT20" s="20" t="n"/>
      <c r="DU20" s="20" t="n"/>
      <c r="DV20" s="20" t="n"/>
      <c r="DW20" s="20" t="n"/>
      <c r="DX20" s="20" t="n"/>
      <c r="DY20" s="20" t="n"/>
      <c r="DZ20" s="20" t="n"/>
      <c r="EA20" s="20" t="n"/>
      <c r="EB20" s="20" t="n"/>
      <c r="EC20" s="20" t="n"/>
      <c r="ED20" s="20" t="n"/>
      <c r="EE20" s="20" t="n"/>
      <c r="EF20" s="20" t="n"/>
      <c r="EG20" s="20" t="n"/>
      <c r="EH20" s="20" t="n"/>
      <c r="EI20" s="20" t="n"/>
      <c r="EJ20" s="20" t="n"/>
      <c r="EK20" s="20" t="n"/>
      <c r="EL20" s="20" t="n"/>
      <c r="EM20" s="20" t="n"/>
      <c r="EN20" s="20" t="n"/>
      <c r="EO20" s="20" t="n"/>
      <c r="EP20" s="20" t="n"/>
      <c r="EQ20" s="20" t="n"/>
      <c r="ER20" s="20" t="n"/>
      <c r="ES20" s="20" t="n"/>
      <c r="ET20" s="20" t="n"/>
      <c r="EU20" s="20" t="n"/>
      <c r="EV20" s="20" t="n"/>
      <c r="EW20" s="20" t="n"/>
      <c r="EX20" s="20" t="n"/>
      <c r="EY20" s="20" t="n"/>
      <c r="EZ20" s="20" t="n"/>
      <c r="FA20" s="20" t="n"/>
      <c r="FB20" s="20" t="n"/>
      <c r="FC20" s="20" t="n"/>
      <c r="FD20" s="20" t="n"/>
      <c r="FE20" s="20" t="n"/>
      <c r="FF20" s="20" t="n"/>
      <c r="FG20" s="20" t="n"/>
      <c r="FH20" s="47" t="n"/>
      <c r="FI20" s="20" t="n"/>
      <c r="FJ20" s="20" t="n"/>
      <c r="FK20" s="20" t="n"/>
      <c r="FL20" s="20" t="n"/>
      <c r="FM20" s="20" t="n"/>
      <c r="FN20" s="20" t="n"/>
      <c r="FO20" s="20" t="n"/>
      <c r="FP20" s="20" t="n"/>
      <c r="FQ20" s="20" t="n"/>
      <c r="FR20" s="20" t="n"/>
      <c r="FS20" s="20" t="n"/>
      <c r="FT20" s="20" t="n"/>
      <c r="FU20" s="20" t="n"/>
      <c r="FV20" s="20" t="n"/>
      <c r="FW20" s="308" t="n"/>
      <c r="FX20" s="20" t="n"/>
      <c r="FY20" s="308" t="n"/>
      <c r="FZ20" s="20" t="n"/>
      <c r="GA20" s="20" t="n"/>
      <c r="GB20" s="20" t="n"/>
      <c r="GC20" s="20" t="n"/>
      <c r="GD20" s="20" t="n"/>
      <c r="GE20" s="20" t="n"/>
      <c r="GF20" s="20" t="n"/>
      <c r="GG20" s="20" t="n"/>
      <c r="GH20" s="20" t="n"/>
      <c r="GI20" s="20" t="n"/>
      <c r="GJ20" s="20" t="n"/>
      <c r="GK20" s="20" t="n"/>
      <c r="GL20" s="20" t="n"/>
      <c r="GM20" s="20" t="n"/>
      <c r="GN20" s="20" t="n"/>
      <c r="GP20" s="35" t="n"/>
      <c r="HK20" s="35" t="n"/>
      <c r="HV20" s="35" t="n"/>
      <c r="IH20" s="35" t="n"/>
    </row>
    <row r="21" customFormat="1" s="3">
      <c r="A21" s="36" t="inlineStr">
        <is>
          <t>KIT SACOLAS BOTICÁRIO VENDIDAS</t>
        </is>
      </c>
      <c r="B21" s="13" t="inlineStr">
        <is>
          <t>MÓD</t>
        </is>
      </c>
      <c r="C21" s="13" t="inlineStr">
        <is>
          <t>R$</t>
        </is>
      </c>
      <c r="D21" s="13" t="n"/>
      <c r="E21" s="726" t="n"/>
      <c r="F21" s="746" t="n">
        <v>45656</v>
      </c>
      <c r="G21" s="746" t="n">
        <v>45663</v>
      </c>
      <c r="H21" s="746" t="n">
        <v>45670</v>
      </c>
      <c r="I21" s="746" t="n">
        <v>45677</v>
      </c>
      <c r="J21" s="746" t="n">
        <v>45684</v>
      </c>
      <c r="K21" s="746" t="n">
        <v>45691</v>
      </c>
      <c r="L21" s="746" t="n">
        <v>45698</v>
      </c>
      <c r="M21" s="746" t="n">
        <v>45705</v>
      </c>
      <c r="N21" s="746" t="n">
        <v>45712</v>
      </c>
      <c r="O21" s="746" t="n">
        <v>45719</v>
      </c>
      <c r="P21" s="746" t="n">
        <v>45726</v>
      </c>
      <c r="Q21" s="746" t="n">
        <v>45733</v>
      </c>
      <c r="R21" s="746" t="n">
        <v>45740</v>
      </c>
      <c r="S21" s="746" t="n">
        <v>45747</v>
      </c>
      <c r="T21" s="746" t="n">
        <v>45754</v>
      </c>
      <c r="U21" s="746" t="n">
        <v>45761</v>
      </c>
      <c r="V21" s="746" t="n">
        <v>45768</v>
      </c>
      <c r="W21" s="746" t="n">
        <v>45775</v>
      </c>
      <c r="X21" s="746" t="n">
        <v>45782</v>
      </c>
      <c r="Y21" s="746" t="n">
        <v>45789</v>
      </c>
      <c r="Z21" s="746" t="n">
        <v>45796</v>
      </c>
      <c r="AA21" s="746" t="n">
        <v>45803</v>
      </c>
      <c r="AB21" s="746" t="n">
        <v>45810</v>
      </c>
      <c r="AC21" s="746" t="n">
        <v>45817</v>
      </c>
      <c r="AD21" s="746" t="n">
        <v>45824</v>
      </c>
      <c r="AE21" s="746" t="n">
        <v>45831</v>
      </c>
      <c r="AF21" s="746" t="n">
        <v>45838</v>
      </c>
      <c r="AG21" s="746" t="n">
        <v>45845</v>
      </c>
      <c r="AH21" s="746" t="n">
        <v>45852</v>
      </c>
      <c r="AI21" s="746" t="n">
        <v>45859</v>
      </c>
      <c r="AJ21" s="746" t="n">
        <v>45866</v>
      </c>
      <c r="AK21" s="746" t="n">
        <v>45873</v>
      </c>
      <c r="AL21" s="746" t="n">
        <v>45880</v>
      </c>
      <c r="AM21" s="746" t="n">
        <v>45887</v>
      </c>
      <c r="AN21" s="746" t="n">
        <v>45894</v>
      </c>
      <c r="AO21" s="746" t="n">
        <v>45901</v>
      </c>
      <c r="AP21" s="746" t="n">
        <v>45915</v>
      </c>
      <c r="AQ21" s="746" t="n">
        <v>45922</v>
      </c>
      <c r="AR21" s="746" t="n">
        <v>45929</v>
      </c>
      <c r="AS21" s="746" t="n">
        <v>45936</v>
      </c>
      <c r="AT21" s="746" t="n">
        <v>45943</v>
      </c>
      <c r="AU21" s="746" t="n">
        <v>45950</v>
      </c>
      <c r="AV21" s="746" t="n">
        <v>45957</v>
      </c>
      <c r="AW21" s="746" t="n">
        <v>45964</v>
      </c>
      <c r="AX21" s="746" t="n">
        <v>45971</v>
      </c>
      <c r="AY21" s="746" t="n">
        <v>45978</v>
      </c>
      <c r="AZ21" s="746" t="n">
        <v>45985</v>
      </c>
      <c r="BA21" s="746" t="n">
        <v>45992</v>
      </c>
      <c r="BB21" s="746" t="n">
        <v>45999</v>
      </c>
      <c r="BC21" s="746" t="n">
        <v>46006</v>
      </c>
      <c r="BD21" s="746" t="n">
        <v>46013</v>
      </c>
      <c r="BE21" s="746" t="n">
        <v>46020</v>
      </c>
      <c r="BF21" s="746" t="n">
        <v>46027</v>
      </c>
      <c r="BG21" s="746" t="n">
        <v>46034</v>
      </c>
      <c r="BH21" s="746" t="n">
        <v>46041</v>
      </c>
      <c r="BI21" s="746" t="n">
        <v>46048</v>
      </c>
      <c r="BJ21" s="746" t="n">
        <v>46055</v>
      </c>
      <c r="BK21" s="746" t="n">
        <v>46062</v>
      </c>
      <c r="BL21" s="746" t="n">
        <v>46069</v>
      </c>
      <c r="BM21" s="746" t="n">
        <v>46076</v>
      </c>
      <c r="BN21" s="746" t="n">
        <v>46083</v>
      </c>
      <c r="BO21" s="746" t="n">
        <v>46090</v>
      </c>
      <c r="BP21" s="746" t="n">
        <v>46097</v>
      </c>
      <c r="BQ21" s="746" t="n">
        <v>46104</v>
      </c>
      <c r="BR21" s="746" t="n">
        <v>46111</v>
      </c>
      <c r="BS21" s="746" t="n">
        <v>46118</v>
      </c>
      <c r="BT21" s="746" t="n">
        <v>46125</v>
      </c>
      <c r="BU21" s="746" t="n">
        <v>46132</v>
      </c>
      <c r="BV21" s="746" t="n">
        <v>46139</v>
      </c>
      <c r="BW21" s="746" t="n">
        <v>46146</v>
      </c>
      <c r="BX21" s="746" t="n">
        <v>46154</v>
      </c>
      <c r="BY21" s="748" t="inlineStr">
        <is>
          <t>USOU</t>
        </is>
      </c>
      <c r="BZ21" s="5" t="n"/>
      <c r="CA21" s="44" t="inlineStr">
        <is>
          <t>Pendências</t>
        </is>
      </c>
      <c r="CB21" s="44" t="inlineStr">
        <is>
          <t>Pendências</t>
        </is>
      </c>
      <c r="CC21" s="5" t="n"/>
      <c r="CD21" s="12" t="inlineStr">
        <is>
          <t>Novo Pedido</t>
        </is>
      </c>
      <c r="CE21" s="726" t="n"/>
      <c r="CF21" s="794" t="n">
        <v>46149</v>
      </c>
      <c r="CG21" s="794" t="n">
        <v>46142</v>
      </c>
      <c r="CH21" s="794" t="n">
        <v>46114</v>
      </c>
      <c r="CI21" s="794" t="n">
        <v>46107</v>
      </c>
      <c r="CJ21" s="795" t="n">
        <v>46065</v>
      </c>
      <c r="CK21" s="794" t="n">
        <v>46099</v>
      </c>
      <c r="CL21" s="794" t="n">
        <v>46092</v>
      </c>
      <c r="CM21" s="796" t="n">
        <v>46045</v>
      </c>
      <c r="CN21" s="794" t="n">
        <v>46084</v>
      </c>
      <c r="CO21" s="797" t="n">
        <v>46085</v>
      </c>
      <c r="CP21" s="794" t="n">
        <v>46077</v>
      </c>
      <c r="CQ21" s="794" t="n">
        <v>46071</v>
      </c>
      <c r="CR21" s="794" t="n">
        <v>46056</v>
      </c>
      <c r="CS21" s="794" t="n">
        <v>46048</v>
      </c>
      <c r="CT21" s="794" t="n">
        <v>46056</v>
      </c>
      <c r="CU21" s="794" t="n">
        <v>46048</v>
      </c>
      <c r="CV21" s="794" t="n">
        <v>46043</v>
      </c>
      <c r="CW21" s="794" t="n">
        <v>46035</v>
      </c>
      <c r="CX21" s="794" t="n">
        <v>46043</v>
      </c>
      <c r="CY21" s="794" t="n">
        <v>46035</v>
      </c>
      <c r="CZ21" s="794" t="n">
        <v>46035</v>
      </c>
      <c r="DA21" s="794" t="n">
        <v>46029</v>
      </c>
      <c r="DB21" s="794" t="n">
        <v>46017</v>
      </c>
      <c r="DC21" s="794" t="n">
        <v>46007</v>
      </c>
      <c r="DD21" s="794" t="n">
        <v>46007</v>
      </c>
      <c r="DE21" s="794" t="n">
        <v>46001</v>
      </c>
      <c r="DF21" s="794" t="n">
        <v>46001</v>
      </c>
      <c r="DG21" s="794" t="n">
        <v>45994</v>
      </c>
      <c r="DH21" s="794" t="n">
        <v>45994</v>
      </c>
      <c r="DI21" s="794" t="n">
        <v>45986</v>
      </c>
      <c r="DJ21" s="794" t="n">
        <v>45980</v>
      </c>
      <c r="DK21" s="797" t="n">
        <v>45982</v>
      </c>
      <c r="DL21" s="794" t="n">
        <v>45973</v>
      </c>
      <c r="DM21" s="794" t="n">
        <v>45965</v>
      </c>
      <c r="DN21" s="794" t="n">
        <v>45965</v>
      </c>
      <c r="DO21" s="794" t="n">
        <v>45960</v>
      </c>
      <c r="DP21" s="794" t="n">
        <v>45960</v>
      </c>
      <c r="DQ21" s="794" t="n">
        <v>45951</v>
      </c>
      <c r="DR21" s="794" t="n">
        <v>45945</v>
      </c>
      <c r="DS21" s="737" t="n">
        <v>45903</v>
      </c>
      <c r="DT21" s="794" t="n">
        <v>45945</v>
      </c>
      <c r="DU21" s="794" t="n">
        <v>45937</v>
      </c>
      <c r="DV21" s="794" t="n">
        <v>45923</v>
      </c>
      <c r="DW21" s="794" t="n">
        <v>45931</v>
      </c>
      <c r="DX21" s="794" t="n">
        <v>45931</v>
      </c>
      <c r="DY21" s="794" t="n">
        <v>45915</v>
      </c>
      <c r="DZ21" s="794" t="n">
        <v>45923</v>
      </c>
      <c r="EA21" s="794" t="n">
        <v>45915</v>
      </c>
      <c r="EB21" s="797" t="n">
        <v>45918</v>
      </c>
      <c r="EC21" s="794" t="n">
        <v>45903</v>
      </c>
      <c r="ED21" s="738" t="n">
        <v>45903</v>
      </c>
      <c r="EE21" s="794" t="n">
        <v>45895</v>
      </c>
      <c r="EF21" s="797" t="n">
        <v>45896</v>
      </c>
      <c r="EG21" s="794" t="n">
        <v>45888</v>
      </c>
      <c r="EH21" s="794" t="n">
        <v>45888</v>
      </c>
      <c r="EI21" s="794" t="n">
        <v>45881</v>
      </c>
      <c r="EJ21" s="797" t="n">
        <v>45881</v>
      </c>
      <c r="EK21" s="794" t="n">
        <v>45874</v>
      </c>
      <c r="EL21" s="797" t="n">
        <v>45876</v>
      </c>
      <c r="EM21" s="794" t="n">
        <v>45867</v>
      </c>
      <c r="EN21" s="794" t="n">
        <v>45860</v>
      </c>
      <c r="EO21" s="794" t="n">
        <v>45839</v>
      </c>
      <c r="EP21" s="797" t="n">
        <v>45861</v>
      </c>
      <c r="EQ21" s="797" t="n">
        <v>45860</v>
      </c>
      <c r="ER21" s="794" t="n">
        <v>45853</v>
      </c>
      <c r="ES21" s="739" t="n">
        <v>45855</v>
      </c>
      <c r="ET21" s="794" t="n">
        <v>45848</v>
      </c>
      <c r="EU21" s="794" t="n">
        <v>45839</v>
      </c>
      <c r="EV21" s="739" t="n">
        <v>45791</v>
      </c>
      <c r="EW21" s="797" t="n">
        <v>45835</v>
      </c>
      <c r="EX21" s="794" t="n">
        <v>45832</v>
      </c>
      <c r="EY21" s="794" t="n">
        <v>45825</v>
      </c>
      <c r="EZ21" s="794" t="n">
        <v>45819</v>
      </c>
      <c r="FA21" s="794" t="n">
        <v>45813</v>
      </c>
      <c r="FB21" s="794" t="n">
        <v>45805</v>
      </c>
      <c r="FC21" s="797" t="n">
        <v>45811</v>
      </c>
      <c r="FD21" s="797" t="n">
        <v>45810</v>
      </c>
      <c r="FE21" s="794" t="n">
        <v>45798</v>
      </c>
      <c r="FF21" s="797" t="n">
        <v>45803</v>
      </c>
      <c r="FG21" s="755" t="n">
        <v>45803</v>
      </c>
      <c r="FH21" s="797" t="n">
        <v>45800</v>
      </c>
      <c r="FI21" s="742" t="n">
        <v>45735</v>
      </c>
      <c r="FJ21" s="797" t="n">
        <v>45796</v>
      </c>
      <c r="FK21" s="794" t="n">
        <v>45790</v>
      </c>
      <c r="FL21" s="794" t="n">
        <v>45784</v>
      </c>
      <c r="FM21" s="797" t="n">
        <v>45791</v>
      </c>
      <c r="FN21" s="794" t="n">
        <v>45783</v>
      </c>
      <c r="FO21" s="794" t="n">
        <v>45770</v>
      </c>
      <c r="FP21" s="794" t="n">
        <v>45775</v>
      </c>
      <c r="FQ21" s="794" t="n">
        <v>45770</v>
      </c>
      <c r="FR21" s="797" t="n">
        <v>45775</v>
      </c>
      <c r="FS21" s="794" t="n">
        <v>45756</v>
      </c>
      <c r="FT21" s="794" t="n">
        <v>45749</v>
      </c>
      <c r="FU21" s="797" t="n">
        <v>45751</v>
      </c>
      <c r="FV21" s="794" t="n">
        <v>45743</v>
      </c>
      <c r="FW21" s="746" t="n">
        <v>45729</v>
      </c>
      <c r="FX21" s="794" t="n">
        <v>45722</v>
      </c>
      <c r="FY21" s="746" t="n">
        <v>45700</v>
      </c>
      <c r="FZ21" s="797" t="n">
        <v>45722</v>
      </c>
      <c r="GA21" s="794" t="n">
        <v>45714</v>
      </c>
      <c r="GB21" s="794" t="n">
        <v>45706</v>
      </c>
      <c r="GC21" s="794" t="n">
        <v>45699</v>
      </c>
      <c r="GD21" s="794" t="n">
        <v>45693</v>
      </c>
      <c r="GE21" s="794" t="n">
        <v>45685</v>
      </c>
      <c r="GF21" s="797" t="n">
        <v>45687</v>
      </c>
      <c r="GG21" s="794" t="n">
        <v>45664</v>
      </c>
      <c r="GH21" s="794" t="n">
        <v>45679</v>
      </c>
      <c r="GI21" s="797" t="n">
        <v>45684</v>
      </c>
      <c r="GJ21" s="794" t="n">
        <v>45664</v>
      </c>
      <c r="GK21" s="794" t="n">
        <v>45660</v>
      </c>
      <c r="GL21" s="794" t="n">
        <v>45652</v>
      </c>
      <c r="GM21" s="794" t="n">
        <v>45643</v>
      </c>
      <c r="GN21" s="794" t="n">
        <v>45638</v>
      </c>
      <c r="GP21" s="298" t="inlineStr">
        <is>
          <t>SACOLAS VENDA</t>
        </is>
      </c>
      <c r="GQ21" s="544" t="inlineStr">
        <is>
          <t>PCT</t>
        </is>
      </c>
      <c r="GR21" s="536" t="n">
        <v>45726</v>
      </c>
      <c r="GS21" s="536" t="n">
        <v>45733</v>
      </c>
      <c r="GT21" s="536" t="n">
        <v>45740</v>
      </c>
      <c r="GU21" s="536" t="n">
        <v>45747</v>
      </c>
      <c r="GV21" s="536" t="n">
        <v>45754</v>
      </c>
      <c r="GW21" s="536" t="n">
        <v>45761</v>
      </c>
      <c r="GX21" s="536" t="n">
        <v>45768</v>
      </c>
      <c r="GY21" s="536" t="n">
        <v>45775</v>
      </c>
      <c r="GZ21" s="536" t="n">
        <v>45782</v>
      </c>
      <c r="HA21" s="536" t="n">
        <v>45789</v>
      </c>
      <c r="HB21" s="536" t="n">
        <v>45796</v>
      </c>
      <c r="HC21" s="536" t="n">
        <v>45803</v>
      </c>
      <c r="HD21" s="536" t="n">
        <v>45810</v>
      </c>
      <c r="HE21" s="536" t="n">
        <v>45817</v>
      </c>
      <c r="HF21" s="536" t="n">
        <v>45824</v>
      </c>
      <c r="HG21" s="536" t="n">
        <v>45831</v>
      </c>
      <c r="HH21" s="536" t="n">
        <v>45838</v>
      </c>
      <c r="HI21" s="235" t="inlineStr">
        <is>
          <t>USOU</t>
        </is>
      </c>
      <c r="HK21" s="804" t="inlineStr">
        <is>
          <t>SACOLAS VENDA</t>
        </is>
      </c>
      <c r="HL21" s="805" t="inlineStr">
        <is>
          <t>PCT</t>
        </is>
      </c>
      <c r="HM21" s="398" t="n">
        <v>45796</v>
      </c>
      <c r="HN21" s="398" t="n">
        <v>45803</v>
      </c>
      <c r="HO21" s="398" t="n">
        <v>45810</v>
      </c>
      <c r="HP21" s="398" t="n">
        <v>45817</v>
      </c>
      <c r="HQ21" s="398" t="n">
        <v>45824</v>
      </c>
      <c r="HR21" s="398" t="n">
        <v>45831</v>
      </c>
      <c r="HS21" s="398" t="n">
        <v>45838</v>
      </c>
      <c r="HT21" s="368" t="inlineStr">
        <is>
          <t>USOU</t>
        </is>
      </c>
      <c r="HV21" s="809" t="inlineStr">
        <is>
          <t>SACOLAS VENDA</t>
        </is>
      </c>
      <c r="HW21" s="810" t="inlineStr">
        <is>
          <t>PCT</t>
        </is>
      </c>
      <c r="HX21" s="811" t="n">
        <v>45845</v>
      </c>
      <c r="HY21" s="811" t="n">
        <v>45852</v>
      </c>
      <c r="HZ21" s="811" t="n">
        <v>45859</v>
      </c>
      <c r="IA21" s="811" t="n">
        <v>45866</v>
      </c>
      <c r="IB21" s="811" t="n">
        <v>45873</v>
      </c>
      <c r="IC21" s="811" t="n">
        <v>45880</v>
      </c>
      <c r="ID21" s="811" t="n">
        <v>45887</v>
      </c>
      <c r="IE21" s="811" t="n">
        <v>45894</v>
      </c>
      <c r="IF21" s="813" t="inlineStr">
        <is>
          <t>USOU</t>
        </is>
      </c>
      <c r="IH21" s="438" t="inlineStr">
        <is>
          <t>DIVERSOS VENDA</t>
        </is>
      </c>
      <c r="II21" s="571" t="inlineStr">
        <is>
          <t>PCT</t>
        </is>
      </c>
      <c r="IJ21" s="513" t="n">
        <v>45950</v>
      </c>
      <c r="IK21" s="513" t="n">
        <v>45957</v>
      </c>
      <c r="IL21" s="513" t="n">
        <v>45964</v>
      </c>
      <c r="IM21" s="411" t="inlineStr">
        <is>
          <t>USOU</t>
        </is>
      </c>
    </row>
    <row r="22" ht="18.75" customFormat="1" customHeight="1" s="3">
      <c r="A22" s="37" t="inlineStr">
        <is>
          <t>KIT SACOLA PP VERDE (KIT C/ 10)</t>
        </is>
      </c>
      <c r="B22" s="699" t="n">
        <v>280</v>
      </c>
      <c r="C22" s="762" t="n">
        <v>166.44</v>
      </c>
      <c r="D22" s="382" t="n">
        <v>20</v>
      </c>
      <c r="E22" s="826" t="n"/>
      <c r="F22" s="31">
        <f>22+GL22</f>
        <v/>
      </c>
      <c r="G22" s="31" t="n">
        <v>48</v>
      </c>
      <c r="H22" s="31" t="n">
        <v>45</v>
      </c>
      <c r="I22" s="31" t="n">
        <v>45</v>
      </c>
      <c r="J22" s="31" t="n">
        <v>43</v>
      </c>
      <c r="K22" s="31" t="n">
        <v>43</v>
      </c>
      <c r="L22" s="31" t="n">
        <v>43</v>
      </c>
      <c r="M22" s="31" t="n">
        <v>39</v>
      </c>
      <c r="N22" s="31" t="n">
        <v>35</v>
      </c>
      <c r="O22" s="31" t="n">
        <v>29</v>
      </c>
      <c r="P22" s="31">
        <f>28+FX22</f>
        <v/>
      </c>
      <c r="Q22" s="31" t="n">
        <v>82</v>
      </c>
      <c r="R22" s="31" t="n">
        <v>71</v>
      </c>
      <c r="S22" s="31" t="n">
        <v>70</v>
      </c>
      <c r="T22" s="31" t="n">
        <v>69</v>
      </c>
      <c r="U22" s="31" t="n">
        <v>64</v>
      </c>
      <c r="V22" s="31" t="n">
        <v>63</v>
      </c>
      <c r="W22" s="31" t="n">
        <v>63</v>
      </c>
      <c r="X22" s="31" t="n">
        <v>57</v>
      </c>
      <c r="Y22" s="31" t="n">
        <v>49</v>
      </c>
      <c r="Z22" s="31" t="n">
        <v>47</v>
      </c>
      <c r="AA22" s="31" t="n">
        <v>47</v>
      </c>
      <c r="AB22" s="31" t="n">
        <v>46</v>
      </c>
      <c r="AC22" s="31" t="n">
        <v>43</v>
      </c>
      <c r="AD22" s="31" t="n">
        <v>37</v>
      </c>
      <c r="AE22" s="31" t="n">
        <v>37</v>
      </c>
      <c r="AF22" s="31" t="n">
        <v>37</v>
      </c>
      <c r="AG22" s="31" t="n">
        <v>37</v>
      </c>
      <c r="AH22" s="31" t="n">
        <v>35</v>
      </c>
      <c r="AI22" s="31" t="n">
        <v>35</v>
      </c>
      <c r="AJ22" s="31" t="n">
        <v>35</v>
      </c>
      <c r="AK22" s="31" t="n">
        <v>35</v>
      </c>
      <c r="AL22" s="31" t="n">
        <v>29</v>
      </c>
      <c r="AM22" s="31" t="n">
        <v>29</v>
      </c>
      <c r="AN22" s="31" t="n">
        <v>27</v>
      </c>
      <c r="AO22" s="31" t="n">
        <v>16</v>
      </c>
      <c r="AP22" s="31" t="n">
        <v>15</v>
      </c>
      <c r="AQ22" s="31" t="n">
        <v>14</v>
      </c>
      <c r="AR22" s="31" t="n">
        <v>13</v>
      </c>
      <c r="AS22" s="31" t="n">
        <v>13</v>
      </c>
      <c r="AT22" s="31" t="n">
        <v>10</v>
      </c>
      <c r="AU22" s="31" t="n">
        <v>9</v>
      </c>
      <c r="AV22" s="31" t="n">
        <v>8</v>
      </c>
      <c r="AW22" s="31" t="n">
        <v>8</v>
      </c>
      <c r="AX22" s="31" t="n">
        <v>6</v>
      </c>
      <c r="AY22" s="31" t="n">
        <v>3</v>
      </c>
      <c r="AZ22" s="31" t="n">
        <v>3</v>
      </c>
      <c r="BA22" s="31" t="n">
        <v>3</v>
      </c>
      <c r="BB22" s="31" t="n">
        <v>2</v>
      </c>
      <c r="BC22" s="31" t="n">
        <v>2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/>
      <c r="BT22" s="31" t="n"/>
      <c r="BU22" s="31" t="n"/>
      <c r="BV22" s="31" t="n"/>
      <c r="BW22" s="31" t="n"/>
      <c r="BX22" s="31" t="n">
        <v>0</v>
      </c>
      <c r="BY22" s="192">
        <f>BW22+IF(NOT(ISBLANK(OFFSET(BY22,0,6))),N(OFFSET(BY22,0,6)),N(OFFSET(BY22,0,7)))-BX22</f>
        <v/>
      </c>
      <c r="BZ22" s="72" t="n"/>
      <c r="CA22" s="22" t="n"/>
      <c r="CB22" s="22" t="n"/>
      <c r="CC22" s="5" t="n"/>
      <c r="CD22" s="27" t="n"/>
      <c r="CE22" s="826" t="n"/>
      <c r="CF22" s="23" t="n">
        <v>0</v>
      </c>
      <c r="CG22" s="23" t="n">
        <v>0</v>
      </c>
      <c r="CH22" s="23" t="n">
        <v>0</v>
      </c>
      <c r="CI22" s="23" t="n"/>
      <c r="CJ22" s="4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23" t="n"/>
      <c r="DK22" s="219" t="n"/>
      <c r="DL22" s="23" t="n"/>
      <c r="DM22" s="23" t="n"/>
      <c r="DN22" s="23" t="n"/>
      <c r="DO22" s="23" t="n"/>
      <c r="DP22" s="23" t="n"/>
      <c r="DQ22" s="23" t="n"/>
      <c r="DR22" s="23" t="n"/>
      <c r="DS22" s="219" t="n">
        <v>10</v>
      </c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3" t="n"/>
      <c r="EC22" s="23" t="n"/>
      <c r="ED22" s="23" t="n"/>
      <c r="EE22" s="23" t="n"/>
      <c r="EF22" s="23" t="n"/>
      <c r="EG22" s="23" t="n"/>
      <c r="EH22" s="23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19" t="n"/>
      <c r="FJ22" s="23" t="n"/>
      <c r="FK22" s="23" t="n"/>
      <c r="FL22" s="23" t="n"/>
      <c r="FM22" s="23" t="n"/>
      <c r="FN22" s="23" t="n"/>
      <c r="FO22" s="23" t="n"/>
      <c r="FP22" s="23" t="n"/>
      <c r="FQ22" s="23" t="n"/>
      <c r="FR22" s="23" t="n"/>
      <c r="FS22" s="23" t="n"/>
      <c r="FT22" s="23" t="n"/>
      <c r="FU22" s="23" t="n"/>
      <c r="FV22" s="23" t="n"/>
      <c r="FW22" s="219" t="n"/>
      <c r="FX22" s="23" t="n">
        <v>56</v>
      </c>
      <c r="FY22" s="219" t="n">
        <v>400</v>
      </c>
      <c r="FZ22" s="23" t="n"/>
      <c r="GA22" s="23" t="n"/>
      <c r="GB22" s="23" t="n"/>
      <c r="GC22" s="23" t="n"/>
      <c r="GD22" s="23" t="n"/>
      <c r="GE22" s="23" t="n"/>
      <c r="GF22" s="23" t="n"/>
      <c r="GG22" s="23" t="n"/>
      <c r="GH22" s="23" t="n"/>
      <c r="GI22" s="23" t="n"/>
      <c r="GJ22" s="23" t="n"/>
      <c r="GK22" s="23" t="n"/>
      <c r="GL22" s="23" t="n">
        <v>28</v>
      </c>
      <c r="GM22" s="23" t="n"/>
      <c r="GN22" s="23" t="n"/>
      <c r="GP22" s="65" t="inlineStr">
        <is>
          <t>SACOLA P</t>
        </is>
      </c>
      <c r="GQ22" s="208" t="n">
        <v>200</v>
      </c>
      <c r="GR22" s="699">
        <f>FY22</f>
        <v/>
      </c>
      <c r="GS22" s="699" t="n">
        <v>400</v>
      </c>
      <c r="GT22" s="699" t="n">
        <v>383</v>
      </c>
      <c r="GU22" s="699" t="n">
        <v>351</v>
      </c>
      <c r="GV22" s="699" t="n">
        <v>350</v>
      </c>
      <c r="GW22" s="699" t="n">
        <v>329</v>
      </c>
      <c r="GX22" s="218" t="n">
        <v>629</v>
      </c>
      <c r="GY22" s="699" t="n">
        <v>528</v>
      </c>
      <c r="GZ22" s="699" t="n">
        <v>513</v>
      </c>
      <c r="HA22" s="699" t="n">
        <v>0</v>
      </c>
      <c r="HB22" s="699" t="n">
        <v>0</v>
      </c>
      <c r="HC22" s="699" t="n">
        <v>0</v>
      </c>
      <c r="HD22" s="699" t="n">
        <v>0</v>
      </c>
      <c r="HE22" s="699" t="n">
        <v>0</v>
      </c>
      <c r="HF22" s="699" t="n">
        <v>0</v>
      </c>
      <c r="HG22" s="699" t="n">
        <v>0</v>
      </c>
      <c r="HH22" s="699" t="n">
        <v>0</v>
      </c>
      <c r="HI22" s="303" t="n">
        <v>0</v>
      </c>
      <c r="HK22" s="819" t="n"/>
      <c r="HL22" s="745" t="n"/>
      <c r="HM22" s="745" t="n"/>
      <c r="HN22" s="745" t="n"/>
      <c r="HO22" s="745" t="n"/>
      <c r="HP22" s="745" t="n"/>
      <c r="HQ22" s="745" t="n"/>
      <c r="HR22" s="745" t="n"/>
      <c r="HS22" s="745" t="n"/>
      <c r="HT22" s="745" t="n"/>
      <c r="HV22" s="819" t="n"/>
      <c r="HW22" s="745" t="n"/>
      <c r="HX22" s="745" t="n"/>
      <c r="HY22" s="745" t="n"/>
      <c r="HZ22" s="745" t="n"/>
      <c r="IA22" s="745" t="n"/>
      <c r="IB22" s="745" t="n"/>
      <c r="IC22" s="745" t="n"/>
      <c r="ID22" s="745" t="n"/>
      <c r="IE22" s="745" t="n"/>
      <c r="IF22" s="745" t="n"/>
      <c r="IH22" s="37" t="inlineStr">
        <is>
          <t>KIT PAPEL SEDA 10 PC C/ 20</t>
        </is>
      </c>
      <c r="II22" s="208" t="n">
        <v>200</v>
      </c>
      <c r="IJ22" s="699" t="n">
        <v>0</v>
      </c>
      <c r="IK22" s="699">
        <f>DS22</f>
        <v/>
      </c>
      <c r="IL22" s="699" t="n"/>
      <c r="IM22" s="445" t="n"/>
    </row>
    <row r="23" ht="18.75" customFormat="1" customHeight="1" s="3">
      <c r="A23" s="37" t="inlineStr">
        <is>
          <t>KIT SACOLA P VERDE (KIT C/ 10)</t>
        </is>
      </c>
      <c r="B23" s="699" t="n">
        <v>200</v>
      </c>
      <c r="C23" s="762" t="n">
        <v>184.08</v>
      </c>
      <c r="D23" s="382" t="n">
        <v>20</v>
      </c>
      <c r="E23" s="2" t="n"/>
      <c r="F23" s="697">
        <f>15+GL23</f>
        <v/>
      </c>
      <c r="G23" s="697" t="n">
        <v>53</v>
      </c>
      <c r="H23" s="697" t="n">
        <v>47</v>
      </c>
      <c r="I23" s="697" t="n">
        <v>47</v>
      </c>
      <c r="J23" s="697" t="n">
        <v>44</v>
      </c>
      <c r="K23" s="697" t="n">
        <v>44</v>
      </c>
      <c r="L23" s="697" t="n">
        <v>43</v>
      </c>
      <c r="M23" s="697" t="n">
        <v>40</v>
      </c>
      <c r="N23" s="697" t="n">
        <v>35</v>
      </c>
      <c r="O23" s="697" t="n">
        <v>30</v>
      </c>
      <c r="P23" s="697">
        <f>29+FX23</f>
        <v/>
      </c>
      <c r="Q23" s="697" t="n">
        <v>68</v>
      </c>
      <c r="R23" s="697" t="n">
        <v>57</v>
      </c>
      <c r="S23" s="697">
        <f>57+FV23</f>
        <v/>
      </c>
      <c r="T23" s="697" t="n">
        <v>155</v>
      </c>
      <c r="U23" s="697" t="n">
        <v>149</v>
      </c>
      <c r="V23" s="697" t="n">
        <v>148</v>
      </c>
      <c r="W23" s="697" t="n">
        <v>148</v>
      </c>
      <c r="X23" s="697" t="n">
        <v>145</v>
      </c>
      <c r="Y23" s="697" t="n">
        <v>137</v>
      </c>
      <c r="Z23" s="697" t="n">
        <v>136</v>
      </c>
      <c r="AA23" s="697" t="n">
        <v>134</v>
      </c>
      <c r="AB23" s="697" t="n">
        <v>134</v>
      </c>
      <c r="AC23" s="697" t="n">
        <v>132</v>
      </c>
      <c r="AD23" s="697" t="n">
        <v>126</v>
      </c>
      <c r="AE23" s="697">
        <f>119-41</f>
        <v/>
      </c>
      <c r="AF23" s="697" t="n">
        <v>78</v>
      </c>
      <c r="AG23" s="697" t="n">
        <v>78</v>
      </c>
      <c r="AH23" s="697" t="n">
        <v>77</v>
      </c>
      <c r="AI23" s="697" t="n">
        <v>77</v>
      </c>
      <c r="AJ23" s="697" t="n">
        <v>77</v>
      </c>
      <c r="AK23" s="697" t="n">
        <v>77</v>
      </c>
      <c r="AL23" s="697" t="n">
        <v>70</v>
      </c>
      <c r="AM23" s="697" t="n">
        <v>70</v>
      </c>
      <c r="AN23" s="697" t="n">
        <v>70</v>
      </c>
      <c r="AO23" s="697" t="n">
        <v>68</v>
      </c>
      <c r="AP23" s="697" t="n">
        <v>66</v>
      </c>
      <c r="AQ23" s="697" t="n">
        <v>66</v>
      </c>
      <c r="AR23" s="697" t="n">
        <v>65</v>
      </c>
      <c r="AS23" s="697" t="n">
        <v>62</v>
      </c>
      <c r="AT23" s="697" t="n">
        <v>60</v>
      </c>
      <c r="AU23" s="697" t="n">
        <v>59</v>
      </c>
      <c r="AV23" s="697" t="n">
        <v>59</v>
      </c>
      <c r="AW23" s="697" t="n">
        <v>59</v>
      </c>
      <c r="AX23" s="697" t="n">
        <v>58</v>
      </c>
      <c r="AY23" s="697" t="n">
        <v>54</v>
      </c>
      <c r="AZ23" s="697" t="n">
        <v>53</v>
      </c>
      <c r="BA23" s="697" t="n">
        <v>50</v>
      </c>
      <c r="BB23" s="697" t="n">
        <v>49</v>
      </c>
      <c r="BC23" s="697" t="n">
        <v>44</v>
      </c>
      <c r="BD23" s="697" t="n">
        <v>32</v>
      </c>
      <c r="BE23" s="697" t="n">
        <v>31</v>
      </c>
      <c r="BF23" s="697" t="n">
        <v>31</v>
      </c>
      <c r="BG23" s="697" t="n">
        <v>28</v>
      </c>
      <c r="BH23" s="697" t="n">
        <v>27</v>
      </c>
      <c r="BI23" s="697" t="n">
        <v>26</v>
      </c>
      <c r="BJ23" s="697" t="n">
        <v>25</v>
      </c>
      <c r="BK23" s="697" t="n">
        <v>23</v>
      </c>
      <c r="BL23" s="697" t="n">
        <v>22</v>
      </c>
      <c r="BM23" s="697" t="n">
        <v>20</v>
      </c>
      <c r="BN23" s="697" t="n">
        <v>20</v>
      </c>
      <c r="BO23" s="697" t="n">
        <v>18</v>
      </c>
      <c r="BP23" s="697" t="n">
        <v>17</v>
      </c>
      <c r="BQ23" s="697" t="n">
        <v>16</v>
      </c>
      <c r="BR23" s="697" t="n">
        <v>16</v>
      </c>
      <c r="BS23" s="697" t="n"/>
      <c r="BT23" s="697" t="n"/>
      <c r="BU23" s="697" t="n"/>
      <c r="BV23" s="697" t="n"/>
      <c r="BW23" s="697" t="n"/>
      <c r="BX23" s="697" t="n">
        <v>1</v>
      </c>
      <c r="BY23" s="192">
        <f>BW23+IF(NOT(ISBLANK(OFFSET(BY23,0,6))),N(OFFSET(BY23,0,6)),N(OFFSET(BY23,0,7)))-BX23</f>
        <v/>
      </c>
      <c r="BZ23" s="72" t="n"/>
      <c r="CA23" s="22" t="inlineStr">
        <is>
          <t>CONSUMO</t>
        </is>
      </c>
      <c r="CB23" s="22" t="n"/>
      <c r="CC23" s="5" t="n"/>
      <c r="CD23" s="27" t="n">
        <v>200</v>
      </c>
      <c r="CE23" s="2" t="n"/>
      <c r="CF23" s="23" t="n">
        <v>0</v>
      </c>
      <c r="CG23" s="23" t="n">
        <v>0</v>
      </c>
      <c r="CH23" s="23" t="n">
        <v>0</v>
      </c>
      <c r="CI23" s="23" t="n"/>
      <c r="CJ23" s="23" t="n"/>
      <c r="CK23" s="23" t="n"/>
      <c r="CL23" s="23" t="n"/>
      <c r="CM23" s="23" t="n"/>
      <c r="CN23" s="23" t="n"/>
      <c r="CO23" s="23" t="n"/>
      <c r="CP23" s="23" t="n"/>
      <c r="CQ23" s="23" t="n"/>
      <c r="CR23" s="23" t="n"/>
      <c r="CS23" s="23" t="n"/>
      <c r="CT23" s="23" t="n"/>
      <c r="CU23" s="23" t="n"/>
      <c r="CV23" s="23" t="n"/>
      <c r="CW23" s="23" t="n"/>
      <c r="CX23" s="23" t="n"/>
      <c r="CY23" s="23" t="n"/>
      <c r="CZ23" s="23" t="n"/>
      <c r="DA23" s="23" t="n"/>
      <c r="DB23" s="23" t="n"/>
      <c r="DC23" s="23" t="n"/>
      <c r="DD23" s="23" t="n"/>
      <c r="DE23" s="23" t="n"/>
      <c r="DF23" s="23" t="n"/>
      <c r="DG23" s="23" t="n"/>
      <c r="DH23" s="23" t="n"/>
      <c r="DI23" s="23" t="n"/>
      <c r="DJ23" s="23" t="n"/>
      <c r="DK23" s="219" t="n"/>
      <c r="DL23" s="23" t="n"/>
      <c r="DM23" s="23" t="n"/>
      <c r="DN23" s="23" t="n"/>
      <c r="DO23" s="23" t="n"/>
      <c r="DP23" s="23" t="n"/>
      <c r="DQ23" s="23" t="n"/>
      <c r="DR23" s="23" t="n"/>
      <c r="DS23" s="219" t="n"/>
      <c r="DT23" s="23" t="n"/>
      <c r="DU23" s="23" t="n"/>
      <c r="DV23" s="23" t="n"/>
      <c r="DW23" s="23" t="n"/>
      <c r="DX23" s="23" t="n"/>
      <c r="DY23" s="23" t="n"/>
      <c r="DZ23" s="23" t="n"/>
      <c r="EA23" s="23" t="n"/>
      <c r="EB23" s="23" t="n"/>
      <c r="EC23" s="23" t="n"/>
      <c r="ED23" s="23" t="n"/>
      <c r="EE23" s="23" t="n"/>
      <c r="EF23" s="23" t="n"/>
      <c r="EG23" s="23" t="n"/>
      <c r="EH23" s="23" t="n"/>
      <c r="EI23" s="23" t="n"/>
      <c r="EJ23" s="23" t="n"/>
      <c r="EK23" s="23" t="n"/>
      <c r="EL23" s="23" t="n"/>
      <c r="EM23" s="23" t="n"/>
      <c r="EN23" s="23" t="n"/>
      <c r="EO23" s="23" t="n"/>
      <c r="EP23" s="23" t="n"/>
      <c r="EQ23" s="23" t="n"/>
      <c r="ER23" s="23" t="n"/>
      <c r="ES23" s="292" t="inlineStr">
        <is>
          <t>100 P/ CD</t>
        </is>
      </c>
      <c r="ET23" s="23" t="n"/>
      <c r="EU23" s="23" t="n"/>
      <c r="EV23" s="219" t="n">
        <v>200</v>
      </c>
      <c r="EW23" s="282" t="inlineStr">
        <is>
          <t>41 P/ CDB</t>
        </is>
      </c>
      <c r="EX23" s="23" t="n"/>
      <c r="EY23" s="23" t="n"/>
      <c r="EZ23" s="23" t="n"/>
      <c r="FA23" s="23" t="n"/>
      <c r="FB23" s="23" t="n"/>
      <c r="FC23" s="23" t="n"/>
      <c r="FD23" s="23" t="n"/>
      <c r="FE23" s="23" t="n"/>
      <c r="FF23" s="23" t="n"/>
      <c r="FG23" s="376" t="inlineStr">
        <is>
          <t>50 P/ CDB</t>
        </is>
      </c>
      <c r="FH23" s="23" t="n"/>
      <c r="FI23" s="219" t="n">
        <v>100</v>
      </c>
      <c r="FJ23" s="23" t="n"/>
      <c r="FK23" s="23" t="n"/>
      <c r="FL23" s="23" t="n"/>
      <c r="FM23" s="23" t="n"/>
      <c r="FN23" s="23" t="n"/>
      <c r="FO23" s="23" t="n"/>
      <c r="FP23" s="23" t="n"/>
      <c r="FQ23" s="23" t="n"/>
      <c r="FR23" s="23" t="n"/>
      <c r="FS23" s="23" t="n"/>
      <c r="FT23" s="23" t="n"/>
      <c r="FU23" s="23" t="n"/>
      <c r="FV23" s="23" t="n">
        <v>100</v>
      </c>
      <c r="FW23" s="219" t="n"/>
      <c r="FX23" s="23" t="n">
        <v>40</v>
      </c>
      <c r="FY23" s="219" t="n">
        <v>200</v>
      </c>
      <c r="FZ23" s="23" t="n"/>
      <c r="GA23" s="23" t="n"/>
      <c r="GB23" s="23" t="n"/>
      <c r="GC23" s="23" t="n"/>
      <c r="GD23" s="23" t="n"/>
      <c r="GE23" s="23" t="n"/>
      <c r="GF23" s="23" t="n"/>
      <c r="GG23" s="23" t="n"/>
      <c r="GH23" s="23" t="n"/>
      <c r="GI23" s="23" t="n"/>
      <c r="GJ23" s="23" t="n"/>
      <c r="GK23" s="23" t="n"/>
      <c r="GL23" s="23" t="n">
        <v>40</v>
      </c>
      <c r="GM23" s="23" t="n"/>
      <c r="GN23" s="23" t="n"/>
      <c r="GP23" s="65" t="inlineStr">
        <is>
          <t>SACOLA M</t>
        </is>
      </c>
      <c r="GQ23" s="208" t="n">
        <v>200</v>
      </c>
      <c r="GR23" s="699">
        <f>FY23</f>
        <v/>
      </c>
      <c r="GS23" s="699" t="n">
        <v>166</v>
      </c>
      <c r="GT23" s="699" t="n">
        <v>96</v>
      </c>
      <c r="GU23" s="699" t="n">
        <v>70</v>
      </c>
      <c r="GV23" s="699" t="n">
        <v>70</v>
      </c>
      <c r="GW23" s="699" t="n">
        <v>60</v>
      </c>
      <c r="GX23" s="699" t="n">
        <v>59</v>
      </c>
      <c r="GY23" s="699" t="n">
        <v>55</v>
      </c>
      <c r="GZ23" s="699" t="n">
        <v>44</v>
      </c>
      <c r="HA23" s="699" t="n">
        <v>0</v>
      </c>
      <c r="HB23" s="699" t="n">
        <v>0</v>
      </c>
      <c r="HC23" s="699" t="n">
        <v>0</v>
      </c>
      <c r="HD23" s="699" t="n">
        <v>0</v>
      </c>
      <c r="HE23" s="699" t="n">
        <v>0</v>
      </c>
      <c r="HF23" s="699" t="n">
        <v>0</v>
      </c>
      <c r="HG23" s="699" t="n">
        <v>0</v>
      </c>
      <c r="HH23" s="699" t="n">
        <v>0</v>
      </c>
      <c r="HI23" s="303" t="n">
        <v>0</v>
      </c>
      <c r="HK23" s="65" t="inlineStr">
        <is>
          <t>SACOLA M</t>
        </is>
      </c>
      <c r="HL23" s="208" t="n">
        <v>200</v>
      </c>
      <c r="HM23" s="699">
        <f>FI23-50</f>
        <v/>
      </c>
      <c r="HN23" s="699" t="n">
        <v>49</v>
      </c>
      <c r="HO23" s="699" t="n">
        <v>42</v>
      </c>
      <c r="HP23" s="699" t="n">
        <v>14</v>
      </c>
      <c r="HQ23" s="699" t="n">
        <v>6</v>
      </c>
      <c r="HR23" s="699" t="n">
        <v>3</v>
      </c>
      <c r="HS23" s="699" t="n">
        <v>0</v>
      </c>
      <c r="HT23" s="369">
        <f>HR23-HS23</f>
        <v/>
      </c>
      <c r="HV23" s="65" t="inlineStr">
        <is>
          <t>SACOLA M</t>
        </is>
      </c>
      <c r="HW23" s="208" t="n">
        <v>200</v>
      </c>
      <c r="HX23" s="699">
        <f>EV23</f>
        <v/>
      </c>
      <c r="HY23" s="699">
        <f>200-100</f>
        <v/>
      </c>
      <c r="HZ23" s="699" t="n">
        <v>100</v>
      </c>
      <c r="IA23" s="699" t="n">
        <v>93</v>
      </c>
      <c r="IB23" s="699" t="n">
        <v>91</v>
      </c>
      <c r="IC23" s="699" t="n">
        <v>70</v>
      </c>
      <c r="ID23" s="699" t="n">
        <v>70</v>
      </c>
      <c r="IE23" s="699" t="n"/>
      <c r="IF23" s="412">
        <f>ID23-IE23</f>
        <v/>
      </c>
    </row>
    <row r="24" ht="18.75" customFormat="1" customHeight="1" s="3">
      <c r="A24" s="37" t="inlineStr">
        <is>
          <t>KIT SACOLA M VERDE (KIT C/ 10)</t>
        </is>
      </c>
      <c r="B24" s="699" t="n">
        <v>150</v>
      </c>
      <c r="C24" s="762" t="n">
        <v>181.31</v>
      </c>
      <c r="D24" s="382" t="n">
        <v>15</v>
      </c>
      <c r="E24" s="2" t="n"/>
      <c r="F24" s="697" t="n">
        <v>23</v>
      </c>
      <c r="G24" s="697">
        <f>23+GK24</f>
        <v/>
      </c>
      <c r="H24" s="697" t="n">
        <v>38</v>
      </c>
      <c r="I24" s="697" t="n">
        <v>38</v>
      </c>
      <c r="J24" s="697" t="n">
        <v>37</v>
      </c>
      <c r="K24" s="697" t="n">
        <v>35</v>
      </c>
      <c r="L24" s="697" t="n">
        <v>34</v>
      </c>
      <c r="M24" s="697" t="n">
        <v>33</v>
      </c>
      <c r="N24" s="697" t="n">
        <v>33</v>
      </c>
      <c r="O24" s="697" t="n">
        <v>33</v>
      </c>
      <c r="P24" s="697" t="n">
        <v>32</v>
      </c>
      <c r="Q24" s="697" t="n">
        <v>31</v>
      </c>
      <c r="R24" s="697" t="n">
        <v>30</v>
      </c>
      <c r="S24" s="697" t="n">
        <v>30</v>
      </c>
      <c r="T24" s="697" t="n">
        <v>30</v>
      </c>
      <c r="U24" s="697" t="n">
        <v>30</v>
      </c>
      <c r="V24" s="697" t="n">
        <v>29</v>
      </c>
      <c r="W24" s="697" t="n">
        <v>29</v>
      </c>
      <c r="X24" s="697" t="n">
        <v>29</v>
      </c>
      <c r="Y24" s="697" t="n">
        <v>26</v>
      </c>
      <c r="Z24" s="697" t="n">
        <v>26</v>
      </c>
      <c r="AA24" s="697" t="n">
        <v>23</v>
      </c>
      <c r="AB24" s="697" t="n">
        <v>23</v>
      </c>
      <c r="AC24" s="697" t="n">
        <v>23</v>
      </c>
      <c r="AD24" s="697" t="n">
        <v>20</v>
      </c>
      <c r="AE24" s="697" t="n">
        <v>20</v>
      </c>
      <c r="AF24" s="697" t="n">
        <v>20</v>
      </c>
      <c r="AG24" s="697" t="n">
        <v>20</v>
      </c>
      <c r="AH24" s="697" t="n">
        <v>20</v>
      </c>
      <c r="AI24" s="697" t="n">
        <v>18</v>
      </c>
      <c r="AJ24" s="697" t="n">
        <v>18</v>
      </c>
      <c r="AK24" s="697" t="n">
        <v>18</v>
      </c>
      <c r="AL24" s="697" t="n">
        <v>15</v>
      </c>
      <c r="AM24" s="697" t="n">
        <v>14</v>
      </c>
      <c r="AN24" s="697" t="n">
        <v>13</v>
      </c>
      <c r="AO24" s="697" t="n">
        <v>13</v>
      </c>
      <c r="AP24" s="697" t="n">
        <v>12</v>
      </c>
      <c r="AQ24" s="697" t="n">
        <v>12</v>
      </c>
      <c r="AR24" s="697" t="n">
        <v>12</v>
      </c>
      <c r="AS24" s="697" t="n">
        <v>12</v>
      </c>
      <c r="AT24" s="697" t="n">
        <v>11</v>
      </c>
      <c r="AU24" s="697" t="n">
        <v>11</v>
      </c>
      <c r="AV24" s="697" t="n">
        <v>9</v>
      </c>
      <c r="AW24" s="697" t="n">
        <v>9</v>
      </c>
      <c r="AX24" s="697" t="n">
        <v>6</v>
      </c>
      <c r="AY24" s="697" t="n">
        <v>2</v>
      </c>
      <c r="AZ24" s="697" t="n">
        <v>2</v>
      </c>
      <c r="BA24" s="697" t="n">
        <v>2</v>
      </c>
      <c r="BB24" s="697" t="n">
        <v>2</v>
      </c>
      <c r="BC24" s="697" t="n">
        <v>2</v>
      </c>
      <c r="BD24" s="697" t="n">
        <v>0</v>
      </c>
      <c r="BE24" s="697" t="n">
        <v>0</v>
      </c>
      <c r="BF24" s="697" t="n">
        <v>0</v>
      </c>
      <c r="BG24" s="697" t="n">
        <v>0</v>
      </c>
      <c r="BH24" s="697" t="n">
        <v>0</v>
      </c>
      <c r="BI24" s="697" t="n">
        <v>0</v>
      </c>
      <c r="BJ24" s="697" t="n">
        <v>0</v>
      </c>
      <c r="BK24" s="697" t="n">
        <v>0</v>
      </c>
      <c r="BL24" s="697" t="n">
        <v>0</v>
      </c>
      <c r="BM24" s="697" t="n">
        <v>0</v>
      </c>
      <c r="BN24" s="697" t="n">
        <v>0</v>
      </c>
      <c r="BO24" s="697" t="n">
        <v>0</v>
      </c>
      <c r="BP24" s="697" t="n">
        <v>0</v>
      </c>
      <c r="BQ24" s="697" t="n">
        <v>0</v>
      </c>
      <c r="BR24" s="697" t="n">
        <v>0</v>
      </c>
      <c r="BS24" s="697" t="n"/>
      <c r="BT24" s="697" t="n"/>
      <c r="BU24" s="697" t="n"/>
      <c r="BV24" s="697" t="n"/>
      <c r="BW24" s="697" t="n"/>
      <c r="BX24" s="697" t="n">
        <v>0</v>
      </c>
      <c r="BY24" s="192">
        <f>BW24+IF(NOT(ISBLANK(OFFSET(BY24,0,6))),N(OFFSET(BY24,0,6)),N(OFFSET(BY24,0,7)))-BX24</f>
        <v/>
      </c>
      <c r="BZ24" s="72" t="n"/>
      <c r="CA24" s="22" t="n"/>
      <c r="CB24" s="22" t="n"/>
      <c r="CC24" s="5" t="n"/>
      <c r="CD24" s="27" t="n">
        <v>200</v>
      </c>
      <c r="CE24" s="2" t="n"/>
      <c r="CF24" s="23" t="n">
        <v>0</v>
      </c>
      <c r="CG24" s="23" t="n">
        <v>0</v>
      </c>
      <c r="CH24" s="23" t="n">
        <v>0</v>
      </c>
      <c r="CI24" s="23" t="n"/>
      <c r="CJ24" s="23" t="n"/>
      <c r="CK24" s="23" t="n"/>
      <c r="CL24" s="23" t="n"/>
      <c r="CM24" s="467" t="n">
        <v>300</v>
      </c>
      <c r="CN24" s="23" t="n"/>
      <c r="CO24" s="23" t="n"/>
      <c r="CP24" s="23" t="n"/>
      <c r="CQ24" s="23" t="n"/>
      <c r="CR24" s="23" t="n"/>
      <c r="CS24" s="23" t="n"/>
      <c r="CT24" s="23" t="n"/>
      <c r="CU24" s="23" t="n"/>
      <c r="CV24" s="23" t="n"/>
      <c r="CW24" s="23" t="n"/>
      <c r="CX24" s="23" t="n"/>
      <c r="CY24" s="23" t="n"/>
      <c r="CZ24" s="23" t="n"/>
      <c r="DA24" s="23" t="n"/>
      <c r="DB24" s="23" t="n"/>
      <c r="DC24" s="23" t="n"/>
      <c r="DD24" s="23" t="n"/>
      <c r="DE24" s="23" t="n"/>
      <c r="DF24" s="23" t="n"/>
      <c r="DG24" s="23" t="n"/>
      <c r="DH24" s="23" t="n"/>
      <c r="DI24" s="23" t="n"/>
      <c r="DJ24" s="23" t="n"/>
      <c r="DK24" s="219" t="n"/>
      <c r="DL24" s="23" t="n"/>
      <c r="DM24" s="23" t="n"/>
      <c r="DN24" s="23" t="n"/>
      <c r="DO24" s="23" t="n"/>
      <c r="DP24" s="23" t="n"/>
      <c r="DQ24" s="23" t="n"/>
      <c r="DR24" s="23" t="n"/>
      <c r="DS24" s="219" t="n"/>
      <c r="DT24" s="23" t="n"/>
      <c r="DU24" s="23" t="n"/>
      <c r="DV24" s="23" t="n"/>
      <c r="DW24" s="23" t="n"/>
      <c r="DX24" s="23" t="n"/>
      <c r="DY24" s="23" t="n"/>
      <c r="DZ24" s="23" t="n"/>
      <c r="EA24" s="23" t="n"/>
      <c r="EB24" s="23" t="n"/>
      <c r="EC24" s="23" t="n"/>
      <c r="ED24" s="23" t="n"/>
      <c r="EE24" s="23" t="n"/>
      <c r="EF24" s="23" t="n"/>
      <c r="EG24" s="23" t="n"/>
      <c r="EH24" s="23" t="n"/>
      <c r="EI24" s="23" t="n"/>
      <c r="EJ24" s="23" t="n"/>
      <c r="EK24" s="23" t="n"/>
      <c r="EL24" s="23" t="n"/>
      <c r="EM24" s="23" t="n"/>
      <c r="EN24" s="23" t="n"/>
      <c r="EO24" s="23" t="n"/>
      <c r="EP24" s="23" t="n"/>
      <c r="EQ24" s="23" t="n"/>
      <c r="ER24" s="23" t="n"/>
      <c r="ES24" s="23" t="n"/>
      <c r="ET24" s="23" t="n"/>
      <c r="EU24" s="23" t="n"/>
      <c r="EV24" s="23" t="n"/>
      <c r="EW24" s="23" t="n"/>
      <c r="EX24" s="23" t="n"/>
      <c r="EY24" s="23" t="n"/>
      <c r="EZ24" s="23" t="n"/>
      <c r="FA24" s="23" t="n"/>
      <c r="FB24" s="23" t="n"/>
      <c r="FC24" s="23" t="n"/>
      <c r="FD24" s="23" t="n"/>
      <c r="FE24" s="23" t="n"/>
      <c r="FF24" s="23" t="n"/>
      <c r="FG24" s="376" t="inlineStr">
        <is>
          <t>10 P/ CDB</t>
        </is>
      </c>
      <c r="FH24" s="23" t="n"/>
      <c r="FI24" s="219" t="n">
        <v>30</v>
      </c>
      <c r="FJ24" s="23" t="n"/>
      <c r="FK24" s="23" t="n"/>
      <c r="FL24" s="23" t="n"/>
      <c r="FM24" s="23" t="n"/>
      <c r="FN24" s="23" t="n"/>
      <c r="FO24" s="23" t="n"/>
      <c r="FP24" s="23" t="n"/>
      <c r="FQ24" s="23" t="n"/>
      <c r="FR24" s="23" t="n"/>
      <c r="FS24" s="23" t="n"/>
      <c r="FT24" s="23" t="n"/>
      <c r="FU24" s="23" t="n"/>
      <c r="FV24" s="23" t="n"/>
      <c r="FW24" s="219" t="n"/>
      <c r="FX24" s="23" t="n"/>
      <c r="FY24" s="219" t="n"/>
      <c r="FZ24" s="23" t="n"/>
      <c r="GA24" s="23" t="n"/>
      <c r="GB24" s="23" t="n"/>
      <c r="GC24" s="23" t="n"/>
      <c r="GD24" s="23" t="n"/>
      <c r="GE24" s="23" t="n"/>
      <c r="GF24" s="23" t="n"/>
      <c r="GG24" s="23" t="n"/>
      <c r="GH24" s="23" t="n"/>
      <c r="GI24" s="23" t="n"/>
      <c r="GJ24" s="23" t="n"/>
      <c r="GK24" s="23" t="n">
        <v>15</v>
      </c>
      <c r="GL24" s="23" t="n"/>
      <c r="GM24" s="23" t="n"/>
      <c r="GN24" s="23" t="n"/>
      <c r="GP24" s="66" t="inlineStr">
        <is>
          <t>SACOLA G</t>
        </is>
      </c>
      <c r="GQ24" s="208" t="n">
        <v>100</v>
      </c>
      <c r="GR24" s="699">
        <f>GA24</f>
        <v/>
      </c>
      <c r="GS24" s="699" t="n">
        <v>0</v>
      </c>
      <c r="GT24" s="699" t="n">
        <v>0</v>
      </c>
      <c r="GU24" s="699" t="n">
        <v>0</v>
      </c>
      <c r="GV24" s="699" t="n">
        <v>0</v>
      </c>
      <c r="GW24" s="699" t="n">
        <v>0</v>
      </c>
      <c r="GX24" s="699" t="n">
        <v>0</v>
      </c>
      <c r="GY24" s="699" t="n">
        <v>0</v>
      </c>
      <c r="GZ24" s="699" t="n">
        <v>0</v>
      </c>
      <c r="HA24" s="699" t="n">
        <v>0</v>
      </c>
      <c r="HB24" s="699" t="n">
        <v>0</v>
      </c>
      <c r="HC24" s="699" t="n">
        <v>0</v>
      </c>
      <c r="HD24" s="699" t="n">
        <v>0</v>
      </c>
      <c r="HE24" s="699" t="n">
        <v>0</v>
      </c>
      <c r="HF24" s="699" t="n">
        <v>0</v>
      </c>
      <c r="HG24" s="699" t="n">
        <v>0</v>
      </c>
      <c r="HH24" s="699" t="n">
        <v>0</v>
      </c>
      <c r="HI24" s="303" t="n">
        <v>0</v>
      </c>
      <c r="HK24" s="66" t="inlineStr">
        <is>
          <t>SACOLA G</t>
        </is>
      </c>
      <c r="HL24" s="208" t="n">
        <v>100</v>
      </c>
      <c r="HM24" s="699">
        <f>FI24-10</f>
        <v/>
      </c>
      <c r="HN24" s="699" t="n">
        <v>17</v>
      </c>
      <c r="HO24" s="699" t="n">
        <v>10</v>
      </c>
      <c r="HP24" s="699" t="n">
        <v>0</v>
      </c>
      <c r="HQ24" s="699" t="n">
        <v>0</v>
      </c>
      <c r="HR24" s="699" t="n">
        <v>0</v>
      </c>
      <c r="HS24" s="699" t="n">
        <v>0</v>
      </c>
      <c r="HT24" s="369">
        <f>HR24-HS24</f>
        <v/>
      </c>
      <c r="HV24" s="35" t="n"/>
      <c r="IH24" s="35" t="n"/>
    </row>
    <row r="25" ht="19.5" customFormat="1" customHeight="1" s="3">
      <c r="A25" s="35" t="n"/>
      <c r="B25" s="2" t="n"/>
      <c r="C25" s="2" t="n"/>
      <c r="E25" s="5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  <c r="AA25" s="4" t="n"/>
      <c r="AB25" s="4" t="n"/>
      <c r="AC25" s="4" t="n"/>
      <c r="AD25" s="4" t="n"/>
      <c r="AE25" s="4" t="n"/>
      <c r="AF25" s="4" t="n"/>
      <c r="AG25" s="4" t="n"/>
      <c r="AH25" s="4" t="n"/>
      <c r="AI25" s="4" t="n"/>
      <c r="AJ25" s="4" t="n"/>
      <c r="AK25" s="4" t="n"/>
      <c r="AL25" s="4" t="n"/>
      <c r="AM25" s="4" t="n"/>
      <c r="AN25" s="4" t="n"/>
      <c r="AO25" s="4" t="n"/>
      <c r="AP25" s="4" t="n"/>
      <c r="AQ25" s="4" t="n"/>
      <c r="AR25" s="4" t="n"/>
      <c r="AS25" s="4" t="n"/>
      <c r="AT25" s="4" t="n"/>
      <c r="AU25" s="4" t="n"/>
      <c r="AV25" s="4" t="n"/>
      <c r="AW25" s="4" t="n"/>
      <c r="AX25" s="4" t="n"/>
      <c r="AY25" s="4" t="n"/>
      <c r="AZ25" s="4" t="n"/>
      <c r="BA25" s="4" t="n"/>
      <c r="BB25" s="4" t="n"/>
      <c r="BC25" s="4" t="n"/>
      <c r="BD25" s="4" t="n"/>
      <c r="BE25" s="4" t="n"/>
      <c r="BF25" s="4" t="n"/>
      <c r="BG25" s="4" t="n"/>
      <c r="BH25" s="4" t="n"/>
      <c r="BI25" s="4" t="n"/>
      <c r="BJ25" s="4" t="n"/>
      <c r="BK25" s="4" t="n"/>
      <c r="BL25" s="4" t="n"/>
      <c r="BM25" s="4" t="n"/>
      <c r="BN25" s="4" t="n"/>
      <c r="BO25" s="4" t="n"/>
      <c r="BP25" s="4" t="n"/>
      <c r="BQ25" s="4" t="n"/>
      <c r="BR25" s="4" t="n"/>
      <c r="BS25" s="4" t="n"/>
      <c r="BT25" s="4" t="n"/>
      <c r="BU25" s="4" t="n"/>
      <c r="BV25" s="4" t="n"/>
      <c r="BW25" s="4" t="n"/>
      <c r="BX25" s="4" t="n"/>
      <c r="BY25" s="16" t="n"/>
      <c r="BZ25" s="5" t="n"/>
      <c r="CA25" s="16" t="n"/>
      <c r="CB25" s="16" t="n"/>
      <c r="CC25" s="5" t="n"/>
      <c r="CD25" s="4" t="n"/>
      <c r="CE25" s="5" t="n"/>
      <c r="CF25" s="20" t="n"/>
      <c r="CG25" s="20" t="n"/>
      <c r="CH25" s="20" t="n"/>
      <c r="CI25" s="20" t="n"/>
      <c r="CJ25" s="20" t="n"/>
      <c r="CK25" s="20" t="n"/>
      <c r="CL25" s="20" t="n"/>
      <c r="CM25" s="20" t="n"/>
      <c r="CN25" s="20" t="n"/>
      <c r="CO25" s="20" t="n"/>
      <c r="CP25" s="20" t="n"/>
      <c r="CQ25" s="20" t="n"/>
      <c r="CR25" s="20" t="n"/>
      <c r="CS25" s="20" t="n"/>
      <c r="CT25" s="20" t="n"/>
      <c r="CU25" s="20" t="n"/>
      <c r="CV25" s="20" t="n"/>
      <c r="CW25" s="20" t="n"/>
      <c r="CX25" s="20" t="n"/>
      <c r="CY25" s="20" t="n"/>
      <c r="CZ25" s="20" t="n"/>
      <c r="DA25" s="20" t="n"/>
      <c r="DB25" s="20" t="n"/>
      <c r="DC25" s="20" t="n"/>
      <c r="DD25" s="20" t="n"/>
      <c r="DE25" s="20" t="n"/>
      <c r="DF25" s="20" t="n"/>
      <c r="DG25" s="20" t="n"/>
      <c r="DH25" s="20" t="n"/>
      <c r="DI25" s="20" t="n"/>
      <c r="DJ25" s="20" t="n"/>
      <c r="DK25" s="308" t="n"/>
      <c r="DL25" s="20" t="n"/>
      <c r="DM25" s="20" t="n"/>
      <c r="DN25" s="20" t="n"/>
      <c r="DO25" s="20" t="n"/>
      <c r="DP25" s="20" t="n"/>
      <c r="DQ25" s="20" t="n"/>
      <c r="DR25" s="20" t="n"/>
      <c r="DS25" s="20" t="n"/>
      <c r="DT25" s="20" t="n"/>
      <c r="DU25" s="20" t="n"/>
      <c r="DV25" s="20" t="n"/>
      <c r="DW25" s="20" t="n"/>
      <c r="DX25" s="20" t="n"/>
      <c r="DY25" s="20" t="n"/>
      <c r="DZ25" s="20" t="n"/>
      <c r="EA25" s="20" t="n"/>
      <c r="EB25" s="20" t="n"/>
      <c r="EC25" s="20" t="n"/>
      <c r="ED25" s="20" t="n"/>
      <c r="EE25" s="20" t="n"/>
      <c r="EF25" s="20" t="n"/>
      <c r="EG25" s="20" t="n"/>
      <c r="EH25" s="20" t="n"/>
      <c r="EI25" s="20" t="n"/>
      <c r="EJ25" s="20" t="n"/>
      <c r="EK25" s="20" t="n"/>
      <c r="EL25" s="20" t="n"/>
      <c r="EM25" s="20" t="n"/>
      <c r="EN25" s="20" t="n"/>
      <c r="EO25" s="20" t="n"/>
      <c r="EP25" s="20" t="n"/>
      <c r="EQ25" s="20" t="n"/>
      <c r="ER25" s="20" t="n"/>
      <c r="ES25" s="20" t="n"/>
      <c r="ET25" s="20" t="n"/>
      <c r="EU25" s="20" t="n"/>
      <c r="EV25" s="20" t="n"/>
      <c r="EW25" s="20" t="n"/>
      <c r="EX25" s="20" t="n"/>
      <c r="EY25" s="20" t="n"/>
      <c r="EZ25" s="20" t="n"/>
      <c r="FA25" s="20" t="n"/>
      <c r="FB25" s="20" t="n"/>
      <c r="FC25" s="20" t="n"/>
      <c r="FD25" s="20" t="n"/>
      <c r="FE25" s="20" t="n"/>
      <c r="FF25" s="20" t="n"/>
      <c r="FG25" s="20" t="n"/>
      <c r="FH25" s="20" t="n"/>
      <c r="FI25" s="20" t="n"/>
      <c r="FJ25" s="20" t="n"/>
      <c r="FK25" s="20" t="n"/>
      <c r="FL25" s="20" t="n"/>
      <c r="FM25" s="20" t="n"/>
      <c r="FN25" s="20" t="n"/>
      <c r="FO25" s="20" t="n"/>
      <c r="FP25" s="20" t="n"/>
      <c r="FQ25" s="20" t="n"/>
      <c r="FR25" s="20" t="n"/>
      <c r="FS25" s="20" t="n"/>
      <c r="FT25" s="20" t="n"/>
      <c r="FU25" s="20" t="n"/>
      <c r="FV25" s="20" t="n"/>
      <c r="FW25" s="11" t="n"/>
      <c r="FX25" s="20" t="n"/>
      <c r="FY25" s="11" t="n"/>
      <c r="FZ25" s="20" t="n"/>
      <c r="GA25" s="20" t="n"/>
      <c r="GB25" s="20" t="n"/>
      <c r="GC25" s="20" t="n"/>
      <c r="GD25" s="20" t="n"/>
      <c r="GE25" s="20" t="n"/>
      <c r="GF25" s="20" t="n"/>
      <c r="GG25" s="20" t="n"/>
      <c r="GH25" s="20" t="n"/>
      <c r="GI25" s="20" t="n"/>
      <c r="GJ25" s="20" t="n"/>
      <c r="GK25" s="20" t="n"/>
      <c r="GL25" s="20" t="n"/>
      <c r="GM25" s="20" t="n"/>
      <c r="GN25" s="20" t="n"/>
      <c r="GP25" s="35" t="n"/>
      <c r="HK25" s="35" t="n"/>
      <c r="HV25" s="35" t="n"/>
      <c r="IH25" s="35" t="n"/>
    </row>
    <row r="26" customFormat="1" s="3">
      <c r="A26" s="36" t="inlineStr">
        <is>
          <t>DIVERSOS BOTICÁRIO</t>
        </is>
      </c>
      <c r="B26" s="13" t="n"/>
      <c r="C26" s="13" t="n"/>
      <c r="D26" s="13" t="n"/>
      <c r="E26" s="726" t="n"/>
      <c r="F26" s="746" t="n">
        <v>45656</v>
      </c>
      <c r="G26" s="746" t="n">
        <v>45663</v>
      </c>
      <c r="H26" s="746" t="n">
        <v>45670</v>
      </c>
      <c r="I26" s="746" t="n">
        <v>45677</v>
      </c>
      <c r="J26" s="746" t="n">
        <v>45684</v>
      </c>
      <c r="K26" s="746" t="n">
        <v>45691</v>
      </c>
      <c r="L26" s="746" t="n">
        <v>45698</v>
      </c>
      <c r="M26" s="746" t="n">
        <v>45705</v>
      </c>
      <c r="N26" s="746" t="n">
        <v>45712</v>
      </c>
      <c r="O26" s="746" t="n">
        <v>45719</v>
      </c>
      <c r="P26" s="746" t="n">
        <v>45726</v>
      </c>
      <c r="Q26" s="746" t="n">
        <v>45733</v>
      </c>
      <c r="R26" s="746" t="n">
        <v>45740</v>
      </c>
      <c r="S26" s="746" t="n">
        <v>45747</v>
      </c>
      <c r="T26" s="746" t="n">
        <v>45754</v>
      </c>
      <c r="U26" s="746" t="n">
        <v>45761</v>
      </c>
      <c r="V26" s="746" t="n">
        <v>45768</v>
      </c>
      <c r="W26" s="746" t="n">
        <v>45775</v>
      </c>
      <c r="X26" s="746" t="n">
        <v>45782</v>
      </c>
      <c r="Y26" s="746" t="n">
        <v>45789</v>
      </c>
      <c r="Z26" s="746" t="n">
        <v>45796</v>
      </c>
      <c r="AA26" s="746" t="n">
        <v>45803</v>
      </c>
      <c r="AB26" s="746" t="n">
        <v>45810</v>
      </c>
      <c r="AC26" s="746" t="n">
        <v>45817</v>
      </c>
      <c r="AD26" s="746" t="n">
        <v>45824</v>
      </c>
      <c r="AE26" s="746" t="n">
        <v>45831</v>
      </c>
      <c r="AF26" s="746" t="n">
        <v>45838</v>
      </c>
      <c r="AG26" s="746" t="n">
        <v>45845</v>
      </c>
      <c r="AH26" s="746" t="n">
        <v>45852</v>
      </c>
      <c r="AI26" s="746" t="n">
        <v>45859</v>
      </c>
      <c r="AJ26" s="746" t="n">
        <v>45866</v>
      </c>
      <c r="AK26" s="746" t="n">
        <v>45873</v>
      </c>
      <c r="AL26" s="746" t="n">
        <v>45880</v>
      </c>
      <c r="AM26" s="746" t="n">
        <v>45887</v>
      </c>
      <c r="AN26" s="746" t="n">
        <v>45894</v>
      </c>
      <c r="AO26" s="746" t="n">
        <v>45901</v>
      </c>
      <c r="AP26" s="746" t="n">
        <v>45915</v>
      </c>
      <c r="AQ26" s="746" t="n">
        <v>45922</v>
      </c>
      <c r="AR26" s="746" t="n">
        <v>45929</v>
      </c>
      <c r="AS26" s="746" t="n">
        <v>45936</v>
      </c>
      <c r="AT26" s="746" t="n">
        <v>45943</v>
      </c>
      <c r="AU26" s="746" t="n">
        <v>45950</v>
      </c>
      <c r="AV26" s="746" t="n">
        <v>45957</v>
      </c>
      <c r="AW26" s="746" t="n">
        <v>45964</v>
      </c>
      <c r="AX26" s="746" t="n">
        <v>45971</v>
      </c>
      <c r="AY26" s="746" t="n">
        <v>45978</v>
      </c>
      <c r="AZ26" s="746" t="n">
        <v>45985</v>
      </c>
      <c r="BA26" s="746" t="n">
        <v>45992</v>
      </c>
      <c r="BB26" s="746" t="n">
        <v>45999</v>
      </c>
      <c r="BC26" s="746" t="n">
        <v>46006</v>
      </c>
      <c r="BD26" s="746" t="n">
        <v>46013</v>
      </c>
      <c r="BE26" s="746" t="n">
        <v>46020</v>
      </c>
      <c r="BF26" s="746" t="n">
        <v>46027</v>
      </c>
      <c r="BG26" s="746" t="n">
        <v>46034</v>
      </c>
      <c r="BH26" s="746" t="n">
        <v>46041</v>
      </c>
      <c r="BI26" s="746" t="n">
        <v>46048</v>
      </c>
      <c r="BJ26" s="746" t="n">
        <v>46055</v>
      </c>
      <c r="BK26" s="746" t="n">
        <v>46062</v>
      </c>
      <c r="BL26" s="746" t="n">
        <v>46069</v>
      </c>
      <c r="BM26" s="746" t="n">
        <v>46076</v>
      </c>
      <c r="BN26" s="746" t="n">
        <v>46083</v>
      </c>
      <c r="BO26" s="746" t="n">
        <v>46090</v>
      </c>
      <c r="BP26" s="746" t="n">
        <v>46097</v>
      </c>
      <c r="BQ26" s="746" t="n">
        <v>46104</v>
      </c>
      <c r="BR26" s="746" t="n">
        <v>46111</v>
      </c>
      <c r="BS26" s="746" t="n">
        <v>46118</v>
      </c>
      <c r="BT26" s="746" t="n">
        <v>46125</v>
      </c>
      <c r="BU26" s="746" t="n">
        <v>46132</v>
      </c>
      <c r="BV26" s="746" t="n">
        <v>46139</v>
      </c>
      <c r="BW26" s="746" t="n">
        <v>46146</v>
      </c>
      <c r="BX26" s="746" t="n">
        <v>46154</v>
      </c>
      <c r="BY26" s="748" t="inlineStr">
        <is>
          <t>USOU</t>
        </is>
      </c>
      <c r="BZ26" s="5" t="n"/>
      <c r="CA26" s="44" t="inlineStr">
        <is>
          <t>Pendências</t>
        </is>
      </c>
      <c r="CB26" s="44" t="inlineStr">
        <is>
          <t>Pendências</t>
        </is>
      </c>
      <c r="CC26" s="5" t="n"/>
      <c r="CD26" s="12" t="inlineStr">
        <is>
          <t>Novo Pedido</t>
        </is>
      </c>
      <c r="CE26" s="726" t="n"/>
      <c r="CF26" s="794" t="n">
        <v>46149</v>
      </c>
      <c r="CG26" s="794" t="n">
        <v>46142</v>
      </c>
      <c r="CH26" s="794" t="n">
        <v>46114</v>
      </c>
      <c r="CI26" s="794" t="n">
        <v>46107</v>
      </c>
      <c r="CJ26" s="795" t="n">
        <v>46065</v>
      </c>
      <c r="CK26" s="794" t="n">
        <v>46099</v>
      </c>
      <c r="CL26" s="794" t="n">
        <v>46092</v>
      </c>
      <c r="CM26" s="796" t="n">
        <v>46045</v>
      </c>
      <c r="CN26" s="794" t="n">
        <v>46084</v>
      </c>
      <c r="CO26" s="797" t="n">
        <v>46085</v>
      </c>
      <c r="CP26" s="794" t="n">
        <v>46077</v>
      </c>
      <c r="CQ26" s="794" t="n">
        <v>46071</v>
      </c>
      <c r="CR26" s="794" t="n">
        <v>46056</v>
      </c>
      <c r="CS26" s="794" t="n">
        <v>46048</v>
      </c>
      <c r="CT26" s="794" t="n">
        <v>46056</v>
      </c>
      <c r="CU26" s="794" t="n">
        <v>46048</v>
      </c>
      <c r="CV26" s="794" t="n">
        <v>46043</v>
      </c>
      <c r="CW26" s="794" t="n">
        <v>46035</v>
      </c>
      <c r="CX26" s="794" t="n">
        <v>46043</v>
      </c>
      <c r="CY26" s="794" t="n">
        <v>46035</v>
      </c>
      <c r="CZ26" s="794" t="n">
        <v>46035</v>
      </c>
      <c r="DA26" s="794" t="n">
        <v>46029</v>
      </c>
      <c r="DB26" s="794" t="n">
        <v>46017</v>
      </c>
      <c r="DC26" s="794" t="n">
        <v>46007</v>
      </c>
      <c r="DD26" s="794" t="n">
        <v>46007</v>
      </c>
      <c r="DE26" s="794" t="n">
        <v>46001</v>
      </c>
      <c r="DF26" s="794" t="n">
        <v>46001</v>
      </c>
      <c r="DG26" s="794" t="n">
        <v>45994</v>
      </c>
      <c r="DH26" s="794" t="n">
        <v>45994</v>
      </c>
      <c r="DI26" s="794" t="n">
        <v>45986</v>
      </c>
      <c r="DJ26" s="794" t="n">
        <v>45980</v>
      </c>
      <c r="DK26" s="797" t="n">
        <v>45982</v>
      </c>
      <c r="DL26" s="794" t="n">
        <v>45973</v>
      </c>
      <c r="DM26" s="794" t="n">
        <v>45965</v>
      </c>
      <c r="DN26" s="794" t="n">
        <v>45965</v>
      </c>
      <c r="DO26" s="794" t="n">
        <v>45960</v>
      </c>
      <c r="DP26" s="794" t="n">
        <v>45960</v>
      </c>
      <c r="DQ26" s="794" t="n">
        <v>45951</v>
      </c>
      <c r="DR26" s="794" t="n">
        <v>45945</v>
      </c>
      <c r="DS26" s="737" t="n">
        <v>45903</v>
      </c>
      <c r="DT26" s="794" t="n">
        <v>45945</v>
      </c>
      <c r="DU26" s="794" t="n">
        <v>45937</v>
      </c>
      <c r="DV26" s="794" t="n">
        <v>45923</v>
      </c>
      <c r="DW26" s="794" t="n">
        <v>45931</v>
      </c>
      <c r="DX26" s="794" t="n">
        <v>45931</v>
      </c>
      <c r="DY26" s="794" t="n">
        <v>45915</v>
      </c>
      <c r="DZ26" s="794" t="n">
        <v>45923</v>
      </c>
      <c r="EA26" s="794" t="n">
        <v>45915</v>
      </c>
      <c r="EB26" s="797" t="n">
        <v>45918</v>
      </c>
      <c r="EC26" s="794" t="n">
        <v>45903</v>
      </c>
      <c r="ED26" s="738" t="n">
        <v>45903</v>
      </c>
      <c r="EE26" s="794" t="n">
        <v>45895</v>
      </c>
      <c r="EF26" s="797" t="n">
        <v>45896</v>
      </c>
      <c r="EG26" s="794" t="n">
        <v>45888</v>
      </c>
      <c r="EH26" s="794" t="n">
        <v>45888</v>
      </c>
      <c r="EI26" s="794" t="n">
        <v>45881</v>
      </c>
      <c r="EJ26" s="797" t="n">
        <v>45881</v>
      </c>
      <c r="EK26" s="794" t="n">
        <v>45874</v>
      </c>
      <c r="EL26" s="797" t="n">
        <v>45876</v>
      </c>
      <c r="EM26" s="794" t="n">
        <v>45867</v>
      </c>
      <c r="EN26" s="794" t="n">
        <v>45860</v>
      </c>
      <c r="EO26" s="794" t="n">
        <v>45839</v>
      </c>
      <c r="EP26" s="797" t="n">
        <v>45861</v>
      </c>
      <c r="EQ26" s="797" t="n">
        <v>45860</v>
      </c>
      <c r="ER26" s="794" t="n">
        <v>45853</v>
      </c>
      <c r="ES26" s="739" t="n">
        <v>45855</v>
      </c>
      <c r="ET26" s="794" t="n">
        <v>45848</v>
      </c>
      <c r="EU26" s="794" t="n">
        <v>45839</v>
      </c>
      <c r="EV26" s="739" t="n">
        <v>45791</v>
      </c>
      <c r="EW26" s="797" t="n">
        <v>45835</v>
      </c>
      <c r="EX26" s="794" t="n">
        <v>45832</v>
      </c>
      <c r="EY26" s="794" t="n">
        <v>45825</v>
      </c>
      <c r="EZ26" s="794" t="n">
        <v>45819</v>
      </c>
      <c r="FA26" s="794" t="n">
        <v>45813</v>
      </c>
      <c r="FB26" s="794" t="n">
        <v>45805</v>
      </c>
      <c r="FC26" s="797" t="n">
        <v>45811</v>
      </c>
      <c r="FD26" s="797" t="n">
        <v>45810</v>
      </c>
      <c r="FE26" s="794" t="n">
        <v>45798</v>
      </c>
      <c r="FF26" s="797" t="n">
        <v>45803</v>
      </c>
      <c r="FG26" s="755" t="n">
        <v>45803</v>
      </c>
      <c r="FH26" s="797" t="n">
        <v>45800</v>
      </c>
      <c r="FI26" s="742" t="n">
        <v>45735</v>
      </c>
      <c r="FJ26" s="797" t="n">
        <v>45796</v>
      </c>
      <c r="FK26" s="794" t="n">
        <v>45790</v>
      </c>
      <c r="FL26" s="794" t="n">
        <v>45784</v>
      </c>
      <c r="FM26" s="797" t="n">
        <v>45791</v>
      </c>
      <c r="FN26" s="794" t="n">
        <v>45783</v>
      </c>
      <c r="FO26" s="794" t="n">
        <v>45770</v>
      </c>
      <c r="FP26" s="794" t="n">
        <v>45775</v>
      </c>
      <c r="FQ26" s="794" t="n">
        <v>45770</v>
      </c>
      <c r="FR26" s="797" t="n">
        <v>45775</v>
      </c>
      <c r="FS26" s="794" t="n">
        <v>45756</v>
      </c>
      <c r="FT26" s="794" t="n">
        <v>45749</v>
      </c>
      <c r="FU26" s="797" t="n">
        <v>45751</v>
      </c>
      <c r="FV26" s="794" t="n">
        <v>45743</v>
      </c>
      <c r="FW26" s="746" t="n">
        <v>45729</v>
      </c>
      <c r="FX26" s="794" t="n">
        <v>45722</v>
      </c>
      <c r="FY26" s="746" t="n">
        <v>45700</v>
      </c>
      <c r="FZ26" s="797" t="n">
        <v>45722</v>
      </c>
      <c r="GA26" s="794" t="n">
        <v>45714</v>
      </c>
      <c r="GB26" s="794" t="n">
        <v>45706</v>
      </c>
      <c r="GC26" s="794" t="n">
        <v>45699</v>
      </c>
      <c r="GD26" s="794" t="n">
        <v>45693</v>
      </c>
      <c r="GE26" s="794" t="n">
        <v>45685</v>
      </c>
      <c r="GF26" s="797" t="n">
        <v>45687</v>
      </c>
      <c r="GG26" s="794" t="n">
        <v>45664</v>
      </c>
      <c r="GH26" s="794" t="n">
        <v>45679</v>
      </c>
      <c r="GI26" s="797" t="n">
        <v>45684</v>
      </c>
      <c r="GJ26" s="794" t="n">
        <v>45664</v>
      </c>
      <c r="GK26" s="794" t="n">
        <v>45660</v>
      </c>
      <c r="GL26" s="794" t="n">
        <v>45652</v>
      </c>
      <c r="GM26" s="794" t="n">
        <v>45643</v>
      </c>
      <c r="GN26" s="794" t="n">
        <v>45638</v>
      </c>
      <c r="GP26" s="304" t="inlineStr">
        <is>
          <t>DIVERSOS VENDA</t>
        </is>
      </c>
      <c r="GQ26" s="544" t="inlineStr">
        <is>
          <t>PCT</t>
        </is>
      </c>
      <c r="GR26" s="536" t="n">
        <v>45726</v>
      </c>
      <c r="GS26" s="536" t="n">
        <v>45733</v>
      </c>
      <c r="GT26" s="536" t="n">
        <v>45740</v>
      </c>
      <c r="GU26" s="536" t="n">
        <v>45747</v>
      </c>
      <c r="GV26" s="536" t="n">
        <v>45754</v>
      </c>
      <c r="GW26" s="536" t="n">
        <v>45761</v>
      </c>
      <c r="GX26" s="536" t="n">
        <v>45768</v>
      </c>
      <c r="GY26" s="536" t="n">
        <v>45775</v>
      </c>
      <c r="GZ26" s="536" t="n">
        <v>45782</v>
      </c>
      <c r="HA26" s="536" t="n">
        <v>45789</v>
      </c>
      <c r="HB26" s="536" t="n">
        <v>45796</v>
      </c>
      <c r="HC26" s="536" t="n">
        <v>45803</v>
      </c>
      <c r="HD26" s="536" t="n">
        <v>45810</v>
      </c>
      <c r="HE26" s="536" t="n">
        <v>45817</v>
      </c>
      <c r="HF26" s="536" t="n">
        <v>45824</v>
      </c>
      <c r="HG26" s="536" t="n">
        <v>45831</v>
      </c>
      <c r="HH26" s="536" t="n">
        <v>45838</v>
      </c>
      <c r="HI26" s="235" t="inlineStr">
        <is>
          <t>USOU</t>
        </is>
      </c>
      <c r="HK26" s="366" t="inlineStr">
        <is>
          <t>DIVERSOS VENDA</t>
        </is>
      </c>
      <c r="HL26" s="524" t="inlineStr">
        <is>
          <t>PCT</t>
        </is>
      </c>
      <c r="HM26" s="511" t="n">
        <v>45796</v>
      </c>
      <c r="HN26" s="511" t="n">
        <v>45803</v>
      </c>
      <c r="HO26" s="398" t="n">
        <v>45810</v>
      </c>
      <c r="HP26" s="511" t="n">
        <v>45817</v>
      </c>
      <c r="HQ26" s="511" t="n">
        <v>45824</v>
      </c>
      <c r="HR26" s="511" t="n">
        <v>45831</v>
      </c>
      <c r="HS26" s="511" t="n">
        <v>45838</v>
      </c>
      <c r="HT26" s="368" t="inlineStr">
        <is>
          <t>USOU</t>
        </is>
      </c>
      <c r="HV26" s="222" t="inlineStr">
        <is>
          <t>DIVERSOS VENDA</t>
        </is>
      </c>
      <c r="HW26" s="519" t="inlineStr">
        <is>
          <t>PCT</t>
        </is>
      </c>
      <c r="HX26" s="513" t="n">
        <v>45845</v>
      </c>
      <c r="HY26" s="513" t="n">
        <v>45852</v>
      </c>
      <c r="HZ26" s="513" t="n">
        <v>45859</v>
      </c>
      <c r="IA26" s="513" t="n">
        <v>45866</v>
      </c>
      <c r="IB26" s="513" t="n">
        <v>45873</v>
      </c>
      <c r="IC26" s="513" t="n">
        <v>45880</v>
      </c>
      <c r="ID26" s="513" t="n">
        <v>45887</v>
      </c>
      <c r="IE26" s="513" t="n">
        <v>45894</v>
      </c>
      <c r="IF26" s="411" t="inlineStr">
        <is>
          <t>USOU</t>
        </is>
      </c>
      <c r="IH26" s="438" t="inlineStr">
        <is>
          <t>CAIXAS</t>
        </is>
      </c>
      <c r="II26" s="829" t="inlineStr">
        <is>
          <t>PCT</t>
        </is>
      </c>
      <c r="IJ26" s="513" t="n">
        <v>45950</v>
      </c>
      <c r="IK26" s="513" t="n">
        <v>45957</v>
      </c>
      <c r="IL26" s="513" t="n">
        <v>45964</v>
      </c>
      <c r="IM26" s="411" t="inlineStr">
        <is>
          <t>USOU</t>
        </is>
      </c>
    </row>
    <row r="27" customFormat="1" s="3">
      <c r="A27" s="37" t="inlineStr">
        <is>
          <t>KIT PAPEL SEDA (20 c/ 25 un)</t>
        </is>
      </c>
      <c r="B27" s="699" t="n">
        <v>500</v>
      </c>
      <c r="C27" s="762" t="n">
        <v>95.90000000000001</v>
      </c>
      <c r="D27" s="382" t="n">
        <v>15</v>
      </c>
      <c r="E27" s="726" t="n"/>
      <c r="F27" s="697" t="n">
        <v>22</v>
      </c>
      <c r="G27" s="697" t="n">
        <v>22</v>
      </c>
      <c r="H27" s="697" t="n">
        <v>21</v>
      </c>
      <c r="I27" s="697" t="n">
        <v>21</v>
      </c>
      <c r="J27" s="697" t="n">
        <v>21</v>
      </c>
      <c r="K27" s="697" t="n">
        <v>20</v>
      </c>
      <c r="L27" s="697" t="n">
        <v>20</v>
      </c>
      <c r="M27" s="697" t="n">
        <v>34</v>
      </c>
      <c r="N27" s="697" t="n">
        <v>34</v>
      </c>
      <c r="O27" s="697" t="n">
        <v>34</v>
      </c>
      <c r="P27" s="697" t="n">
        <v>30</v>
      </c>
      <c r="Q27" s="697" t="n">
        <v>28</v>
      </c>
      <c r="R27" s="697" t="n">
        <v>25</v>
      </c>
      <c r="S27" s="697">
        <f>23+FV27</f>
        <v/>
      </c>
      <c r="T27" s="697" t="n">
        <v>43</v>
      </c>
      <c r="U27" s="697" t="n">
        <v>42</v>
      </c>
      <c r="V27" s="697" t="n">
        <v>42</v>
      </c>
      <c r="W27" s="697" t="n">
        <v>41</v>
      </c>
      <c r="X27" s="697" t="n">
        <v>41</v>
      </c>
      <c r="Y27" s="697" t="n">
        <v>33</v>
      </c>
      <c r="Z27" s="697" t="n">
        <v>29</v>
      </c>
      <c r="AA27" s="697" t="n">
        <v>27</v>
      </c>
      <c r="AB27" s="697" t="n">
        <v>25</v>
      </c>
      <c r="AC27" s="697" t="n">
        <v>24</v>
      </c>
      <c r="AD27" s="697" t="n">
        <v>21</v>
      </c>
      <c r="AE27" s="697" t="n">
        <v>20</v>
      </c>
      <c r="AF27" s="697">
        <f>20+19</f>
        <v/>
      </c>
      <c r="AG27" s="697" t="n">
        <v>39</v>
      </c>
      <c r="AH27" s="697" t="n">
        <v>39</v>
      </c>
      <c r="AI27" s="697" t="n">
        <v>37</v>
      </c>
      <c r="AJ27" s="697" t="n">
        <v>36</v>
      </c>
      <c r="AK27" s="697" t="n">
        <v>36</v>
      </c>
      <c r="AL27" s="697" t="n">
        <v>31</v>
      </c>
      <c r="AM27" s="697" t="n">
        <v>30</v>
      </c>
      <c r="AN27" s="697" t="n">
        <v>29</v>
      </c>
      <c r="AO27" s="697" t="n">
        <v>29</v>
      </c>
      <c r="AP27" s="697" t="n">
        <v>25</v>
      </c>
      <c r="AQ27" s="697" t="n">
        <v>25</v>
      </c>
      <c r="AR27" s="697" t="n">
        <v>25</v>
      </c>
      <c r="AS27" s="697" t="n">
        <v>23</v>
      </c>
      <c r="AT27" s="697" t="n">
        <v>21</v>
      </c>
      <c r="AU27" s="697" t="n">
        <v>20</v>
      </c>
      <c r="AV27" s="697" t="n">
        <v>20</v>
      </c>
      <c r="AW27" s="697" t="n">
        <v>20</v>
      </c>
      <c r="AX27" s="697" t="n">
        <v>20</v>
      </c>
      <c r="AY27" s="697" t="n">
        <v>20</v>
      </c>
      <c r="AZ27" s="697" t="n">
        <v>20</v>
      </c>
      <c r="BA27" s="697" t="n">
        <v>20</v>
      </c>
      <c r="BB27" s="697" t="n">
        <v>20</v>
      </c>
      <c r="BC27" s="697" t="n">
        <v>20</v>
      </c>
      <c r="BD27" s="697" t="n">
        <v>20</v>
      </c>
      <c r="BE27" s="697" t="n">
        <v>20</v>
      </c>
      <c r="BF27" s="697" t="n">
        <v>20</v>
      </c>
      <c r="BG27" s="697" t="n">
        <v>20</v>
      </c>
      <c r="BH27" s="697" t="n">
        <v>20</v>
      </c>
      <c r="BI27" s="697" t="n">
        <v>0</v>
      </c>
      <c r="BJ27" s="697">
        <f>0+CU27</f>
        <v/>
      </c>
      <c r="BK27" s="697" t="n">
        <v>200</v>
      </c>
      <c r="BL27" s="697" t="n">
        <v>200</v>
      </c>
      <c r="BM27" s="697" t="n">
        <v>196</v>
      </c>
      <c r="BN27" s="697" t="n">
        <v>185</v>
      </c>
      <c r="BO27" s="697" t="n">
        <v>150</v>
      </c>
      <c r="BP27" s="697" t="n">
        <v>150</v>
      </c>
      <c r="BQ27" s="697" t="n">
        <v>140</v>
      </c>
      <c r="BR27" s="697" t="n">
        <v>140</v>
      </c>
      <c r="BS27" s="697" t="n"/>
      <c r="BT27" s="697" t="n"/>
      <c r="BU27" s="697" t="n"/>
      <c r="BV27" s="697" t="n"/>
      <c r="BW27" s="697" t="n"/>
      <c r="BX27" s="697" t="n">
        <v>140</v>
      </c>
      <c r="BY27" s="192">
        <f>BW27+IF(NOT(ISBLANK(OFFSET(BY27,0,6))),N(OFFSET(BY27,0,6)),N(OFFSET(BY27,0,7)))-BX27</f>
        <v/>
      </c>
      <c r="BZ27" s="5" t="n"/>
      <c r="CA27" s="22" t="n"/>
      <c r="CB27" s="22" t="n"/>
      <c r="CC27" s="5" t="n"/>
      <c r="CD27" s="27" t="n"/>
      <c r="CE27" s="726" t="n"/>
      <c r="CF27" s="40" t="n">
        <v>0</v>
      </c>
      <c r="CG27" s="40" t="n">
        <v>0</v>
      </c>
      <c r="CH27" s="40" t="n">
        <v>0</v>
      </c>
      <c r="CI27" s="40" t="n"/>
      <c r="CJ27" s="419" t="n">
        <v>10</v>
      </c>
      <c r="CK27" s="40" t="n"/>
      <c r="CL27" s="40" t="n"/>
      <c r="CM27" s="40" t="n"/>
      <c r="CN27" s="40" t="n"/>
      <c r="CO27" s="40" t="n"/>
      <c r="CP27" s="40" t="n"/>
      <c r="CQ27" s="40" t="n"/>
      <c r="CR27" s="40" t="n"/>
      <c r="CS27" s="40" t="n"/>
      <c r="CT27" s="40" t="n"/>
      <c r="CU27" s="40" t="n">
        <v>200</v>
      </c>
      <c r="CV27" s="40" t="n"/>
      <c r="CW27" s="40" t="n"/>
      <c r="CX27" s="40" t="n"/>
      <c r="CY27" s="40" t="n"/>
      <c r="CZ27" s="40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219" t="n"/>
      <c r="DL27" s="40" t="n"/>
      <c r="DM27" s="40" t="n"/>
      <c r="DN27" s="40" t="n"/>
      <c r="DO27" s="40" t="n"/>
      <c r="DP27" s="40" t="n"/>
      <c r="DQ27" s="40" t="n"/>
      <c r="DR27" s="40" t="n"/>
      <c r="DS27" s="219" t="n">
        <v>150</v>
      </c>
      <c r="DT27" s="40" t="n"/>
      <c r="DU27" s="40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292" t="inlineStr">
        <is>
          <t>10 P/ CD</t>
        </is>
      </c>
      <c r="ET27" s="40" t="n"/>
      <c r="EU27" s="40" t="n"/>
      <c r="EV27" s="219" t="n">
        <v>20</v>
      </c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219" t="n"/>
      <c r="FH27" s="23" t="n"/>
      <c r="FI27" s="219" t="n">
        <v>20</v>
      </c>
      <c r="FJ27" s="40" t="n"/>
      <c r="FK27" s="40" t="n"/>
      <c r="FL27" s="40" t="n"/>
      <c r="FM27" s="40" t="n"/>
      <c r="FN27" s="40" t="n"/>
      <c r="FO27" s="40" t="n"/>
      <c r="FP27" s="40" t="n"/>
      <c r="FQ27" s="40" t="n"/>
      <c r="FR27" s="40" t="n"/>
      <c r="FS27" s="40" t="n"/>
      <c r="FT27" s="40" t="n"/>
      <c r="FU27" s="40" t="n"/>
      <c r="FV27" s="40" t="n">
        <v>20</v>
      </c>
      <c r="FW27" s="219" t="n"/>
      <c r="FX27" s="40" t="n"/>
      <c r="FY27" s="219" t="n">
        <v>10</v>
      </c>
      <c r="FZ27" s="40" t="n"/>
      <c r="GA27" s="40" t="n"/>
      <c r="GB27" s="40" t="n"/>
      <c r="GC27" s="40" t="n"/>
      <c r="GD27" s="40" t="n"/>
      <c r="GE27" s="40" t="n"/>
      <c r="GF27" s="40" t="n"/>
      <c r="GG27" s="40" t="n"/>
      <c r="GH27" s="40" t="n"/>
      <c r="GI27" s="40" t="n"/>
      <c r="GJ27" s="40" t="n"/>
      <c r="GK27" s="40" t="n"/>
      <c r="GL27" s="40" t="n"/>
      <c r="GM27" s="40" t="n"/>
      <c r="GN27" s="40" t="n"/>
      <c r="GP27" s="37" t="inlineStr">
        <is>
          <t>KIT PAPEL SEDA 10 PC C/ 20</t>
        </is>
      </c>
      <c r="GQ27" s="208" t="n">
        <v>200</v>
      </c>
      <c r="GR27" s="699">
        <f>FY27</f>
        <v/>
      </c>
      <c r="GS27" s="699" t="n">
        <v>10</v>
      </c>
      <c r="GT27" s="699" t="n">
        <v>6</v>
      </c>
      <c r="GU27" s="699" t="n">
        <v>0</v>
      </c>
      <c r="GV27" s="699" t="n">
        <v>0</v>
      </c>
      <c r="GW27" s="699" t="n">
        <v>0</v>
      </c>
      <c r="GX27" s="699" t="n">
        <v>0</v>
      </c>
      <c r="GY27" s="699" t="n">
        <v>0</v>
      </c>
      <c r="GZ27" s="699" t="n">
        <v>0</v>
      </c>
      <c r="HA27" s="699" t="n">
        <v>0</v>
      </c>
      <c r="HB27" s="699" t="n">
        <v>0</v>
      </c>
      <c r="HC27" s="699" t="n">
        <v>0</v>
      </c>
      <c r="HD27" s="699" t="n">
        <v>0</v>
      </c>
      <c r="HE27" s="699" t="n">
        <v>0</v>
      </c>
      <c r="HF27" s="699" t="n">
        <v>0</v>
      </c>
      <c r="HG27" s="699" t="n">
        <v>0</v>
      </c>
      <c r="HH27" s="699" t="n">
        <v>0</v>
      </c>
      <c r="HI27" s="303" t="n">
        <v>0</v>
      </c>
      <c r="HK27" s="37" t="inlineStr">
        <is>
          <t>KIT PAPEL SEDA 10 PC C/ 20</t>
        </is>
      </c>
      <c r="HL27" s="208" t="n">
        <v>200</v>
      </c>
      <c r="HM27" s="699">
        <f>FI27</f>
        <v/>
      </c>
      <c r="HN27" s="699" t="n">
        <v>19</v>
      </c>
      <c r="HO27" s="699" t="n">
        <v>16</v>
      </c>
      <c r="HP27" s="699" t="n">
        <v>8</v>
      </c>
      <c r="HQ27" s="699" t="n">
        <v>0</v>
      </c>
      <c r="HR27" s="699" t="n">
        <v>0</v>
      </c>
      <c r="HS27" s="699" t="n">
        <v>0</v>
      </c>
      <c r="HT27" s="369">
        <f>HR27-HS27</f>
        <v/>
      </c>
      <c r="HV27" s="37" t="inlineStr">
        <is>
          <t>KIT PAPEL SEDA 10 PC C/ 20</t>
        </is>
      </c>
      <c r="HW27" s="208" t="n">
        <v>200</v>
      </c>
      <c r="HX27" s="699">
        <f>EV27</f>
        <v/>
      </c>
      <c r="HY27" s="699">
        <f>20-10</f>
        <v/>
      </c>
      <c r="HZ27" s="699" t="n">
        <v>10</v>
      </c>
      <c r="IA27" s="699" t="n">
        <v>4</v>
      </c>
      <c r="IB27" s="699" t="n">
        <v>0</v>
      </c>
      <c r="IC27" s="699" t="n">
        <v>0</v>
      </c>
      <c r="ID27" s="699" t="n">
        <v>0</v>
      </c>
      <c r="IE27" s="699" t="n">
        <v>0</v>
      </c>
      <c r="IF27" s="412" t="n">
        <v>0</v>
      </c>
      <c r="IG27" s="2" t="n"/>
      <c r="IH27" s="37" t="inlineStr">
        <is>
          <t xml:space="preserve">CAIXA P </t>
        </is>
      </c>
      <c r="II27" s="208" t="n">
        <v>150</v>
      </c>
      <c r="IJ27" s="699" t="n">
        <v>0</v>
      </c>
      <c r="IK27" s="699">
        <f>DS27</f>
        <v/>
      </c>
      <c r="IL27" s="162" t="n"/>
      <c r="IM27" s="448" t="n"/>
      <c r="IO27" s="449" t="inlineStr">
        <is>
          <t>50 P/ CD</t>
        </is>
      </c>
    </row>
    <row r="28" customFormat="1" s="3">
      <c r="A28" s="37" t="inlineStr">
        <is>
          <t>KIT ETIQUETAS (50 c/50un)</t>
        </is>
      </c>
      <c r="B28" s="699" t="n">
        <v>2500</v>
      </c>
      <c r="C28" s="762" t="n">
        <v>66.87</v>
      </c>
      <c r="D28" s="382" t="n">
        <v>15</v>
      </c>
      <c r="E28" s="726" t="n"/>
      <c r="F28" s="31" t="n">
        <v>21</v>
      </c>
      <c r="G28" s="31" t="n">
        <v>20</v>
      </c>
      <c r="H28" s="31" t="n">
        <v>17</v>
      </c>
      <c r="I28" s="31" t="n">
        <v>17</v>
      </c>
      <c r="J28" s="31" t="n">
        <v>17</v>
      </c>
      <c r="K28" s="31" t="n">
        <v>16</v>
      </c>
      <c r="L28" s="31" t="n">
        <v>15</v>
      </c>
      <c r="M28" s="31">
        <f>14+GC28</f>
        <v/>
      </c>
      <c r="N28" s="31" t="n">
        <v>64</v>
      </c>
      <c r="O28" s="31" t="n">
        <v>62</v>
      </c>
      <c r="P28" s="31" t="n">
        <v>60</v>
      </c>
      <c r="Q28" s="31" t="n">
        <v>57</v>
      </c>
      <c r="R28" s="31" t="n">
        <v>56</v>
      </c>
      <c r="S28" s="31" t="n">
        <v>53</v>
      </c>
      <c r="T28" s="31" t="n">
        <v>53</v>
      </c>
      <c r="U28" s="31" t="n">
        <v>53</v>
      </c>
      <c r="V28" s="31" t="n">
        <v>53</v>
      </c>
      <c r="W28" s="31" t="n">
        <v>52</v>
      </c>
      <c r="X28" s="31" t="n">
        <v>46</v>
      </c>
      <c r="Y28" s="31" t="n">
        <v>32</v>
      </c>
      <c r="Z28" s="31" t="n">
        <v>27</v>
      </c>
      <c r="AA28" s="31" t="n">
        <v>24</v>
      </c>
      <c r="AB28" s="31" t="n">
        <v>23</v>
      </c>
      <c r="AC28" s="31" t="n">
        <v>47</v>
      </c>
      <c r="AD28" s="31" t="n">
        <v>47</v>
      </c>
      <c r="AE28" s="31" t="n">
        <v>46</v>
      </c>
      <c r="AF28" s="31">
        <f>45-15</f>
        <v/>
      </c>
      <c r="AG28" s="31" t="n">
        <v>30</v>
      </c>
      <c r="AH28" s="31" t="n">
        <v>29</v>
      </c>
      <c r="AI28" s="31" t="n">
        <v>26</v>
      </c>
      <c r="AJ28" s="31" t="n">
        <v>25</v>
      </c>
      <c r="AK28" s="31" t="n">
        <v>21</v>
      </c>
      <c r="AL28" s="31" t="n">
        <v>18</v>
      </c>
      <c r="AM28" s="420" t="n">
        <v>29</v>
      </c>
      <c r="AN28" s="697" t="n">
        <v>27</v>
      </c>
      <c r="AO28" s="697" t="n">
        <v>27</v>
      </c>
      <c r="AP28" s="697" t="n">
        <v>21</v>
      </c>
      <c r="AQ28" s="697" t="n">
        <v>20</v>
      </c>
      <c r="AR28" s="697" t="n">
        <v>19</v>
      </c>
      <c r="AS28" s="697" t="n">
        <v>19</v>
      </c>
      <c r="AT28" s="697" t="n">
        <v>17</v>
      </c>
      <c r="AU28" s="697" t="n">
        <v>14</v>
      </c>
      <c r="AV28" s="697" t="n">
        <v>13</v>
      </c>
      <c r="AW28" s="697" t="n">
        <v>13</v>
      </c>
      <c r="AX28" s="697" t="n">
        <v>2</v>
      </c>
      <c r="AY28" s="697">
        <f>1+5</f>
        <v/>
      </c>
      <c r="AZ28" s="697" t="n">
        <v>4</v>
      </c>
      <c r="BA28" s="697" t="n">
        <v>1</v>
      </c>
      <c r="BB28" s="697" t="n">
        <v>1</v>
      </c>
      <c r="BC28" s="697" t="n">
        <v>1</v>
      </c>
      <c r="BD28" s="697" t="n">
        <v>1</v>
      </c>
      <c r="BE28" s="697" t="n">
        <v>1</v>
      </c>
      <c r="BF28" s="697" t="n">
        <v>1</v>
      </c>
      <c r="BG28" s="697" t="n">
        <v>1</v>
      </c>
      <c r="BH28" s="697" t="n">
        <v>1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/>
      <c r="BT28" s="697" t="n"/>
      <c r="BU28" s="697" t="n"/>
      <c r="BV28" s="697" t="n"/>
      <c r="BW28" s="697" t="n"/>
      <c r="BX28" s="697" t="n">
        <v>0</v>
      </c>
      <c r="BY28" s="192">
        <f>BW28+IF(NOT(ISBLANK(OFFSET(BY28,0,6))),N(OFFSET(BY28,0,6)),N(OFFSET(BY28,0,7)))-BX28</f>
        <v/>
      </c>
      <c r="BZ28" s="5" t="n"/>
      <c r="CA28" s="22" t="n"/>
      <c r="CB28" s="22" t="n"/>
      <c r="CC28" s="5" t="n"/>
      <c r="CD28" s="27" t="n"/>
      <c r="CE28" s="726" t="n"/>
      <c r="CF28" s="40" t="n">
        <v>0</v>
      </c>
      <c r="CG28" s="40" t="n">
        <v>0</v>
      </c>
      <c r="CH28" s="40" t="n">
        <v>0</v>
      </c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192" t="inlineStr">
        <is>
          <t>05 DE CDB</t>
        </is>
      </c>
      <c r="DL28" s="40" t="n"/>
      <c r="DM28" s="40" t="n"/>
      <c r="DN28" s="40" t="n"/>
      <c r="DO28" s="40" t="n"/>
      <c r="DP28" s="40" t="n"/>
      <c r="DQ28" s="40" t="n"/>
      <c r="DR28" s="40" t="n"/>
      <c r="DS28" s="219" t="n">
        <v>200</v>
      </c>
      <c r="DT28" s="40" t="n"/>
      <c r="DU28" s="40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219" t="n"/>
      <c r="FH28" s="23" t="n"/>
      <c r="FI28" s="219" t="n">
        <v>15</v>
      </c>
      <c r="FJ28" s="40" t="n"/>
      <c r="FK28" s="40" t="n"/>
      <c r="FL28" s="40" t="n"/>
      <c r="FM28" s="40" t="n"/>
      <c r="FN28" s="40" t="n"/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219" t="n"/>
      <c r="FX28" s="40" t="n"/>
      <c r="FY28" s="219" t="n"/>
      <c r="FZ28" s="40" t="n"/>
      <c r="GA28" s="40" t="n"/>
      <c r="GB28" s="40" t="n"/>
      <c r="GC28" s="40" t="n">
        <v>50</v>
      </c>
      <c r="GD28" s="40" t="n"/>
      <c r="GE28" s="40" t="n"/>
      <c r="GF28" s="40" t="n"/>
      <c r="GG28" s="40" t="n"/>
      <c r="GH28" s="40" t="n"/>
      <c r="GI28" s="40" t="n"/>
      <c r="GJ28" s="40" t="n"/>
      <c r="GK28" s="40" t="n"/>
      <c r="GL28" s="40" t="n"/>
      <c r="GM28" s="40" t="n"/>
      <c r="GN28" s="40" t="n"/>
      <c r="GP28" s="37" t="inlineStr">
        <is>
          <t>KIT TAGS 15 PC C/ 10</t>
        </is>
      </c>
      <c r="GQ28" s="208" t="n">
        <v>150</v>
      </c>
      <c r="GR28" s="699" t="n">
        <v>0</v>
      </c>
      <c r="GS28" s="699" t="n">
        <v>0</v>
      </c>
      <c r="GT28" s="699" t="n">
        <v>0</v>
      </c>
      <c r="GU28" s="699" t="n">
        <v>0</v>
      </c>
      <c r="GV28" s="699" t="n">
        <v>0</v>
      </c>
      <c r="GW28" s="699" t="n">
        <v>0</v>
      </c>
      <c r="GX28" s="699" t="n">
        <v>0</v>
      </c>
      <c r="GY28" s="699" t="n">
        <v>0</v>
      </c>
      <c r="GZ28" s="699" t="n">
        <v>0</v>
      </c>
      <c r="HA28" s="699" t="n">
        <v>0</v>
      </c>
      <c r="HB28" s="699" t="n">
        <v>0</v>
      </c>
      <c r="HC28" s="699" t="n">
        <v>0</v>
      </c>
      <c r="HD28" s="699" t="n">
        <v>0</v>
      </c>
      <c r="HE28" s="699" t="n">
        <v>0</v>
      </c>
      <c r="HF28" s="699" t="n">
        <v>0</v>
      </c>
      <c r="HG28" s="699" t="n">
        <v>0</v>
      </c>
      <c r="HH28" s="699" t="n">
        <v>0</v>
      </c>
      <c r="HI28" s="303" t="n">
        <v>0</v>
      </c>
      <c r="HK28" s="37" t="inlineStr">
        <is>
          <t>KIT TAGS 15 PC C/ 10</t>
        </is>
      </c>
      <c r="HL28" s="208" t="n">
        <v>150</v>
      </c>
      <c r="HM28" s="699">
        <f>FI28</f>
        <v/>
      </c>
      <c r="HN28" s="699" t="n">
        <v>14</v>
      </c>
      <c r="HO28" s="699" t="n">
        <v>11</v>
      </c>
      <c r="HP28" s="699" t="n">
        <v>6</v>
      </c>
      <c r="HQ28" s="699" t="n">
        <v>3</v>
      </c>
      <c r="HR28" s="699" t="n">
        <v>2</v>
      </c>
      <c r="HS28" s="699" t="n">
        <v>2</v>
      </c>
      <c r="HT28" s="369">
        <f>HR28-HS28</f>
        <v/>
      </c>
      <c r="IG28" s="2" t="n"/>
      <c r="IH28" s="37" t="inlineStr">
        <is>
          <t>CAIXA M</t>
        </is>
      </c>
      <c r="II28" s="208" t="n">
        <v>100</v>
      </c>
      <c r="IJ28" s="699" t="n">
        <v>0</v>
      </c>
      <c r="IK28" s="699">
        <f>DS28</f>
        <v/>
      </c>
      <c r="IL28" s="699" t="n"/>
      <c r="IM28" s="445" t="n"/>
      <c r="IO28" s="449" t="inlineStr">
        <is>
          <t>50 P/ CD</t>
        </is>
      </c>
    </row>
    <row r="29" ht="20.25" customFormat="1" customHeight="1" s="3">
      <c r="A29" s="37" t="inlineStr">
        <is>
          <t>KIT TAGS  (21 c/ 50 un)</t>
        </is>
      </c>
      <c r="B29" s="699" t="n">
        <v>1050</v>
      </c>
      <c r="C29" s="762" t="n">
        <v>52.14</v>
      </c>
      <c r="D29" s="382" t="n">
        <v>10</v>
      </c>
      <c r="E29" s="2" t="n"/>
      <c r="F29" s="697" t="n">
        <v>33</v>
      </c>
      <c r="G29" s="697" t="n">
        <v>33</v>
      </c>
      <c r="H29" s="697" t="n">
        <v>33</v>
      </c>
      <c r="I29" s="697" t="n">
        <v>33</v>
      </c>
      <c r="J29" s="697" t="n">
        <v>33</v>
      </c>
      <c r="K29" s="697" t="n">
        <v>33</v>
      </c>
      <c r="L29" s="697" t="n">
        <v>33</v>
      </c>
      <c r="M29" s="697" t="n">
        <v>32</v>
      </c>
      <c r="N29" s="697" t="n">
        <v>32</v>
      </c>
      <c r="O29" s="697" t="n">
        <v>32</v>
      </c>
      <c r="P29" s="697" t="n">
        <v>32</v>
      </c>
      <c r="Q29" s="697" t="n">
        <v>32</v>
      </c>
      <c r="R29" s="697" t="n">
        <v>32</v>
      </c>
      <c r="S29" s="697" t="n">
        <v>32</v>
      </c>
      <c r="T29" s="697" t="n">
        <v>32</v>
      </c>
      <c r="U29" s="697" t="n">
        <v>32</v>
      </c>
      <c r="V29" s="697" t="n">
        <v>32</v>
      </c>
      <c r="W29" s="697" t="n">
        <v>32</v>
      </c>
      <c r="X29" s="697" t="n">
        <v>30</v>
      </c>
      <c r="Y29" s="697" t="n">
        <v>29</v>
      </c>
      <c r="Z29" s="697" t="n">
        <v>29</v>
      </c>
      <c r="AA29" s="697" t="n">
        <v>29</v>
      </c>
      <c r="AB29" s="697" t="n">
        <v>29</v>
      </c>
      <c r="AC29" s="697" t="n">
        <v>29</v>
      </c>
      <c r="AD29" s="697" t="n">
        <v>28</v>
      </c>
      <c r="AE29" s="697" t="n">
        <v>28</v>
      </c>
      <c r="AF29" s="697" t="n">
        <v>27</v>
      </c>
      <c r="AG29" s="697" t="n">
        <v>27</v>
      </c>
      <c r="AH29" s="697" t="n">
        <v>27</v>
      </c>
      <c r="AI29" s="697" t="n">
        <v>27</v>
      </c>
      <c r="AJ29" s="697" t="n">
        <v>27</v>
      </c>
      <c r="AK29" s="697" t="n">
        <v>27</v>
      </c>
      <c r="AL29" s="697" t="n">
        <v>26</v>
      </c>
      <c r="AM29" s="697" t="n">
        <v>26</v>
      </c>
      <c r="AN29" s="697" t="n">
        <v>26</v>
      </c>
      <c r="AO29" s="697" t="n">
        <v>26</v>
      </c>
      <c r="AP29" s="697" t="n">
        <v>26</v>
      </c>
      <c r="AQ29" s="697" t="n">
        <v>26</v>
      </c>
      <c r="AR29" s="697" t="n">
        <v>26</v>
      </c>
      <c r="AS29" s="697" t="n">
        <v>26</v>
      </c>
      <c r="AT29" s="697" t="n">
        <v>26</v>
      </c>
      <c r="AU29" s="697" t="n">
        <v>24</v>
      </c>
      <c r="AV29" s="697" t="n">
        <v>23</v>
      </c>
      <c r="AW29" s="697" t="n">
        <v>23</v>
      </c>
      <c r="AX29" s="697" t="n">
        <v>18</v>
      </c>
      <c r="AY29" s="697" t="n">
        <v>15</v>
      </c>
      <c r="AZ29" s="697" t="n">
        <v>13</v>
      </c>
      <c r="BA29" s="697" t="n">
        <v>6</v>
      </c>
      <c r="BB29" s="697" t="n">
        <v>5</v>
      </c>
      <c r="BC29" s="697" t="n">
        <v>5</v>
      </c>
      <c r="BD29" s="697" t="n">
        <v>1</v>
      </c>
      <c r="BE29" s="697" t="n">
        <v>0</v>
      </c>
      <c r="BF29" s="697" t="n">
        <v>0</v>
      </c>
      <c r="BG29" s="697" t="n">
        <v>0</v>
      </c>
      <c r="BH29" s="697" t="n">
        <v>0</v>
      </c>
      <c r="BI29" s="697" t="n">
        <v>0</v>
      </c>
      <c r="BJ29" s="697">
        <f>0+CU29</f>
        <v/>
      </c>
      <c r="BK29" s="697" t="n">
        <v>20</v>
      </c>
      <c r="BL29" s="697" t="n">
        <v>20</v>
      </c>
      <c r="BM29" s="697" t="n">
        <v>19</v>
      </c>
      <c r="BN29" s="697" t="n">
        <v>19</v>
      </c>
      <c r="BO29" s="697" t="n">
        <v>17</v>
      </c>
      <c r="BP29" s="697" t="n">
        <v>17</v>
      </c>
      <c r="BQ29" s="697" t="n">
        <v>15</v>
      </c>
      <c r="BR29" s="697" t="n">
        <v>15</v>
      </c>
      <c r="BS29" s="697" t="n"/>
      <c r="BT29" s="697" t="n"/>
      <c r="BU29" s="697" t="n"/>
      <c r="BV29" s="697" t="n"/>
      <c r="BW29" s="697" t="n"/>
      <c r="BX29" s="697" t="n">
        <v>10</v>
      </c>
      <c r="BY29" s="192">
        <f>BW29+IF(NOT(ISBLANK(OFFSET(BY29,0,6))),N(OFFSET(BY29,0,6)),N(OFFSET(BY29,0,7)))-BX29</f>
        <v/>
      </c>
      <c r="BZ29" s="5" t="n"/>
      <c r="CA29" s="22" t="n"/>
      <c r="CB29" s="22" t="n"/>
      <c r="CC29" s="5" t="n"/>
      <c r="CD29" s="27" t="n"/>
      <c r="CE29" s="726" t="n"/>
      <c r="CF29" s="40" t="n">
        <v>0</v>
      </c>
      <c r="CG29" s="40" t="n">
        <v>0</v>
      </c>
      <c r="CH29" s="40" t="n">
        <v>0</v>
      </c>
      <c r="CI29" s="40" t="n"/>
      <c r="CJ29" s="40" t="n"/>
      <c r="CK29" s="40" t="n"/>
      <c r="CL29" s="40" t="n"/>
      <c r="CM29" s="40" t="n"/>
      <c r="CN29" s="40" t="n"/>
      <c r="CO29" s="40" t="n"/>
      <c r="CP29" s="40" t="n"/>
      <c r="CQ29" s="40" t="n"/>
      <c r="CR29" s="40" t="n"/>
      <c r="CS29" s="40" t="n"/>
      <c r="CT29" s="40" t="n"/>
      <c r="CU29" s="40" t="n">
        <v>20</v>
      </c>
      <c r="CV29" s="40" t="n"/>
      <c r="CW29" s="40" t="n"/>
      <c r="CX29" s="40" t="n"/>
      <c r="CY29" s="40" t="n"/>
      <c r="CZ29" s="40" t="n"/>
      <c r="DA29" s="40" t="n"/>
      <c r="DB29" s="40" t="n"/>
      <c r="DC29" s="40" t="n"/>
      <c r="DD29" s="40" t="n"/>
      <c r="DE29" s="40" t="n"/>
      <c r="DF29" s="40" t="n"/>
      <c r="DG29" s="40" t="n"/>
      <c r="DH29" s="40" t="n"/>
      <c r="DI29" s="40" t="n"/>
      <c r="DJ29" s="40" t="n"/>
      <c r="DK29" s="219" t="n"/>
      <c r="DL29" s="40" t="n"/>
      <c r="DM29" s="40" t="n"/>
      <c r="DN29" s="40" t="n"/>
      <c r="DO29" s="40" t="n"/>
      <c r="DP29" s="40" t="n"/>
      <c r="DQ29" s="40" t="n"/>
      <c r="DR29" s="40" t="n"/>
      <c r="DS29" s="219" t="n">
        <v>200</v>
      </c>
      <c r="DT29" s="40" t="n"/>
      <c r="DU29" s="40" t="n"/>
      <c r="DV29" s="40" t="n"/>
      <c r="DW29" s="40" t="n"/>
      <c r="DX29" s="40" t="n"/>
      <c r="DY29" s="40" t="n"/>
      <c r="DZ29" s="40" t="n"/>
      <c r="EA29" s="40" t="n"/>
      <c r="EB29" s="40" t="n"/>
      <c r="EC29" s="40" t="n"/>
      <c r="ED29" s="40" t="n"/>
      <c r="EE29" s="40" t="n"/>
      <c r="EF29" s="40" t="n"/>
      <c r="EG29" s="40" t="n"/>
      <c r="EH29" s="40" t="n"/>
      <c r="EI29" s="40" t="n"/>
      <c r="EJ29" s="40" t="n"/>
      <c r="EK29" s="40" t="n"/>
      <c r="EL29" s="40" t="n"/>
      <c r="EM29" s="40" t="n"/>
      <c r="EN29" s="40" t="n"/>
      <c r="EO29" s="40" t="n"/>
      <c r="EP29" s="40" t="n"/>
      <c r="EQ29" s="40" t="n"/>
      <c r="ER29" s="40" t="n"/>
      <c r="ES29" s="40" t="n"/>
      <c r="ET29" s="40" t="n"/>
      <c r="EU29" s="40" t="n"/>
      <c r="EV29" s="40" t="n"/>
      <c r="EW29" s="40" t="n"/>
      <c r="EX29" s="40" t="n"/>
      <c r="EY29" s="40" t="n"/>
      <c r="EZ29" s="40" t="n"/>
      <c r="FA29" s="40" t="n"/>
      <c r="FB29" s="40" t="n"/>
      <c r="FC29" s="40" t="n"/>
      <c r="FD29" s="40" t="n"/>
      <c r="FE29" s="40" t="n"/>
      <c r="FF29" s="40" t="n"/>
      <c r="FG29" s="40" t="n"/>
      <c r="FH29" s="23" t="n"/>
      <c r="FI29" s="219" t="n"/>
      <c r="FJ29" s="40" t="n"/>
      <c r="FK29" s="40" t="n"/>
      <c r="FL29" s="40" t="n"/>
      <c r="FM29" s="40" t="n"/>
      <c r="FN29" s="40" t="n"/>
      <c r="FO29" s="40" t="n"/>
      <c r="FP29" s="40" t="n"/>
      <c r="FQ29" s="40" t="n"/>
      <c r="FR29" s="40" t="n"/>
      <c r="FS29" s="40" t="n"/>
      <c r="FT29" s="40" t="n"/>
      <c r="FU29" s="40" t="n"/>
      <c r="FV29" s="40" t="n"/>
      <c r="FW29" s="219" t="n"/>
      <c r="FX29" s="40" t="n"/>
      <c r="FY29" s="219" t="n"/>
      <c r="FZ29" s="40" t="n"/>
      <c r="GA29" s="40" t="n"/>
      <c r="GB29" s="40" t="n"/>
      <c r="GC29" s="40" t="n"/>
      <c r="GD29" s="40" t="n"/>
      <c r="GE29" s="40" t="n"/>
      <c r="GF29" s="40" t="n"/>
      <c r="GG29" s="40" t="n"/>
      <c r="GH29" s="40" t="n"/>
      <c r="GI29" s="40" t="n"/>
      <c r="GJ29" s="40" t="n"/>
      <c r="GK29" s="40" t="n"/>
      <c r="GL29" s="40" t="n"/>
      <c r="GM29" s="40" t="n"/>
      <c r="GN29" s="40" t="n"/>
      <c r="GP29" s="35" t="n"/>
      <c r="HK29" s="35" t="n"/>
      <c r="HV29" s="35" t="n"/>
      <c r="IH29" s="37" t="inlineStr">
        <is>
          <t>CARTUCHO P</t>
        </is>
      </c>
      <c r="II29" s="208" t="n">
        <v>200</v>
      </c>
      <c r="IJ29" s="699" t="n">
        <v>0</v>
      </c>
      <c r="IK29" s="699">
        <f>DS29</f>
        <v/>
      </c>
      <c r="IL29" s="699" t="n"/>
      <c r="IM29" s="445" t="n"/>
    </row>
    <row r="30" ht="20.25" customFormat="1" customHeight="1" s="3">
      <c r="A30" s="35" t="n"/>
      <c r="B30" s="2" t="n"/>
      <c r="C30" s="759" t="n"/>
      <c r="D30" s="450" t="n"/>
      <c r="E30" s="2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  <c r="AA30" s="4" t="n"/>
      <c r="AB30" s="4" t="n"/>
      <c r="AC30" s="4" t="n"/>
      <c r="AD30" s="4" t="n"/>
      <c r="AE30" s="4" t="n"/>
      <c r="AF30" s="4" t="n"/>
      <c r="AG30" s="4" t="n"/>
      <c r="AH30" s="4" t="n"/>
      <c r="AI30" s="4" t="n"/>
      <c r="AJ30" s="4" t="n"/>
      <c r="AK30" s="4" t="n"/>
      <c r="AL30" s="4" t="n"/>
      <c r="AM30" s="4" t="n"/>
      <c r="AN30" s="4" t="n"/>
      <c r="AO30" s="4" t="n"/>
      <c r="AP30" s="4" t="n"/>
      <c r="AQ30" s="4" t="n"/>
      <c r="AR30" s="4" t="n"/>
      <c r="AS30" s="4" t="n"/>
      <c r="AT30" s="4" t="n"/>
      <c r="AU30" s="4" t="n"/>
      <c r="AV30" s="4" t="n"/>
      <c r="AW30" s="4" t="n"/>
      <c r="AX30" s="4" t="n"/>
      <c r="AY30" s="4" t="n"/>
      <c r="AZ30" s="4" t="n"/>
      <c r="BA30" s="4" t="n"/>
      <c r="BB30" s="4" t="n"/>
      <c r="BC30" s="4" t="n"/>
      <c r="BD30" s="4" t="n"/>
      <c r="BE30" s="4" t="n"/>
      <c r="BF30" s="4" t="n"/>
      <c r="BG30" s="4" t="n"/>
      <c r="BH30" s="4" t="n"/>
      <c r="BI30" s="4" t="n"/>
      <c r="BJ30" s="4" t="n"/>
      <c r="BK30" s="4" t="n"/>
      <c r="BL30" s="4" t="n"/>
      <c r="BM30" s="4" t="n"/>
      <c r="BN30" s="4" t="n"/>
      <c r="BO30" s="4" t="n"/>
      <c r="BP30" s="4" t="n"/>
      <c r="BQ30" s="4" t="n"/>
      <c r="BR30" s="4" t="n"/>
      <c r="BS30" s="4" t="n"/>
      <c r="BT30" s="4" t="n"/>
      <c r="BU30" s="4" t="n"/>
      <c r="BV30" s="4" t="n"/>
      <c r="BW30" s="4" t="n"/>
      <c r="BX30" s="4" t="n"/>
      <c r="CB30" s="150" t="n"/>
      <c r="CC30" s="5" t="n"/>
      <c r="CD30" s="18" t="n"/>
      <c r="CE30" s="726" t="n"/>
      <c r="CF30" s="20" t="n"/>
      <c r="CG30" s="20" t="n"/>
      <c r="CH30" s="20" t="n"/>
      <c r="CI30" s="20" t="n"/>
      <c r="CJ30" s="20" t="n"/>
      <c r="CK30" s="20" t="n"/>
      <c r="CL30" s="20" t="n"/>
      <c r="CM30" s="20" t="n"/>
      <c r="CN30" s="20" t="n"/>
      <c r="CO30" s="20" t="n"/>
      <c r="CP30" s="20" t="n"/>
      <c r="CQ30" s="20" t="n"/>
      <c r="CR30" s="20" t="n"/>
      <c r="CS30" s="20" t="n"/>
      <c r="CT30" s="20" t="n"/>
      <c r="CU30" s="20" t="n"/>
      <c r="CV30" s="20" t="n"/>
      <c r="CW30" s="20" t="n"/>
      <c r="CX30" s="20" t="n"/>
      <c r="CY30" s="20" t="n"/>
      <c r="CZ30" s="20" t="n"/>
      <c r="DA30" s="20" t="n"/>
      <c r="DB30" s="20" t="n"/>
      <c r="DC30" s="20" t="n"/>
      <c r="DD30" s="20" t="n"/>
      <c r="DE30" s="20" t="n"/>
      <c r="DF30" s="20" t="n"/>
      <c r="DG30" s="20" t="n"/>
      <c r="DH30" s="20" t="n"/>
      <c r="DI30" s="20" t="n"/>
      <c r="DJ30" s="20" t="n"/>
      <c r="DK30" s="308" t="n"/>
      <c r="DL30" s="20" t="n"/>
      <c r="DM30" s="20" t="n"/>
      <c r="DN30" s="20" t="n"/>
      <c r="DO30" s="20" t="n"/>
      <c r="DP30" s="20" t="n"/>
      <c r="DQ30" s="20" t="n"/>
      <c r="DR30" s="20" t="n"/>
      <c r="DS30" s="219" t="n">
        <v>150</v>
      </c>
      <c r="DT30" s="20" t="n"/>
      <c r="DU30" s="20" t="n"/>
      <c r="DV30" s="20" t="n"/>
      <c r="DW30" s="20" t="n"/>
      <c r="DX30" s="20" t="n"/>
      <c r="DY30" s="20" t="n"/>
      <c r="DZ30" s="20" t="n"/>
      <c r="EA30" s="20" t="n"/>
      <c r="EB30" s="20" t="n"/>
      <c r="EC30" s="20" t="n"/>
      <c r="ED30" s="20" t="n"/>
      <c r="EE30" s="20" t="n"/>
      <c r="EF30" s="20" t="n"/>
      <c r="EG30" s="20" t="n"/>
      <c r="EH30" s="20" t="n"/>
      <c r="EI30" s="20" t="n"/>
      <c r="EJ30" s="20" t="n"/>
      <c r="EK30" s="20" t="n"/>
      <c r="EL30" s="20" t="n"/>
      <c r="EM30" s="20" t="n"/>
      <c r="EN30" s="20" t="n"/>
      <c r="EO30" s="20" t="n"/>
      <c r="EP30" s="20" t="n"/>
      <c r="EQ30" s="20" t="n"/>
      <c r="ER30" s="20" t="n"/>
      <c r="ES30" s="20" t="n"/>
      <c r="ET30" s="20" t="n"/>
      <c r="EU30" s="20" t="n"/>
      <c r="EV30" s="20" t="n"/>
      <c r="EW30" s="20" t="n"/>
      <c r="EX30" s="20" t="n"/>
      <c r="EY30" s="20" t="n"/>
      <c r="EZ30" s="20" t="n"/>
      <c r="FA30" s="20" t="n"/>
      <c r="FB30" s="20" t="n"/>
      <c r="FC30" s="20" t="n"/>
      <c r="FD30" s="20" t="n"/>
      <c r="FE30" s="20" t="n"/>
      <c r="FF30" s="20" t="n"/>
      <c r="FG30" s="20" t="n"/>
      <c r="FH30" s="47" t="n"/>
      <c r="FI30" s="308" t="n"/>
      <c r="FJ30" s="20" t="n"/>
      <c r="FK30" s="20" t="n"/>
      <c r="FL30" s="20" t="n"/>
      <c r="FM30" s="20" t="n"/>
      <c r="FN30" s="20" t="n"/>
      <c r="FO30" s="20" t="n"/>
      <c r="FP30" s="20" t="n"/>
      <c r="FQ30" s="20" t="n"/>
      <c r="FR30" s="20" t="n"/>
      <c r="FS30" s="20" t="n"/>
      <c r="FT30" s="20" t="n"/>
      <c r="FU30" s="20" t="n"/>
      <c r="FV30" s="20" t="n"/>
      <c r="FW30" s="308" t="n"/>
      <c r="FX30" s="20" t="n"/>
      <c r="FY30" s="308" t="n"/>
      <c r="FZ30" s="20" t="n"/>
      <c r="GA30" s="20" t="n"/>
      <c r="GB30" s="20" t="n"/>
      <c r="GC30" s="20" t="n"/>
      <c r="GD30" s="20" t="n"/>
      <c r="GE30" s="20" t="n"/>
      <c r="GF30" s="20" t="n"/>
      <c r="GG30" s="20" t="n"/>
      <c r="GH30" s="20" t="n"/>
      <c r="GI30" s="20" t="n"/>
      <c r="GJ30" s="20" t="n"/>
      <c r="GK30" s="20" t="n"/>
      <c r="GL30" s="20" t="n"/>
      <c r="GM30" s="20" t="n"/>
      <c r="GN30" s="20" t="n"/>
      <c r="GP30" s="35" t="n"/>
      <c r="HK30" s="35" t="n"/>
      <c r="HV30" s="35" t="n"/>
      <c r="IH30" s="37" t="inlineStr">
        <is>
          <t>CARTUCHO M</t>
        </is>
      </c>
      <c r="II30" s="208" t="n">
        <v>150</v>
      </c>
      <c r="IJ30" s="699" t="n">
        <v>0</v>
      </c>
      <c r="IK30" s="699">
        <f>DS30</f>
        <v/>
      </c>
      <c r="IL30" s="699" t="n"/>
      <c r="IM30" s="445" t="n"/>
    </row>
    <row r="31" customFormat="1" s="3">
      <c r="A31" s="36" t="inlineStr">
        <is>
          <t>CAIXAS BOTICÁRIO</t>
        </is>
      </c>
      <c r="B31" s="13" t="n"/>
      <c r="C31" s="13" t="n"/>
      <c r="D31" s="13" t="n"/>
      <c r="E31" s="2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45915</v>
      </c>
      <c r="AQ31" s="746" t="n">
        <v>45922</v>
      </c>
      <c r="AR31" s="746" t="n">
        <v>45929</v>
      </c>
      <c r="AS31" s="746" t="n">
        <v>45936</v>
      </c>
      <c r="AT31" s="746" t="n">
        <v>45943</v>
      </c>
      <c r="AU31" s="746" t="n">
        <v>45950</v>
      </c>
      <c r="AV31" s="746" t="n">
        <v>45957</v>
      </c>
      <c r="AW31" s="746" t="n">
        <v>45964</v>
      </c>
      <c r="AX31" s="746" t="n">
        <v>45971</v>
      </c>
      <c r="AY31" s="746" t="n">
        <v>45978</v>
      </c>
      <c r="AZ31" s="746" t="n">
        <v>45985</v>
      </c>
      <c r="BA31" s="746" t="n">
        <v>45992</v>
      </c>
      <c r="BB31" s="746" t="n">
        <v>45999</v>
      </c>
      <c r="BC31" s="746" t="n">
        <v>46006</v>
      </c>
      <c r="BD31" s="746" t="n">
        <v>46013</v>
      </c>
      <c r="BE31" s="746" t="n">
        <v>46020</v>
      </c>
      <c r="BF31" s="746" t="n">
        <v>46027</v>
      </c>
      <c r="BG31" s="746" t="n">
        <v>46034</v>
      </c>
      <c r="BH31" s="746" t="n">
        <v>46041</v>
      </c>
      <c r="BI31" s="746" t="n">
        <v>46048</v>
      </c>
      <c r="BJ31" s="746" t="n">
        <v>46055</v>
      </c>
      <c r="BK31" s="746" t="n">
        <v>46062</v>
      </c>
      <c r="BL31" s="746" t="n">
        <v>46069</v>
      </c>
      <c r="BM31" s="746" t="n">
        <v>46076</v>
      </c>
      <c r="BN31" s="746" t="n">
        <v>46083</v>
      </c>
      <c r="BO31" s="746" t="n">
        <v>46090</v>
      </c>
      <c r="BP31" s="746" t="n">
        <v>46097</v>
      </c>
      <c r="BQ31" s="746" t="n">
        <v>46104</v>
      </c>
      <c r="BR31" s="746" t="n">
        <v>46111</v>
      </c>
      <c r="BS31" s="746" t="n">
        <v>46118</v>
      </c>
      <c r="BT31" s="746" t="n">
        <v>46125</v>
      </c>
      <c r="BU31" s="746" t="n">
        <v>46132</v>
      </c>
      <c r="BV31" s="746" t="n">
        <v>46139</v>
      </c>
      <c r="BW31" s="746" t="n">
        <v>46146</v>
      </c>
      <c r="BX31" s="746" t="n">
        <v>46154</v>
      </c>
      <c r="BY31" s="748" t="inlineStr">
        <is>
          <t>USOU</t>
        </is>
      </c>
      <c r="CA31" s="44" t="inlineStr">
        <is>
          <t>Pendências</t>
        </is>
      </c>
      <c r="CB31" s="44" t="inlineStr">
        <is>
          <t>Pendências</t>
        </is>
      </c>
      <c r="CC31" s="5" t="n"/>
      <c r="CD31" s="12" t="inlineStr">
        <is>
          <t>Novo Pedido</t>
        </is>
      </c>
      <c r="CE31" s="2" t="n"/>
      <c r="CF31" s="794" t="n">
        <v>46149</v>
      </c>
      <c r="CG31" s="794" t="n">
        <v>46142</v>
      </c>
      <c r="CH31" s="794" t="n">
        <v>46114</v>
      </c>
      <c r="CI31" s="794" t="n">
        <v>46107</v>
      </c>
      <c r="CJ31" s="795" t="n">
        <v>46065</v>
      </c>
      <c r="CK31" s="794" t="n">
        <v>46099</v>
      </c>
      <c r="CL31" s="794" t="n">
        <v>46092</v>
      </c>
      <c r="CM31" s="796" t="n">
        <v>46045</v>
      </c>
      <c r="CN31" s="794" t="n">
        <v>46084</v>
      </c>
      <c r="CO31" s="797" t="n">
        <v>46085</v>
      </c>
      <c r="CP31" s="794" t="n">
        <v>46077</v>
      </c>
      <c r="CQ31" s="794" t="n">
        <v>46071</v>
      </c>
      <c r="CR31" s="794" t="n">
        <v>46056</v>
      </c>
      <c r="CS31" s="794" t="n">
        <v>46048</v>
      </c>
      <c r="CT31" s="794" t="n">
        <v>46056</v>
      </c>
      <c r="CU31" s="794" t="n">
        <v>46048</v>
      </c>
      <c r="CV31" s="794" t="n">
        <v>46043</v>
      </c>
      <c r="CW31" s="794" t="n">
        <v>46035</v>
      </c>
      <c r="CX31" s="794" t="n">
        <v>46043</v>
      </c>
      <c r="CY31" s="794" t="n">
        <v>46035</v>
      </c>
      <c r="CZ31" s="794" t="n">
        <v>46035</v>
      </c>
      <c r="DA31" s="794" t="n">
        <v>46029</v>
      </c>
      <c r="DB31" s="794" t="n">
        <v>46017</v>
      </c>
      <c r="DC31" s="794" t="n">
        <v>46007</v>
      </c>
      <c r="DD31" s="794" t="n">
        <v>46007</v>
      </c>
      <c r="DE31" s="794" t="n">
        <v>46001</v>
      </c>
      <c r="DF31" s="794" t="n">
        <v>46001</v>
      </c>
      <c r="DG31" s="794" t="n">
        <v>45994</v>
      </c>
      <c r="DH31" s="794" t="n">
        <v>45994</v>
      </c>
      <c r="DI31" s="794" t="n">
        <v>45986</v>
      </c>
      <c r="DJ31" s="794" t="n">
        <v>45980</v>
      </c>
      <c r="DK31" s="797" t="n">
        <v>45982</v>
      </c>
      <c r="DL31" s="794" t="n">
        <v>45973</v>
      </c>
      <c r="DM31" s="794" t="n">
        <v>45965</v>
      </c>
      <c r="DN31" s="794" t="n">
        <v>45965</v>
      </c>
      <c r="DO31" s="794" t="n">
        <v>45960</v>
      </c>
      <c r="DP31" s="794" t="n">
        <v>45960</v>
      </c>
      <c r="DQ31" s="794" t="n">
        <v>45951</v>
      </c>
      <c r="DR31" s="794" t="n">
        <v>45945</v>
      </c>
      <c r="DS31" s="737" t="n">
        <v>45903</v>
      </c>
      <c r="DT31" s="794" t="n">
        <v>45945</v>
      </c>
      <c r="DU31" s="794" t="n">
        <v>45937</v>
      </c>
      <c r="DV31" s="794" t="n">
        <v>45923</v>
      </c>
      <c r="DW31" s="794" t="n">
        <v>45931</v>
      </c>
      <c r="DX31" s="794" t="n">
        <v>45931</v>
      </c>
      <c r="DY31" s="794" t="n">
        <v>45915</v>
      </c>
      <c r="DZ31" s="794" t="n">
        <v>45923</v>
      </c>
      <c r="EA31" s="794" t="n">
        <v>45915</v>
      </c>
      <c r="EB31" s="797" t="n">
        <v>45918</v>
      </c>
      <c r="EC31" s="794" t="n">
        <v>45903</v>
      </c>
      <c r="ED31" s="738" t="n">
        <v>45903</v>
      </c>
      <c r="EE31" s="794" t="n">
        <v>45895</v>
      </c>
      <c r="EF31" s="797" t="n">
        <v>45896</v>
      </c>
      <c r="EG31" s="794" t="n">
        <v>45888</v>
      </c>
      <c r="EH31" s="794" t="n">
        <v>45888</v>
      </c>
      <c r="EI31" s="794" t="n">
        <v>45881</v>
      </c>
      <c r="EJ31" s="797" t="n">
        <v>45881</v>
      </c>
      <c r="EK31" s="794" t="n">
        <v>45874</v>
      </c>
      <c r="EL31" s="797" t="n">
        <v>45876</v>
      </c>
      <c r="EM31" s="794" t="n">
        <v>45867</v>
      </c>
      <c r="EN31" s="794" t="n">
        <v>45860</v>
      </c>
      <c r="EO31" s="794" t="n">
        <v>45839</v>
      </c>
      <c r="EP31" s="797" t="n">
        <v>45861</v>
      </c>
      <c r="EQ31" s="797" t="n">
        <v>45860</v>
      </c>
      <c r="ER31" s="794" t="n">
        <v>45853</v>
      </c>
      <c r="ES31" s="739" t="n">
        <v>45855</v>
      </c>
      <c r="ET31" s="794" t="n">
        <v>45848</v>
      </c>
      <c r="EU31" s="794" t="n">
        <v>45839</v>
      </c>
      <c r="EV31" s="739" t="n">
        <v>45791</v>
      </c>
      <c r="EW31" s="797" t="n">
        <v>45835</v>
      </c>
      <c r="EX31" s="794" t="n">
        <v>45832</v>
      </c>
      <c r="EY31" s="794" t="n">
        <v>45825</v>
      </c>
      <c r="EZ31" s="794" t="n">
        <v>45819</v>
      </c>
      <c r="FA31" s="794" t="n">
        <v>45813</v>
      </c>
      <c r="FB31" s="794" t="n">
        <v>45805</v>
      </c>
      <c r="FC31" s="797" t="n">
        <v>45811</v>
      </c>
      <c r="FD31" s="797" t="n">
        <v>45810</v>
      </c>
      <c r="FE31" s="794" t="n">
        <v>45798</v>
      </c>
      <c r="FF31" s="797" t="n">
        <v>45803</v>
      </c>
      <c r="FG31" s="755" t="n">
        <v>45803</v>
      </c>
      <c r="FH31" s="797" t="n">
        <v>45800</v>
      </c>
      <c r="FI31" s="742" t="n">
        <v>45735</v>
      </c>
      <c r="FJ31" s="797" t="n">
        <v>45796</v>
      </c>
      <c r="FK31" s="794" t="n">
        <v>45790</v>
      </c>
      <c r="FL31" s="794" t="n">
        <v>45784</v>
      </c>
      <c r="FM31" s="797" t="n">
        <v>45791</v>
      </c>
      <c r="FN31" s="794" t="n">
        <v>45783</v>
      </c>
      <c r="FO31" s="794" t="n">
        <v>45770</v>
      </c>
      <c r="FP31" s="794" t="n">
        <v>45775</v>
      </c>
      <c r="FQ31" s="794" t="n">
        <v>45770</v>
      </c>
      <c r="FR31" s="797" t="n">
        <v>45775</v>
      </c>
      <c r="FS31" s="794" t="n">
        <v>45756</v>
      </c>
      <c r="FT31" s="794" t="n">
        <v>45749</v>
      </c>
      <c r="FU31" s="797" t="n">
        <v>45751</v>
      </c>
      <c r="FV31" s="794" t="n">
        <v>45743</v>
      </c>
      <c r="FW31" s="746" t="n">
        <v>45729</v>
      </c>
      <c r="FX31" s="794" t="n">
        <v>45722</v>
      </c>
      <c r="FY31" s="746" t="n">
        <v>45700</v>
      </c>
      <c r="FZ31" s="797" t="n">
        <v>45722</v>
      </c>
      <c r="GA31" s="794" t="n">
        <v>45714</v>
      </c>
      <c r="GB31" s="794" t="n">
        <v>45706</v>
      </c>
      <c r="GC31" s="794" t="n">
        <v>45699</v>
      </c>
      <c r="GD31" s="794" t="n">
        <v>45693</v>
      </c>
      <c r="GE31" s="794" t="n">
        <v>45685</v>
      </c>
      <c r="GF31" s="797" t="n">
        <v>45687</v>
      </c>
      <c r="GG31" s="794" t="n">
        <v>45664</v>
      </c>
      <c r="GH31" s="794" t="n">
        <v>45679</v>
      </c>
      <c r="GI31" s="797" t="n">
        <v>45684</v>
      </c>
      <c r="GJ31" s="794" t="n">
        <v>45664</v>
      </c>
      <c r="GK31" s="794" t="n">
        <v>45660</v>
      </c>
      <c r="GL31" s="794" t="n">
        <v>45652</v>
      </c>
      <c r="GM31" s="794" t="n">
        <v>45643</v>
      </c>
      <c r="GN31" s="794" t="n">
        <v>45638</v>
      </c>
      <c r="GO31" s="5" t="n"/>
      <c r="GP31" s="304" t="inlineStr">
        <is>
          <t>CAIXAS</t>
        </is>
      </c>
      <c r="GQ31" s="544" t="inlineStr">
        <is>
          <t>PCT</t>
        </is>
      </c>
      <c r="GR31" s="536" t="n">
        <v>45726</v>
      </c>
      <c r="GS31" s="536" t="n">
        <v>45733</v>
      </c>
      <c r="GT31" s="536" t="n">
        <v>45740</v>
      </c>
      <c r="GU31" s="536" t="n">
        <v>45747</v>
      </c>
      <c r="GV31" s="536" t="n">
        <v>45754</v>
      </c>
      <c r="GW31" s="536" t="n">
        <v>45761</v>
      </c>
      <c r="GX31" s="536" t="n">
        <v>45768</v>
      </c>
      <c r="GY31" s="536" t="n">
        <v>45775</v>
      </c>
      <c r="GZ31" s="536" t="n">
        <v>45782</v>
      </c>
      <c r="HA31" s="536" t="n">
        <v>45789</v>
      </c>
      <c r="HB31" s="536" t="n">
        <v>45796</v>
      </c>
      <c r="HC31" s="536" t="n">
        <v>45803</v>
      </c>
      <c r="HD31" s="536" t="n">
        <v>45810</v>
      </c>
      <c r="HE31" s="536" t="n">
        <v>45817</v>
      </c>
      <c r="HF31" s="536" t="n">
        <v>45824</v>
      </c>
      <c r="HG31" s="536" t="n">
        <v>45831</v>
      </c>
      <c r="HH31" s="536" t="n">
        <v>45838</v>
      </c>
      <c r="HI31" s="235" t="inlineStr">
        <is>
          <t>USOU</t>
        </is>
      </c>
      <c r="HK31" s="369" t="inlineStr">
        <is>
          <t>CAIXAS</t>
        </is>
      </c>
      <c r="HL31" s="805" t="inlineStr">
        <is>
          <t>PCT</t>
        </is>
      </c>
      <c r="HM31" s="398" t="n">
        <v>45796</v>
      </c>
      <c r="HN31" s="398" t="n">
        <v>45803</v>
      </c>
      <c r="HO31" s="398" t="n">
        <v>45810</v>
      </c>
      <c r="HP31" s="398" t="n">
        <v>45817</v>
      </c>
      <c r="HQ31" s="398" t="n">
        <v>45824</v>
      </c>
      <c r="HR31" s="398" t="n">
        <v>45831</v>
      </c>
      <c r="HS31" s="398" t="n">
        <v>45838</v>
      </c>
      <c r="HT31" s="368" t="inlineStr">
        <is>
          <t>USOU</t>
        </is>
      </c>
      <c r="HV31" s="412" t="inlineStr">
        <is>
          <t>CAIXAS</t>
        </is>
      </c>
      <c r="HW31" s="810" t="inlineStr">
        <is>
          <t>PCT</t>
        </is>
      </c>
      <c r="HX31" s="811" t="n">
        <v>45845</v>
      </c>
      <c r="HY31" s="811" t="n">
        <v>45852</v>
      </c>
      <c r="HZ31" s="811" t="n">
        <v>45859</v>
      </c>
      <c r="IA31" s="811" t="n">
        <v>45866</v>
      </c>
      <c r="IB31" s="811" t="n">
        <v>45873</v>
      </c>
      <c r="IC31" s="811" t="n">
        <v>45880</v>
      </c>
      <c r="ID31" s="811" t="n">
        <v>45887</v>
      </c>
      <c r="IE31" s="811" t="n">
        <v>45894</v>
      </c>
      <c r="IF31" s="411" t="inlineStr">
        <is>
          <t>USOU</t>
        </is>
      </c>
      <c r="IH31" s="5" t="n"/>
      <c r="II31" s="5" t="n"/>
      <c r="IJ31" s="5" t="n"/>
      <c r="IK31" s="5" t="n"/>
      <c r="IL31" s="5" t="n"/>
      <c r="IM31" s="5" t="n"/>
    </row>
    <row r="32" ht="19.5" customFormat="1" customHeight="1" s="3">
      <c r="A32" s="37" t="inlineStr">
        <is>
          <t>KIT CAIXA P INST 2021 VERDE VD</t>
        </is>
      </c>
      <c r="B32" s="162" t="n">
        <v>75</v>
      </c>
      <c r="C32" s="765" t="n">
        <v>239.21</v>
      </c>
      <c r="D32" s="382" t="n">
        <v>20</v>
      </c>
      <c r="E32" s="2" t="n"/>
      <c r="F32" s="697" t="n">
        <v>57</v>
      </c>
      <c r="G32" s="697" t="n">
        <v>55</v>
      </c>
      <c r="H32" s="697" t="n">
        <v>52</v>
      </c>
      <c r="I32" s="697" t="n">
        <v>51</v>
      </c>
      <c r="J32" s="697" t="n">
        <v>51</v>
      </c>
      <c r="K32" s="697" t="n">
        <v>50</v>
      </c>
      <c r="L32" s="697" t="n">
        <v>49</v>
      </c>
      <c r="M32" s="697" t="n">
        <v>47</v>
      </c>
      <c r="N32" s="697" t="n">
        <v>46</v>
      </c>
      <c r="O32" s="697" t="n">
        <v>45</v>
      </c>
      <c r="P32" s="697" t="n">
        <v>42</v>
      </c>
      <c r="Q32" s="697" t="n">
        <v>42</v>
      </c>
      <c r="R32" s="697" t="n">
        <v>38</v>
      </c>
      <c r="S32" s="697" t="n">
        <v>37</v>
      </c>
      <c r="T32" s="697" t="n">
        <v>36</v>
      </c>
      <c r="U32" s="697" t="n">
        <v>33</v>
      </c>
      <c r="V32" s="697" t="n">
        <v>32</v>
      </c>
      <c r="W32" s="697" t="n">
        <v>31</v>
      </c>
      <c r="X32" s="697" t="n">
        <v>30</v>
      </c>
      <c r="Y32" s="697" t="n">
        <v>27</v>
      </c>
      <c r="Z32" s="697" t="n">
        <v>24</v>
      </c>
      <c r="AA32" s="697" t="n">
        <v>17</v>
      </c>
      <c r="AB32" s="697">
        <f>16+20</f>
        <v/>
      </c>
      <c r="AC32" s="697" t="n">
        <v>34</v>
      </c>
      <c r="AD32" s="697" t="n">
        <v>24</v>
      </c>
      <c r="AE32" s="697" t="n">
        <v>21</v>
      </c>
      <c r="AF32" s="697" t="n">
        <v>20</v>
      </c>
      <c r="AG32" s="697" t="n">
        <v>18</v>
      </c>
      <c r="AH32" s="697" t="n">
        <v>15</v>
      </c>
      <c r="AI32" s="697">
        <f>8+10</f>
        <v/>
      </c>
      <c r="AJ32" s="697" t="n">
        <v>13</v>
      </c>
      <c r="AK32" s="697">
        <f>9+20</f>
        <v/>
      </c>
      <c r="AL32" s="697" t="n">
        <v>12</v>
      </c>
      <c r="AM32" s="697" t="n">
        <v>10</v>
      </c>
      <c r="AN32" s="697" t="n">
        <v>2</v>
      </c>
      <c r="AO32" s="697">
        <f>2+EE32</f>
        <v/>
      </c>
      <c r="AP32" s="697" t="n">
        <v>72</v>
      </c>
      <c r="AQ32" s="697" t="n">
        <v>71</v>
      </c>
      <c r="AR32" s="697" t="n">
        <v>69</v>
      </c>
      <c r="AS32" s="697" t="n">
        <v>61</v>
      </c>
      <c r="AT32" s="697" t="n">
        <v>57</v>
      </c>
      <c r="AU32" s="697" t="n">
        <v>54</v>
      </c>
      <c r="AV32" s="697" t="n">
        <v>53</v>
      </c>
      <c r="AW32" s="697" t="n">
        <v>53</v>
      </c>
      <c r="AX32" s="697" t="n">
        <v>47</v>
      </c>
      <c r="AY32" s="697">
        <f>40-20</f>
        <v/>
      </c>
      <c r="AZ32" s="697" t="n">
        <v>15</v>
      </c>
      <c r="BA32" s="697" t="n">
        <v>14</v>
      </c>
      <c r="BB32" s="697" t="n">
        <v>13</v>
      </c>
      <c r="BC32" s="697" t="n">
        <v>12</v>
      </c>
      <c r="BD32" s="697" t="n">
        <v>0</v>
      </c>
      <c r="BE32" s="697" t="n">
        <v>0</v>
      </c>
      <c r="BF32" s="697" t="n">
        <v>0</v>
      </c>
      <c r="BG32" s="697" t="n">
        <v>0</v>
      </c>
      <c r="BH32" s="697" t="n">
        <v>0</v>
      </c>
      <c r="BI32" s="697" t="n">
        <v>0</v>
      </c>
      <c r="BJ32" s="697">
        <f>0+CU32</f>
        <v/>
      </c>
      <c r="BK32" s="697" t="n">
        <v>143</v>
      </c>
      <c r="BL32" s="697" t="n">
        <v>142</v>
      </c>
      <c r="BM32" s="697" t="n">
        <v>140</v>
      </c>
      <c r="BN32" s="697" t="n">
        <v>139</v>
      </c>
      <c r="BO32" s="697" t="n">
        <v>137</v>
      </c>
      <c r="BP32" s="697" t="n">
        <v>133</v>
      </c>
      <c r="BQ32" s="697" t="n">
        <v>125</v>
      </c>
      <c r="BR32" s="697" t="n">
        <v>121</v>
      </c>
      <c r="BS32" s="697" t="n"/>
      <c r="BT32" s="697" t="n"/>
      <c r="BU32" s="697" t="n"/>
      <c r="BV32" s="697" t="n"/>
      <c r="BW32" s="697" t="n"/>
      <c r="BX32" s="697" t="n">
        <v>104</v>
      </c>
      <c r="BY32" s="192">
        <f>BW32+IF(NOT(ISBLANK(OFFSET(BY32,0,6))),N(OFFSET(BY32,0,6)),N(OFFSET(BY32,0,7)))-BX32</f>
        <v/>
      </c>
      <c r="CA32" s="22" t="n"/>
      <c r="CB32" s="22" t="n"/>
      <c r="CC32" s="5" t="n"/>
      <c r="CD32" s="27" t="n"/>
      <c r="CE32" s="2" t="n"/>
      <c r="CF32" s="40" t="n">
        <v>0</v>
      </c>
      <c r="CG32" s="40" t="n">
        <v>0</v>
      </c>
      <c r="CH32" s="40" t="n">
        <v>0</v>
      </c>
      <c r="CI32" s="40" t="n"/>
      <c r="CJ32" s="40" t="n"/>
      <c r="CK32" s="40" t="n"/>
      <c r="CL32" s="40" t="n"/>
      <c r="CM32" s="40" t="n"/>
      <c r="CN32" s="40" t="n"/>
      <c r="CO32" s="40" t="n"/>
      <c r="CP32" s="40" t="n"/>
      <c r="CQ32" s="40" t="n"/>
      <c r="CR32" s="40" t="n"/>
      <c r="CS32" s="40" t="n"/>
      <c r="CT32" s="40" t="n"/>
      <c r="CU32" s="40" t="n">
        <v>150</v>
      </c>
      <c r="CV32" s="40" t="n"/>
      <c r="CW32" s="40" t="n"/>
      <c r="CX32" s="40" t="n"/>
      <c r="CY32" s="40" t="n"/>
      <c r="CZ32" s="40" t="n"/>
      <c r="DA32" s="40" t="n"/>
      <c r="DB32" s="40" t="n"/>
      <c r="DC32" s="40" t="n"/>
      <c r="DD32" s="40" t="n"/>
      <c r="DE32" s="40" t="n"/>
      <c r="DF32" s="40" t="n"/>
      <c r="DG32" s="40" t="n"/>
      <c r="DH32" s="40" t="n"/>
      <c r="DI32" s="40" t="n"/>
      <c r="DJ32" s="40" t="n"/>
      <c r="DK32" s="192" t="inlineStr">
        <is>
          <t>20 P/ CDB</t>
        </is>
      </c>
      <c r="DL32" s="40" t="n"/>
      <c r="DM32" s="40" t="n"/>
      <c r="DN32" s="40" t="n"/>
      <c r="DO32" s="40" t="n"/>
      <c r="DP32" s="40" t="n"/>
      <c r="DQ32" s="40" t="n"/>
      <c r="DR32" s="40" t="n"/>
      <c r="DS32" s="40" t="n"/>
      <c r="DT32" s="40" t="n"/>
      <c r="DU32" s="40" t="n"/>
      <c r="DV32" s="40" t="n"/>
      <c r="DW32" s="40" t="n"/>
      <c r="DX32" s="40" t="n"/>
      <c r="DY32" s="40" t="n"/>
      <c r="DZ32" s="40" t="n"/>
      <c r="EA32" s="40" t="n"/>
      <c r="EB32" s="40" t="n"/>
      <c r="EC32" s="40" t="n"/>
      <c r="ED32" s="40" t="n"/>
      <c r="EE32" s="40" t="n">
        <v>75</v>
      </c>
      <c r="EF32" s="40" t="n"/>
      <c r="EG32" s="40" t="n"/>
      <c r="EH32" s="40" t="n"/>
      <c r="EI32" s="40" t="n"/>
      <c r="EJ32" s="40" t="n"/>
      <c r="EK32" s="40" t="n"/>
      <c r="EL32" s="192" t="inlineStr">
        <is>
          <t>20 DE CD</t>
        </is>
      </c>
      <c r="EM32" s="40" t="n"/>
      <c r="EN32" s="40" t="n"/>
      <c r="EO32" s="40" t="n"/>
      <c r="EP32" s="40" t="n"/>
      <c r="EQ32" s="282" t="inlineStr">
        <is>
          <t>10 DE CD</t>
        </is>
      </c>
      <c r="ER32" s="40" t="n"/>
      <c r="ES32" s="40" t="n"/>
      <c r="ET32" s="40" t="n"/>
      <c r="EU32" s="40" t="n"/>
      <c r="EV32" s="40" t="n"/>
      <c r="EW32" s="40" t="n"/>
      <c r="EX32" s="40" t="n"/>
      <c r="EY32" s="40" t="n"/>
      <c r="EZ32" s="40" t="n"/>
      <c r="FA32" s="40" t="n"/>
      <c r="FB32" s="40" t="n"/>
      <c r="FC32" s="282" t="inlineStr">
        <is>
          <t>20 DE CD</t>
        </is>
      </c>
      <c r="FD32" s="40" t="n"/>
      <c r="FE32" s="40" t="n"/>
      <c r="FF32" s="40" t="n"/>
      <c r="FG32" s="40" t="n"/>
      <c r="FH32" s="23" t="n"/>
      <c r="FI32" s="219" t="n"/>
      <c r="FJ32" s="40" t="n"/>
      <c r="FK32" s="40" t="n"/>
      <c r="FL32" s="40" t="n"/>
      <c r="FM32" s="40" t="n"/>
      <c r="FN32" s="40" t="n"/>
      <c r="FO32" s="40" t="n"/>
      <c r="FP32" s="40" t="n"/>
      <c r="FQ32" s="40" t="n"/>
      <c r="FR32" s="40" t="n"/>
      <c r="FS32" s="40" t="n"/>
      <c r="FT32" s="40" t="n"/>
      <c r="FU32" s="40" t="n"/>
      <c r="FV32" s="40" t="n"/>
      <c r="FW32" s="292" t="inlineStr">
        <is>
          <t>50 DE CD</t>
        </is>
      </c>
      <c r="FX32" s="40" t="n"/>
      <c r="FY32" s="219" t="n"/>
      <c r="FZ32" s="40" t="n"/>
      <c r="GA32" s="40" t="n"/>
      <c r="GB32" s="40" t="n"/>
      <c r="GC32" s="40" t="n"/>
      <c r="GD32" s="40" t="n"/>
      <c r="GE32" s="40" t="n"/>
      <c r="GF32" s="40" t="n"/>
      <c r="GG32" s="40" t="n"/>
      <c r="GH32" s="40" t="n"/>
      <c r="GI32" s="40" t="n"/>
      <c r="GJ32" s="40" t="n"/>
      <c r="GK32" s="40" t="n"/>
      <c r="GL32" s="40" t="n"/>
      <c r="GM32" s="40" t="n"/>
      <c r="GN32" s="40" t="n"/>
      <c r="GO32" s="5" t="n"/>
      <c r="GP32" s="37" t="inlineStr">
        <is>
          <t>KIT CAIXA P</t>
        </is>
      </c>
      <c r="GQ32" s="208" t="n">
        <v>150</v>
      </c>
      <c r="GR32" s="699" t="n">
        <v>0</v>
      </c>
      <c r="GS32" s="699">
        <f>0+50</f>
        <v/>
      </c>
      <c r="GT32" s="699" t="n">
        <v>48</v>
      </c>
      <c r="GU32" s="699" t="n">
        <v>40</v>
      </c>
      <c r="GV32" s="699" t="n">
        <v>36</v>
      </c>
      <c r="GW32" s="699" t="n">
        <v>33</v>
      </c>
      <c r="GX32" s="218" t="n">
        <v>58</v>
      </c>
      <c r="GY32" s="699" t="n">
        <v>55</v>
      </c>
      <c r="GZ32" s="699" t="n">
        <v>46</v>
      </c>
      <c r="HA32" s="699" t="n">
        <v>48</v>
      </c>
      <c r="HB32" s="699" t="n">
        <v>31</v>
      </c>
      <c r="HC32" s="699" t="n">
        <v>23</v>
      </c>
      <c r="HD32" s="699" t="n">
        <v>14</v>
      </c>
      <c r="HE32" s="699" t="n">
        <v>11</v>
      </c>
      <c r="HF32" s="699" t="n">
        <v>6</v>
      </c>
      <c r="HG32" s="699" t="n">
        <v>4</v>
      </c>
      <c r="HH32" s="699" t="n">
        <v>3</v>
      </c>
      <c r="HI32" s="303">
        <f>HG32-HH32</f>
        <v/>
      </c>
      <c r="HK32" s="745" t="n"/>
      <c r="HL32" s="745" t="n"/>
      <c r="HM32" s="745" t="n"/>
      <c r="HN32" s="745" t="n"/>
      <c r="HO32" s="745" t="n"/>
      <c r="HP32" s="745" t="n"/>
      <c r="HQ32" s="745" t="n"/>
      <c r="HR32" s="745" t="n"/>
      <c r="HS32" s="745" t="n"/>
      <c r="HT32" s="745" t="n"/>
      <c r="HV32" s="745" t="n"/>
      <c r="HW32" s="745" t="n"/>
      <c r="HX32" s="745" t="n"/>
      <c r="HY32" s="745" t="n"/>
      <c r="HZ32" s="745" t="n"/>
      <c r="IA32" s="745" t="n"/>
      <c r="IB32" s="745" t="n"/>
      <c r="IC32" s="745" t="n"/>
      <c r="ID32" s="745" t="n"/>
      <c r="IE32" s="745" t="n"/>
      <c r="IF32" s="745" t="n"/>
      <c r="IH32" s="5" t="n"/>
      <c r="II32" s="5" t="n"/>
      <c r="IJ32" s="5" t="n"/>
      <c r="IK32" s="5" t="n"/>
      <c r="IL32" s="5" t="n"/>
      <c r="IM32" s="5" t="n"/>
    </row>
    <row r="33" ht="19.5" customFormat="1" customHeight="1" s="3">
      <c r="A33" s="37" t="inlineStr">
        <is>
          <t>KIT CAIXA M INST 2021 VERDE VD</t>
        </is>
      </c>
      <c r="B33" s="162" t="n">
        <v>75</v>
      </c>
      <c r="C33" s="762" t="n">
        <v>312.27</v>
      </c>
      <c r="D33" s="382" t="n">
        <v>20</v>
      </c>
      <c r="E33" s="2" t="n"/>
      <c r="F33" s="697" t="n">
        <v>62</v>
      </c>
      <c r="G33" s="697" t="n">
        <v>59</v>
      </c>
      <c r="H33" s="697" t="n">
        <v>54</v>
      </c>
      <c r="I33" s="697" t="n">
        <v>52</v>
      </c>
      <c r="J33" s="697" t="n">
        <v>48</v>
      </c>
      <c r="K33" s="697" t="n">
        <v>43</v>
      </c>
      <c r="L33" s="697" t="n">
        <v>41</v>
      </c>
      <c r="M33" s="697" t="n">
        <v>35</v>
      </c>
      <c r="N33" s="697" t="n">
        <v>34</v>
      </c>
      <c r="O33" s="697" t="n">
        <v>25</v>
      </c>
      <c r="P33" s="697">
        <f>21+FX33</f>
        <v/>
      </c>
      <c r="Q33" s="697" t="n">
        <v>87</v>
      </c>
      <c r="R33" s="697" t="n">
        <v>83</v>
      </c>
      <c r="S33" s="697" t="n">
        <v>76</v>
      </c>
      <c r="T33" s="697" t="n">
        <v>76</v>
      </c>
      <c r="U33" s="697" t="n">
        <v>68</v>
      </c>
      <c r="V33" s="697" t="n">
        <v>65</v>
      </c>
      <c r="W33" s="697" t="n">
        <v>61</v>
      </c>
      <c r="X33" s="697" t="n">
        <v>60</v>
      </c>
      <c r="Y33" s="697" t="n">
        <v>52</v>
      </c>
      <c r="Z33" s="697" t="n">
        <v>50</v>
      </c>
      <c r="AA33" s="697" t="n">
        <v>47</v>
      </c>
      <c r="AB33" s="697" t="n">
        <v>46</v>
      </c>
      <c r="AC33" s="697" t="n">
        <v>45</v>
      </c>
      <c r="AD33" s="697" t="n">
        <v>38</v>
      </c>
      <c r="AE33" s="697" t="n">
        <v>29</v>
      </c>
      <c r="AF33" s="697" t="n">
        <v>28</v>
      </c>
      <c r="AG33" s="697" t="n">
        <v>25</v>
      </c>
      <c r="AH33" s="697" t="n">
        <v>24</v>
      </c>
      <c r="AI33" s="697" t="n">
        <v>16</v>
      </c>
      <c r="AJ33" s="697" t="n">
        <v>85</v>
      </c>
      <c r="AK33" s="697" t="n">
        <v>81</v>
      </c>
      <c r="AL33" s="697" t="n">
        <v>51</v>
      </c>
      <c r="AM33" s="697" t="n">
        <v>44</v>
      </c>
      <c r="AN33" s="697" t="n">
        <v>34</v>
      </c>
      <c r="AO33" s="697" t="n">
        <v>24</v>
      </c>
      <c r="AP33" s="697" t="n">
        <v>15</v>
      </c>
      <c r="AQ33" s="697" t="n">
        <v>14</v>
      </c>
      <c r="AR33" s="697" t="n">
        <v>9</v>
      </c>
      <c r="AS33" s="697" t="n">
        <v>4</v>
      </c>
      <c r="AT33" s="697" t="n">
        <v>1</v>
      </c>
      <c r="AU33" s="697" t="n">
        <v>0</v>
      </c>
      <c r="AV33" s="697" t="n">
        <v>0</v>
      </c>
      <c r="AW33" s="697" t="n">
        <v>0</v>
      </c>
      <c r="AX33" s="697" t="n">
        <v>0</v>
      </c>
      <c r="AY33" s="697" t="n">
        <v>0</v>
      </c>
      <c r="AZ33" s="697" t="n">
        <v>0</v>
      </c>
      <c r="BA33" s="697" t="n">
        <v>0</v>
      </c>
      <c r="BB33" s="697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>
        <v>0</v>
      </c>
      <c r="BH33" s="697" t="n">
        <v>0</v>
      </c>
      <c r="BI33" s="697" t="n">
        <v>0</v>
      </c>
      <c r="BJ33" s="697" t="n">
        <v>0</v>
      </c>
      <c r="BK33" s="697" t="n">
        <v>0</v>
      </c>
      <c r="BL33" s="697" t="n">
        <v>0</v>
      </c>
      <c r="BM33" s="697" t="n">
        <v>0</v>
      </c>
      <c r="BN33" s="697" t="n">
        <v>0</v>
      </c>
      <c r="BO33" s="697" t="n">
        <v>0</v>
      </c>
      <c r="BP33" s="697" t="n">
        <v>0</v>
      </c>
      <c r="BQ33" s="697" t="n">
        <v>0</v>
      </c>
      <c r="BR33" s="697" t="n">
        <v>0</v>
      </c>
      <c r="BS33" s="697" t="n"/>
      <c r="BT33" s="697" t="n"/>
      <c r="BU33" s="697" t="n"/>
      <c r="BV33" s="697" t="n"/>
      <c r="BW33" s="697" t="n"/>
      <c r="BX33" s="697" t="n">
        <v>0</v>
      </c>
      <c r="BY33" s="192">
        <f>BW33+IF(NOT(ISBLANK(OFFSET(BY33,0,6))),N(OFFSET(BY33,0,6)),N(OFFSET(BY33,0,7)))-BX33</f>
        <v/>
      </c>
      <c r="CA33" s="22" t="inlineStr">
        <is>
          <t>50 DE CDB</t>
        </is>
      </c>
      <c r="CB33" s="22" t="n"/>
      <c r="CC33" s="5" t="n"/>
      <c r="CD33" s="27" t="n">
        <v>100</v>
      </c>
      <c r="CE33" s="2" t="n"/>
      <c r="CF33" s="40" t="n">
        <v>0</v>
      </c>
      <c r="CG33" s="40" t="n">
        <v>0</v>
      </c>
      <c r="CH33" s="40" t="n">
        <v>0</v>
      </c>
      <c r="CI33" s="40" t="n"/>
      <c r="CJ33" s="40" t="n"/>
      <c r="CK33" s="40" t="n"/>
      <c r="CL33" s="40" t="n"/>
      <c r="CM33" s="40" t="n"/>
      <c r="CN33" s="40" t="n"/>
      <c r="CO33" s="40" t="n"/>
      <c r="CP33" s="40" t="n"/>
      <c r="CQ33" s="40" t="n"/>
      <c r="CR33" s="40" t="n"/>
      <c r="CS33" s="40" t="n"/>
      <c r="CT33" s="40" t="n"/>
      <c r="CU33" s="40" t="n"/>
      <c r="CV33" s="40" t="n"/>
      <c r="CW33" s="40" t="n"/>
      <c r="CX33" s="40" t="n"/>
      <c r="CY33" s="40" t="n"/>
      <c r="CZ33" s="40" t="n"/>
      <c r="DA33" s="40" t="n"/>
      <c r="DB33" s="40" t="n"/>
      <c r="DC33" s="40" t="n"/>
      <c r="DD33" s="40" t="n"/>
      <c r="DE33" s="40" t="n"/>
      <c r="DF33" s="40" t="n"/>
      <c r="DG33" s="40" t="n"/>
      <c r="DH33" s="40" t="n"/>
      <c r="DI33" s="40" t="n"/>
      <c r="DJ33" s="40" t="n"/>
      <c r="DK33" s="219" t="n"/>
      <c r="DL33" s="40" t="n"/>
      <c r="DM33" s="40" t="n"/>
      <c r="DN33" s="40" t="n"/>
      <c r="DO33" s="40" t="n"/>
      <c r="DP33" s="40" t="n"/>
      <c r="DQ33" s="40" t="n"/>
      <c r="DR33" s="40" t="n"/>
      <c r="DS33" s="40" t="n"/>
      <c r="DT33" s="40" t="n"/>
      <c r="DU33" s="40" t="n"/>
      <c r="DV33" s="40" t="n"/>
      <c r="DW33" s="40" t="n"/>
      <c r="DX33" s="40" t="n"/>
      <c r="DY33" s="40" t="n"/>
      <c r="DZ33" s="40" t="n"/>
      <c r="EA33" s="40" t="n"/>
      <c r="EB33" s="40" t="n"/>
      <c r="EC33" s="40" t="n"/>
      <c r="ED33" s="40" t="n"/>
      <c r="EE33" s="40" t="n"/>
      <c r="EF33" s="40" t="n"/>
      <c r="EG33" s="40" t="n"/>
      <c r="EH33" s="40" t="n"/>
      <c r="EI33" s="40" t="n"/>
      <c r="EJ33" s="40" t="n"/>
      <c r="EK33" s="40" t="n"/>
      <c r="EL33" s="40" t="n"/>
      <c r="EM33" s="40" t="n"/>
      <c r="EN33" s="40" t="n">
        <v>75</v>
      </c>
      <c r="EO33" s="40" t="n"/>
      <c r="EP33" s="40" t="n"/>
      <c r="EQ33" s="40" t="n"/>
      <c r="ER33" s="40" t="n"/>
      <c r="ES33" s="40" t="n"/>
      <c r="ET33" s="40" t="n"/>
      <c r="EU33" s="40" t="n"/>
      <c r="EV33" s="40" t="n"/>
      <c r="EW33" s="40" t="n"/>
      <c r="EX33" s="40" t="n"/>
      <c r="EY33" s="40" t="n"/>
      <c r="EZ33" s="40" t="n"/>
      <c r="FA33" s="40" t="n"/>
      <c r="FB33" s="40" t="n"/>
      <c r="FC33" s="40" t="n"/>
      <c r="FD33" s="40" t="n"/>
      <c r="FE33" s="40" t="n"/>
      <c r="FF33" s="40" t="n"/>
      <c r="FG33" s="376" t="inlineStr">
        <is>
          <t>50 P/ CDB</t>
        </is>
      </c>
      <c r="FH33" s="23" t="n"/>
      <c r="FI33" s="219" t="n">
        <v>100</v>
      </c>
      <c r="FJ33" s="40" t="n"/>
      <c r="FK33" s="40" t="n"/>
      <c r="FL33" s="40" t="n"/>
      <c r="FM33" s="40" t="n"/>
      <c r="FN33" s="40" t="n"/>
      <c r="FO33" s="40" t="n"/>
      <c r="FP33" s="40" t="n"/>
      <c r="FQ33" s="40" t="n"/>
      <c r="FR33" s="40" t="n"/>
      <c r="FS33" s="40" t="n"/>
      <c r="FT33" s="40" t="n"/>
      <c r="FU33" s="40" t="n"/>
      <c r="FV33" s="40" t="n"/>
      <c r="FW33" s="292" t="inlineStr">
        <is>
          <t>50 DE CD</t>
        </is>
      </c>
      <c r="FX33" s="40" t="n">
        <v>75</v>
      </c>
      <c r="FY33" s="219" t="n"/>
      <c r="FZ33" s="40" t="n"/>
      <c r="GA33" s="40" t="n"/>
      <c r="GB33" s="40" t="n"/>
      <c r="GC33" s="40" t="n"/>
      <c r="GD33" s="40" t="n"/>
      <c r="GE33" s="40" t="n"/>
      <c r="GF33" s="40" t="n"/>
      <c r="GG33" s="40" t="n"/>
      <c r="GH33" s="40" t="n"/>
      <c r="GI33" s="40" t="n"/>
      <c r="GJ33" s="40" t="n"/>
      <c r="GK33" s="40" t="n"/>
      <c r="GL33" s="40" t="n"/>
      <c r="GM33" s="40" t="n"/>
      <c r="GN33" s="40" t="n"/>
      <c r="GO33" s="5" t="n"/>
      <c r="GP33" s="37" t="inlineStr">
        <is>
          <t>KIT CAIXA M</t>
        </is>
      </c>
      <c r="GQ33" s="208" t="n">
        <v>100</v>
      </c>
      <c r="GR33" s="699" t="n">
        <v>0</v>
      </c>
      <c r="GS33" s="699">
        <f>0+50</f>
        <v/>
      </c>
      <c r="GT33" s="699" t="n">
        <v>42</v>
      </c>
      <c r="GU33" s="699" t="n">
        <v>33</v>
      </c>
      <c r="GV33" s="699" t="n">
        <v>32</v>
      </c>
      <c r="GW33" s="699" t="n">
        <v>28</v>
      </c>
      <c r="GX33" s="218" t="n">
        <v>36</v>
      </c>
      <c r="GY33" s="699" t="n">
        <v>31</v>
      </c>
      <c r="GZ33" s="699" t="n">
        <v>19</v>
      </c>
      <c r="HA33" s="699" t="n">
        <v>3</v>
      </c>
      <c r="HB33" s="699" t="n">
        <v>2</v>
      </c>
      <c r="HC33" s="699" t="n">
        <v>2</v>
      </c>
      <c r="HD33" s="699" t="n">
        <v>2</v>
      </c>
      <c r="HE33" s="699" t="n">
        <v>2</v>
      </c>
      <c r="HF33" s="699" t="n">
        <v>2</v>
      </c>
      <c r="HG33" s="699" t="n">
        <v>2</v>
      </c>
      <c r="HH33" s="699" t="n">
        <v>2</v>
      </c>
      <c r="HI33" s="303">
        <f>HG33-HH33</f>
        <v/>
      </c>
      <c r="HK33" s="37" t="inlineStr">
        <is>
          <t>CAIXA M</t>
        </is>
      </c>
      <c r="HL33" s="208" t="n">
        <v>100</v>
      </c>
      <c r="HM33" s="699">
        <f>FI33-50</f>
        <v/>
      </c>
      <c r="HN33" s="699" t="n">
        <v>48</v>
      </c>
      <c r="HO33" s="699" t="n">
        <v>36</v>
      </c>
      <c r="HP33" s="699" t="n">
        <v>24</v>
      </c>
      <c r="HQ33" s="699" t="n">
        <v>0</v>
      </c>
      <c r="HR33" s="699" t="n">
        <v>0</v>
      </c>
      <c r="HS33" s="699" t="n">
        <v>0</v>
      </c>
      <c r="HT33" s="369" t="n">
        <v>0</v>
      </c>
      <c r="HV33" s="37" t="inlineStr">
        <is>
          <t>CAIXA M/24</t>
        </is>
      </c>
      <c r="HW33" s="208" t="n">
        <v>100</v>
      </c>
      <c r="HX33" s="699" t="n">
        <v>30</v>
      </c>
      <c r="HY33" s="699" t="n">
        <v>30</v>
      </c>
      <c r="HZ33" s="699" t="n">
        <v>29</v>
      </c>
      <c r="IA33" s="699" t="n">
        <v>26</v>
      </c>
      <c r="IB33" s="699" t="n">
        <v>25</v>
      </c>
      <c r="IC33" s="699" t="n">
        <v>8</v>
      </c>
      <c r="ID33" s="699" t="n">
        <v>7</v>
      </c>
      <c r="IE33" s="699" t="n"/>
      <c r="IF33" s="412">
        <f>ID33-IE33</f>
        <v/>
      </c>
      <c r="IH33" s="5" t="n"/>
      <c r="II33" s="5" t="n"/>
      <c r="IJ33" s="5" t="n"/>
      <c r="IK33" s="5" t="n"/>
      <c r="IL33" s="5" t="n"/>
      <c r="IM33" s="5" t="n"/>
    </row>
    <row r="34" ht="20.25" customHeight="1">
      <c r="A34" s="37" t="inlineStr">
        <is>
          <t>KIT CAIXA G INST 2021 VERDE VD</t>
        </is>
      </c>
      <c r="B34" s="162" t="n">
        <v>50</v>
      </c>
      <c r="C34" s="762" t="n">
        <v>367.65</v>
      </c>
      <c r="D34" s="382" t="n">
        <v>10</v>
      </c>
      <c r="F34" s="697" t="n">
        <v>11</v>
      </c>
      <c r="G34" s="697" t="n">
        <v>9</v>
      </c>
      <c r="H34" s="697" t="n">
        <v>9</v>
      </c>
      <c r="I34" s="697" t="n">
        <v>8</v>
      </c>
      <c r="J34" s="697" t="n">
        <v>6</v>
      </c>
      <c r="K34" s="697" t="n">
        <v>54</v>
      </c>
      <c r="L34" s="697" t="n">
        <v>52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50</v>
      </c>
      <c r="S34" s="697" t="n">
        <v>50</v>
      </c>
      <c r="T34" s="697" t="n">
        <v>50</v>
      </c>
      <c r="U34" s="697" t="n">
        <v>50</v>
      </c>
      <c r="V34" s="697" t="n">
        <v>50</v>
      </c>
      <c r="W34" s="697" t="n">
        <v>50</v>
      </c>
      <c r="X34" s="697" t="n">
        <v>49</v>
      </c>
      <c r="Y34" s="697" t="n">
        <v>40</v>
      </c>
      <c r="Z34" s="697" t="n">
        <v>40</v>
      </c>
      <c r="AA34" s="697" t="n">
        <v>33</v>
      </c>
      <c r="AB34" s="697" t="n">
        <v>32</v>
      </c>
      <c r="AC34" s="697" t="n">
        <v>32</v>
      </c>
      <c r="AD34" s="697" t="n">
        <v>31</v>
      </c>
      <c r="AE34" s="697" t="n">
        <v>31</v>
      </c>
      <c r="AF34" s="697" t="n">
        <v>31</v>
      </c>
      <c r="AG34" s="697" t="n">
        <v>31</v>
      </c>
      <c r="AH34" s="697" t="n">
        <v>31</v>
      </c>
      <c r="AI34" s="697" t="n">
        <v>31</v>
      </c>
      <c r="AJ34" s="697" t="n">
        <v>27</v>
      </c>
      <c r="AK34" s="697" t="n">
        <v>27</v>
      </c>
      <c r="AL34" s="697" t="n">
        <v>27</v>
      </c>
      <c r="AM34" s="697" t="n">
        <v>27</v>
      </c>
      <c r="AN34" s="697" t="n">
        <v>27</v>
      </c>
      <c r="AO34" s="697" t="n">
        <v>27</v>
      </c>
      <c r="AP34" s="697" t="n">
        <v>26</v>
      </c>
      <c r="AQ34" s="697" t="n">
        <v>25</v>
      </c>
      <c r="AR34" s="697" t="n">
        <v>25</v>
      </c>
      <c r="AS34" s="697" t="n">
        <v>23</v>
      </c>
      <c r="AT34" s="697" t="n">
        <v>23</v>
      </c>
      <c r="AU34" s="697" t="n">
        <v>20</v>
      </c>
      <c r="AV34" s="697" t="n">
        <v>17</v>
      </c>
      <c r="AW34" s="697" t="n">
        <v>17</v>
      </c>
      <c r="AX34" s="697" t="n">
        <v>17</v>
      </c>
      <c r="AY34" s="697" t="n">
        <v>17</v>
      </c>
      <c r="AZ34" s="697" t="n">
        <v>16</v>
      </c>
      <c r="BA34" s="697" t="n">
        <v>15</v>
      </c>
      <c r="BB34" s="697" t="n">
        <v>15</v>
      </c>
      <c r="BC34" s="697" t="n">
        <v>11</v>
      </c>
      <c r="BD34" s="697" t="n">
        <v>8</v>
      </c>
      <c r="BE34" s="697" t="n">
        <v>3</v>
      </c>
      <c r="BF34" s="697" t="n">
        <v>3</v>
      </c>
      <c r="BG34" s="697" t="n">
        <v>2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>
        <v>0</v>
      </c>
      <c r="BS34" s="697" t="n"/>
      <c r="BT34" s="697" t="n"/>
      <c r="BU34" s="697" t="n"/>
      <c r="BV34" s="697" t="n"/>
      <c r="BW34" s="697" t="n"/>
      <c r="BX34" s="697" t="n">
        <v>0</v>
      </c>
      <c r="BY34" s="192">
        <f>BW34+IF(NOT(ISBLANK(OFFSET(BY34,0,6))),N(OFFSET(BY34,0,6)),N(OFFSET(BY34,0,7)))-BX34</f>
        <v/>
      </c>
      <c r="CA34" s="22" t="n"/>
      <c r="CB34" s="161" t="n"/>
      <c r="CD34" s="27" t="n"/>
      <c r="CE34" s="2" t="n"/>
      <c r="CF34" s="40" t="n">
        <v>0</v>
      </c>
      <c r="CG34" s="40" t="n">
        <v>0</v>
      </c>
      <c r="CH34" s="40" t="n">
        <v>0</v>
      </c>
      <c r="CI34" s="40" t="n"/>
      <c r="CJ34" s="40" t="n"/>
      <c r="CK34" s="40" t="n"/>
      <c r="CL34" s="40" t="n"/>
      <c r="CM34" s="40" t="n"/>
      <c r="CN34" s="40" t="n"/>
      <c r="CO34" s="40" t="n"/>
      <c r="CP34" s="40" t="n"/>
      <c r="CQ34" s="40" t="n"/>
      <c r="CR34" s="40" t="n"/>
      <c r="CS34" s="40" t="n"/>
      <c r="CT34" s="40" t="n"/>
      <c r="CU34" s="40" t="n"/>
      <c r="CV34" s="40" t="n"/>
      <c r="CW34" s="40" t="n"/>
      <c r="CX34" s="40" t="n"/>
      <c r="CY34" s="40" t="n"/>
      <c r="CZ34" s="40" t="n"/>
      <c r="DA34" s="40" t="n"/>
      <c r="DB34" s="40" t="n"/>
      <c r="DC34" s="40" t="n"/>
      <c r="DD34" s="40" t="n"/>
      <c r="DE34" s="40" t="n"/>
      <c r="DF34" s="40" t="n"/>
      <c r="DG34" s="40" t="n"/>
      <c r="DH34" s="40" t="n"/>
      <c r="DI34" s="40" t="n"/>
      <c r="DJ34" s="40" t="n"/>
      <c r="DK34" s="219" t="n"/>
      <c r="DL34" s="40" t="n"/>
      <c r="DM34" s="40" t="n"/>
      <c r="DN34" s="40" t="n"/>
      <c r="DO34" s="40" t="n"/>
      <c r="DP34" s="40" t="n"/>
      <c r="DQ34" s="40" t="n"/>
      <c r="DR34" s="40" t="n"/>
      <c r="DS34" s="40" t="n"/>
      <c r="DT34" s="40" t="n"/>
      <c r="DU34" s="40" t="n"/>
      <c r="DV34" s="40" t="n"/>
      <c r="DW34" s="40" t="n"/>
      <c r="DX34" s="40" t="n"/>
      <c r="DY34" s="40" t="n"/>
      <c r="DZ34" s="40" t="n"/>
      <c r="EA34" s="40" t="n"/>
      <c r="EB34" s="40" t="n"/>
      <c r="EC34" s="40" t="n"/>
      <c r="ED34" s="40" t="n"/>
      <c r="EE34" s="40" t="n"/>
      <c r="EF34" s="40" t="n"/>
      <c r="EG34" s="40" t="n"/>
      <c r="EH34" s="40" t="n"/>
      <c r="EI34" s="40" t="n"/>
      <c r="EJ34" s="40" t="n"/>
      <c r="EK34" s="40" t="n"/>
      <c r="EL34" s="40" t="n"/>
      <c r="EM34" s="40" t="n"/>
      <c r="EN34" s="40" t="n"/>
      <c r="EO34" s="40" t="n"/>
      <c r="EP34" s="40" t="n"/>
      <c r="EQ34" s="40" t="n"/>
      <c r="ER34" s="40" t="n"/>
      <c r="ES34" s="292" t="inlineStr">
        <is>
          <t>75 P/ CD</t>
        </is>
      </c>
      <c r="ET34" s="40" t="n"/>
      <c r="EU34" s="40" t="n"/>
      <c r="EV34" s="219" t="n">
        <v>150</v>
      </c>
      <c r="EW34" s="40" t="n"/>
      <c r="EX34" s="40" t="n"/>
      <c r="EY34" s="40" t="n"/>
      <c r="EZ34" s="40" t="n"/>
      <c r="FA34" s="40" t="n"/>
      <c r="FB34" s="40" t="n"/>
      <c r="FC34" s="40" t="n"/>
      <c r="FD34" s="40" t="n"/>
      <c r="FE34" s="40" t="n"/>
      <c r="FF34" s="40" t="n"/>
      <c r="FG34" s="376" t="inlineStr">
        <is>
          <t>50 P/ CDB</t>
        </is>
      </c>
      <c r="FH34" s="23" t="n"/>
      <c r="FI34" s="219" t="n">
        <v>100</v>
      </c>
      <c r="FJ34" s="40" t="n"/>
      <c r="FK34" s="40" t="n"/>
      <c r="FL34" s="40" t="n"/>
      <c r="FM34" s="40" t="n"/>
      <c r="FN34" s="40" t="n"/>
      <c r="FO34" s="40" t="n"/>
      <c r="FP34" s="40" t="n"/>
      <c r="FQ34" s="40" t="n"/>
      <c r="FR34" s="40" t="n"/>
      <c r="FS34" s="40" t="n"/>
      <c r="FT34" s="40" t="n"/>
      <c r="FU34" s="40" t="n"/>
      <c r="FV34" s="40" t="n"/>
      <c r="FW34" s="292" t="inlineStr">
        <is>
          <t>80 DE CD</t>
        </is>
      </c>
      <c r="FX34" s="40" t="n"/>
      <c r="FY34" s="219" t="n"/>
      <c r="FZ34" s="40" t="n"/>
      <c r="GA34" s="40" t="n"/>
      <c r="GB34" s="40" t="n"/>
      <c r="GC34" s="40" t="n"/>
      <c r="GD34" s="40" t="n"/>
      <c r="GE34" s="40" t="n"/>
      <c r="GF34" s="40" t="n"/>
      <c r="GG34" s="40" t="n">
        <v>50</v>
      </c>
      <c r="GH34" s="40" t="n"/>
      <c r="GI34" s="40" t="n"/>
      <c r="GJ34" s="40" t="n"/>
      <c r="GK34" s="40" t="n"/>
      <c r="GL34" s="40" t="n"/>
      <c r="GM34" s="40" t="n"/>
      <c r="GN34" s="40" t="n"/>
      <c r="GP34" s="37" t="inlineStr">
        <is>
          <t>ENVELOPE C/ VISOR P</t>
        </is>
      </c>
      <c r="GQ34" s="208" t="n">
        <v>200</v>
      </c>
      <c r="GR34" s="699">
        <f>GA34</f>
        <v/>
      </c>
      <c r="GS34" s="699">
        <f>0+80</f>
        <v/>
      </c>
      <c r="GT34" s="699" t="n">
        <v>78</v>
      </c>
      <c r="GU34" s="699" t="n">
        <v>60</v>
      </c>
      <c r="GV34" s="699" t="n">
        <v>48</v>
      </c>
      <c r="GW34" s="699" t="n">
        <v>38</v>
      </c>
      <c r="GX34" s="218" t="n">
        <v>65</v>
      </c>
      <c r="GY34" s="699" t="n">
        <v>57</v>
      </c>
      <c r="GZ34" s="699" t="n">
        <v>48</v>
      </c>
      <c r="HA34" s="699" t="n">
        <v>23</v>
      </c>
      <c r="HB34" s="699" t="n">
        <v>23</v>
      </c>
      <c r="HC34" s="699" t="n">
        <v>19</v>
      </c>
      <c r="HD34" s="699" t="n">
        <v>17</v>
      </c>
      <c r="HE34" s="699" t="n">
        <v>12</v>
      </c>
      <c r="HF34" s="699" t="n">
        <v>0</v>
      </c>
      <c r="HG34" s="699" t="n">
        <v>0</v>
      </c>
      <c r="HH34" s="699" t="n">
        <v>0</v>
      </c>
      <c r="HI34" s="303">
        <f>HG34-HH34</f>
        <v/>
      </c>
      <c r="HK34" s="37" t="inlineStr">
        <is>
          <t>ENVELOPE C/ VISOR M</t>
        </is>
      </c>
      <c r="HL34" s="208" t="n">
        <v>100</v>
      </c>
      <c r="HM34" s="699">
        <f>FI34-50</f>
        <v/>
      </c>
      <c r="HN34" s="699" t="n">
        <v>48</v>
      </c>
      <c r="HO34" s="699" t="n">
        <v>28</v>
      </c>
      <c r="HP34" s="699" t="n">
        <v>0</v>
      </c>
      <c r="HQ34" s="699" t="n">
        <v>0</v>
      </c>
      <c r="HR34" s="699" t="n">
        <v>0</v>
      </c>
      <c r="HS34" s="699" t="n">
        <v>0</v>
      </c>
      <c r="HT34" s="369" t="n">
        <v>0</v>
      </c>
      <c r="HV34" s="37" t="inlineStr">
        <is>
          <t>ENVELOPE C/ VISOR M</t>
        </is>
      </c>
      <c r="HW34" s="208" t="n">
        <v>150</v>
      </c>
      <c r="HX34" s="699">
        <f>EV34</f>
        <v/>
      </c>
      <c r="HY34" s="699">
        <f>150-75</f>
        <v/>
      </c>
      <c r="HZ34" s="699" t="n">
        <v>75</v>
      </c>
      <c r="IA34" s="699" t="n">
        <v>54</v>
      </c>
      <c r="IB34" s="699" t="n">
        <v>41</v>
      </c>
      <c r="IC34" s="699" t="n">
        <v>52</v>
      </c>
      <c r="ID34" s="699" t="n">
        <v>47</v>
      </c>
      <c r="IE34" s="699" t="n"/>
      <c r="IF34" s="412">
        <f>ID34-IE34</f>
        <v/>
      </c>
      <c r="IH34" s="573" t="n"/>
      <c r="II34" s="573" t="n"/>
      <c r="IJ34" s="573" t="n"/>
      <c r="IK34" s="573" t="n"/>
      <c r="IL34" s="573" t="n"/>
      <c r="IM34" s="573" t="n"/>
    </row>
    <row r="35">
      <c r="A35" s="35" t="n"/>
      <c r="B35" s="2" t="n"/>
      <c r="C35" s="759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CA35" s="313" t="n"/>
      <c r="CB35" s="313" t="n"/>
      <c r="CD35" s="18" t="n"/>
      <c r="CE35" s="2" t="n"/>
      <c r="CF35" s="20" t="n"/>
      <c r="CG35" s="20" t="n"/>
      <c r="CH35" s="20" t="n"/>
      <c r="CI35" s="20" t="n"/>
      <c r="CJ35" s="20" t="n"/>
      <c r="CK35" s="20" t="n"/>
      <c r="CL35" s="20" t="n"/>
      <c r="CM35" s="20" t="n"/>
      <c r="CN35" s="20" t="n"/>
      <c r="CO35" s="20" t="n"/>
      <c r="CP35" s="20" t="n"/>
      <c r="CQ35" s="20" t="n"/>
      <c r="CR35" s="20" t="n"/>
      <c r="CS35" s="20" t="n"/>
      <c r="CT35" s="20" t="n"/>
      <c r="CU35" s="20" t="n"/>
      <c r="CV35" s="20" t="n"/>
      <c r="CW35" s="20" t="n"/>
      <c r="CX35" s="20" t="n"/>
      <c r="CY35" s="20" t="n"/>
      <c r="CZ35" s="20" t="n"/>
      <c r="DA35" s="20" t="n"/>
      <c r="DB35" s="20" t="n"/>
      <c r="DC35" s="20" t="n"/>
      <c r="DD35" s="20" t="n"/>
      <c r="DE35" s="20" t="n"/>
      <c r="DF35" s="20" t="n"/>
      <c r="DG35" s="20" t="n"/>
      <c r="DH35" s="20" t="n"/>
      <c r="DI35" s="20" t="n"/>
      <c r="DJ35" s="20" t="n"/>
      <c r="DK35" s="308" t="n"/>
      <c r="DL35" s="20" t="n"/>
      <c r="DM35" s="20" t="n"/>
      <c r="DN35" s="20" t="n"/>
      <c r="DO35" s="20" t="n"/>
      <c r="DP35" s="20" t="n"/>
      <c r="DQ35" s="20" t="n"/>
      <c r="DR35" s="20" t="n"/>
      <c r="DS35" s="20" t="n"/>
      <c r="DT35" s="20" t="n"/>
      <c r="DU35" s="20" t="n"/>
      <c r="DV35" s="20" t="n"/>
      <c r="DW35" s="20" t="n"/>
      <c r="DX35" s="20" t="n"/>
      <c r="DY35" s="20" t="n"/>
      <c r="DZ35" s="20" t="n"/>
      <c r="EA35" s="20" t="n"/>
      <c r="EB35" s="20" t="n"/>
      <c r="EC35" s="20" t="n"/>
      <c r="ED35" s="20" t="n"/>
      <c r="EE35" s="20" t="n"/>
      <c r="EF35" s="20" t="n"/>
      <c r="EG35" s="20" t="n"/>
      <c r="EH35" s="20" t="n"/>
      <c r="EI35" s="20" t="n"/>
      <c r="EJ35" s="20" t="n"/>
      <c r="EK35" s="20" t="n"/>
      <c r="EL35" s="20" t="n"/>
      <c r="EM35" s="20" t="n"/>
      <c r="EN35" s="20" t="n"/>
      <c r="EO35" s="20" t="n"/>
      <c r="EP35" s="20" t="n"/>
      <c r="EQ35" s="20" t="n"/>
      <c r="ER35" s="20" t="n"/>
      <c r="ES35" s="20" t="n"/>
      <c r="ET35" s="20" t="n"/>
      <c r="EU35" s="20" t="n"/>
      <c r="EV35" s="20" t="n"/>
      <c r="EW35" s="20" t="n"/>
      <c r="EX35" s="20" t="n"/>
      <c r="EY35" s="20" t="n"/>
      <c r="EZ35" s="20" t="n"/>
      <c r="FA35" s="20" t="n"/>
      <c r="FB35" s="20" t="n"/>
      <c r="FC35" s="20" t="n"/>
      <c r="FD35" s="20" t="n"/>
      <c r="FE35" s="20" t="n"/>
      <c r="FF35" s="20" t="n"/>
      <c r="FG35" s="20" t="n"/>
      <c r="FH35" s="47" t="n"/>
      <c r="FI35" s="20" t="n"/>
      <c r="FJ35" s="20" t="n"/>
      <c r="FK35" s="20" t="n"/>
      <c r="FL35" s="20" t="n"/>
      <c r="FM35" s="20" t="n"/>
      <c r="FN35" s="20" t="n"/>
      <c r="FO35" s="20" t="n"/>
      <c r="FP35" s="20" t="n"/>
      <c r="FQ35" s="20" t="n"/>
      <c r="FR35" s="20" t="n"/>
      <c r="FS35" s="20" t="n"/>
      <c r="FT35" s="20" t="n"/>
      <c r="FU35" s="20" t="n"/>
      <c r="FV35" s="20" t="n"/>
      <c r="FW35" s="292" t="inlineStr">
        <is>
          <t>60 DE CD</t>
        </is>
      </c>
      <c r="FX35" s="20" t="n"/>
      <c r="FY35" s="219" t="n"/>
      <c r="GA35" s="20" t="n"/>
      <c r="GB35" s="20" t="n"/>
      <c r="GP35" s="37" t="inlineStr">
        <is>
          <t>ENVELOPE C/ VISOR M</t>
        </is>
      </c>
      <c r="GQ35" s="208" t="n">
        <v>150</v>
      </c>
      <c r="GR35" s="699">
        <f>#REF!</f>
        <v/>
      </c>
      <c r="GS35" s="699">
        <f>0+60</f>
        <v/>
      </c>
      <c r="GT35" s="699" t="n">
        <v>55</v>
      </c>
      <c r="GU35" s="699" t="n">
        <v>38</v>
      </c>
      <c r="GV35" s="699" t="n">
        <v>31</v>
      </c>
      <c r="GW35" s="699" t="n">
        <v>20</v>
      </c>
      <c r="GX35" s="218" t="n">
        <v>44</v>
      </c>
      <c r="GY35" s="699" t="n">
        <v>39</v>
      </c>
      <c r="GZ35" s="699" t="n">
        <v>26</v>
      </c>
      <c r="HA35" s="699" t="n">
        <v>1</v>
      </c>
      <c r="HB35" s="699" t="n">
        <v>0</v>
      </c>
      <c r="HC35" s="699" t="n">
        <v>0</v>
      </c>
      <c r="HD35" s="699" t="n">
        <v>0</v>
      </c>
      <c r="HE35" s="699" t="n">
        <v>0</v>
      </c>
      <c r="HF35" s="699" t="n">
        <v>0</v>
      </c>
      <c r="HG35" s="699" t="n">
        <v>0</v>
      </c>
      <c r="HH35" s="699" t="n">
        <v>0</v>
      </c>
      <c r="HI35" s="303">
        <f>HG35-HH35</f>
        <v/>
      </c>
      <c r="HK35" s="35" t="n"/>
      <c r="HM35" s="2" t="n"/>
      <c r="HN35" s="2" t="n"/>
      <c r="HO35" s="2" t="n"/>
      <c r="HP35" s="2" t="n"/>
      <c r="HQ35" s="2" t="n"/>
      <c r="HR35" s="2" t="n"/>
      <c r="HS35" s="2" t="n"/>
      <c r="HV35" s="35" t="n"/>
      <c r="HX35" s="2" t="n"/>
      <c r="HY35" s="2" t="n"/>
      <c r="HZ35" s="2" t="n"/>
      <c r="IA35" s="2" t="n"/>
      <c r="IB35" s="2" t="n"/>
      <c r="IC35" s="2" t="n"/>
      <c r="ID35" s="2" t="n"/>
      <c r="IE35" s="2" t="n"/>
      <c r="IH35" s="573" t="n"/>
      <c r="II35" s="573" t="n"/>
      <c r="IJ35" s="573" t="n"/>
      <c r="IK35" s="573" t="n"/>
      <c r="IL35" s="573" t="n"/>
      <c r="IM35" s="573" t="n"/>
    </row>
    <row r="36" hidden="1">
      <c r="A36" s="36" t="inlineStr">
        <is>
          <t>SACOLAS OMNI BOTICÁRIO</t>
        </is>
      </c>
      <c r="B36" s="13" t="inlineStr">
        <is>
          <t>PC</t>
        </is>
      </c>
      <c r="C36" s="13" t="n"/>
      <c r="D36" s="13" t="inlineStr">
        <is>
          <t>Estoque Ideal</t>
        </is>
      </c>
      <c r="E36" s="573" t="n"/>
      <c r="F36" s="746" t="n">
        <v>45656</v>
      </c>
      <c r="G36" s="746" t="n">
        <v>45663</v>
      </c>
      <c r="H36" s="746" t="n">
        <v>45670</v>
      </c>
      <c r="I36" s="746" t="n">
        <v>45677</v>
      </c>
      <c r="J36" s="746" t="n">
        <v>45684</v>
      </c>
      <c r="K36" s="746" t="n">
        <v>45691</v>
      </c>
      <c r="L36" s="746" t="n">
        <v>45698</v>
      </c>
      <c r="M36" s="746" t="n">
        <v>45705</v>
      </c>
      <c r="N36" s="746" t="n">
        <v>45712</v>
      </c>
      <c r="O36" s="746" t="n">
        <v>45719</v>
      </c>
      <c r="P36" s="746" t="n">
        <v>45726</v>
      </c>
      <c r="Q36" s="746" t="n">
        <v>45733</v>
      </c>
      <c r="R36" s="746" t="n">
        <v>45740</v>
      </c>
      <c r="S36" s="746" t="n">
        <v>45747</v>
      </c>
      <c r="T36" s="746" t="n">
        <v>45754</v>
      </c>
      <c r="U36" s="746" t="n">
        <v>45761</v>
      </c>
      <c r="V36" s="746" t="n">
        <v>45768</v>
      </c>
      <c r="W36" s="746" t="n">
        <v>45775</v>
      </c>
      <c r="X36" s="746" t="n">
        <v>45782</v>
      </c>
      <c r="Y36" s="746" t="n">
        <v>45789</v>
      </c>
      <c r="Z36" s="746" t="n">
        <v>45796</v>
      </c>
      <c r="AA36" s="746" t="n">
        <v>45803</v>
      </c>
      <c r="AB36" s="746" t="n">
        <v>45810</v>
      </c>
      <c r="AC36" s="746" t="n">
        <v>45817</v>
      </c>
      <c r="AD36" s="746" t="n">
        <v>45824</v>
      </c>
      <c r="AE36" s="746" t="n">
        <v>45831</v>
      </c>
      <c r="AF36" s="746" t="n">
        <v>45838</v>
      </c>
      <c r="AG36" s="746" t="n">
        <v>45845</v>
      </c>
      <c r="AH36" s="746" t="n">
        <v>45852</v>
      </c>
      <c r="AI36" s="746" t="n">
        <v>45859</v>
      </c>
      <c r="AJ36" s="746" t="n">
        <v>45866</v>
      </c>
      <c r="AK36" s="746" t="n">
        <v>45873</v>
      </c>
      <c r="AL36" s="746" t="n">
        <v>45880</v>
      </c>
      <c r="AM36" s="746" t="n">
        <v>45887</v>
      </c>
      <c r="AN36" s="746" t="n">
        <v>45894</v>
      </c>
      <c r="AO36" s="746" t="n">
        <v>45901</v>
      </c>
      <c r="AP36" s="746" t="n">
        <v>45915</v>
      </c>
      <c r="AQ36" s="746" t="n">
        <v>45922</v>
      </c>
      <c r="AR36" s="746" t="n">
        <v>45929</v>
      </c>
      <c r="AS36" s="746" t="n">
        <v>45936</v>
      </c>
      <c r="AT36" s="746" t="n">
        <v>45943</v>
      </c>
      <c r="AU36" s="746" t="n">
        <v>45950</v>
      </c>
      <c r="AV36" s="746" t="n">
        <v>45957</v>
      </c>
      <c r="AW36" s="746" t="n">
        <v>45964</v>
      </c>
      <c r="AX36" s="746" t="n">
        <v>45971</v>
      </c>
      <c r="AY36" s="746" t="n">
        <v>45978</v>
      </c>
      <c r="AZ36" s="746" t="n">
        <v>45985</v>
      </c>
      <c r="BA36" s="746" t="n">
        <v>45992</v>
      </c>
      <c r="BB36" s="746" t="n">
        <v>45999</v>
      </c>
      <c r="BC36" s="746" t="n">
        <v>46006</v>
      </c>
      <c r="BD36" s="746" t="n">
        <v>46013</v>
      </c>
      <c r="BE36" s="746" t="n">
        <v>46020</v>
      </c>
      <c r="BF36" s="746" t="n">
        <v>46027</v>
      </c>
      <c r="BG36" s="746" t="n">
        <v>46034</v>
      </c>
      <c r="BH36" s="746" t="n">
        <v>46041</v>
      </c>
      <c r="BI36" s="746" t="n">
        <v>46048</v>
      </c>
      <c r="BJ36" s="746" t="n">
        <v>46055</v>
      </c>
      <c r="BK36" s="746" t="n">
        <v>46062</v>
      </c>
      <c r="BL36" s="746" t="n">
        <v>46069</v>
      </c>
      <c r="BM36" s="746" t="n">
        <v>46076</v>
      </c>
      <c r="BN36" s="746" t="n"/>
      <c r="BO36" s="746" t="n"/>
      <c r="BP36" s="746" t="n"/>
      <c r="BQ36" s="746" t="n"/>
      <c r="BR36" s="746" t="n"/>
      <c r="BS36" s="746" t="n"/>
      <c r="BT36" s="746" t="n"/>
      <c r="BU36" s="746" t="n"/>
      <c r="BV36" s="746" t="n"/>
      <c r="BW36" s="746" t="n"/>
      <c r="BX36" s="746" t="n"/>
      <c r="BY36" s="748" t="inlineStr">
        <is>
          <t>USOU</t>
        </is>
      </c>
      <c r="CA36" s="44" t="inlineStr">
        <is>
          <t>Pendências</t>
        </is>
      </c>
      <c r="CB36" s="44" t="inlineStr">
        <is>
          <t>Pendências</t>
        </is>
      </c>
      <c r="CD36" s="12" t="inlineStr">
        <is>
          <t>Novo Pedido</t>
        </is>
      </c>
      <c r="CE36" s="573" t="n"/>
      <c r="CF36" s="794" t="n"/>
      <c r="CG36" s="794" t="n"/>
      <c r="CH36" s="794" t="n"/>
      <c r="CI36" s="794" t="n"/>
      <c r="CJ36" s="794" t="n"/>
      <c r="CK36" s="794" t="n"/>
      <c r="CL36" s="794" t="n"/>
      <c r="CM36" s="794" t="n"/>
      <c r="CN36" s="794" t="n"/>
      <c r="CO36" s="794" t="n"/>
      <c r="CP36" s="794" t="n"/>
      <c r="CQ36" s="794" t="n">
        <v>46071</v>
      </c>
      <c r="CR36" s="794" t="n">
        <v>46056</v>
      </c>
      <c r="CS36" s="794" t="n">
        <v>46048</v>
      </c>
      <c r="CT36" s="794" t="n">
        <v>46056</v>
      </c>
      <c r="CU36" s="794" t="n">
        <v>46048</v>
      </c>
      <c r="CV36" s="794" t="n">
        <v>46043</v>
      </c>
      <c r="CW36" s="794" t="n">
        <v>46035</v>
      </c>
      <c r="CX36" s="794" t="n">
        <v>46043</v>
      </c>
      <c r="CY36" s="794" t="n">
        <v>46035</v>
      </c>
      <c r="CZ36" s="794" t="n">
        <v>46035</v>
      </c>
      <c r="DA36" s="794" t="n">
        <v>46029</v>
      </c>
      <c r="DB36" s="794" t="n">
        <v>46017</v>
      </c>
      <c r="DC36" s="794" t="n">
        <v>46007</v>
      </c>
      <c r="DD36" s="794" t="n">
        <v>46007</v>
      </c>
      <c r="DE36" s="794" t="n">
        <v>46001</v>
      </c>
      <c r="DF36" s="794" t="n">
        <v>46001</v>
      </c>
      <c r="DG36" s="794" t="n">
        <v>45994</v>
      </c>
      <c r="DH36" s="794" t="n">
        <v>45994</v>
      </c>
      <c r="DI36" s="794" t="n">
        <v>45986</v>
      </c>
      <c r="DJ36" s="794" t="n">
        <v>45980</v>
      </c>
      <c r="DK36" s="797" t="n">
        <v>45982</v>
      </c>
      <c r="DL36" s="794" t="n">
        <v>45973</v>
      </c>
      <c r="DM36" s="794" t="n">
        <v>45965</v>
      </c>
      <c r="DN36" s="794" t="n">
        <v>45965</v>
      </c>
      <c r="DO36" s="794" t="n">
        <v>45960</v>
      </c>
      <c r="DP36" s="794" t="n">
        <v>45960</v>
      </c>
      <c r="DQ36" s="794" t="n">
        <v>45951</v>
      </c>
      <c r="DR36" s="794" t="n">
        <v>45945</v>
      </c>
      <c r="DS36" s="737" t="n">
        <v>45903</v>
      </c>
      <c r="DT36" s="794" t="n">
        <v>45945</v>
      </c>
      <c r="DU36" s="794" t="n">
        <v>45937</v>
      </c>
      <c r="DV36" s="794" t="n">
        <v>45923</v>
      </c>
      <c r="DW36" s="794" t="n">
        <v>45931</v>
      </c>
      <c r="DX36" s="794" t="n">
        <v>45931</v>
      </c>
      <c r="DY36" s="794" t="n">
        <v>45915</v>
      </c>
      <c r="DZ36" s="794" t="n">
        <v>45923</v>
      </c>
      <c r="EA36" s="794" t="n">
        <v>45915</v>
      </c>
      <c r="EB36" s="797" t="n">
        <v>45918</v>
      </c>
      <c r="EC36" s="794" t="n">
        <v>45903</v>
      </c>
      <c r="ED36" s="738" t="n">
        <v>45903</v>
      </c>
      <c r="EE36" s="794" t="n">
        <v>45895</v>
      </c>
      <c r="EF36" s="797" t="n">
        <v>45896</v>
      </c>
      <c r="EG36" s="794" t="n">
        <v>45888</v>
      </c>
      <c r="EH36" s="794" t="n">
        <v>45888</v>
      </c>
      <c r="EI36" s="794" t="n">
        <v>45881</v>
      </c>
      <c r="EJ36" s="797" t="n">
        <v>45881</v>
      </c>
      <c r="EK36" s="794" t="n">
        <v>45874</v>
      </c>
      <c r="EL36" s="797" t="n">
        <v>45876</v>
      </c>
      <c r="EM36" s="794" t="n">
        <v>45867</v>
      </c>
      <c r="EN36" s="794" t="n">
        <v>45860</v>
      </c>
      <c r="EO36" s="794" t="n">
        <v>45839</v>
      </c>
      <c r="EP36" s="797" t="n">
        <v>45861</v>
      </c>
      <c r="EQ36" s="797" t="n">
        <v>45860</v>
      </c>
      <c r="ER36" s="794" t="n">
        <v>45853</v>
      </c>
      <c r="ES36" s="739" t="n">
        <v>45855</v>
      </c>
      <c r="ET36" s="794" t="n">
        <v>45848</v>
      </c>
      <c r="EU36" s="794" t="n">
        <v>45839</v>
      </c>
      <c r="EV36" s="739" t="n">
        <v>45791</v>
      </c>
      <c r="EW36" s="797" t="n">
        <v>45835</v>
      </c>
      <c r="EX36" s="794" t="n">
        <v>45832</v>
      </c>
      <c r="EY36" s="794" t="n">
        <v>45825</v>
      </c>
      <c r="EZ36" s="794" t="n">
        <v>45819</v>
      </c>
      <c r="FA36" s="794" t="n">
        <v>45813</v>
      </c>
      <c r="FB36" s="794" t="n">
        <v>45805</v>
      </c>
      <c r="FC36" s="797" t="n">
        <v>45811</v>
      </c>
      <c r="FD36" s="797" t="n">
        <v>45810</v>
      </c>
      <c r="FE36" s="794" t="n">
        <v>45798</v>
      </c>
      <c r="FF36" s="797" t="n">
        <v>45803</v>
      </c>
      <c r="FG36" s="755" t="n">
        <v>45803</v>
      </c>
      <c r="FH36" s="797" t="n">
        <v>45800</v>
      </c>
      <c r="FI36" s="742" t="n">
        <v>45735</v>
      </c>
      <c r="FJ36" s="797" t="n">
        <v>45796</v>
      </c>
      <c r="FK36" s="794" t="n">
        <v>45790</v>
      </c>
      <c r="FL36" s="794" t="n">
        <v>45784</v>
      </c>
      <c r="FM36" s="797" t="n">
        <v>45791</v>
      </c>
      <c r="FN36" s="794" t="n">
        <v>45783</v>
      </c>
      <c r="FO36" s="794" t="n">
        <v>45770</v>
      </c>
      <c r="FP36" s="794" t="n">
        <v>45775</v>
      </c>
      <c r="FQ36" s="794" t="n">
        <v>45770</v>
      </c>
      <c r="FR36" s="797" t="n">
        <v>45775</v>
      </c>
      <c r="FS36" s="794" t="n">
        <v>45756</v>
      </c>
      <c r="FT36" s="794" t="n">
        <v>45749</v>
      </c>
      <c r="FU36" s="797" t="n">
        <v>45751</v>
      </c>
      <c r="FV36" s="794" t="n">
        <v>45743</v>
      </c>
      <c r="FW36" s="746" t="n">
        <v>45729</v>
      </c>
      <c r="FX36" s="794" t="n">
        <v>45722</v>
      </c>
      <c r="FY36" s="746" t="n">
        <v>45700</v>
      </c>
      <c r="FZ36" s="797" t="n">
        <v>45722</v>
      </c>
      <c r="GA36" s="794" t="n">
        <v>45714</v>
      </c>
      <c r="GB36" s="794" t="n">
        <v>45706</v>
      </c>
      <c r="GC36" s="794" t="n">
        <v>45699</v>
      </c>
      <c r="GD36" s="794" t="n">
        <v>45693</v>
      </c>
      <c r="GE36" s="794" t="n">
        <v>45685</v>
      </c>
      <c r="GF36" s="797" t="n">
        <v>45687</v>
      </c>
      <c r="GG36" s="794" t="n">
        <v>45664</v>
      </c>
      <c r="GH36" s="794" t="n">
        <v>45679</v>
      </c>
      <c r="GI36" s="797" t="n">
        <v>45684</v>
      </c>
      <c r="GJ36" s="794" t="n">
        <v>45664</v>
      </c>
      <c r="GK36" s="794" t="n">
        <v>45660</v>
      </c>
      <c r="GL36" s="794" t="n">
        <v>45652</v>
      </c>
      <c r="GM36" s="794" t="n">
        <v>45643</v>
      </c>
      <c r="GN36" s="794" t="n">
        <v>45638</v>
      </c>
      <c r="GO36" s="573" t="n"/>
      <c r="IH36" s="573" t="n"/>
      <c r="II36" s="573" t="n"/>
      <c r="IJ36" s="573" t="n"/>
      <c r="IK36" s="573" t="n"/>
      <c r="IL36" s="573" t="n"/>
      <c r="IM36" s="573" t="n"/>
    </row>
    <row r="37" hidden="1" ht="17.25" customHeight="1">
      <c r="A37" s="37" t="inlineStr">
        <is>
          <t>KIT OVERBAG OMNI P</t>
        </is>
      </c>
      <c r="B37" s="699" t="n">
        <v>25</v>
      </c>
      <c r="C37" s="762" t="n">
        <v>41.75</v>
      </c>
      <c r="D37" s="382" t="n">
        <v>20</v>
      </c>
      <c r="F37" s="154">
        <f>55+GL37</f>
        <v/>
      </c>
      <c r="G37" s="154" t="n">
        <v>80</v>
      </c>
      <c r="H37" s="154" t="n">
        <v>69</v>
      </c>
      <c r="I37" s="154" t="n">
        <v>48</v>
      </c>
      <c r="J37" s="154">
        <f>47+GH37</f>
        <v/>
      </c>
      <c r="K37" s="154" t="n">
        <v>92</v>
      </c>
      <c r="L37" s="154" t="n">
        <v>92</v>
      </c>
      <c r="M37" s="154" t="n">
        <v>91</v>
      </c>
      <c r="N37" s="154" t="n">
        <v>91</v>
      </c>
      <c r="O37" s="154" t="n">
        <v>91</v>
      </c>
      <c r="P37" s="154" t="n">
        <v>89</v>
      </c>
      <c r="Q37" s="154" t="n">
        <v>85</v>
      </c>
      <c r="R37" s="154" t="n">
        <v>85</v>
      </c>
      <c r="S37" s="154" t="n">
        <v>85</v>
      </c>
      <c r="T37" s="154" t="n">
        <v>85</v>
      </c>
      <c r="U37" s="154" t="n">
        <v>85</v>
      </c>
      <c r="V37" s="154" t="n">
        <v>85</v>
      </c>
      <c r="W37" s="154" t="n">
        <v>85</v>
      </c>
      <c r="X37" s="154" t="n">
        <v>85</v>
      </c>
      <c r="Y37" s="154" t="n">
        <v>83</v>
      </c>
      <c r="Z37" s="154" t="n">
        <v>83</v>
      </c>
      <c r="AA37" s="154" t="n">
        <v>83</v>
      </c>
      <c r="AB37" s="154" t="n">
        <v>83</v>
      </c>
      <c r="AC37" s="154" t="n">
        <v>82</v>
      </c>
      <c r="AD37" s="154" t="n">
        <v>82</v>
      </c>
      <c r="AE37" s="154" t="n">
        <v>82</v>
      </c>
      <c r="AF37" s="154" t="n">
        <v>82</v>
      </c>
      <c r="AG37" s="154" t="n">
        <v>71</v>
      </c>
      <c r="AH37" s="154" t="n">
        <v>51</v>
      </c>
      <c r="AI37" s="154">
        <f>45-10</f>
        <v/>
      </c>
      <c r="AJ37" s="154" t="n">
        <v>35</v>
      </c>
      <c r="AK37" s="154" t="n">
        <v>35</v>
      </c>
      <c r="AL37" s="154">
        <f>35+EK37</f>
        <v/>
      </c>
      <c r="AM37" s="154" t="n">
        <v>32</v>
      </c>
      <c r="AN37" s="154" t="n">
        <v>32</v>
      </c>
      <c r="AO37" s="154" t="n">
        <v>32</v>
      </c>
      <c r="AP37" s="154" t="n">
        <v>22</v>
      </c>
      <c r="AQ37" s="154" t="n">
        <v>22</v>
      </c>
      <c r="AR37" s="154" t="n">
        <v>22</v>
      </c>
      <c r="AS37" s="154" t="n">
        <v>22</v>
      </c>
      <c r="AT37" s="154" t="n">
        <v>21</v>
      </c>
      <c r="AU37" s="154" t="n">
        <v>21</v>
      </c>
      <c r="AV37" s="154" t="n">
        <v>14</v>
      </c>
      <c r="AW37" s="154" t="n">
        <v>14</v>
      </c>
      <c r="AX37" s="154" t="n">
        <v>14</v>
      </c>
      <c r="AY37" s="154">
        <f>13-5</f>
        <v/>
      </c>
      <c r="AZ37" s="154" t="n">
        <v>7</v>
      </c>
      <c r="BA37" s="154" t="n">
        <v>0</v>
      </c>
      <c r="BB37" s="154" t="n">
        <v>0</v>
      </c>
      <c r="BC37" s="154" t="n">
        <v>0</v>
      </c>
      <c r="BD37" s="154" t="n">
        <v>0</v>
      </c>
      <c r="BE37" s="154" t="n">
        <v>0</v>
      </c>
      <c r="BF37" s="154" t="n">
        <v>0</v>
      </c>
      <c r="BG37" s="154" t="n">
        <v>0</v>
      </c>
      <c r="BH37" s="154" t="n">
        <v>0</v>
      </c>
      <c r="BI37" s="154" t="n">
        <v>0</v>
      </c>
      <c r="BJ37" s="154" t="n">
        <v>0</v>
      </c>
      <c r="BK37" s="154" t="n">
        <v>0</v>
      </c>
      <c r="BL37" s="154" t="n">
        <v>0</v>
      </c>
      <c r="BM37" s="154" t="n">
        <v>0</v>
      </c>
      <c r="BN37" s="154" t="n"/>
      <c r="BO37" s="154" t="n"/>
      <c r="BP37" s="154" t="n"/>
      <c r="BQ37" s="154" t="n"/>
      <c r="BR37" s="154" t="n"/>
      <c r="BS37" s="154" t="n"/>
      <c r="BT37" s="154" t="n"/>
      <c r="BU37" s="154" t="n"/>
      <c r="BV37" s="154" t="n"/>
      <c r="BW37" s="154" t="n"/>
      <c r="BX37" s="154" t="n"/>
      <c r="BY37" s="198">
        <f>BW37+IF(NOT(ISBLANK(OFFSET(BY37,0,6))),N(OFFSET(BY37,0,6)),N(OFFSET(BY37,0,7)))-BX37</f>
        <v/>
      </c>
      <c r="CA37" s="22" t="n"/>
      <c r="CB37" s="22" t="n"/>
      <c r="CD37" s="252" t="n"/>
      <c r="CE37" s="573" t="n"/>
      <c r="CF37" s="135" t="n"/>
      <c r="CG37" s="135" t="n"/>
      <c r="CH37" s="135" t="n"/>
      <c r="CI37" s="135" t="n"/>
      <c r="CJ37" s="135" t="n"/>
      <c r="CK37" s="135" t="n"/>
      <c r="CL37" s="135" t="n"/>
      <c r="CM37" s="135" t="n"/>
      <c r="CN37" s="135" t="n"/>
      <c r="CO37" s="135" t="n"/>
      <c r="CP37" s="135" t="n"/>
      <c r="CQ37" s="135" t="n"/>
      <c r="CR37" s="135" t="n"/>
      <c r="CS37" s="135" t="n"/>
      <c r="CT37" s="135" t="n"/>
      <c r="CU37" s="135" t="n"/>
      <c r="CV37" s="135" t="n"/>
      <c r="CW37" s="135" t="n"/>
      <c r="CX37" s="135" t="n"/>
      <c r="CY37" s="135" t="n"/>
      <c r="CZ37" s="135" t="n"/>
      <c r="DA37" s="135" t="n"/>
      <c r="DB37" s="135" t="n"/>
      <c r="DC37" s="135" t="n"/>
      <c r="DD37" s="135" t="n"/>
      <c r="DE37" s="135" t="n"/>
      <c r="DF37" s="135" t="n"/>
      <c r="DG37" s="135" t="n"/>
      <c r="DH37" s="135" t="n"/>
      <c r="DI37" s="135" t="n"/>
      <c r="DJ37" s="135" t="n"/>
      <c r="DK37" s="192" t="inlineStr">
        <is>
          <t>05 P/ CDB</t>
        </is>
      </c>
      <c r="DL37" s="135" t="n"/>
      <c r="DM37" s="135" t="n"/>
      <c r="DN37" s="135" t="n"/>
      <c r="DO37" s="135" t="n"/>
      <c r="DP37" s="135" t="n"/>
      <c r="DQ37" s="135" t="n"/>
      <c r="DR37" s="135" t="n"/>
      <c r="DS37" s="135" t="n"/>
      <c r="DT37" s="135" t="n"/>
      <c r="DU37" s="135" t="n"/>
      <c r="DV37" s="135" t="n"/>
      <c r="DW37" s="135" t="n"/>
      <c r="DX37" s="135" t="n"/>
      <c r="DY37" s="135" t="n"/>
      <c r="DZ37" s="135" t="n"/>
      <c r="EA37" s="135" t="n"/>
      <c r="EB37" s="135" t="n"/>
      <c r="EC37" s="135" t="n"/>
      <c r="ED37" s="135" t="n"/>
      <c r="EE37" s="135" t="n"/>
      <c r="EF37" s="135" t="n"/>
      <c r="EG37" s="135" t="n"/>
      <c r="EH37" s="135" t="n"/>
      <c r="EI37" s="135" t="n"/>
      <c r="EJ37" s="135" t="n"/>
      <c r="EK37" s="135" t="n">
        <v>50</v>
      </c>
      <c r="EL37" s="135" t="n"/>
      <c r="EM37" s="135" t="n"/>
      <c r="EN37" s="135" t="n"/>
      <c r="EO37" s="135" t="n"/>
      <c r="EP37" s="406" t="inlineStr">
        <is>
          <t>10 P/ CD</t>
        </is>
      </c>
      <c r="EQ37" s="135" t="n"/>
      <c r="ER37" s="135" t="n"/>
      <c r="ES37" s="135" t="n"/>
      <c r="ET37" s="135" t="n"/>
      <c r="EU37" s="135" t="n"/>
      <c r="EV37" s="135" t="n"/>
      <c r="EW37" s="135" t="n"/>
      <c r="EX37" s="135" t="n"/>
      <c r="EY37" s="135" t="n"/>
      <c r="EZ37" s="135" t="n"/>
      <c r="FA37" s="135" t="n"/>
      <c r="FB37" s="135" t="n"/>
      <c r="FC37" s="135" t="n"/>
      <c r="FD37" s="135" t="n"/>
      <c r="FE37" s="135" t="n"/>
      <c r="FF37" s="135" t="n"/>
      <c r="FG37" s="135" t="n"/>
      <c r="FH37" s="23" t="n"/>
      <c r="FI37" s="374" t="n"/>
      <c r="FJ37" s="135" t="n"/>
      <c r="FK37" s="135" t="n"/>
      <c r="FL37" s="135" t="n"/>
      <c r="FM37" s="135" t="n"/>
      <c r="FN37" s="135" t="n"/>
      <c r="FO37" s="135" t="n"/>
      <c r="FP37" s="135" t="n"/>
      <c r="FQ37" s="135" t="n"/>
      <c r="FR37" s="135" t="n"/>
      <c r="FS37" s="135" t="n"/>
      <c r="FT37" s="135" t="n"/>
      <c r="FU37" s="135" t="n"/>
      <c r="FV37" s="135" t="n"/>
      <c r="FW37" s="219" t="n"/>
      <c r="FX37" s="135" t="n"/>
      <c r="FY37" s="219" t="n"/>
      <c r="FZ37" s="135" t="n"/>
      <c r="GA37" s="135" t="n"/>
      <c r="GB37" s="135" t="n"/>
      <c r="GC37" s="135" t="n"/>
      <c r="GD37" s="135" t="n"/>
      <c r="GE37" s="135" t="n"/>
      <c r="GF37" s="135" t="n"/>
      <c r="GG37" s="135" t="n"/>
      <c r="GH37" s="135" t="n">
        <v>50</v>
      </c>
      <c r="GI37" s="135" t="n"/>
      <c r="GJ37" s="135" t="n"/>
      <c r="GK37" s="135" t="n"/>
      <c r="GL37" s="135" t="n">
        <v>25</v>
      </c>
      <c r="GM37" s="135" t="n"/>
      <c r="GN37" s="135" t="n"/>
      <c r="GO37" s="573" t="n"/>
      <c r="GP37" s="573" t="inlineStr">
        <is>
          <t>VER COM A ELEN SE PODEMOS TRANSF. P/ BSH - CAIXAS</t>
        </is>
      </c>
      <c r="IH37" s="41" t="n"/>
      <c r="II37" s="41" t="n"/>
      <c r="IJ37" s="41" t="n"/>
      <c r="IK37" s="41" t="n"/>
      <c r="IL37" s="41" t="n"/>
      <c r="IM37" s="41" t="n"/>
    </row>
    <row r="38" hidden="1">
      <c r="A38" s="37" t="inlineStr">
        <is>
          <t>KIT OVERBAG OMNI M</t>
        </is>
      </c>
      <c r="B38" s="699" t="n">
        <v>25</v>
      </c>
      <c r="C38" s="762" t="n">
        <v>57</v>
      </c>
      <c r="D38" s="382" t="n">
        <v>20</v>
      </c>
      <c r="E38" s="573" t="n"/>
      <c r="F38" s="153" t="n">
        <v>76</v>
      </c>
      <c r="G38" s="153" t="n">
        <v>75</v>
      </c>
      <c r="H38" s="153" t="n">
        <v>140</v>
      </c>
      <c r="I38" s="153" t="n">
        <v>140</v>
      </c>
      <c r="J38" s="153" t="n">
        <v>140</v>
      </c>
      <c r="K38" s="153" t="n">
        <v>136</v>
      </c>
      <c r="L38" s="153" t="n">
        <v>136</v>
      </c>
      <c r="M38" s="153" t="n">
        <v>134</v>
      </c>
      <c r="N38" s="153" t="n">
        <v>133</v>
      </c>
      <c r="O38" s="153" t="n">
        <v>133</v>
      </c>
      <c r="P38" s="153" t="n">
        <v>133</v>
      </c>
      <c r="Q38" s="153" t="n">
        <v>132</v>
      </c>
      <c r="R38" s="153" t="n">
        <v>131</v>
      </c>
      <c r="S38" s="153" t="n">
        <v>131</v>
      </c>
      <c r="T38" s="153" t="n">
        <v>131</v>
      </c>
      <c r="U38" s="153" t="n">
        <v>128</v>
      </c>
      <c r="V38" s="153" t="n">
        <v>127</v>
      </c>
      <c r="W38" s="153" t="n">
        <v>124</v>
      </c>
      <c r="X38" s="153" t="n">
        <v>121</v>
      </c>
      <c r="Y38" s="153" t="n">
        <v>120</v>
      </c>
      <c r="Z38" s="153" t="n">
        <v>119</v>
      </c>
      <c r="AA38" s="153" t="n">
        <v>119</v>
      </c>
      <c r="AB38" s="153" t="n">
        <v>119</v>
      </c>
      <c r="AC38" s="153" t="n">
        <v>118</v>
      </c>
      <c r="AD38" s="153" t="n">
        <v>117</v>
      </c>
      <c r="AE38" s="153" t="n">
        <v>116</v>
      </c>
      <c r="AF38" s="153" t="n">
        <v>116</v>
      </c>
      <c r="AG38" s="153" t="n">
        <v>105</v>
      </c>
      <c r="AH38" s="153" t="n">
        <v>95</v>
      </c>
      <c r="AI38" s="153" t="n">
        <v>94</v>
      </c>
      <c r="AJ38" s="153" t="n">
        <v>94</v>
      </c>
      <c r="AK38" s="153" t="n">
        <v>94</v>
      </c>
      <c r="AL38" s="153" t="n">
        <v>94</v>
      </c>
      <c r="AM38" s="153" t="n">
        <v>25</v>
      </c>
      <c r="AN38" s="153" t="n">
        <v>25</v>
      </c>
      <c r="AO38" s="153" t="n">
        <v>25</v>
      </c>
      <c r="AP38" s="153" t="n">
        <v>17</v>
      </c>
      <c r="AQ38" s="153" t="n">
        <v>17</v>
      </c>
      <c r="AR38" s="153" t="n">
        <v>13</v>
      </c>
      <c r="AS38" s="153" t="n">
        <v>11</v>
      </c>
      <c r="AT38" s="153" t="n">
        <v>11</v>
      </c>
      <c r="AU38" s="153" t="n">
        <v>11</v>
      </c>
      <c r="AV38" s="153" t="n">
        <v>6</v>
      </c>
      <c r="AW38" s="153" t="n">
        <v>6</v>
      </c>
      <c r="AX38" s="153" t="n">
        <v>2</v>
      </c>
      <c r="AY38" s="153">
        <f>2+10</f>
        <v/>
      </c>
      <c r="AZ38" s="153" t="n">
        <v>12</v>
      </c>
      <c r="BA38" s="153" t="n">
        <v>12</v>
      </c>
      <c r="BB38" s="153" t="n">
        <v>9</v>
      </c>
      <c r="BC38" s="153" t="n">
        <v>9</v>
      </c>
      <c r="BD38" s="153" t="n">
        <v>9</v>
      </c>
      <c r="BE38" s="153" t="n">
        <v>9</v>
      </c>
      <c r="BF38" s="153" t="n">
        <v>9</v>
      </c>
      <c r="BG38" s="153" t="n">
        <v>9</v>
      </c>
      <c r="BH38" s="153" t="n">
        <v>4</v>
      </c>
      <c r="BI38" s="153" t="n">
        <v>1</v>
      </c>
      <c r="BJ38" s="153" t="n">
        <v>1</v>
      </c>
      <c r="BK38" s="153" t="n">
        <v>0</v>
      </c>
      <c r="BL38" s="153" t="n">
        <v>0</v>
      </c>
      <c r="BM38" s="153" t="n">
        <v>0</v>
      </c>
      <c r="BN38" s="153" t="n"/>
      <c r="BO38" s="153" t="n"/>
      <c r="BP38" s="153" t="n"/>
      <c r="BQ38" s="153" t="n"/>
      <c r="BR38" s="153" t="n"/>
      <c r="BS38" s="153" t="n"/>
      <c r="BT38" s="153" t="n"/>
      <c r="BU38" s="153" t="n"/>
      <c r="BV38" s="153" t="n"/>
      <c r="BW38" s="153" t="n"/>
      <c r="BX38" s="153" t="n"/>
      <c r="BY38" s="198">
        <f>BW38+IF(NOT(ISBLANK(OFFSET(BY38,0,6))),N(OFFSET(BY38,0,6)),N(OFFSET(BY38,0,7)))-BX38</f>
        <v/>
      </c>
      <c r="CA38" s="22" t="n"/>
      <c r="CB38" s="22" t="n"/>
      <c r="CD38" s="252" t="n"/>
      <c r="CE38" s="573" t="n"/>
      <c r="CF38" s="135" t="n"/>
      <c r="CG38" s="135" t="n"/>
      <c r="CH38" s="135" t="n"/>
      <c r="CI38" s="135" t="n"/>
      <c r="CJ38" s="135" t="n"/>
      <c r="CK38" s="135" t="n"/>
      <c r="CL38" s="135" t="n"/>
      <c r="CM38" s="135" t="n"/>
      <c r="CN38" s="135" t="n"/>
      <c r="CO38" s="135" t="n"/>
      <c r="CP38" s="135" t="n"/>
      <c r="CQ38" s="135" t="n"/>
      <c r="CR38" s="135" t="n"/>
      <c r="CS38" s="135" t="n"/>
      <c r="CT38" s="135" t="n"/>
      <c r="CU38" s="135" t="n"/>
      <c r="CV38" s="135" t="n"/>
      <c r="CW38" s="135" t="n"/>
      <c r="CX38" s="135" t="n"/>
      <c r="CY38" s="135" t="n"/>
      <c r="CZ38" s="135" t="n"/>
      <c r="DA38" s="135" t="n"/>
      <c r="DB38" s="135" t="n"/>
      <c r="DC38" s="135" t="n"/>
      <c r="DD38" s="135" t="n"/>
      <c r="DE38" s="135" t="n"/>
      <c r="DF38" s="135" t="n"/>
      <c r="DG38" s="135" t="n"/>
      <c r="DH38" s="135" t="n"/>
      <c r="DI38" s="135" t="n"/>
      <c r="DJ38" s="135" t="n"/>
      <c r="DK38" s="192" t="inlineStr">
        <is>
          <t>10 DE CDB</t>
        </is>
      </c>
      <c r="DL38" s="135" t="n"/>
      <c r="DM38" s="135" t="n"/>
      <c r="DN38" s="135" t="n"/>
      <c r="DO38" s="135" t="n"/>
      <c r="DP38" s="135" t="n"/>
      <c r="DQ38" s="135" t="n"/>
      <c r="DR38" s="135" t="n"/>
      <c r="DS38" s="135" t="n"/>
      <c r="DT38" s="135" t="n"/>
      <c r="DU38" s="135" t="n"/>
      <c r="DV38" s="135" t="n"/>
      <c r="DW38" s="135" t="n"/>
      <c r="DX38" s="135" t="n"/>
      <c r="DY38" s="135" t="n"/>
      <c r="DZ38" s="135" t="n"/>
      <c r="EA38" s="135" t="n"/>
      <c r="EB38" s="135" t="n"/>
      <c r="EC38" s="135" t="n"/>
      <c r="ED38" s="135" t="n"/>
      <c r="EE38" s="135" t="n"/>
      <c r="EF38" s="135" t="n"/>
      <c r="EG38" s="135" t="n"/>
      <c r="EH38" s="135" t="n"/>
      <c r="EI38" s="135" t="n"/>
      <c r="EJ38" s="135" t="n"/>
      <c r="EK38" s="135" t="n"/>
      <c r="EL38" s="135" t="n"/>
      <c r="EM38" s="135" t="n"/>
      <c r="EN38" s="135" t="n"/>
      <c r="EO38" s="135" t="n"/>
      <c r="EP38" s="135" t="n"/>
      <c r="EQ38" s="135" t="n"/>
      <c r="ER38" s="135" t="n"/>
      <c r="ES38" s="135" t="n"/>
      <c r="ET38" s="135" t="n"/>
      <c r="EU38" s="135" t="n"/>
      <c r="EV38" s="135" t="n"/>
      <c r="EW38" s="135" t="n"/>
      <c r="EX38" s="135" t="n"/>
      <c r="EY38" s="135" t="n"/>
      <c r="EZ38" s="135" t="n"/>
      <c r="FA38" s="135" t="n"/>
      <c r="FB38" s="135" t="n"/>
      <c r="FC38" s="135" t="n"/>
      <c r="FD38" s="135" t="n"/>
      <c r="FE38" s="135" t="n"/>
      <c r="FF38" s="135" t="n"/>
      <c r="FG38" s="135" t="n"/>
      <c r="FH38" s="23" t="n"/>
      <c r="FI38" s="374" t="n"/>
      <c r="FJ38" s="135" t="n"/>
      <c r="FK38" s="135" t="n"/>
      <c r="FL38" s="135" t="n"/>
      <c r="FM38" s="135" t="n"/>
      <c r="FN38" s="135" t="n"/>
      <c r="FO38" s="135" t="n"/>
      <c r="FP38" s="135" t="n"/>
      <c r="FQ38" s="135" t="n"/>
      <c r="FR38" s="135" t="n"/>
      <c r="FS38" s="135" t="n"/>
      <c r="FT38" s="135" t="n"/>
      <c r="FU38" s="135" t="n"/>
      <c r="FV38" s="135" t="n"/>
      <c r="FW38" s="219" t="n"/>
      <c r="FX38" s="135" t="n"/>
      <c r="FY38" s="219" t="n"/>
      <c r="FZ38" s="135" t="n"/>
      <c r="GA38" s="135" t="n"/>
      <c r="GB38" s="135" t="n"/>
      <c r="GC38" s="135" t="n"/>
      <c r="GD38" s="135" t="n"/>
      <c r="GE38" s="135" t="n"/>
      <c r="GF38" s="135" t="n"/>
      <c r="GG38" s="135" t="n"/>
      <c r="GH38" s="135" t="n"/>
      <c r="GI38" s="135" t="n"/>
      <c r="GJ38" s="135" t="n"/>
      <c r="GK38" s="135" t="n"/>
      <c r="GL38" s="135" t="n"/>
      <c r="GM38" s="135" t="n"/>
      <c r="GN38" s="135" t="n"/>
      <c r="GO38" s="573" t="n"/>
      <c r="HK38" s="573" t="n"/>
      <c r="HL38" s="573" t="n"/>
      <c r="HM38" s="573" t="n"/>
      <c r="HN38" s="573" t="n"/>
      <c r="HO38" s="573" t="n"/>
      <c r="HP38" s="573" t="n"/>
      <c r="HQ38" s="573" t="n"/>
      <c r="HR38" s="573" t="n"/>
      <c r="HS38" s="573" t="n"/>
      <c r="HT38" s="573" t="n"/>
      <c r="HV38" s="573" t="n"/>
      <c r="HW38" s="573" t="n"/>
      <c r="HX38" s="573" t="n"/>
      <c r="HY38" s="573" t="n"/>
      <c r="HZ38" s="573" t="n"/>
      <c r="IA38" s="573" t="n"/>
      <c r="IB38" s="573" t="n"/>
      <c r="IC38" s="573" t="n"/>
      <c r="ID38" s="573" t="n"/>
      <c r="IE38" s="573" t="n"/>
      <c r="IF38" s="573" t="n"/>
      <c r="IH38" s="41" t="n"/>
      <c r="II38" s="41" t="n"/>
      <c r="IJ38" s="41" t="n"/>
      <c r="IK38" s="41" t="n"/>
      <c r="IL38" s="41" t="n"/>
      <c r="IM38" s="41" t="n"/>
    </row>
    <row r="39" hidden="1">
      <c r="B39" s="573" t="n"/>
      <c r="E39" s="573" t="n"/>
      <c r="F39" s="573" t="n"/>
      <c r="G39" s="573" t="n"/>
      <c r="H39" s="573" t="n"/>
      <c r="I39" s="573" t="n"/>
      <c r="J39" s="573" t="n"/>
      <c r="K39" s="573" t="n"/>
      <c r="L39" s="573" t="n"/>
      <c r="M39" s="573" t="n"/>
      <c r="N39" s="573" t="n"/>
      <c r="O39" s="573" t="n"/>
      <c r="P39" s="573" t="n"/>
      <c r="Q39" s="573" t="n"/>
      <c r="R39" s="573" t="n"/>
      <c r="S39" s="573" t="n"/>
      <c r="T39" s="573" t="n"/>
      <c r="U39" s="573" t="n"/>
      <c r="V39" s="573" t="n"/>
      <c r="W39" s="573" t="n"/>
      <c r="X39" s="573" t="n"/>
      <c r="Y39" s="573" t="n"/>
      <c r="Z39" s="573" t="n"/>
      <c r="AA39" s="573" t="n"/>
      <c r="AB39" s="573" t="n"/>
      <c r="AC39" s="573" t="n"/>
      <c r="AD39" s="573" t="n"/>
      <c r="AE39" s="573" t="n"/>
      <c r="AF39" s="573" t="n"/>
      <c r="AG39" s="573" t="n"/>
      <c r="AH39" s="573" t="n"/>
      <c r="AI39" s="573" t="n"/>
      <c r="AJ39" s="573" t="n"/>
      <c r="AK39" s="573" t="n"/>
      <c r="AL39" s="573" t="n"/>
      <c r="AM39" s="573" t="n"/>
      <c r="AN39" s="573" t="n"/>
      <c r="AO39" s="573" t="n"/>
      <c r="AP39" s="573" t="n"/>
      <c r="AQ39" s="573" t="n"/>
      <c r="AR39" s="573" t="n"/>
      <c r="AS39" s="573" t="n"/>
      <c r="AT39" s="573" t="n"/>
      <c r="AU39" s="573" t="n"/>
      <c r="AV39" s="573" t="n"/>
      <c r="AW39" s="573" t="n"/>
      <c r="AX39" s="573" t="n"/>
      <c r="AY39" s="573" t="n"/>
      <c r="AZ39" s="573" t="n"/>
      <c r="BA39" s="573" t="n"/>
      <c r="BB39" s="573" t="n"/>
      <c r="BC39" s="573" t="n"/>
      <c r="BD39" s="573" t="n"/>
      <c r="BE39" s="573" t="n"/>
      <c r="BF39" s="573" t="n"/>
      <c r="BG39" s="573" t="n"/>
      <c r="BH39" s="573" t="n"/>
      <c r="BI39" s="573" t="n"/>
      <c r="BJ39" s="573" t="n"/>
      <c r="BK39" s="573" t="n"/>
      <c r="BL39" s="573" t="n"/>
      <c r="BM39" s="573" t="n"/>
      <c r="BN39" s="573" t="n"/>
      <c r="BO39" s="573" t="n"/>
      <c r="BP39" s="573" t="n"/>
      <c r="BQ39" s="573" t="n"/>
      <c r="BR39" s="573" t="n"/>
      <c r="BS39" s="573" t="n"/>
      <c r="BT39" s="573" t="n"/>
      <c r="BU39" s="573" t="n"/>
      <c r="BV39" s="573" t="n"/>
      <c r="BW39" s="573" t="n"/>
      <c r="BX39" s="573" t="n"/>
      <c r="BY39" s="573" t="n"/>
      <c r="CE39" s="573" t="n"/>
      <c r="CF39" s="749" t="n"/>
      <c r="CG39" s="749" t="n"/>
      <c r="CH39" s="749" t="n"/>
      <c r="CI39" s="749" t="n"/>
      <c r="CJ39" s="749" t="n"/>
      <c r="CK39" s="749" t="n"/>
      <c r="CL39" s="749" t="n"/>
      <c r="CM39" s="749" t="n"/>
      <c r="CN39" s="749" t="n"/>
      <c r="CO39" s="749" t="n"/>
      <c r="CP39" s="749" t="n"/>
      <c r="CQ39" s="749" t="n"/>
      <c r="CR39" s="749" t="n"/>
      <c r="CS39" s="749" t="n"/>
      <c r="CT39" s="749" t="n"/>
      <c r="CU39" s="749" t="n"/>
      <c r="CV39" s="749" t="n"/>
      <c r="CW39" s="749" t="n"/>
      <c r="CX39" s="749" t="n"/>
      <c r="CY39" s="749" t="n"/>
      <c r="CZ39" s="749" t="n"/>
      <c r="DA39" s="749" t="n"/>
      <c r="DB39" s="749" t="n"/>
      <c r="DC39" s="749" t="n"/>
      <c r="DD39" s="749" t="n"/>
      <c r="DE39" s="749" t="n"/>
      <c r="DF39" s="749" t="n"/>
      <c r="DG39" s="749" t="n"/>
      <c r="DH39" s="749" t="n"/>
      <c r="DI39" s="749" t="n"/>
      <c r="DJ39" s="749" t="n"/>
      <c r="DK39" s="749" t="n"/>
      <c r="DL39" s="749" t="n"/>
      <c r="DM39" s="749" t="n"/>
      <c r="DN39" s="749" t="n"/>
      <c r="DO39" s="749" t="n"/>
      <c r="DP39" s="749" t="n"/>
      <c r="DQ39" s="749" t="n"/>
      <c r="DR39" s="749" t="n"/>
      <c r="DS39" s="749" t="n"/>
      <c r="DT39" s="749" t="n"/>
      <c r="DU39" s="749" t="n"/>
      <c r="DV39" s="749" t="n"/>
      <c r="DW39" s="749" t="n"/>
      <c r="DX39" s="749" t="n"/>
      <c r="DY39" s="749" t="n"/>
      <c r="DZ39" s="749" t="n"/>
      <c r="EA39" s="749" t="n"/>
      <c r="EB39" s="749" t="n"/>
      <c r="EC39" s="749" t="n"/>
      <c r="ED39" s="749" t="n"/>
      <c r="EE39" s="749" t="n"/>
      <c r="EF39" s="749" t="n"/>
      <c r="EG39" s="749" t="n"/>
      <c r="EH39" s="749" t="n"/>
      <c r="EI39" s="749" t="n"/>
      <c r="EJ39" s="749" t="n"/>
      <c r="EK39" s="749" t="n"/>
      <c r="EL39" s="749" t="n"/>
      <c r="EM39" s="749" t="n"/>
      <c r="EN39" s="749" t="n"/>
      <c r="EO39" s="749" t="n"/>
      <c r="EP39" s="749" t="n"/>
      <c r="EQ39" s="749" t="n"/>
      <c r="ER39" s="749" t="n"/>
      <c r="ES39" s="749" t="n"/>
      <c r="ET39" s="749" t="n"/>
      <c r="EU39" s="749" t="n"/>
      <c r="EV39" s="749" t="n"/>
      <c r="EW39" s="749" t="n"/>
      <c r="EX39" s="749" t="n"/>
      <c r="EY39" s="749" t="n"/>
      <c r="EZ39" s="749" t="n"/>
      <c r="FA39" s="749" t="n"/>
      <c r="FB39" s="749" t="n"/>
      <c r="FC39" s="749" t="n"/>
      <c r="FD39" s="749" t="n"/>
      <c r="FE39" s="749" t="n"/>
      <c r="FF39" s="749" t="n"/>
      <c r="FG39" s="749" t="n"/>
      <c r="FH39" s="47" t="n"/>
      <c r="FI39" s="749" t="n"/>
      <c r="FJ39" s="749" t="n"/>
      <c r="FK39" s="749" t="n"/>
      <c r="FL39" s="749" t="n"/>
      <c r="FM39" s="749" t="n"/>
      <c r="FN39" s="749" t="n"/>
      <c r="FO39" s="749" t="n"/>
      <c r="FP39" s="749" t="n"/>
      <c r="FQ39" s="749" t="n"/>
      <c r="FR39" s="749" t="n"/>
      <c r="FS39" s="749" t="n"/>
      <c r="FT39" s="749" t="n"/>
      <c r="FU39" s="749" t="n"/>
      <c r="FV39" s="749" t="n"/>
      <c r="FX39" s="749" t="n"/>
      <c r="FZ39" s="749" t="n"/>
      <c r="GA39" s="749" t="n"/>
      <c r="GB39" s="749" t="n"/>
      <c r="GC39" s="749" t="n"/>
      <c r="GD39" s="749" t="n"/>
      <c r="GE39" s="749" t="n"/>
      <c r="GF39" s="749" t="n"/>
      <c r="GG39" s="749" t="n"/>
      <c r="GH39" s="749" t="n"/>
      <c r="GI39" s="749" t="n"/>
      <c r="GJ39" s="749" t="n"/>
      <c r="GK39" s="749" t="n"/>
      <c r="GL39" s="749" t="n"/>
      <c r="GM39" s="749" t="n"/>
      <c r="GN39" s="749" t="n"/>
      <c r="GO39" s="573" t="n"/>
      <c r="GP39" s="573" t="n"/>
      <c r="GQ39" s="573" t="n"/>
      <c r="GR39" s="573" t="n"/>
      <c r="GS39" s="573" t="n"/>
      <c r="GT39" s="573" t="n"/>
      <c r="GU39" s="573" t="n"/>
      <c r="GV39" s="573" t="n"/>
      <c r="GW39" s="573" t="n"/>
      <c r="GX39" s="573" t="n"/>
      <c r="GY39" s="573" t="n"/>
      <c r="GZ39" s="573" t="n"/>
      <c r="HA39" s="573" t="n"/>
      <c r="HB39" s="573" t="n"/>
      <c r="HC39" s="573" t="n"/>
      <c r="HD39" s="573" t="n"/>
      <c r="HE39" s="573" t="n"/>
      <c r="HF39" s="573" t="n"/>
      <c r="HG39" s="573" t="n"/>
      <c r="HH39" s="573" t="n"/>
      <c r="HI39" s="573" t="n"/>
      <c r="HK39" s="573" t="n"/>
      <c r="HL39" s="573" t="n"/>
      <c r="HM39" s="573" t="n"/>
      <c r="HN39" s="573" t="n"/>
      <c r="HO39" s="573" t="n"/>
      <c r="HP39" s="573" t="n"/>
      <c r="HQ39" s="573" t="n"/>
      <c r="HR39" s="573" t="n"/>
      <c r="HS39" s="573" t="n"/>
      <c r="HT39" s="573" t="n"/>
      <c r="HV39" s="573" t="n"/>
      <c r="HW39" s="573" t="n"/>
      <c r="HX39" s="573" t="n"/>
      <c r="HY39" s="573" t="n"/>
      <c r="HZ39" s="573" t="n"/>
      <c r="IA39" s="573" t="n"/>
      <c r="IB39" s="573" t="n"/>
      <c r="IC39" s="573" t="n"/>
      <c r="ID39" s="573" t="n"/>
      <c r="IE39" s="573" t="n"/>
      <c r="IF39" s="573" t="n"/>
    </row>
    <row r="40">
      <c r="A40" s="166" t="inlineStr">
        <is>
          <t>SACOLAS/SACO/DIVERSOS OUI</t>
        </is>
      </c>
      <c r="B40" s="166" t="n"/>
      <c r="C40" s="166" t="n"/>
      <c r="D40" s="166" t="n"/>
      <c r="E40" s="2" t="n"/>
      <c r="F40" s="746" t="n">
        <v>45656</v>
      </c>
      <c r="G40" s="746" t="n">
        <v>45663</v>
      </c>
      <c r="H40" s="746" t="n">
        <v>45670</v>
      </c>
      <c r="I40" s="746" t="n">
        <v>45677</v>
      </c>
      <c r="J40" s="746" t="n">
        <v>45684</v>
      </c>
      <c r="K40" s="746" t="n">
        <v>45691</v>
      </c>
      <c r="L40" s="746" t="n">
        <v>45698</v>
      </c>
      <c r="M40" s="746" t="n">
        <v>45705</v>
      </c>
      <c r="N40" s="746" t="n">
        <v>45712</v>
      </c>
      <c r="O40" s="746" t="n">
        <v>45719</v>
      </c>
      <c r="P40" s="746" t="n">
        <v>45726</v>
      </c>
      <c r="Q40" s="746" t="n">
        <v>45733</v>
      </c>
      <c r="R40" s="746" t="n">
        <v>45740</v>
      </c>
      <c r="S40" s="746" t="n">
        <v>45747</v>
      </c>
      <c r="T40" s="746" t="n">
        <v>45754</v>
      </c>
      <c r="U40" s="746" t="n">
        <v>45761</v>
      </c>
      <c r="V40" s="746" t="n">
        <v>45768</v>
      </c>
      <c r="W40" s="746" t="n">
        <v>45775</v>
      </c>
      <c r="X40" s="746" t="n">
        <v>45782</v>
      </c>
      <c r="Y40" s="746" t="n">
        <v>45789</v>
      </c>
      <c r="Z40" s="746" t="n">
        <v>45796</v>
      </c>
      <c r="AA40" s="746" t="n">
        <v>45803</v>
      </c>
      <c r="AB40" s="746" t="n">
        <v>45810</v>
      </c>
      <c r="AC40" s="746" t="n">
        <v>45817</v>
      </c>
      <c r="AD40" s="746" t="n">
        <v>45824</v>
      </c>
      <c r="AE40" s="746" t="n">
        <v>45831</v>
      </c>
      <c r="AF40" s="746" t="n">
        <v>45838</v>
      </c>
      <c r="AG40" s="746" t="n">
        <v>45845</v>
      </c>
      <c r="AH40" s="746" t="n">
        <v>45852</v>
      </c>
      <c r="AI40" s="746" t="n">
        <v>45859</v>
      </c>
      <c r="AJ40" s="746" t="n">
        <v>45866</v>
      </c>
      <c r="AK40" s="746" t="n">
        <v>45873</v>
      </c>
      <c r="AL40" s="746" t="n">
        <v>45880</v>
      </c>
      <c r="AM40" s="746" t="n">
        <v>45887</v>
      </c>
      <c r="AN40" s="746" t="n">
        <v>45894</v>
      </c>
      <c r="AO40" s="746" t="n">
        <v>45901</v>
      </c>
      <c r="AP40" s="746" t="n">
        <v>45915</v>
      </c>
      <c r="AQ40" s="746" t="n">
        <v>45922</v>
      </c>
      <c r="AR40" s="746" t="n">
        <v>45929</v>
      </c>
      <c r="AS40" s="746" t="n">
        <v>45936</v>
      </c>
      <c r="AT40" s="746" t="n">
        <v>45943</v>
      </c>
      <c r="AU40" s="746" t="n">
        <v>45950</v>
      </c>
      <c r="AV40" s="746" t="n">
        <v>45957</v>
      </c>
      <c r="AW40" s="746" t="n">
        <v>45964</v>
      </c>
      <c r="AX40" s="746" t="n">
        <v>45971</v>
      </c>
      <c r="AY40" s="746" t="n">
        <v>45978</v>
      </c>
      <c r="AZ40" s="746" t="n">
        <v>45985</v>
      </c>
      <c r="BA40" s="746" t="n">
        <v>45992</v>
      </c>
      <c r="BB40" s="746" t="n">
        <v>45999</v>
      </c>
      <c r="BC40" s="746" t="n">
        <v>46006</v>
      </c>
      <c r="BD40" s="746" t="n">
        <v>46013</v>
      </c>
      <c r="BE40" s="746" t="n">
        <v>46020</v>
      </c>
      <c r="BF40" s="746" t="n">
        <v>46027</v>
      </c>
      <c r="BG40" s="746" t="n">
        <v>46034</v>
      </c>
      <c r="BH40" s="746" t="n">
        <v>46041</v>
      </c>
      <c r="BI40" s="746" t="n">
        <v>46048</v>
      </c>
      <c r="BJ40" s="746" t="n">
        <v>46055</v>
      </c>
      <c r="BK40" s="746" t="n">
        <v>46062</v>
      </c>
      <c r="BL40" s="746" t="n">
        <v>46069</v>
      </c>
      <c r="BM40" s="746" t="n">
        <v>46076</v>
      </c>
      <c r="BN40" s="746" t="n">
        <v>46083</v>
      </c>
      <c r="BO40" s="746" t="n">
        <v>46090</v>
      </c>
      <c r="BP40" s="746" t="n">
        <v>46097</v>
      </c>
      <c r="BQ40" s="746" t="n">
        <v>46104</v>
      </c>
      <c r="BR40" s="746" t="n">
        <v>46111</v>
      </c>
      <c r="BS40" s="746" t="n">
        <v>46118</v>
      </c>
      <c r="BT40" s="746" t="n">
        <v>46125</v>
      </c>
      <c r="BU40" s="746" t="n">
        <v>46132</v>
      </c>
      <c r="BV40" s="746" t="n">
        <v>46139</v>
      </c>
      <c r="BW40" s="746" t="n">
        <v>46146</v>
      </c>
      <c r="BX40" s="746" t="n">
        <v>46154</v>
      </c>
      <c r="BY40" s="748" t="inlineStr">
        <is>
          <t>USOU</t>
        </is>
      </c>
      <c r="CA40" s="44" t="inlineStr">
        <is>
          <t>Pendências</t>
        </is>
      </c>
      <c r="CB40" s="44" t="inlineStr">
        <is>
          <t>Pendências</t>
        </is>
      </c>
      <c r="CD40" s="12" t="inlineStr">
        <is>
          <t>Novo Pedido</t>
        </is>
      </c>
      <c r="CE40" s="573" t="n"/>
      <c r="CF40" s="794" t="n">
        <v>46149</v>
      </c>
      <c r="CG40" s="794" t="n">
        <v>46142</v>
      </c>
      <c r="CH40" s="794" t="n">
        <v>46114</v>
      </c>
      <c r="CI40" s="794" t="n">
        <v>46107</v>
      </c>
      <c r="CJ40" s="795" t="n">
        <v>46065</v>
      </c>
      <c r="CK40" s="794" t="n">
        <v>46099</v>
      </c>
      <c r="CL40" s="794" t="n">
        <v>46092</v>
      </c>
      <c r="CM40" s="796" t="n">
        <v>46045</v>
      </c>
      <c r="CN40" s="794" t="n">
        <v>46084</v>
      </c>
      <c r="CO40" s="797" t="n">
        <v>46085</v>
      </c>
      <c r="CP40" s="794" t="n">
        <v>46077</v>
      </c>
      <c r="CQ40" s="794" t="n">
        <v>46071</v>
      </c>
      <c r="CR40" s="794" t="n">
        <v>46056</v>
      </c>
      <c r="CS40" s="794" t="n">
        <v>46048</v>
      </c>
      <c r="CT40" s="794" t="n">
        <v>46056</v>
      </c>
      <c r="CU40" s="794" t="n">
        <v>46048</v>
      </c>
      <c r="CV40" s="794" t="n">
        <v>46043</v>
      </c>
      <c r="CW40" s="794" t="n">
        <v>46035</v>
      </c>
      <c r="CX40" s="794" t="n">
        <v>46043</v>
      </c>
      <c r="CY40" s="794" t="n">
        <v>46035</v>
      </c>
      <c r="CZ40" s="794" t="n">
        <v>46035</v>
      </c>
      <c r="DA40" s="794" t="n">
        <v>46029</v>
      </c>
      <c r="DB40" s="794" t="n">
        <v>46017</v>
      </c>
      <c r="DC40" s="794" t="n">
        <v>46007</v>
      </c>
      <c r="DD40" s="794" t="n">
        <v>46007</v>
      </c>
      <c r="DE40" s="794" t="n">
        <v>46001</v>
      </c>
      <c r="DF40" s="794" t="n">
        <v>46001</v>
      </c>
      <c r="DG40" s="794" t="n">
        <v>45994</v>
      </c>
      <c r="DH40" s="794" t="n">
        <v>45994</v>
      </c>
      <c r="DI40" s="794" t="n">
        <v>45986</v>
      </c>
      <c r="DJ40" s="794" t="n">
        <v>45980</v>
      </c>
      <c r="DK40" s="797" t="n">
        <v>45982</v>
      </c>
      <c r="DL40" s="794" t="n">
        <v>45973</v>
      </c>
      <c r="DM40" s="794" t="n">
        <v>45965</v>
      </c>
      <c r="DN40" s="794" t="n">
        <v>45965</v>
      </c>
      <c r="DO40" s="794" t="n">
        <v>45960</v>
      </c>
      <c r="DP40" s="794" t="n">
        <v>45960</v>
      </c>
      <c r="DQ40" s="794" t="n">
        <v>45951</v>
      </c>
      <c r="DR40" s="794" t="n">
        <v>45945</v>
      </c>
      <c r="DS40" s="737" t="n">
        <v>45903</v>
      </c>
      <c r="DT40" s="794" t="n">
        <v>45945</v>
      </c>
      <c r="DU40" s="794" t="n">
        <v>45937</v>
      </c>
      <c r="DV40" s="794" t="n">
        <v>45923</v>
      </c>
      <c r="DW40" s="794" t="n">
        <v>45931</v>
      </c>
      <c r="DX40" s="794" t="n">
        <v>45931</v>
      </c>
      <c r="DY40" s="794" t="n">
        <v>45915</v>
      </c>
      <c r="DZ40" s="794" t="n">
        <v>45923</v>
      </c>
      <c r="EA40" s="794" t="n">
        <v>45915</v>
      </c>
      <c r="EB40" s="797" t="n">
        <v>45918</v>
      </c>
      <c r="EC40" s="794" t="n">
        <v>45903</v>
      </c>
      <c r="ED40" s="738" t="n">
        <v>45903</v>
      </c>
      <c r="EE40" s="794" t="n">
        <v>45895</v>
      </c>
      <c r="EF40" s="797" t="n">
        <v>45896</v>
      </c>
      <c r="EG40" s="794" t="n">
        <v>45888</v>
      </c>
      <c r="EH40" s="794" t="n">
        <v>45888</v>
      </c>
      <c r="EI40" s="794" t="n">
        <v>45881</v>
      </c>
      <c r="EJ40" s="797" t="n">
        <v>45881</v>
      </c>
      <c r="EK40" s="794" t="n">
        <v>45874</v>
      </c>
      <c r="EL40" s="797" t="n">
        <v>45876</v>
      </c>
      <c r="EM40" s="794" t="n">
        <v>45867</v>
      </c>
      <c r="EN40" s="794" t="n">
        <v>45860</v>
      </c>
      <c r="EO40" s="794" t="n">
        <v>45839</v>
      </c>
      <c r="EP40" s="797" t="n">
        <v>45861</v>
      </c>
      <c r="EQ40" s="797" t="n">
        <v>45860</v>
      </c>
      <c r="ER40" s="794" t="n">
        <v>45853</v>
      </c>
      <c r="ES40" s="739" t="n">
        <v>45855</v>
      </c>
      <c r="ET40" s="794" t="n">
        <v>45848</v>
      </c>
      <c r="EU40" s="794" t="n">
        <v>45839</v>
      </c>
      <c r="EV40" s="739" t="n">
        <v>45791</v>
      </c>
      <c r="EW40" s="797" t="n">
        <v>45835</v>
      </c>
      <c r="EX40" s="794" t="n">
        <v>45832</v>
      </c>
      <c r="EY40" s="794" t="n">
        <v>45825</v>
      </c>
      <c r="EZ40" s="794" t="n">
        <v>45819</v>
      </c>
      <c r="FA40" s="794" t="n">
        <v>45813</v>
      </c>
      <c r="FB40" s="794" t="n">
        <v>45805</v>
      </c>
      <c r="FC40" s="797" t="n">
        <v>45811</v>
      </c>
      <c r="FD40" s="797" t="n">
        <v>45810</v>
      </c>
      <c r="FE40" s="794" t="n">
        <v>45798</v>
      </c>
      <c r="FF40" s="797" t="n">
        <v>45803</v>
      </c>
      <c r="FG40" s="755" t="n">
        <v>45803</v>
      </c>
      <c r="FH40" s="797" t="n">
        <v>45800</v>
      </c>
      <c r="FI40" s="742" t="n">
        <v>45735</v>
      </c>
      <c r="FJ40" s="797" t="n">
        <v>45796</v>
      </c>
      <c r="FK40" s="794" t="n">
        <v>45790</v>
      </c>
      <c r="FL40" s="794" t="n">
        <v>45784</v>
      </c>
      <c r="FM40" s="797" t="n">
        <v>45791</v>
      </c>
      <c r="FN40" s="794" t="n">
        <v>45783</v>
      </c>
      <c r="FO40" s="794" t="n">
        <v>45770</v>
      </c>
      <c r="FP40" s="794" t="n">
        <v>45775</v>
      </c>
      <c r="FQ40" s="794" t="n">
        <v>45770</v>
      </c>
      <c r="FR40" s="797" t="n">
        <v>45775</v>
      </c>
      <c r="FS40" s="794" t="n">
        <v>45756</v>
      </c>
      <c r="FT40" s="794" t="n">
        <v>45749</v>
      </c>
      <c r="FU40" s="797" t="n">
        <v>45751</v>
      </c>
      <c r="FV40" s="794" t="n">
        <v>45743</v>
      </c>
      <c r="FW40" s="746" t="n">
        <v>45729</v>
      </c>
      <c r="FX40" s="794" t="n">
        <v>45722</v>
      </c>
      <c r="FY40" s="746" t="n">
        <v>45700</v>
      </c>
      <c r="FZ40" s="797" t="n">
        <v>45722</v>
      </c>
      <c r="GA40" s="794" t="n">
        <v>45714</v>
      </c>
      <c r="GB40" s="794" t="n">
        <v>45706</v>
      </c>
      <c r="GC40" s="794" t="n">
        <v>45699</v>
      </c>
      <c r="GD40" s="794" t="n">
        <v>45693</v>
      </c>
      <c r="GE40" s="794" t="n">
        <v>45685</v>
      </c>
      <c r="GF40" s="797" t="n">
        <v>45687</v>
      </c>
      <c r="GG40" s="794" t="n">
        <v>45664</v>
      </c>
      <c r="GH40" s="794" t="n">
        <v>45679</v>
      </c>
      <c r="GI40" s="797" t="n">
        <v>45684</v>
      </c>
      <c r="GJ40" s="794" t="n">
        <v>45664</v>
      </c>
      <c r="GK40" s="794" t="n">
        <v>45660</v>
      </c>
      <c r="GL40" s="794" t="n">
        <v>45652</v>
      </c>
      <c r="GM40" s="794" t="n">
        <v>45643</v>
      </c>
      <c r="GN40" s="794" t="n">
        <v>45638</v>
      </c>
      <c r="GO40" s="573" t="n"/>
      <c r="GP40" s="573" t="n"/>
      <c r="GQ40" s="573" t="n"/>
      <c r="GR40" s="573" t="n"/>
      <c r="GS40" s="573" t="n"/>
      <c r="GT40" s="573" t="n"/>
      <c r="GU40" s="573" t="n"/>
      <c r="GV40" s="573" t="n"/>
      <c r="GW40" s="573" t="n"/>
      <c r="GX40" s="573" t="n"/>
      <c r="GY40" s="573" t="n"/>
      <c r="GZ40" s="573" t="n"/>
      <c r="HA40" s="573" t="n"/>
      <c r="HB40" s="573" t="n"/>
      <c r="HC40" s="573" t="n"/>
      <c r="HD40" s="573" t="n"/>
      <c r="HE40" s="573" t="n"/>
      <c r="HF40" s="573" t="n"/>
      <c r="HG40" s="573" t="n"/>
      <c r="HH40" s="573" t="n"/>
      <c r="HI40" s="573" t="n"/>
      <c r="HK40" s="573" t="n"/>
      <c r="HL40" s="573" t="n"/>
      <c r="HM40" s="573" t="n"/>
      <c r="HN40" s="573" t="n"/>
      <c r="HO40" s="573" t="n"/>
      <c r="HP40" s="573" t="n"/>
      <c r="HQ40" s="573" t="n"/>
      <c r="HR40" s="573" t="n"/>
      <c r="HS40" s="573" t="n"/>
      <c r="HT40" s="573" t="n"/>
      <c r="HV40" s="573" t="n"/>
      <c r="HW40" s="573" t="n"/>
      <c r="HX40" s="573" t="n"/>
      <c r="HY40" s="573" t="n"/>
      <c r="HZ40" s="573" t="n"/>
      <c r="IA40" s="573" t="n"/>
      <c r="IB40" s="573" t="n"/>
      <c r="IC40" s="573" t="n"/>
      <c r="ID40" s="573" t="n"/>
      <c r="IE40" s="573" t="n"/>
      <c r="IF40" s="573" t="n"/>
    </row>
    <row r="41">
      <c r="A41" s="37" t="inlineStr">
        <is>
          <t>SACOLA P OUI</t>
        </is>
      </c>
      <c r="B41" s="32" t="n">
        <v>150</v>
      </c>
      <c r="C41" s="773" t="n">
        <v>469.25</v>
      </c>
      <c r="D41" s="382" t="n">
        <v>10</v>
      </c>
      <c r="E41" s="573" t="n"/>
      <c r="F41" s="32" t="n">
        <v>78</v>
      </c>
      <c r="G41" s="32" t="n">
        <v>78</v>
      </c>
      <c r="H41" s="32" t="n">
        <v>78</v>
      </c>
      <c r="I41" s="32" t="n">
        <v>64</v>
      </c>
      <c r="J41" s="32" t="n">
        <v>64</v>
      </c>
      <c r="K41" s="32" t="n">
        <v>64</v>
      </c>
      <c r="L41" s="32" t="n">
        <v>63</v>
      </c>
      <c r="M41" s="32" t="n">
        <v>63</v>
      </c>
      <c r="N41" s="32" t="n">
        <v>63</v>
      </c>
      <c r="O41" s="32" t="n">
        <v>61</v>
      </c>
      <c r="P41" s="32" t="n">
        <v>61</v>
      </c>
      <c r="Q41" s="32" t="n">
        <v>61</v>
      </c>
      <c r="R41" s="32" t="n">
        <v>61</v>
      </c>
      <c r="S41" s="32" t="n">
        <v>61</v>
      </c>
      <c r="T41" s="32" t="n">
        <v>61</v>
      </c>
      <c r="U41" s="32" t="n">
        <v>60</v>
      </c>
      <c r="V41" s="32" t="n">
        <v>60</v>
      </c>
      <c r="W41" s="32" t="n">
        <v>60</v>
      </c>
      <c r="X41" s="32" t="n">
        <v>60</v>
      </c>
      <c r="Y41" s="32" t="n">
        <v>59</v>
      </c>
      <c r="Z41" s="32" t="n">
        <v>59</v>
      </c>
      <c r="AA41" s="32" t="n">
        <v>59</v>
      </c>
      <c r="AB41" s="32" t="n">
        <v>59</v>
      </c>
      <c r="AC41" s="32" t="n">
        <v>58</v>
      </c>
      <c r="AD41" s="32" t="n">
        <v>55</v>
      </c>
      <c r="AE41" s="32" t="n">
        <v>51</v>
      </c>
      <c r="AF41" s="32" t="n">
        <v>51</v>
      </c>
      <c r="AG41" s="32" t="n">
        <v>50</v>
      </c>
      <c r="AH41" s="32" t="n">
        <v>50</v>
      </c>
      <c r="AI41" s="32" t="n">
        <v>48</v>
      </c>
      <c r="AJ41" s="32" t="n">
        <v>47</v>
      </c>
      <c r="AK41" s="32" t="n">
        <v>47</v>
      </c>
      <c r="AL41" s="32" t="n">
        <v>44</v>
      </c>
      <c r="AM41" s="32" t="n">
        <v>44</v>
      </c>
      <c r="AN41" s="32" t="n">
        <v>44</v>
      </c>
      <c r="AO41" s="32" t="n">
        <v>43</v>
      </c>
      <c r="AP41" s="32" t="n">
        <v>43</v>
      </c>
      <c r="AQ41" s="32" t="n">
        <v>42</v>
      </c>
      <c r="AR41" s="32" t="n">
        <v>40</v>
      </c>
      <c r="AS41" s="32" t="n">
        <v>39</v>
      </c>
      <c r="AT41" s="32" t="n">
        <v>37</v>
      </c>
      <c r="AU41" s="32" t="n">
        <v>37</v>
      </c>
      <c r="AV41" s="32" t="n">
        <v>37</v>
      </c>
      <c r="AW41" s="32" t="n">
        <v>37</v>
      </c>
      <c r="AX41" s="32" t="n">
        <v>31</v>
      </c>
      <c r="AY41" s="32" t="n">
        <v>29</v>
      </c>
      <c r="AZ41" s="32" t="n">
        <v>29</v>
      </c>
      <c r="BA41" s="32" t="n">
        <v>27</v>
      </c>
      <c r="BB41" s="32" t="n">
        <v>26</v>
      </c>
      <c r="BC41" s="32" t="n">
        <v>25</v>
      </c>
      <c r="BD41" s="32" t="n">
        <v>22</v>
      </c>
      <c r="BE41" s="32" t="n">
        <v>22</v>
      </c>
      <c r="BF41" s="32" t="n">
        <v>22</v>
      </c>
      <c r="BG41" s="32" t="n">
        <v>21</v>
      </c>
      <c r="BH41" s="32" t="n">
        <v>21</v>
      </c>
      <c r="BI41" s="32" t="n">
        <v>20</v>
      </c>
      <c r="BJ41" s="32" t="n">
        <v>20</v>
      </c>
      <c r="BK41" s="32" t="n">
        <v>19</v>
      </c>
      <c r="BL41" s="32" t="n">
        <v>18</v>
      </c>
      <c r="BM41" s="32" t="n">
        <v>12</v>
      </c>
      <c r="BN41" s="32" t="n">
        <v>11</v>
      </c>
      <c r="BO41" s="32" t="n">
        <v>10</v>
      </c>
      <c r="BP41" s="32" t="n">
        <v>9</v>
      </c>
      <c r="BQ41" s="32" t="n">
        <v>8</v>
      </c>
      <c r="BR41" s="32" t="n">
        <v>8</v>
      </c>
      <c r="BS41" s="32" t="n"/>
      <c r="BT41" s="32" t="n"/>
      <c r="BU41" s="32" t="n"/>
      <c r="BV41" s="32" t="n"/>
      <c r="BW41" s="32" t="n"/>
      <c r="BX41" s="32" t="n">
        <v>3</v>
      </c>
      <c r="BY41" s="192">
        <f>BW41+IF(NOT(ISBLANK(OFFSET(BY41,0,6))),N(OFFSET(BY41,0,6)),N(OFFSET(BY41,0,7)))-BX41</f>
        <v/>
      </c>
      <c r="CA41" s="22" t="n"/>
      <c r="CB41" s="22" t="n"/>
      <c r="CD41" s="27" t="n"/>
      <c r="CE41" s="573" t="n"/>
      <c r="CF41" s="40" t="n">
        <v>0</v>
      </c>
      <c r="CG41" s="40" t="n">
        <v>0</v>
      </c>
      <c r="CH41" s="40" t="n">
        <v>0</v>
      </c>
      <c r="CI41" s="40" t="n"/>
      <c r="CJ41" s="40" t="n"/>
      <c r="CK41" s="40" t="n"/>
      <c r="CL41" s="40" t="n"/>
      <c r="CM41" s="40" t="n"/>
      <c r="CN41" s="40" t="n"/>
      <c r="CO41" s="40" t="n"/>
      <c r="CP41" s="40" t="n"/>
      <c r="CQ41" s="40" t="n"/>
      <c r="CR41" s="40" t="n"/>
      <c r="CS41" s="40" t="n"/>
      <c r="CT41" s="40" t="n"/>
      <c r="CU41" s="40" t="n"/>
      <c r="CV41" s="40" t="n"/>
      <c r="CW41" s="40" t="n"/>
      <c r="CX41" s="40" t="n"/>
      <c r="CY41" s="40" t="n"/>
      <c r="CZ41" s="40" t="n"/>
      <c r="DA41" s="40" t="n"/>
      <c r="DB41" s="40" t="n"/>
      <c r="DC41" s="40" t="n"/>
      <c r="DD41" s="40" t="n"/>
      <c r="DE41" s="40" t="n"/>
      <c r="DF41" s="40" t="n"/>
      <c r="DG41" s="40" t="n"/>
      <c r="DH41" s="40" t="n"/>
      <c r="DI41" s="40" t="n"/>
      <c r="DJ41" s="40" t="n"/>
      <c r="DK41" s="219" t="n"/>
      <c r="DL41" s="40" t="n"/>
      <c r="DM41" s="40" t="n"/>
      <c r="DN41" s="40" t="n"/>
      <c r="DO41" s="40" t="n"/>
      <c r="DP41" s="40" t="n"/>
      <c r="DQ41" s="40" t="n"/>
      <c r="DR41" s="40" t="n"/>
      <c r="DS41" s="40" t="n"/>
      <c r="DT41" s="40" t="n"/>
      <c r="DU41" s="40" t="n"/>
      <c r="DV41" s="40" t="n"/>
      <c r="DW41" s="40" t="n"/>
      <c r="DX41" s="40" t="n"/>
      <c r="DY41" s="40" t="n"/>
      <c r="DZ41" s="40" t="n"/>
      <c r="EA41" s="40" t="n"/>
      <c r="EB41" s="40" t="n"/>
      <c r="EC41" s="40" t="n"/>
      <c r="ED41" s="40" t="n"/>
      <c r="EE41" s="40" t="n"/>
      <c r="EF41" s="40" t="n"/>
      <c r="EG41" s="40" t="n"/>
      <c r="EH41" s="40" t="n"/>
      <c r="EI41" s="40" t="n"/>
      <c r="EJ41" s="40" t="n"/>
      <c r="EK41" s="40" t="n"/>
      <c r="EL41" s="40" t="n"/>
      <c r="EM41" s="40" t="n"/>
      <c r="EN41" s="40" t="n"/>
      <c r="EO41" s="40" t="n"/>
      <c r="EP41" s="40" t="n"/>
      <c r="EQ41" s="40" t="n"/>
      <c r="ER41" s="40" t="n"/>
      <c r="ES41" s="40" t="n"/>
      <c r="ET41" s="40" t="n"/>
      <c r="EU41" s="40" t="n"/>
      <c r="EV41" s="40" t="n"/>
      <c r="EW41" s="40" t="n"/>
      <c r="EX41" s="40" t="n"/>
      <c r="EY41" s="40" t="n"/>
      <c r="EZ41" s="40" t="n"/>
      <c r="FA41" s="40" t="n"/>
      <c r="FB41" s="40" t="n"/>
      <c r="FC41" s="40" t="n"/>
      <c r="FD41" s="40" t="n"/>
      <c r="FE41" s="40" t="n"/>
      <c r="FF41" s="40" t="n"/>
      <c r="FG41" s="40" t="n"/>
      <c r="FH41" s="23" t="n"/>
      <c r="FI41" s="219" t="n"/>
      <c r="FJ41" s="40" t="n"/>
      <c r="FK41" s="40" t="n"/>
      <c r="FL41" s="40" t="n"/>
      <c r="FM41" s="40" t="n"/>
      <c r="FN41" s="40" t="n"/>
      <c r="FO41" s="40" t="n"/>
      <c r="FP41" s="40" t="n"/>
      <c r="FQ41" s="40" t="n"/>
      <c r="FR41" s="40" t="n"/>
      <c r="FS41" s="40" t="n"/>
      <c r="FT41" s="40" t="n"/>
      <c r="FU41" s="40" t="n"/>
      <c r="FV41" s="40" t="n"/>
      <c r="FW41" s="219" t="n"/>
      <c r="FX41" s="40" t="n"/>
      <c r="FY41" s="219" t="n"/>
      <c r="FZ41" s="40" t="n"/>
      <c r="GA41" s="40" t="n"/>
      <c r="GB41" s="40" t="n"/>
      <c r="GC41" s="40" t="n"/>
      <c r="GD41" s="40" t="n"/>
      <c r="GE41" s="40" t="n"/>
      <c r="GF41" s="40" t="n"/>
      <c r="GG41" s="40" t="n"/>
      <c r="GH41" s="40" t="n"/>
      <c r="GI41" s="40" t="n"/>
      <c r="GJ41" s="40" t="n"/>
      <c r="GK41" s="40" t="n"/>
      <c r="GL41" s="40" t="n"/>
      <c r="GM41" s="40" t="n"/>
      <c r="GN41" s="40" t="n"/>
      <c r="GO41" s="573" t="n"/>
      <c r="GP41" s="573" t="n"/>
      <c r="GQ41" s="573" t="n"/>
      <c r="GR41" s="573" t="n"/>
      <c r="GS41" s="573" t="n"/>
      <c r="GT41" s="573" t="n"/>
      <c r="GU41" s="573" t="n"/>
      <c r="GV41" s="573" t="n"/>
      <c r="GW41" s="573" t="n"/>
      <c r="GX41" s="573" t="n"/>
      <c r="GY41" s="573" t="n"/>
      <c r="GZ41" s="573" t="n"/>
      <c r="HA41" s="573" t="n"/>
      <c r="HB41" s="573" t="n"/>
      <c r="HC41" s="573" t="n"/>
      <c r="HD41" s="573" t="n"/>
      <c r="HE41" s="573" t="n"/>
      <c r="HF41" s="573" t="n"/>
      <c r="HG41" s="573" t="n"/>
      <c r="HH41" s="573" t="n"/>
      <c r="HI41" s="573" t="n"/>
      <c r="HK41" s="573" t="n"/>
      <c r="HL41" s="573" t="n"/>
      <c r="HM41" s="573" t="n"/>
      <c r="HN41" s="573" t="n"/>
      <c r="HO41" s="573" t="n"/>
      <c r="HP41" s="573" t="n"/>
      <c r="HQ41" s="573" t="n"/>
      <c r="HR41" s="573" t="n"/>
      <c r="HS41" s="573" t="n"/>
      <c r="HT41" s="573" t="n"/>
      <c r="HV41" s="573" t="n"/>
      <c r="HW41" s="573" t="n"/>
      <c r="HX41" s="573" t="n"/>
      <c r="HY41" s="573" t="n"/>
      <c r="HZ41" s="573" t="n"/>
      <c r="IA41" s="573" t="n"/>
      <c r="IB41" s="573" t="n"/>
      <c r="IC41" s="573" t="n"/>
      <c r="ID41" s="573" t="n"/>
      <c r="IE41" s="573" t="n"/>
      <c r="IF41" s="573" t="n"/>
    </row>
    <row r="42" customFormat="1" s="3">
      <c r="A42" s="37" t="inlineStr">
        <is>
          <t>SACOLA M OUI</t>
        </is>
      </c>
      <c r="B42" s="32" t="n">
        <v>100</v>
      </c>
      <c r="C42" s="773" t="n">
        <v>368.23</v>
      </c>
      <c r="D42" s="382" t="n">
        <v>10</v>
      </c>
      <c r="E42" s="573" t="n"/>
      <c r="F42" s="32" t="n">
        <v>42</v>
      </c>
      <c r="G42" s="32" t="n">
        <v>42</v>
      </c>
      <c r="H42" s="32" t="n">
        <v>42</v>
      </c>
      <c r="I42" s="32" t="n">
        <v>31</v>
      </c>
      <c r="J42" s="32" t="n">
        <v>31</v>
      </c>
      <c r="K42" s="32" t="n">
        <v>31</v>
      </c>
      <c r="L42" s="32" t="n">
        <v>31</v>
      </c>
      <c r="M42" s="32" t="n">
        <v>22</v>
      </c>
      <c r="N42" s="32" t="n">
        <v>22</v>
      </c>
      <c r="O42" s="32" t="n">
        <v>22</v>
      </c>
      <c r="P42" s="32" t="n">
        <v>22</v>
      </c>
      <c r="Q42" s="32" t="n">
        <v>22</v>
      </c>
      <c r="R42" s="32" t="n">
        <v>20</v>
      </c>
      <c r="S42" s="32" t="n">
        <v>20</v>
      </c>
      <c r="T42" s="32" t="n">
        <v>20</v>
      </c>
      <c r="U42" s="32" t="n">
        <v>16</v>
      </c>
      <c r="V42" s="32" t="n">
        <v>31</v>
      </c>
      <c r="W42" s="32" t="n">
        <v>31</v>
      </c>
      <c r="X42" s="32" t="n">
        <v>19</v>
      </c>
      <c r="Y42" s="32" t="n">
        <v>72</v>
      </c>
      <c r="Z42" s="32" t="n">
        <v>72</v>
      </c>
      <c r="AA42" s="32" t="n">
        <v>71</v>
      </c>
      <c r="AB42" s="32" t="n">
        <v>70</v>
      </c>
      <c r="AC42" s="32" t="n">
        <v>70</v>
      </c>
      <c r="AD42" s="32" t="n">
        <v>70</v>
      </c>
      <c r="AE42" s="32" t="n">
        <v>64</v>
      </c>
      <c r="AF42" s="32">
        <f>64+5</f>
        <v/>
      </c>
      <c r="AG42" s="32" t="n">
        <v>69</v>
      </c>
      <c r="AH42" s="32" t="n">
        <v>69</v>
      </c>
      <c r="AI42" s="32" t="n">
        <v>67</v>
      </c>
      <c r="AJ42" s="32" t="n">
        <v>67</v>
      </c>
      <c r="AK42" s="32" t="n">
        <v>67</v>
      </c>
      <c r="AL42" s="32" t="n">
        <v>67</v>
      </c>
      <c r="AM42" s="32" t="n">
        <v>67</v>
      </c>
      <c r="AN42" s="32" t="n">
        <v>59</v>
      </c>
      <c r="AO42" s="32" t="n">
        <v>58</v>
      </c>
      <c r="AP42" s="32" t="n">
        <v>58</v>
      </c>
      <c r="AQ42" s="32" t="n">
        <v>56</v>
      </c>
      <c r="AR42" s="32" t="n">
        <v>56</v>
      </c>
      <c r="AS42" s="32" t="n">
        <v>55</v>
      </c>
      <c r="AT42" s="32" t="n">
        <v>52</v>
      </c>
      <c r="AU42" s="32" t="n">
        <v>52</v>
      </c>
      <c r="AV42" s="32" t="n">
        <v>52</v>
      </c>
      <c r="AW42" s="32" t="n">
        <v>52</v>
      </c>
      <c r="AX42" s="32" t="n">
        <v>45</v>
      </c>
      <c r="AY42" s="32" t="n">
        <v>44</v>
      </c>
      <c r="AZ42" s="32" t="n">
        <v>43</v>
      </c>
      <c r="BA42" s="32" t="n">
        <v>39</v>
      </c>
      <c r="BB42" s="32" t="n">
        <v>38</v>
      </c>
      <c r="BC42" s="32" t="n">
        <v>37</v>
      </c>
      <c r="BD42" s="32" t="n">
        <v>29</v>
      </c>
      <c r="BE42" s="32" t="n">
        <v>28</v>
      </c>
      <c r="BF42" s="32" t="n">
        <v>28</v>
      </c>
      <c r="BG42" s="32" t="n">
        <v>27</v>
      </c>
      <c r="BH42" s="32" t="n">
        <v>27</v>
      </c>
      <c r="BI42" s="32" t="n">
        <v>20</v>
      </c>
      <c r="BJ42" s="32" t="n">
        <v>20</v>
      </c>
      <c r="BK42" s="32" t="n">
        <v>8</v>
      </c>
      <c r="BL42" s="32" t="n">
        <v>8</v>
      </c>
      <c r="BM42" s="32" t="n">
        <v>8</v>
      </c>
      <c r="BN42" s="32" t="n">
        <v>8</v>
      </c>
      <c r="BO42" s="32" t="n">
        <v>8</v>
      </c>
      <c r="BP42" s="32" t="n">
        <v>8</v>
      </c>
      <c r="BQ42" s="32" t="n">
        <v>8</v>
      </c>
      <c r="BR42" s="32" t="n">
        <v>7</v>
      </c>
      <c r="BS42" s="32" t="n"/>
      <c r="BT42" s="32" t="n"/>
      <c r="BU42" s="32" t="n"/>
      <c r="BV42" s="32" t="n"/>
      <c r="BW42" s="32" t="n"/>
      <c r="BX42" s="32" t="n">
        <v>12</v>
      </c>
      <c r="BY42" s="192">
        <f>BW42+IF(NOT(ISBLANK(OFFSET(BY42,0,6))),N(OFFSET(BY42,0,6)),N(OFFSET(BY42,0,7)))-BX42</f>
        <v/>
      </c>
      <c r="BZ42" s="5" t="n"/>
      <c r="CA42" s="22" t="n"/>
      <c r="CB42" s="22" t="n"/>
      <c r="CC42" s="5" t="n"/>
      <c r="CD42" s="27" t="n"/>
      <c r="CE42" s="573" t="n"/>
      <c r="CF42" s="40" t="n">
        <v>0</v>
      </c>
      <c r="CG42" s="40" t="n">
        <v>0</v>
      </c>
      <c r="CH42" s="40" t="n">
        <v>0</v>
      </c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219" t="n"/>
      <c r="DL42" s="40" t="n"/>
      <c r="DM42" s="40" t="n"/>
      <c r="DN42" s="40" t="n"/>
      <c r="DO42" s="40" t="n"/>
      <c r="DP42" s="40" t="n"/>
      <c r="DQ42" s="40" t="n"/>
      <c r="DR42" s="40" t="n"/>
      <c r="DS42" s="40" t="n"/>
      <c r="DT42" s="40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219" t="n"/>
      <c r="FD42" s="219" t="n"/>
      <c r="FE42" s="40" t="n"/>
      <c r="FF42" s="219" t="n"/>
      <c r="FG42" s="40" t="n"/>
      <c r="FH42" s="23" t="n"/>
      <c r="FI42" s="219" t="n"/>
      <c r="FJ42" s="219" t="n"/>
      <c r="FK42" s="40" t="n"/>
      <c r="FL42" s="40" t="n"/>
      <c r="FM42" s="282" t="inlineStr">
        <is>
          <t>50 DE CD</t>
        </is>
      </c>
      <c r="FN42" s="40" t="n"/>
      <c r="FO42" s="40" t="n"/>
      <c r="FP42" s="40" t="n"/>
      <c r="FQ42" s="40" t="n"/>
      <c r="FR42" s="40" t="n"/>
      <c r="FS42" s="40" t="n"/>
      <c r="FT42" s="40" t="n"/>
      <c r="FU42" s="40" t="n"/>
      <c r="FV42" s="40" t="n"/>
      <c r="FW42" s="219" t="n"/>
      <c r="FX42" s="40" t="n"/>
      <c r="FY42" s="219" t="n"/>
      <c r="FZ42" s="40" t="n"/>
      <c r="GA42" s="40" t="n"/>
      <c r="GB42" s="40" t="n"/>
      <c r="GC42" s="40" t="n"/>
      <c r="GD42" s="40" t="n"/>
      <c r="GE42" s="40" t="n"/>
      <c r="GF42" s="40" t="n"/>
      <c r="GG42" s="40" t="n"/>
      <c r="GH42" s="40" t="n"/>
      <c r="GI42" s="40" t="n"/>
      <c r="GJ42" s="40" t="n"/>
      <c r="GK42" s="40" t="n"/>
      <c r="GL42" s="40" t="n"/>
      <c r="GM42" s="40" t="n"/>
      <c r="GN42" s="40" t="n"/>
      <c r="GO42" s="5" t="n"/>
      <c r="GP42" s="573" t="n"/>
      <c r="GQ42" s="573" t="n"/>
      <c r="GR42" s="573" t="n"/>
      <c r="GS42" s="573" t="n"/>
      <c r="GT42" s="573" t="n"/>
      <c r="GU42" s="573" t="n"/>
      <c r="GV42" s="573" t="n"/>
      <c r="GW42" s="573" t="n"/>
      <c r="GX42" s="573" t="n"/>
      <c r="GY42" s="573" t="n"/>
      <c r="GZ42" s="573" t="n"/>
      <c r="HA42" s="573" t="n"/>
      <c r="HB42" s="573" t="n"/>
      <c r="HC42" s="573" t="n"/>
      <c r="HD42" s="573" t="n"/>
      <c r="HE42" s="573" t="n"/>
      <c r="HF42" s="573" t="n"/>
      <c r="HG42" s="573" t="n"/>
      <c r="HH42" s="573" t="n"/>
      <c r="HI42" s="573" t="n"/>
      <c r="HK42" s="41" t="n"/>
      <c r="HL42" s="41" t="n"/>
      <c r="HM42" s="41" t="n"/>
      <c r="HN42" s="41" t="n"/>
      <c r="HO42" s="41" t="n"/>
      <c r="HP42" s="41" t="n"/>
      <c r="HQ42" s="41" t="n"/>
      <c r="HR42" s="41" t="n"/>
      <c r="HS42" s="41" t="n"/>
      <c r="HT42" s="41" t="n"/>
      <c r="HV42" s="41" t="n"/>
      <c r="HW42" s="41" t="n"/>
      <c r="HX42" s="41" t="n"/>
      <c r="HY42" s="41" t="n"/>
      <c r="HZ42" s="41" t="n"/>
      <c r="IA42" s="41" t="n"/>
      <c r="IB42" s="41" t="n"/>
      <c r="IC42" s="41" t="n"/>
      <c r="ID42" s="41" t="n"/>
      <c r="IE42" s="41" t="n"/>
      <c r="IF42" s="41" t="n"/>
      <c r="IH42" s="5" t="n"/>
      <c r="II42" s="5" t="n"/>
      <c r="IJ42" s="5" t="n"/>
      <c r="IK42" s="5" t="n"/>
      <c r="IL42" s="5" t="n"/>
      <c r="IM42" s="5" t="n"/>
    </row>
    <row r="43" customFormat="1" s="3">
      <c r="A43" s="37" t="inlineStr">
        <is>
          <t>SACOLA G OUI</t>
        </is>
      </c>
      <c r="B43" s="32" t="n">
        <v>50</v>
      </c>
      <c r="C43" s="773" t="n">
        <v>257.98</v>
      </c>
      <c r="D43" s="382" t="n">
        <v>5</v>
      </c>
      <c r="E43" s="573" t="n"/>
      <c r="F43" s="32" t="n">
        <v>8</v>
      </c>
      <c r="G43" s="32" t="n">
        <v>8</v>
      </c>
      <c r="H43" s="32" t="n">
        <v>8</v>
      </c>
      <c r="I43" s="32" t="n">
        <v>5</v>
      </c>
      <c r="J43" s="32">
        <f>5+10</f>
        <v/>
      </c>
      <c r="K43" s="32" t="n">
        <v>15</v>
      </c>
      <c r="L43" s="32" t="n">
        <v>15</v>
      </c>
      <c r="M43" s="32" t="n">
        <v>15</v>
      </c>
      <c r="N43" s="32" t="n">
        <v>15</v>
      </c>
      <c r="O43" s="32" t="n">
        <v>14</v>
      </c>
      <c r="P43" s="32" t="n">
        <v>14</v>
      </c>
      <c r="Q43" s="32" t="n">
        <v>14</v>
      </c>
      <c r="R43" s="32" t="n">
        <v>13</v>
      </c>
      <c r="S43" s="32" t="n">
        <v>13</v>
      </c>
      <c r="T43" s="32" t="n">
        <v>13</v>
      </c>
      <c r="U43" s="32" t="n">
        <v>11</v>
      </c>
      <c r="V43" s="32" t="n">
        <v>10</v>
      </c>
      <c r="W43" s="32" t="n">
        <v>8</v>
      </c>
      <c r="X43" s="32" t="n">
        <v>7</v>
      </c>
      <c r="Y43" s="32">
        <f>2+20</f>
        <v/>
      </c>
      <c r="Z43" s="32" t="n">
        <v>22</v>
      </c>
      <c r="AA43" s="32" t="n">
        <v>22</v>
      </c>
      <c r="AB43" s="32" t="n">
        <v>18</v>
      </c>
      <c r="AC43" s="32" t="n">
        <v>17</v>
      </c>
      <c r="AD43" s="32" t="n">
        <v>16</v>
      </c>
      <c r="AE43" s="32" t="n">
        <v>16</v>
      </c>
      <c r="AF43" s="32" t="n">
        <v>15</v>
      </c>
      <c r="AG43" s="32" t="n">
        <v>15</v>
      </c>
      <c r="AH43" s="32" t="n">
        <v>14</v>
      </c>
      <c r="AI43" s="32" t="n">
        <v>14</v>
      </c>
      <c r="AJ43" s="32" t="n">
        <v>14</v>
      </c>
      <c r="AK43" s="32" t="n">
        <v>14</v>
      </c>
      <c r="AL43" s="32" t="n">
        <v>13</v>
      </c>
      <c r="AM43" s="32" t="n">
        <v>13</v>
      </c>
      <c r="AN43" s="32" t="n">
        <v>13</v>
      </c>
      <c r="AO43" s="32" t="n">
        <v>13</v>
      </c>
      <c r="AP43" s="32" t="n">
        <v>13</v>
      </c>
      <c r="AQ43" s="32" t="n">
        <v>13</v>
      </c>
      <c r="AR43" s="32" t="n">
        <v>12</v>
      </c>
      <c r="AS43" s="32" t="n">
        <v>11</v>
      </c>
      <c r="AT43" s="439" t="n">
        <v>20</v>
      </c>
      <c r="AU43" s="32" t="n">
        <v>19</v>
      </c>
      <c r="AV43" s="32" t="n">
        <v>19</v>
      </c>
      <c r="AW43" s="32" t="n">
        <v>19</v>
      </c>
      <c r="AX43" s="32" t="n">
        <v>19</v>
      </c>
      <c r="AY43" s="32" t="n">
        <v>18</v>
      </c>
      <c r="AZ43" s="32" t="n">
        <v>17</v>
      </c>
      <c r="BA43" s="32" t="n">
        <v>15</v>
      </c>
      <c r="BB43" s="32" t="n">
        <v>14</v>
      </c>
      <c r="BC43" s="32" t="n">
        <v>13</v>
      </c>
      <c r="BD43" s="32" t="n">
        <v>8</v>
      </c>
      <c r="BE43" s="32" t="n">
        <v>8</v>
      </c>
      <c r="BF43" s="32" t="n">
        <v>8</v>
      </c>
      <c r="BG43" s="32" t="n">
        <v>7</v>
      </c>
      <c r="BH43" s="32" t="n">
        <v>7</v>
      </c>
      <c r="BI43" s="32" t="n">
        <v>5</v>
      </c>
      <c r="BJ43" s="32" t="n">
        <v>5</v>
      </c>
      <c r="BK43" s="32" t="n">
        <v>5</v>
      </c>
      <c r="BL43" s="32" t="n">
        <v>5</v>
      </c>
      <c r="BM43" s="32" t="n">
        <v>3</v>
      </c>
      <c r="BN43" s="32" t="n">
        <v>3</v>
      </c>
      <c r="BO43" s="32" t="n">
        <v>2</v>
      </c>
      <c r="BP43" s="32" t="n">
        <v>2</v>
      </c>
      <c r="BQ43" s="32" t="n">
        <v>2</v>
      </c>
      <c r="BR43" s="32" t="n">
        <v>2</v>
      </c>
      <c r="BS43" s="32" t="n"/>
      <c r="BT43" s="32" t="n"/>
      <c r="BU43" s="32" t="n"/>
      <c r="BV43" s="32" t="n"/>
      <c r="BW43" s="32" t="n"/>
      <c r="BX43" s="32" t="n">
        <v>0</v>
      </c>
      <c r="BY43" s="192">
        <f>BW43+IF(NOT(ISBLANK(OFFSET(BY43,0,6))),N(OFFSET(BY43,0,6)),N(OFFSET(BY43,0,7)))-BX43</f>
        <v/>
      </c>
      <c r="BZ43" s="5" t="n"/>
      <c r="CA43" s="22" t="n"/>
      <c r="CB43" s="22" t="n"/>
      <c r="CC43" s="5" t="n"/>
      <c r="CD43" s="27" t="n"/>
      <c r="CE43" s="573" t="n"/>
      <c r="CF43" s="40" t="n">
        <v>0</v>
      </c>
      <c r="CG43" s="40" t="n">
        <v>0</v>
      </c>
      <c r="CH43" s="40" t="n">
        <v>0</v>
      </c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219" t="n"/>
      <c r="DL43" s="40" t="n"/>
      <c r="DM43" s="40" t="n"/>
      <c r="DN43" s="40" t="n"/>
      <c r="DO43" s="40" t="n"/>
      <c r="DP43" s="40" t="n"/>
      <c r="DQ43" s="40" t="n"/>
      <c r="DR43" s="40" t="n"/>
      <c r="DS43" s="40" t="n"/>
      <c r="DT43" s="40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40" t="n"/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219" t="n"/>
      <c r="FD43" s="219" t="n"/>
      <c r="FE43" s="40" t="n"/>
      <c r="FF43" s="219" t="n"/>
      <c r="FG43" s="40" t="n"/>
      <c r="FH43" s="23" t="n"/>
      <c r="FI43" s="219" t="n"/>
      <c r="FJ43" s="219" t="n"/>
      <c r="FK43" s="40" t="n"/>
      <c r="FL43" s="40" t="n"/>
      <c r="FM43" s="282" t="inlineStr">
        <is>
          <t>20 DE CD</t>
        </is>
      </c>
      <c r="FN43" s="40" t="n"/>
      <c r="FO43" s="40" t="n"/>
      <c r="FP43" s="40" t="n"/>
      <c r="FQ43" s="40" t="n"/>
      <c r="FR43" s="40" t="n"/>
      <c r="FS43" s="40" t="n"/>
      <c r="FT43" s="40" t="n"/>
      <c r="FU43" s="40" t="n"/>
      <c r="FV43" s="40" t="n"/>
      <c r="FW43" s="219" t="n"/>
      <c r="FX43" s="40" t="n"/>
      <c r="FY43" s="219" t="n"/>
      <c r="FZ43" s="40" t="n"/>
      <c r="GA43" s="40" t="n"/>
      <c r="GB43" s="40" t="n"/>
      <c r="GC43" s="40" t="n"/>
      <c r="GD43" s="40" t="n"/>
      <c r="GE43" s="40" t="n"/>
      <c r="GF43" s="40" t="n"/>
      <c r="GG43" s="40" t="n"/>
      <c r="GH43" s="40" t="n"/>
      <c r="GI43" s="282" t="inlineStr">
        <is>
          <t>10 DE CD</t>
        </is>
      </c>
      <c r="GJ43" s="40" t="n"/>
      <c r="GK43" s="40" t="n"/>
      <c r="GL43" s="40" t="n"/>
      <c r="GM43" s="40" t="n"/>
      <c r="GN43" s="40" t="n"/>
      <c r="GO43" s="5" t="n"/>
      <c r="GP43" s="41" t="n"/>
      <c r="GQ43" s="41" t="n"/>
      <c r="GR43" s="41" t="n"/>
      <c r="GS43" s="41" t="n"/>
      <c r="GT43" s="41" t="n"/>
      <c r="GU43" s="41" t="n"/>
      <c r="GV43" s="41" t="n"/>
      <c r="GW43" s="41" t="n"/>
      <c r="GX43" s="41" t="n"/>
      <c r="GY43" s="41" t="n"/>
      <c r="GZ43" s="41" t="n"/>
      <c r="HA43" s="41" t="n"/>
      <c r="HB43" s="41" t="n"/>
      <c r="HC43" s="41" t="n"/>
      <c r="HD43" s="41" t="n"/>
      <c r="HE43" s="41" t="n"/>
      <c r="HF43" s="41" t="n"/>
      <c r="HG43" s="41" t="n"/>
      <c r="HH43" s="41" t="n"/>
      <c r="HI43" s="41" t="n"/>
      <c r="HK43" s="41" t="n"/>
      <c r="HL43" s="41" t="n"/>
      <c r="HM43" s="41" t="n"/>
      <c r="HN43" s="41" t="n"/>
      <c r="HO43" s="41" t="n"/>
      <c r="HP43" s="41" t="n"/>
      <c r="HQ43" s="41" t="n"/>
      <c r="HR43" s="41" t="n"/>
      <c r="HS43" s="41" t="n"/>
      <c r="HT43" s="41" t="n"/>
      <c r="HV43" s="41" t="n"/>
      <c r="HW43" s="41" t="n"/>
      <c r="HX43" s="41" t="n"/>
      <c r="HY43" s="41" t="n"/>
      <c r="HZ43" s="41" t="n"/>
      <c r="IA43" s="41" t="n"/>
      <c r="IB43" s="41" t="n"/>
      <c r="IC43" s="41" t="n"/>
      <c r="ID43" s="41" t="n"/>
      <c r="IE43" s="41" t="n"/>
      <c r="IF43" s="41" t="n"/>
      <c r="IH43" s="5" t="n"/>
      <c r="II43" s="5" t="n"/>
      <c r="IJ43" s="5" t="n"/>
      <c r="IK43" s="5" t="n"/>
      <c r="IL43" s="5" t="n"/>
      <c r="IM43" s="5" t="n"/>
    </row>
    <row r="44" customFormat="1" s="3">
      <c r="A44" s="37" t="inlineStr">
        <is>
          <t>PAPEL DE SEDA OUI</t>
        </is>
      </c>
      <c r="B44" s="699" t="n">
        <v>500</v>
      </c>
      <c r="C44" s="762" t="n">
        <v>143.38</v>
      </c>
      <c r="D44" s="382" t="n">
        <v>1</v>
      </c>
      <c r="E44" s="2" t="n"/>
      <c r="F44" s="697" t="n">
        <v>2</v>
      </c>
      <c r="G44" s="697" t="n">
        <v>2</v>
      </c>
      <c r="H44" s="697" t="n">
        <v>2</v>
      </c>
      <c r="I44" s="697" t="n">
        <v>2</v>
      </c>
      <c r="J44" s="697" t="n">
        <v>2</v>
      </c>
      <c r="K44" s="697" t="n">
        <v>2</v>
      </c>
      <c r="L44" s="697" t="n">
        <v>2</v>
      </c>
      <c r="M44" s="697" t="n">
        <v>2</v>
      </c>
      <c r="N44" s="697" t="n">
        <v>2</v>
      </c>
      <c r="O44" s="697" t="n">
        <v>2</v>
      </c>
      <c r="P44" s="697" t="n">
        <v>2</v>
      </c>
      <c r="Q44" s="697" t="n">
        <v>2</v>
      </c>
      <c r="R44" s="697" t="n">
        <v>1</v>
      </c>
      <c r="S44" s="697" t="n">
        <v>1</v>
      </c>
      <c r="T44" s="697" t="n">
        <v>1</v>
      </c>
      <c r="U44" s="697" t="n">
        <v>1</v>
      </c>
      <c r="V44" s="697" t="n">
        <v>1</v>
      </c>
      <c r="W44" s="697" t="n">
        <v>1</v>
      </c>
      <c r="X44" s="697" t="n">
        <v>3</v>
      </c>
      <c r="Y44" s="697" t="n">
        <v>3</v>
      </c>
      <c r="Z44" s="697" t="n">
        <v>3</v>
      </c>
      <c r="AA44" s="697" t="n">
        <v>2</v>
      </c>
      <c r="AB44" s="697" t="n">
        <v>1</v>
      </c>
      <c r="AC44" s="697" t="n">
        <v>1</v>
      </c>
      <c r="AD44" s="697" t="n">
        <v>1</v>
      </c>
      <c r="AE44" s="697" t="n">
        <v>1</v>
      </c>
      <c r="AF44" s="697" t="n">
        <v>1</v>
      </c>
      <c r="AG44" s="697" t="n">
        <v>1</v>
      </c>
      <c r="AH44" s="697" t="n">
        <v>1</v>
      </c>
      <c r="AI44" s="697" t="n">
        <v>1</v>
      </c>
      <c r="AJ44" s="697" t="n">
        <v>1</v>
      </c>
      <c r="AK44" s="697" t="n">
        <v>1</v>
      </c>
      <c r="AL44" s="697" t="n">
        <v>1</v>
      </c>
      <c r="AM44" s="697" t="n">
        <v>1</v>
      </c>
      <c r="AN44" s="697" t="n">
        <v>0</v>
      </c>
      <c r="AO44" s="697" t="n">
        <v>0</v>
      </c>
      <c r="AP44" s="697" t="n">
        <v>0</v>
      </c>
      <c r="AQ44" s="697" t="n">
        <v>0</v>
      </c>
      <c r="AR44" s="697" t="n">
        <v>0</v>
      </c>
      <c r="AS44" s="697" t="n">
        <v>0</v>
      </c>
      <c r="AT44" s="697" t="n">
        <v>0</v>
      </c>
      <c r="AU44" s="697" t="n">
        <v>0</v>
      </c>
      <c r="AV44" s="697" t="n">
        <v>0</v>
      </c>
      <c r="AW44" s="697" t="n">
        <v>0</v>
      </c>
      <c r="AX44" s="697" t="n">
        <v>0</v>
      </c>
      <c r="AY44" s="697" t="n">
        <v>0</v>
      </c>
      <c r="AZ44" s="697" t="n">
        <v>0</v>
      </c>
      <c r="BA44" s="697">
        <f>0+DI44</f>
        <v/>
      </c>
      <c r="BB44" s="697" t="n">
        <v>0</v>
      </c>
      <c r="BC44" s="697">
        <f>0+DF44</f>
        <v/>
      </c>
      <c r="BD44" s="697" t="n">
        <v>0</v>
      </c>
      <c r="BE44" s="697" t="n">
        <v>0</v>
      </c>
      <c r="BF44" s="697" t="n">
        <v>0</v>
      </c>
      <c r="BG44" s="697" t="n">
        <v>0</v>
      </c>
      <c r="BH44" s="697" t="n">
        <v>0</v>
      </c>
      <c r="BI44" s="697" t="n">
        <v>0</v>
      </c>
      <c r="BJ44" s="697">
        <f>0+CU44</f>
        <v/>
      </c>
      <c r="BK44" s="697" t="n">
        <v>1</v>
      </c>
      <c r="BL44" s="697" t="n">
        <v>1</v>
      </c>
      <c r="BM44" s="697" t="n">
        <v>1</v>
      </c>
      <c r="BN44" s="697" t="n">
        <v>1</v>
      </c>
      <c r="BO44" s="697" t="n">
        <v>1</v>
      </c>
      <c r="BP44" s="697" t="n">
        <v>1</v>
      </c>
      <c r="BQ44" s="697" t="n">
        <v>0</v>
      </c>
      <c r="BR44" s="697">
        <f>0+CI44</f>
        <v/>
      </c>
      <c r="BS44" s="697" t="n">
        <v>1</v>
      </c>
      <c r="BT44" s="697" t="n">
        <v>1</v>
      </c>
      <c r="BU44" s="697" t="n">
        <v>1</v>
      </c>
      <c r="BV44" s="697" t="n">
        <v>0</v>
      </c>
      <c r="BW44" s="697" t="n">
        <v>0</v>
      </c>
      <c r="BX44" s="697">
        <f>0+CF44</f>
        <v/>
      </c>
      <c r="BY44" s="192">
        <f>BW44+IF(NOT(ISBLANK(OFFSET(BY44,0,6))),N(OFFSET(BY44,0,6)),N(OFFSET(BY44,0,7)))-BX44</f>
        <v/>
      </c>
      <c r="BZ44" s="5" t="n"/>
      <c r="CA44" s="194" t="n"/>
      <c r="CB44" s="194" t="n"/>
      <c r="CC44" s="5" t="n"/>
      <c r="CD44" s="27" t="n"/>
      <c r="CE44" s="2" t="n"/>
      <c r="CF44" s="40" t="n">
        <v>1</v>
      </c>
      <c r="CG44" s="40" t="n">
        <v>0</v>
      </c>
      <c r="CH44" s="40" t="n">
        <v>0</v>
      </c>
      <c r="CI44" s="40" t="n">
        <v>1</v>
      </c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>
        <v>1</v>
      </c>
      <c r="CV44" s="40" t="n"/>
      <c r="CW44" s="40" t="n"/>
      <c r="CX44" s="40" t="n"/>
      <c r="CY44" s="40" t="n"/>
      <c r="CZ44" s="40" t="n"/>
      <c r="DA44" s="40" t="n"/>
      <c r="DB44" s="40" t="n"/>
      <c r="DC44" s="40" t="n"/>
      <c r="DD44" s="40" t="n"/>
      <c r="DE44" s="40" t="n"/>
      <c r="DF44" s="40" t="n">
        <v>2</v>
      </c>
      <c r="DG44" s="40" t="n"/>
      <c r="DH44" s="40" t="n"/>
      <c r="DI44" s="40" t="n">
        <v>1</v>
      </c>
      <c r="DJ44" s="40" t="n"/>
      <c r="DK44" s="219" t="n"/>
      <c r="DL44" s="40" t="n"/>
      <c r="DM44" s="40" t="n"/>
      <c r="DN44" s="40" t="n"/>
      <c r="DO44" s="40" t="n"/>
      <c r="DP44" s="40" t="n"/>
      <c r="DQ44" s="40" t="n"/>
      <c r="DR44" s="40" t="n"/>
      <c r="DS44" s="40" t="n"/>
      <c r="DT44" s="40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23" t="n"/>
      <c r="FI44" s="219" t="n"/>
      <c r="FJ44" s="40" t="n"/>
      <c r="FK44" s="40" t="n"/>
      <c r="FL44" s="40" t="n"/>
      <c r="FM44" s="40" t="n"/>
      <c r="FN44" s="40" t="n"/>
      <c r="FO44" s="40" t="n"/>
      <c r="FP44" s="40" t="n"/>
      <c r="FQ44" s="40" t="n">
        <v>2</v>
      </c>
      <c r="FR44" s="40" t="n"/>
      <c r="FS44" s="40" t="n"/>
      <c r="FT44" s="40" t="n"/>
      <c r="FU44" s="40" t="n"/>
      <c r="FV44" s="40" t="n"/>
      <c r="FW44" s="219" t="n"/>
      <c r="FX44" s="40" t="n"/>
      <c r="FY44" s="219" t="n"/>
      <c r="FZ44" s="40" t="n"/>
      <c r="GA44" s="40" t="n"/>
      <c r="GB44" s="40" t="n"/>
      <c r="GC44" s="40" t="n"/>
      <c r="GD44" s="40" t="n"/>
      <c r="GE44" s="40" t="n"/>
      <c r="GF44" s="40" t="n"/>
      <c r="GG44" s="40" t="n"/>
      <c r="GH44" s="40" t="n"/>
      <c r="GI44" s="40" t="n"/>
      <c r="GJ44" s="40" t="n"/>
      <c r="GK44" s="40" t="n"/>
      <c r="GL44" s="40" t="n"/>
      <c r="GM44" s="40" t="n"/>
      <c r="GN44" s="40" t="n"/>
      <c r="GO44" s="5" t="n"/>
      <c r="GP44" s="41" t="n"/>
      <c r="GQ44" s="41" t="n"/>
      <c r="GR44" s="41" t="n"/>
      <c r="GS44" s="41" t="n"/>
      <c r="GT44" s="41" t="n"/>
      <c r="GU44" s="41" t="n"/>
      <c r="GV44" s="41" t="n"/>
      <c r="GW44" s="41" t="n"/>
      <c r="GX44" s="41" t="n"/>
      <c r="GY44" s="41" t="n"/>
      <c r="GZ44" s="41" t="n"/>
      <c r="HA44" s="41" t="n"/>
      <c r="HB44" s="41" t="n"/>
      <c r="HC44" s="41" t="n"/>
      <c r="HD44" s="41" t="n"/>
      <c r="HE44" s="41" t="n"/>
      <c r="HF44" s="41" t="n"/>
      <c r="HG44" s="41" t="n"/>
      <c r="HH44" s="41" t="n"/>
      <c r="HI44" s="41" t="n"/>
      <c r="HK44" s="5" t="n"/>
      <c r="HL44" s="5" t="n"/>
      <c r="HM44" s="5" t="n"/>
      <c r="HN44" s="5" t="n"/>
      <c r="HO44" s="5" t="n"/>
      <c r="HP44" s="5" t="n"/>
      <c r="HQ44" s="5" t="n"/>
      <c r="HR44" s="5" t="n"/>
      <c r="HS44" s="5" t="n"/>
      <c r="HT44" s="5" t="n"/>
      <c r="HV44" s="5" t="n"/>
      <c r="HW44" s="5" t="n"/>
      <c r="HX44" s="5" t="n"/>
      <c r="HY44" s="5" t="n"/>
      <c r="HZ44" s="5" t="n"/>
      <c r="IA44" s="5" t="n"/>
      <c r="IB44" s="5" t="n"/>
      <c r="IC44" s="5" t="n"/>
      <c r="ID44" s="5" t="n"/>
      <c r="IE44" s="5" t="n"/>
      <c r="IF44" s="5" t="n"/>
      <c r="IH44" s="5" t="n"/>
      <c r="II44" s="5" t="n"/>
      <c r="IJ44" s="5" t="n"/>
      <c r="IK44" s="5" t="n"/>
      <c r="IL44" s="5" t="n"/>
      <c r="IM44" s="5" t="n"/>
    </row>
    <row r="45">
      <c r="A45" s="37" t="inlineStr">
        <is>
          <t>ETIQUETA OUI</t>
        </is>
      </c>
      <c r="B45" s="699" t="n">
        <v>1000</v>
      </c>
      <c r="C45" s="762" t="n">
        <v>187.49</v>
      </c>
      <c r="D45" s="382" t="n">
        <v>1</v>
      </c>
      <c r="E45" s="2" t="n"/>
      <c r="F45" s="697" t="n">
        <v>2</v>
      </c>
      <c r="G45" s="697" t="n">
        <v>2</v>
      </c>
      <c r="H45" s="697" t="n">
        <v>2</v>
      </c>
      <c r="I45" s="697" t="n">
        <v>2</v>
      </c>
      <c r="J45" s="697" t="n">
        <v>2</v>
      </c>
      <c r="K45" s="697" t="n">
        <v>2</v>
      </c>
      <c r="L45" s="697" t="n">
        <v>2</v>
      </c>
      <c r="M45" s="697" t="n">
        <v>2</v>
      </c>
      <c r="N45" s="697" t="n">
        <v>2</v>
      </c>
      <c r="O45" s="697" t="n">
        <v>2</v>
      </c>
      <c r="P45" s="697" t="n">
        <v>2</v>
      </c>
      <c r="Q45" s="697" t="n">
        <v>2</v>
      </c>
      <c r="R45" s="697" t="n">
        <v>2</v>
      </c>
      <c r="S45" s="697" t="n">
        <v>2</v>
      </c>
      <c r="T45" s="697" t="n">
        <v>2</v>
      </c>
      <c r="U45" s="697" t="n">
        <v>2</v>
      </c>
      <c r="V45" s="697" t="n">
        <v>1</v>
      </c>
      <c r="W45" s="697" t="n">
        <v>1</v>
      </c>
      <c r="X45" s="697" t="n">
        <v>2</v>
      </c>
      <c r="Y45" s="697" t="n">
        <v>2</v>
      </c>
      <c r="Z45" s="697" t="n">
        <v>2</v>
      </c>
      <c r="AA45" s="697" t="n">
        <v>2</v>
      </c>
      <c r="AB45" s="697" t="n">
        <v>2</v>
      </c>
      <c r="AC45" s="697" t="n">
        <v>2</v>
      </c>
      <c r="AD45" s="697" t="n">
        <v>2</v>
      </c>
      <c r="AE45" s="697" t="n">
        <v>2</v>
      </c>
      <c r="AF45" s="697" t="n">
        <v>2</v>
      </c>
      <c r="AG45" s="697" t="n">
        <v>2</v>
      </c>
      <c r="AH45" s="697" t="n">
        <v>1</v>
      </c>
      <c r="AI45" s="697" t="n">
        <v>1</v>
      </c>
      <c r="AJ45" s="697" t="n">
        <v>1</v>
      </c>
      <c r="AK45" s="697" t="n">
        <v>1</v>
      </c>
      <c r="AL45" s="697" t="n">
        <v>1</v>
      </c>
      <c r="AM45" s="697" t="n">
        <v>1</v>
      </c>
      <c r="AN45" s="697" t="n">
        <v>1</v>
      </c>
      <c r="AO45" s="697" t="n">
        <v>1</v>
      </c>
      <c r="AP45" s="697" t="n">
        <v>0</v>
      </c>
      <c r="AQ45" s="697" t="n">
        <v>0</v>
      </c>
      <c r="AR45" s="697" t="n">
        <v>0</v>
      </c>
      <c r="AS45" s="697" t="n">
        <v>0</v>
      </c>
      <c r="AT45" s="697" t="n">
        <v>0</v>
      </c>
      <c r="AU45" s="697" t="n">
        <v>0</v>
      </c>
      <c r="AV45" s="697" t="n">
        <v>0</v>
      </c>
      <c r="AW45" s="697" t="n">
        <v>0</v>
      </c>
      <c r="AX45" s="697" t="n">
        <v>0</v>
      </c>
      <c r="AY45" s="697" t="n">
        <v>0</v>
      </c>
      <c r="AZ45" s="697" t="n">
        <v>0</v>
      </c>
      <c r="BA45" s="697">
        <f>0+DI45</f>
        <v/>
      </c>
      <c r="BB45" s="697" t="n">
        <v>0</v>
      </c>
      <c r="BC45" s="697">
        <f>0+DF45</f>
        <v/>
      </c>
      <c r="BD45" s="697" t="n">
        <v>0</v>
      </c>
      <c r="BE45" s="697" t="n">
        <v>0</v>
      </c>
      <c r="BF45" s="697" t="n">
        <v>0</v>
      </c>
      <c r="BG45" s="697" t="n">
        <v>0</v>
      </c>
      <c r="BH45" s="697" t="n">
        <v>0</v>
      </c>
      <c r="BI45" s="697" t="n">
        <v>0</v>
      </c>
      <c r="BJ45" s="697">
        <f>0+CU45</f>
        <v/>
      </c>
      <c r="BK45" s="697" t="n">
        <v>0</v>
      </c>
      <c r="BL45" s="697" t="n">
        <v>0</v>
      </c>
      <c r="BM45" s="697" t="n">
        <v>0</v>
      </c>
      <c r="BN45" s="697" t="n">
        <v>0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>
        <v>0</v>
      </c>
      <c r="BT45" s="697" t="n">
        <v>0</v>
      </c>
      <c r="BU45" s="697" t="n">
        <v>0</v>
      </c>
      <c r="BV45" s="697" t="n">
        <v>0</v>
      </c>
      <c r="BW45" s="697" t="n">
        <v>0</v>
      </c>
      <c r="BX45" s="697">
        <f>0+CF45</f>
        <v/>
      </c>
      <c r="BY45" s="192">
        <f>BW45+IF(NOT(ISBLANK(OFFSET(BY45,0,6))),N(OFFSET(BY45,0,6)),N(OFFSET(BY45,0,7)))-BX45</f>
        <v/>
      </c>
      <c r="CA45" s="161" t="n"/>
      <c r="CB45" s="161" t="n"/>
      <c r="CD45" s="27" t="n"/>
      <c r="CE45" s="2" t="n"/>
      <c r="CF45" s="40" t="n">
        <v>1</v>
      </c>
      <c r="CG45" s="40" t="n">
        <v>0</v>
      </c>
      <c r="CH45" s="40" t="n">
        <v>0</v>
      </c>
      <c r="CI45" s="40" t="n"/>
      <c r="CJ45" s="40" t="n"/>
      <c r="CK45" s="40" t="n"/>
      <c r="CL45" s="40" t="n"/>
      <c r="CM45" s="40" t="n"/>
      <c r="CN45" s="40" t="n"/>
      <c r="CO45" s="40" t="n"/>
      <c r="CP45" s="40" t="n"/>
      <c r="CQ45" s="40" t="n"/>
      <c r="CR45" s="40" t="n"/>
      <c r="CS45" s="40" t="n"/>
      <c r="CT45" s="40" t="n"/>
      <c r="CU45" s="40" t="n">
        <v>1</v>
      </c>
      <c r="CV45" s="40" t="n"/>
      <c r="CW45" s="40" t="n"/>
      <c r="CX45" s="40" t="n"/>
      <c r="CY45" s="40" t="n"/>
      <c r="CZ45" s="40" t="n"/>
      <c r="DA45" s="40" t="n"/>
      <c r="DB45" s="40" t="n"/>
      <c r="DC45" s="40" t="n"/>
      <c r="DD45" s="40" t="n"/>
      <c r="DE45" s="40" t="n"/>
      <c r="DF45" s="40" t="n">
        <v>2</v>
      </c>
      <c r="DG45" s="40" t="n"/>
      <c r="DH45" s="40" t="n"/>
      <c r="DI45" s="40" t="n">
        <v>1</v>
      </c>
      <c r="DJ45" s="40" t="n"/>
      <c r="DK45" s="219" t="n"/>
      <c r="DL45" s="40" t="n"/>
      <c r="DM45" s="40" t="n"/>
      <c r="DN45" s="40" t="n"/>
      <c r="DO45" s="40" t="n"/>
      <c r="DP45" s="40" t="n"/>
      <c r="DQ45" s="40" t="n"/>
      <c r="DR45" s="40" t="n"/>
      <c r="DS45" s="40" t="n"/>
      <c r="DT45" s="40" t="n"/>
      <c r="DU45" s="40" t="n"/>
      <c r="DV45" s="40" t="n"/>
      <c r="DW45" s="40" t="n"/>
      <c r="DX45" s="40" t="n"/>
      <c r="DY45" s="40" t="n"/>
      <c r="DZ45" s="40" t="n"/>
      <c r="EA45" s="40" t="n"/>
      <c r="EB45" s="40" t="n"/>
      <c r="EC45" s="40" t="n"/>
      <c r="ED45" s="40" t="n"/>
      <c r="EE45" s="40" t="n"/>
      <c r="EF45" s="40" t="n"/>
      <c r="EG45" s="40" t="n"/>
      <c r="EH45" s="40" t="n"/>
      <c r="EI45" s="40" t="n"/>
      <c r="EJ45" s="40" t="n"/>
      <c r="EK45" s="40" t="n"/>
      <c r="EL45" s="40" t="n"/>
      <c r="EM45" s="40" t="n"/>
      <c r="EN45" s="40" t="n"/>
      <c r="EO45" s="40" t="n"/>
      <c r="EP45" s="40" t="n"/>
      <c r="EQ45" s="40" t="n"/>
      <c r="ER45" s="40" t="n"/>
      <c r="ES45" s="40" t="n"/>
      <c r="ET45" s="40" t="n"/>
      <c r="EU45" s="40" t="n"/>
      <c r="EV45" s="40" t="n"/>
      <c r="EW45" s="40" t="n"/>
      <c r="EX45" s="40" t="n"/>
      <c r="EY45" s="40" t="n"/>
      <c r="EZ45" s="40" t="n"/>
      <c r="FA45" s="40" t="n"/>
      <c r="FB45" s="40" t="n"/>
      <c r="FC45" s="40" t="n"/>
      <c r="FD45" s="40" t="n"/>
      <c r="FE45" s="40" t="n"/>
      <c r="FF45" s="40" t="n"/>
      <c r="FG45" s="40" t="n"/>
      <c r="FH45" s="23" t="n"/>
      <c r="FI45" s="219" t="n"/>
      <c r="FJ45" s="40" t="n"/>
      <c r="FK45" s="40" t="n"/>
      <c r="FL45" s="40" t="n"/>
      <c r="FM45" s="40" t="n"/>
      <c r="FN45" s="40" t="n"/>
      <c r="FO45" s="40" t="n"/>
      <c r="FP45" s="40" t="n"/>
      <c r="FQ45" s="40" t="n">
        <v>1</v>
      </c>
      <c r="FR45" s="40" t="n"/>
      <c r="FS45" s="40" t="n"/>
      <c r="FT45" s="40" t="n"/>
      <c r="FU45" s="40" t="n"/>
      <c r="FV45" s="40" t="n"/>
      <c r="FW45" s="219" t="n"/>
      <c r="FX45" s="40" t="n"/>
      <c r="FY45" s="219" t="n"/>
      <c r="FZ45" s="40" t="n"/>
      <c r="GA45" s="40" t="n"/>
      <c r="GB45" s="40" t="n"/>
      <c r="GC45" s="40" t="n"/>
      <c r="GD45" s="40" t="n"/>
      <c r="GE45" s="40" t="n"/>
      <c r="GF45" s="40" t="n"/>
      <c r="GG45" s="40" t="n"/>
      <c r="GH45" s="40" t="n"/>
      <c r="GI45" s="40" t="n"/>
      <c r="GJ45" s="40" t="n"/>
      <c r="GK45" s="40" t="n"/>
      <c r="GL45" s="40" t="n"/>
      <c r="GM45" s="40" t="n"/>
      <c r="GN45" s="40" t="n"/>
      <c r="GO45" s="41" t="n"/>
    </row>
    <row r="46">
      <c r="A46" s="37" t="inlineStr">
        <is>
          <t>LÂMINA OLFATIVA OUI</t>
        </is>
      </c>
      <c r="B46" s="699" t="n">
        <v>3000</v>
      </c>
      <c r="C46" s="762" t="n">
        <v>231.61</v>
      </c>
      <c r="D46" s="382" t="n">
        <v>0</v>
      </c>
      <c r="E46" s="2" t="n"/>
      <c r="F46" s="697" t="n">
        <v>3</v>
      </c>
      <c r="G46" s="697" t="n">
        <v>3</v>
      </c>
      <c r="H46" s="697" t="n">
        <v>3</v>
      </c>
      <c r="I46" s="697" t="n">
        <v>3</v>
      </c>
      <c r="J46" s="697" t="n">
        <v>3</v>
      </c>
      <c r="K46" s="697" t="n">
        <v>3</v>
      </c>
      <c r="L46" s="697" t="n">
        <v>3</v>
      </c>
      <c r="M46" s="697" t="n">
        <v>3</v>
      </c>
      <c r="N46" s="697" t="n">
        <v>3</v>
      </c>
      <c r="O46" s="697" t="n">
        <v>3</v>
      </c>
      <c r="P46" s="697" t="n">
        <v>3</v>
      </c>
      <c r="Q46" s="697" t="n">
        <v>3</v>
      </c>
      <c r="R46" s="697" t="n">
        <v>3</v>
      </c>
      <c r="S46" s="697" t="n">
        <v>3</v>
      </c>
      <c r="T46" s="697" t="n">
        <v>3</v>
      </c>
      <c r="U46" s="697" t="n">
        <v>3</v>
      </c>
      <c r="V46" s="697" t="n">
        <v>3</v>
      </c>
      <c r="W46" s="697" t="n">
        <v>3</v>
      </c>
      <c r="X46" s="697" t="n">
        <v>3</v>
      </c>
      <c r="Y46" s="697" t="n">
        <v>3</v>
      </c>
      <c r="Z46" s="697" t="n">
        <v>3</v>
      </c>
      <c r="AA46" s="697" t="n">
        <v>3</v>
      </c>
      <c r="AB46" s="697" t="n">
        <v>3</v>
      </c>
      <c r="AC46" s="697" t="n">
        <v>3</v>
      </c>
      <c r="AD46" s="697" t="n">
        <v>3</v>
      </c>
      <c r="AE46" s="697" t="n">
        <v>3</v>
      </c>
      <c r="AF46" s="697" t="n">
        <v>3</v>
      </c>
      <c r="AG46" s="697" t="n">
        <v>3</v>
      </c>
      <c r="AH46" s="697" t="n">
        <v>3</v>
      </c>
      <c r="AI46" s="697" t="n">
        <v>3</v>
      </c>
      <c r="AJ46" s="697" t="n">
        <v>3</v>
      </c>
      <c r="AK46" s="697" t="n">
        <v>3</v>
      </c>
      <c r="AL46" s="697" t="n">
        <v>3</v>
      </c>
      <c r="AM46" s="697" t="n">
        <v>3</v>
      </c>
      <c r="AN46" s="697" t="n">
        <v>3</v>
      </c>
      <c r="AO46" s="697" t="n">
        <v>3</v>
      </c>
      <c r="AP46" s="697" t="n">
        <v>3</v>
      </c>
      <c r="AQ46" s="697" t="n">
        <v>3</v>
      </c>
      <c r="AR46" s="697" t="n">
        <v>3</v>
      </c>
      <c r="AS46" s="697" t="n">
        <v>3</v>
      </c>
      <c r="AT46" s="697" t="n">
        <v>3</v>
      </c>
      <c r="AU46" s="697" t="n">
        <v>3</v>
      </c>
      <c r="AV46" s="697" t="n">
        <v>2</v>
      </c>
      <c r="AW46" s="697" t="n">
        <v>2</v>
      </c>
      <c r="AX46" s="697" t="n">
        <v>2</v>
      </c>
      <c r="AY46" s="697" t="n">
        <v>2</v>
      </c>
      <c r="AZ46" s="697" t="n">
        <v>2</v>
      </c>
      <c r="BA46" s="697" t="n">
        <v>2</v>
      </c>
      <c r="BB46" s="697" t="n">
        <v>2</v>
      </c>
      <c r="BC46" s="697" t="n">
        <v>2</v>
      </c>
      <c r="BD46" s="697" t="n">
        <v>2</v>
      </c>
      <c r="BE46" s="697" t="n">
        <v>2</v>
      </c>
      <c r="BF46" s="697" t="n">
        <v>2</v>
      </c>
      <c r="BG46" s="697" t="n">
        <v>1</v>
      </c>
      <c r="BH46" s="697" t="n">
        <v>1</v>
      </c>
      <c r="BI46" s="697" t="n">
        <v>1</v>
      </c>
      <c r="BJ46" s="697" t="n">
        <v>1</v>
      </c>
      <c r="BK46" s="697" t="n">
        <v>1</v>
      </c>
      <c r="BL46" s="697" t="n">
        <v>1</v>
      </c>
      <c r="BM46" s="697" t="n">
        <v>1</v>
      </c>
      <c r="BN46" s="697" t="n">
        <v>1</v>
      </c>
      <c r="BO46" s="697" t="n">
        <v>1</v>
      </c>
      <c r="BP46" s="697" t="n">
        <v>1</v>
      </c>
      <c r="BQ46" s="697" t="n">
        <v>1</v>
      </c>
      <c r="BR46" s="697" t="n">
        <v>1</v>
      </c>
      <c r="BS46" s="697" t="n">
        <v>1</v>
      </c>
      <c r="BT46" s="697" t="n">
        <v>1</v>
      </c>
      <c r="BU46" s="697" t="n">
        <v>1</v>
      </c>
      <c r="BV46" s="697" t="n">
        <v>1</v>
      </c>
      <c r="BW46" s="697" t="n">
        <v>1</v>
      </c>
      <c r="BX46" s="697" t="n">
        <v>1</v>
      </c>
      <c r="BY46" s="192">
        <f>BW46+IF(NOT(ISBLANK(OFFSET(BY46,0,6))),N(OFFSET(BY46,0,6)),N(OFFSET(BY46,0,7)))-BX46</f>
        <v/>
      </c>
      <c r="CA46" s="194" t="n"/>
      <c r="CB46" s="194" t="n"/>
      <c r="CD46" s="27" t="n"/>
      <c r="CE46" s="2" t="n"/>
      <c r="CF46" s="40" t="n">
        <v>0</v>
      </c>
      <c r="CG46" s="40" t="n">
        <v>0</v>
      </c>
      <c r="CH46" s="40" t="n">
        <v>0</v>
      </c>
      <c r="CI46" s="40" t="n"/>
      <c r="CJ46" s="40" t="n"/>
      <c r="CK46" s="40" t="n"/>
      <c r="CL46" s="40" t="n"/>
      <c r="CM46" s="40" t="n"/>
      <c r="CN46" s="40" t="n"/>
      <c r="CO46" s="40" t="n"/>
      <c r="CP46" s="40" t="n"/>
      <c r="CQ46" s="40" t="n"/>
      <c r="CR46" s="40" t="n"/>
      <c r="CS46" s="40" t="n"/>
      <c r="CT46" s="40" t="n"/>
      <c r="CU46" s="40" t="n"/>
      <c r="CV46" s="40" t="n"/>
      <c r="CW46" s="40" t="n"/>
      <c r="CX46" s="40" t="n"/>
      <c r="CY46" s="40" t="n"/>
      <c r="CZ46" s="40" t="n"/>
      <c r="DA46" s="40" t="n"/>
      <c r="DB46" s="40" t="n"/>
      <c r="DC46" s="40" t="n"/>
      <c r="DD46" s="40" t="n"/>
      <c r="DE46" s="40" t="n"/>
      <c r="DF46" s="40" t="n"/>
      <c r="DG46" s="40" t="n"/>
      <c r="DH46" s="40" t="n"/>
      <c r="DI46" s="40" t="n"/>
      <c r="DJ46" s="40" t="n"/>
      <c r="DK46" s="219" t="n"/>
      <c r="DL46" s="40" t="n"/>
      <c r="DM46" s="40" t="n"/>
      <c r="DN46" s="40" t="n"/>
      <c r="DO46" s="40" t="n"/>
      <c r="DP46" s="40" t="n"/>
      <c r="DQ46" s="40" t="n"/>
      <c r="DR46" s="40" t="n"/>
      <c r="DS46" s="40" t="n"/>
      <c r="DT46" s="40" t="n"/>
      <c r="DU46" s="40" t="n"/>
      <c r="DV46" s="40" t="n"/>
      <c r="DW46" s="40" t="n"/>
      <c r="DX46" s="40" t="n"/>
      <c r="DY46" s="40" t="n"/>
      <c r="DZ46" s="40" t="n"/>
      <c r="EA46" s="40" t="n"/>
      <c r="EB46" s="40" t="n"/>
      <c r="EC46" s="40" t="n"/>
      <c r="ED46" s="40" t="n"/>
      <c r="EE46" s="40" t="n"/>
      <c r="EF46" s="40" t="n"/>
      <c r="EG46" s="40" t="n"/>
      <c r="EH46" s="40" t="n"/>
      <c r="EI46" s="40" t="n"/>
      <c r="EJ46" s="40" t="n"/>
      <c r="EK46" s="40" t="n"/>
      <c r="EL46" s="40" t="n"/>
      <c r="EM46" s="40" t="n"/>
      <c r="EN46" s="40" t="n"/>
      <c r="EO46" s="40" t="n"/>
      <c r="EP46" s="40" t="n"/>
      <c r="EQ46" s="40" t="n"/>
      <c r="ER46" s="40" t="n"/>
      <c r="ES46" s="40" t="n"/>
      <c r="ET46" s="40" t="n"/>
      <c r="EU46" s="40" t="n"/>
      <c r="EV46" s="40" t="n"/>
      <c r="EW46" s="40" t="n"/>
      <c r="EX46" s="40" t="n"/>
      <c r="EY46" s="40" t="n"/>
      <c r="EZ46" s="40" t="n"/>
      <c r="FA46" s="40" t="n"/>
      <c r="FB46" s="40" t="n"/>
      <c r="FC46" s="40" t="n"/>
      <c r="FD46" s="40" t="n"/>
      <c r="FE46" s="40" t="n"/>
      <c r="FF46" s="40" t="n"/>
      <c r="FG46" s="40" t="n"/>
      <c r="FH46" s="23" t="n"/>
      <c r="FI46" s="219" t="n"/>
      <c r="FJ46" s="40" t="n"/>
      <c r="FK46" s="40" t="n"/>
      <c r="FL46" s="40" t="n"/>
      <c r="FM46" s="40" t="n"/>
      <c r="FN46" s="40" t="n"/>
      <c r="FO46" s="40" t="n"/>
      <c r="FP46" s="40" t="n"/>
      <c r="FQ46" s="40" t="n"/>
      <c r="FR46" s="40" t="n"/>
      <c r="FS46" s="40" t="n"/>
      <c r="FT46" s="40" t="n"/>
      <c r="FU46" s="40" t="n"/>
      <c r="FV46" s="40" t="n"/>
      <c r="FW46" s="219" t="n"/>
      <c r="FX46" s="40" t="n"/>
      <c r="FY46" s="219" t="n"/>
      <c r="FZ46" s="40" t="n"/>
      <c r="GA46" s="40" t="n"/>
      <c r="GB46" s="40" t="n"/>
      <c r="GC46" s="40" t="n"/>
      <c r="GD46" s="40" t="n"/>
      <c r="GE46" s="40" t="n"/>
      <c r="GF46" s="40" t="n"/>
      <c r="GG46" s="40" t="n"/>
      <c r="GH46" s="40" t="n"/>
      <c r="GI46" s="40" t="n"/>
      <c r="GJ46" s="40" t="n"/>
      <c r="GK46" s="40" t="n"/>
      <c r="GL46" s="40" t="n"/>
      <c r="GM46" s="40" t="n"/>
      <c r="GN46" s="40" t="n"/>
      <c r="GO46" s="41" t="n"/>
    </row>
    <row r="47">
      <c r="A47" s="37" t="inlineStr">
        <is>
          <t>SACO M OUI (BRINDE)</t>
        </is>
      </c>
      <c r="B47" s="699" t="n">
        <v>200</v>
      </c>
      <c r="C47" s="762" t="n">
        <v>258.52</v>
      </c>
      <c r="D47" s="382" t="n">
        <v>50</v>
      </c>
      <c r="E47" s="2" t="n"/>
      <c r="F47" s="32" t="n">
        <v>400</v>
      </c>
      <c r="G47" s="32" t="n">
        <v>300</v>
      </c>
      <c r="H47" s="32" t="n">
        <v>300</v>
      </c>
      <c r="I47" s="32" t="n">
        <v>300</v>
      </c>
      <c r="J47" s="32" t="n">
        <v>300</v>
      </c>
      <c r="K47" s="32" t="n">
        <v>200</v>
      </c>
      <c r="L47" s="32" t="n">
        <v>200</v>
      </c>
      <c r="M47" s="32" t="n">
        <v>200</v>
      </c>
      <c r="N47" s="32" t="n">
        <v>200</v>
      </c>
      <c r="O47" s="32" t="n">
        <v>200</v>
      </c>
      <c r="P47" s="32" t="n">
        <v>200</v>
      </c>
      <c r="Q47" s="32" t="n">
        <v>200</v>
      </c>
      <c r="R47" s="32" t="n">
        <v>200</v>
      </c>
      <c r="S47" s="32" t="n">
        <v>200</v>
      </c>
      <c r="T47" s="32" t="n">
        <v>200</v>
      </c>
      <c r="U47" s="32" t="n">
        <v>200</v>
      </c>
      <c r="V47" s="32" t="n">
        <v>200</v>
      </c>
      <c r="W47" s="32" t="n">
        <v>600</v>
      </c>
      <c r="X47" s="32" t="n">
        <v>400</v>
      </c>
      <c r="Y47" s="32">
        <f>600-200</f>
        <v/>
      </c>
      <c r="Z47" s="32" t="n">
        <v>400</v>
      </c>
      <c r="AA47" s="32" t="n">
        <v>400</v>
      </c>
      <c r="AB47" s="32">
        <f>400-200</f>
        <v/>
      </c>
      <c r="AC47" s="32" t="n">
        <v>100</v>
      </c>
      <c r="AD47" s="32" t="n">
        <v>200</v>
      </c>
      <c r="AE47" s="32" t="n">
        <v>200</v>
      </c>
      <c r="AF47" s="32" t="n">
        <v>200</v>
      </c>
      <c r="AG47" s="32" t="n">
        <v>200</v>
      </c>
      <c r="AH47" s="32" t="n">
        <v>150</v>
      </c>
      <c r="AI47" s="32" t="n">
        <v>100</v>
      </c>
      <c r="AJ47" s="32" t="n">
        <v>100</v>
      </c>
      <c r="AK47" s="32" t="n">
        <v>100</v>
      </c>
      <c r="AL47" s="32" t="n">
        <v>100</v>
      </c>
      <c r="AM47" s="32" t="n">
        <v>100</v>
      </c>
      <c r="AN47" s="32" t="n">
        <v>100</v>
      </c>
      <c r="AO47" s="32" t="n">
        <v>0</v>
      </c>
      <c r="AP47" s="32">
        <f>0+200</f>
        <v/>
      </c>
      <c r="AQ47" s="32" t="n">
        <v>200</v>
      </c>
      <c r="AR47" s="32" t="n">
        <v>200</v>
      </c>
      <c r="AS47" s="32" t="n">
        <v>200</v>
      </c>
      <c r="AT47" s="32" t="n">
        <v>200</v>
      </c>
      <c r="AU47" s="32" t="n">
        <v>200</v>
      </c>
      <c r="AV47" s="32" t="n">
        <v>150</v>
      </c>
      <c r="AW47" s="32" t="n">
        <v>150</v>
      </c>
      <c r="AX47" s="32" t="n">
        <v>200</v>
      </c>
      <c r="AY47" s="32" t="n">
        <v>200</v>
      </c>
      <c r="AZ47" s="32" t="n">
        <v>200</v>
      </c>
      <c r="BA47" s="32" t="n">
        <v>200</v>
      </c>
      <c r="BB47" s="32" t="n">
        <v>200</v>
      </c>
      <c r="BC47" s="32" t="n">
        <v>200</v>
      </c>
      <c r="BD47" s="32" t="n">
        <v>150</v>
      </c>
      <c r="BE47" s="32" t="n">
        <v>150</v>
      </c>
      <c r="BF47" s="32" t="n">
        <v>150</v>
      </c>
      <c r="BG47" s="32" t="n">
        <v>150</v>
      </c>
      <c r="BH47" s="32" t="n">
        <v>0</v>
      </c>
      <c r="BI47" s="32" t="n">
        <v>0</v>
      </c>
      <c r="BJ47" s="32" t="n">
        <v>0</v>
      </c>
      <c r="BK47" s="32" t="n">
        <v>0</v>
      </c>
      <c r="BL47" s="32" t="n">
        <v>0</v>
      </c>
      <c r="BM47" s="32" t="n">
        <v>0</v>
      </c>
      <c r="BN47" s="32" t="n">
        <v>0</v>
      </c>
      <c r="BO47" s="32" t="n">
        <v>0</v>
      </c>
      <c r="BP47" s="32" t="n">
        <v>0</v>
      </c>
      <c r="BQ47" s="32" t="n">
        <v>0</v>
      </c>
      <c r="BR47" s="32">
        <f>0+CI47</f>
        <v/>
      </c>
      <c r="BS47" s="32" t="n">
        <v>0</v>
      </c>
      <c r="BT47" s="32" t="n">
        <v>0</v>
      </c>
      <c r="BU47" s="32" t="n">
        <v>0</v>
      </c>
      <c r="BV47" s="32" t="n">
        <v>0</v>
      </c>
      <c r="BW47" s="32" t="n">
        <v>0</v>
      </c>
      <c r="BX47" s="32">
        <f>0+CF47</f>
        <v/>
      </c>
      <c r="BY47" s="192">
        <f>BW47+IF(NOT(ISBLANK(OFFSET(BY47,0,6))),N(OFFSET(BY47,0,6)),N(OFFSET(BY47,0,7)))-BX47</f>
        <v/>
      </c>
      <c r="CA47" s="194" t="n"/>
      <c r="CB47" s="194" t="n"/>
      <c r="CD47" s="27" t="n">
        <v>200</v>
      </c>
      <c r="CE47" s="573" t="n"/>
      <c r="CF47" s="40" t="n">
        <v>200</v>
      </c>
      <c r="CG47" s="40" t="n">
        <v>0</v>
      </c>
      <c r="CH47" s="40" t="n">
        <v>0</v>
      </c>
      <c r="CI47" s="40" t="n">
        <v>200</v>
      </c>
      <c r="CJ47" s="40" t="n"/>
      <c r="CK47" s="40" t="n"/>
      <c r="CL47" s="40" t="n"/>
      <c r="CM47" s="40" t="n"/>
      <c r="CN47" s="40" t="n"/>
      <c r="CO47" s="40" t="n"/>
      <c r="CP47" s="40" t="n"/>
      <c r="CQ47" s="40" t="n"/>
      <c r="CR47" s="40" t="n"/>
      <c r="CS47" s="40" t="n"/>
      <c r="CT47" s="40" t="n"/>
      <c r="CU47" s="40" t="n"/>
      <c r="CV47" s="40" t="n"/>
      <c r="CW47" s="40" t="n"/>
      <c r="CX47" s="40" t="n"/>
      <c r="CY47" s="40" t="n"/>
      <c r="CZ47" s="40" t="n"/>
      <c r="DA47" s="40" t="n"/>
      <c r="DB47" s="40" t="n"/>
      <c r="DC47" s="40" t="n"/>
      <c r="DD47" s="40" t="n"/>
      <c r="DE47" s="40" t="n"/>
      <c r="DF47" s="40" t="n"/>
      <c r="DG47" s="40" t="n"/>
      <c r="DH47" s="40" t="n"/>
      <c r="DI47" s="40" t="n"/>
      <c r="DJ47" s="40" t="n"/>
      <c r="DK47" s="219" t="n"/>
      <c r="DL47" s="40" t="n"/>
      <c r="DM47" s="40" t="n"/>
      <c r="DN47" s="40" t="n"/>
      <c r="DO47" s="40" t="n">
        <v>200</v>
      </c>
      <c r="DP47" s="40" t="n"/>
      <c r="DQ47" s="40" t="n"/>
      <c r="DR47" s="40" t="n"/>
      <c r="DS47" s="40" t="n"/>
      <c r="DT47" s="40" t="n"/>
      <c r="DU47" s="40" t="n"/>
      <c r="DV47" s="40" t="n"/>
      <c r="DW47" s="40" t="n"/>
      <c r="DX47" s="40" t="n"/>
      <c r="DY47" s="40" t="n"/>
      <c r="DZ47" s="40" t="n"/>
      <c r="EA47" s="40" t="n"/>
      <c r="EB47" s="192" t="inlineStr">
        <is>
          <t>200 DE CD</t>
        </is>
      </c>
      <c r="EC47" s="40" t="n"/>
      <c r="ED47" s="40" t="n"/>
      <c r="EE47" s="40" t="n"/>
      <c r="EF47" s="40" t="n"/>
      <c r="EG47" s="40" t="n"/>
      <c r="EH47" s="40" t="n"/>
      <c r="EI47" s="40" t="n"/>
      <c r="EJ47" s="40" t="n"/>
      <c r="EK47" s="40" t="n"/>
      <c r="EL47" s="40" t="n"/>
      <c r="EM47" s="40" t="n"/>
      <c r="EN47" s="40" t="n"/>
      <c r="EO47" s="40" t="n"/>
      <c r="EP47" s="40" t="n"/>
      <c r="EQ47" s="40" t="n"/>
      <c r="ER47" s="40" t="n"/>
      <c r="ES47" s="40" t="n"/>
      <c r="ET47" s="40" t="n"/>
      <c r="EU47" s="40" t="n"/>
      <c r="EV47" s="40" t="n"/>
      <c r="EW47" s="40" t="n"/>
      <c r="EX47" s="40" t="n"/>
      <c r="EY47" s="40" t="n"/>
      <c r="EZ47" s="40" t="n">
        <v>200</v>
      </c>
      <c r="FA47" s="40" t="n"/>
      <c r="FB47" s="40" t="n"/>
      <c r="FC47" s="40" t="n"/>
      <c r="FD47" s="282" t="inlineStr">
        <is>
          <t>200 P/ CD</t>
        </is>
      </c>
      <c r="FE47" s="40" t="n"/>
      <c r="FF47" s="40" t="n"/>
      <c r="FG47" s="40" t="n"/>
      <c r="FH47" s="23" t="n"/>
      <c r="FI47" s="219" t="n"/>
      <c r="FJ47" s="282" t="inlineStr">
        <is>
          <t>200 P/ CD</t>
        </is>
      </c>
      <c r="FK47" s="40" t="n"/>
      <c r="FL47" s="40" t="n"/>
      <c r="FM47" s="40" t="n"/>
      <c r="FN47" s="40" t="n">
        <v>200</v>
      </c>
      <c r="FO47" s="40" t="n"/>
      <c r="FP47" s="40" t="n"/>
      <c r="FQ47" s="40" t="n"/>
      <c r="FR47" s="40" t="n"/>
      <c r="FS47" s="40" t="n">
        <v>400</v>
      </c>
      <c r="FT47" s="40" t="n"/>
      <c r="FU47" s="40" t="n"/>
      <c r="FV47" s="40" t="n"/>
      <c r="FW47" s="219" t="n"/>
      <c r="FX47" s="40" t="n"/>
      <c r="FY47" s="219" t="n"/>
      <c r="FZ47" s="40" t="n"/>
      <c r="GA47" s="40" t="n"/>
      <c r="GB47" s="40" t="n"/>
      <c r="GC47" s="40" t="n"/>
      <c r="GD47" s="40" t="n"/>
      <c r="GE47" s="40" t="n"/>
      <c r="GF47" s="40" t="n"/>
      <c r="GG47" s="40" t="n"/>
      <c r="GH47" s="40" t="n"/>
      <c r="GI47" s="40" t="n"/>
      <c r="GJ47" s="40" t="n"/>
      <c r="GK47" s="40" t="n"/>
      <c r="GL47" s="40" t="n"/>
      <c r="GM47" s="40" t="n"/>
      <c r="GN47" s="40" t="n"/>
    </row>
    <row r="48">
      <c r="B48" s="573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573" t="n"/>
      <c r="BE48" s="573" t="n"/>
      <c r="BF48" s="573" t="n"/>
      <c r="BG48" s="573" t="n"/>
      <c r="BH48" s="573" t="n"/>
      <c r="BI48" s="573" t="n"/>
      <c r="BJ48" s="573" t="n"/>
      <c r="BK48" s="573" t="n"/>
      <c r="BL48" s="573" t="n"/>
      <c r="BM48" s="573" t="n"/>
      <c r="BN48" s="573" t="n"/>
      <c r="BO48" s="573" t="n"/>
      <c r="BP48" s="573" t="n"/>
      <c r="BQ48" s="573" t="n"/>
      <c r="BR48" s="573" t="n"/>
      <c r="BS48" s="573" t="n"/>
      <c r="BT48" s="573" t="n"/>
      <c r="BU48" s="573" t="n"/>
      <c r="BV48" s="573" t="n"/>
      <c r="BW48" s="573" t="n"/>
      <c r="BX48" s="573" t="n"/>
      <c r="CE48" s="573" t="n"/>
      <c r="CF48" s="68" t="n"/>
      <c r="CG48" s="68" t="n"/>
      <c r="CH48" s="68" t="n"/>
      <c r="CI48" s="68" t="n"/>
      <c r="CJ48" s="68" t="n"/>
      <c r="CK48" s="68" t="n"/>
      <c r="CL48" s="68" t="n"/>
      <c r="CM48" s="68" t="n"/>
      <c r="CN48" s="68" t="n"/>
      <c r="CO48" s="68" t="n"/>
      <c r="CP48" s="68" t="n"/>
      <c r="CQ48" s="68" t="n"/>
      <c r="CR48" s="68" t="n"/>
      <c r="CS48" s="68" t="n"/>
      <c r="CT48" s="68" t="n"/>
      <c r="CU48" s="68" t="n"/>
      <c r="CV48" s="68" t="n"/>
      <c r="CW48" s="68" t="n"/>
      <c r="CX48" s="68" t="n"/>
      <c r="CY48" s="68" t="n"/>
      <c r="CZ48" s="68" t="n"/>
      <c r="DA48" s="68" t="n"/>
      <c r="DB48" s="68" t="n"/>
      <c r="DC48" s="68" t="n"/>
      <c r="DD48" s="68" t="n"/>
      <c r="DE48" s="68" t="n"/>
      <c r="DF48" s="68" t="n"/>
      <c r="DG48" s="68" t="n"/>
      <c r="DH48" s="68" t="n"/>
      <c r="DI48" s="68" t="n"/>
      <c r="DJ48" s="68" t="n"/>
      <c r="DL48" s="68" t="n"/>
      <c r="DM48" s="68" t="n"/>
      <c r="DN48" s="68" t="n"/>
      <c r="DO48" s="68" t="n"/>
      <c r="DP48" s="68" t="n"/>
      <c r="DQ48" s="68" t="n"/>
      <c r="DR48" s="68" t="n"/>
      <c r="DS48" s="68" t="n"/>
      <c r="DT48" s="68" t="n"/>
      <c r="DU48" s="68" t="n"/>
      <c r="DV48" s="68" t="n"/>
      <c r="DW48" s="68" t="n"/>
      <c r="DX48" s="68" t="n"/>
      <c r="DY48" s="68" t="n"/>
      <c r="DZ48" s="68" t="n"/>
      <c r="EA48" s="68" t="n"/>
      <c r="EB48" s="68" t="n"/>
      <c r="EC48" s="68" t="n"/>
      <c r="ED48" s="68" t="n"/>
      <c r="EE48" s="68" t="n"/>
      <c r="EF48" s="68" t="n"/>
      <c r="EG48" s="68" t="n"/>
      <c r="EH48" s="68" t="n"/>
      <c r="EI48" s="68" t="n"/>
      <c r="EJ48" s="68" t="n"/>
      <c r="EK48" s="68" t="n"/>
      <c r="EL48" s="68" t="n"/>
      <c r="EM48" s="68" t="n"/>
      <c r="EN48" s="68" t="n"/>
      <c r="EO48" s="68" t="n"/>
      <c r="EP48" s="68" t="n"/>
      <c r="EQ48" s="68" t="n"/>
      <c r="ER48" s="68" t="n"/>
      <c r="ES48" s="68" t="n"/>
      <c r="ET48" s="68" t="n"/>
      <c r="EU48" s="68" t="n"/>
      <c r="EV48" s="68" t="n"/>
      <c r="EW48" s="68" t="n"/>
      <c r="EX48" s="68" t="n"/>
      <c r="EY48" s="68" t="n"/>
      <c r="EZ48" s="68" t="n"/>
      <c r="FA48" s="68" t="n"/>
      <c r="FB48" s="68" t="n"/>
      <c r="FC48" s="68" t="n"/>
      <c r="FD48" s="68" t="n"/>
      <c r="FE48" s="68" t="n"/>
      <c r="FF48" s="68" t="n"/>
      <c r="FG48" s="68" t="n"/>
      <c r="FI48" s="68" t="n"/>
      <c r="FJ48" s="68" t="n"/>
      <c r="FK48" s="68" t="n"/>
      <c r="FL48" s="68" t="n"/>
      <c r="FM48" s="68" t="n"/>
      <c r="FN48" s="68" t="n"/>
      <c r="FO48" s="68" t="n"/>
      <c r="FP48" s="68" t="n"/>
      <c r="FQ48" s="68" t="n"/>
      <c r="FR48" s="68" t="n"/>
      <c r="FS48" s="68" t="n"/>
      <c r="FT48" s="68" t="n"/>
      <c r="FU48" s="68" t="n"/>
      <c r="FV48" s="68" t="n"/>
      <c r="FW48" s="749" t="n"/>
      <c r="FX48" s="68" t="n"/>
      <c r="FY48" s="749" t="n"/>
      <c r="FZ48" s="68" t="n"/>
      <c r="GA48" s="68" t="n"/>
      <c r="GB48" s="68" t="n"/>
      <c r="GC48" s="68" t="n"/>
      <c r="GD48" s="68" t="n"/>
      <c r="GE48" s="68" t="n"/>
      <c r="GF48" s="68" t="n"/>
      <c r="GG48" s="68" t="n"/>
      <c r="GH48" s="68" t="n"/>
      <c r="GI48" s="68" t="n"/>
      <c r="GJ48" s="68" t="n"/>
      <c r="GK48" s="68" t="n"/>
      <c r="GL48" s="68" t="n"/>
      <c r="GM48" s="68" t="n"/>
      <c r="GN48" s="68" t="n"/>
    </row>
    <row r="49">
      <c r="A49" s="166" t="inlineStr">
        <is>
          <t>CAIXAS</t>
        </is>
      </c>
      <c r="B49" s="166" t="n"/>
      <c r="C49" s="166" t="n"/>
      <c r="D49" s="166" t="n"/>
      <c r="E49" s="2" t="n"/>
      <c r="F49" s="746" t="n">
        <v>45656</v>
      </c>
      <c r="G49" s="746" t="n">
        <v>45663</v>
      </c>
      <c r="H49" s="746" t="n">
        <v>45670</v>
      </c>
      <c r="I49" s="746" t="n">
        <v>45677</v>
      </c>
      <c r="J49" s="746" t="n">
        <v>45684</v>
      </c>
      <c r="K49" s="746" t="n">
        <v>45691</v>
      </c>
      <c r="L49" s="746" t="n">
        <v>45698</v>
      </c>
      <c r="M49" s="746" t="n">
        <v>45705</v>
      </c>
      <c r="N49" s="746" t="n">
        <v>45712</v>
      </c>
      <c r="O49" s="746" t="n">
        <v>45719</v>
      </c>
      <c r="P49" s="746" t="n">
        <v>45726</v>
      </c>
      <c r="Q49" s="746" t="n">
        <v>45733</v>
      </c>
      <c r="R49" s="746" t="n">
        <v>45740</v>
      </c>
      <c r="S49" s="746" t="n">
        <v>45747</v>
      </c>
      <c r="T49" s="746" t="n">
        <v>45754</v>
      </c>
      <c r="U49" s="746" t="n">
        <v>45761</v>
      </c>
      <c r="V49" s="746" t="n">
        <v>45768</v>
      </c>
      <c r="W49" s="746" t="n">
        <v>45775</v>
      </c>
      <c r="X49" s="746" t="n">
        <v>45782</v>
      </c>
      <c r="Y49" s="746" t="n">
        <v>45789</v>
      </c>
      <c r="Z49" s="746" t="n">
        <v>45796</v>
      </c>
      <c r="AA49" s="746" t="n">
        <v>45803</v>
      </c>
      <c r="AB49" s="746" t="n">
        <v>45810</v>
      </c>
      <c r="AC49" s="746" t="n">
        <v>45817</v>
      </c>
      <c r="AD49" s="746" t="n">
        <v>45824</v>
      </c>
      <c r="AE49" s="746" t="n">
        <v>45831</v>
      </c>
      <c r="AF49" s="746" t="n">
        <v>45838</v>
      </c>
      <c r="AG49" s="746" t="n">
        <v>45845</v>
      </c>
      <c r="AH49" s="746" t="n">
        <v>45852</v>
      </c>
      <c r="AI49" s="746" t="n">
        <v>45859</v>
      </c>
      <c r="AJ49" s="746" t="n">
        <v>45866</v>
      </c>
      <c r="AK49" s="746" t="n">
        <v>45873</v>
      </c>
      <c r="AL49" s="746" t="n">
        <v>45880</v>
      </c>
      <c r="AM49" s="746" t="n">
        <v>45887</v>
      </c>
      <c r="AN49" s="746" t="n">
        <v>45894</v>
      </c>
      <c r="AO49" s="746" t="n">
        <v>45901</v>
      </c>
      <c r="AP49" s="746" t="n">
        <v>45915</v>
      </c>
      <c r="AQ49" s="746" t="n">
        <v>45922</v>
      </c>
      <c r="AR49" s="746" t="n">
        <v>45929</v>
      </c>
      <c r="AS49" s="746" t="n">
        <v>45936</v>
      </c>
      <c r="AT49" s="746" t="n">
        <v>45943</v>
      </c>
      <c r="AU49" s="746" t="n">
        <v>45950</v>
      </c>
      <c r="AV49" s="746" t="n">
        <v>45957</v>
      </c>
      <c r="AW49" s="746" t="n">
        <v>45964</v>
      </c>
      <c r="AX49" s="746" t="n">
        <v>45971</v>
      </c>
      <c r="AY49" s="746" t="n">
        <v>45978</v>
      </c>
      <c r="AZ49" s="746" t="n">
        <v>45985</v>
      </c>
      <c r="BA49" s="746" t="n">
        <v>45992</v>
      </c>
      <c r="BB49" s="746" t="n">
        <v>45999</v>
      </c>
      <c r="BC49" s="746" t="n">
        <v>46006</v>
      </c>
      <c r="BD49" s="746" t="n">
        <v>46013</v>
      </c>
      <c r="BE49" s="746" t="n">
        <v>46020</v>
      </c>
      <c r="BF49" s="746" t="n">
        <v>46027</v>
      </c>
      <c r="BG49" s="746" t="n">
        <v>46034</v>
      </c>
      <c r="BH49" s="746" t="n">
        <v>46041</v>
      </c>
      <c r="BI49" s="746" t="n">
        <v>46048</v>
      </c>
      <c r="BJ49" s="746" t="n">
        <v>46055</v>
      </c>
      <c r="BK49" s="746" t="n">
        <v>46062</v>
      </c>
      <c r="BL49" s="746" t="n">
        <v>46069</v>
      </c>
      <c r="BM49" s="746" t="n">
        <v>46076</v>
      </c>
      <c r="BN49" s="746" t="n">
        <v>46083</v>
      </c>
      <c r="BO49" s="746" t="n">
        <v>46090</v>
      </c>
      <c r="BP49" s="746" t="n">
        <v>46097</v>
      </c>
      <c r="BQ49" s="746" t="n">
        <v>46104</v>
      </c>
      <c r="BR49" s="746" t="n">
        <v>46111</v>
      </c>
      <c r="BS49" s="746" t="n">
        <v>46118</v>
      </c>
      <c r="BT49" s="746" t="n">
        <v>46125</v>
      </c>
      <c r="BU49" s="746" t="n">
        <v>46132</v>
      </c>
      <c r="BV49" s="746" t="n">
        <v>46139</v>
      </c>
      <c r="BW49" s="746" t="n">
        <v>46146</v>
      </c>
      <c r="BX49" s="746" t="n">
        <v>46154</v>
      </c>
      <c r="BY49" s="748" t="inlineStr">
        <is>
          <t>USOU</t>
        </is>
      </c>
      <c r="CA49" s="44" t="inlineStr">
        <is>
          <t>Pendências</t>
        </is>
      </c>
      <c r="CB49" s="44" t="inlineStr">
        <is>
          <t>Pendências</t>
        </is>
      </c>
      <c r="CD49" s="12" t="inlineStr">
        <is>
          <t>Novo Pedido</t>
        </is>
      </c>
      <c r="CE49" s="573" t="n"/>
      <c r="CF49" s="794" t="n">
        <v>46149</v>
      </c>
      <c r="CG49" s="794" t="n">
        <v>46142</v>
      </c>
      <c r="CH49" s="794" t="n">
        <v>46114</v>
      </c>
      <c r="CI49" s="794" t="n">
        <v>46107</v>
      </c>
      <c r="CJ49" s="795" t="n">
        <v>46065</v>
      </c>
      <c r="CK49" s="794" t="n">
        <v>46099</v>
      </c>
      <c r="CL49" s="794" t="n">
        <v>46092</v>
      </c>
      <c r="CM49" s="796" t="n">
        <v>46045</v>
      </c>
      <c r="CN49" s="794" t="n">
        <v>46084</v>
      </c>
      <c r="CO49" s="797" t="n">
        <v>46085</v>
      </c>
      <c r="CP49" s="794" t="n">
        <v>46077</v>
      </c>
      <c r="CQ49" s="794" t="n">
        <v>46071</v>
      </c>
      <c r="CR49" s="794" t="n">
        <v>46056</v>
      </c>
      <c r="CS49" s="794" t="n">
        <v>46048</v>
      </c>
      <c r="CT49" s="794" t="n">
        <v>46056</v>
      </c>
      <c r="CU49" s="794" t="n">
        <v>46048</v>
      </c>
      <c r="CV49" s="794" t="n">
        <v>46043</v>
      </c>
      <c r="CW49" s="794" t="n">
        <v>46035</v>
      </c>
      <c r="CX49" s="794" t="n">
        <v>46043</v>
      </c>
      <c r="CY49" s="794" t="n">
        <v>46035</v>
      </c>
      <c r="CZ49" s="794" t="n">
        <v>46035</v>
      </c>
      <c r="DA49" s="794" t="n">
        <v>46029</v>
      </c>
      <c r="DB49" s="794" t="n">
        <v>46017</v>
      </c>
      <c r="DC49" s="794" t="n">
        <v>46007</v>
      </c>
      <c r="DD49" s="794" t="n">
        <v>46007</v>
      </c>
      <c r="DE49" s="794" t="n">
        <v>46001</v>
      </c>
      <c r="DF49" s="794" t="n">
        <v>46001</v>
      </c>
      <c r="DG49" s="794" t="n">
        <v>45994</v>
      </c>
      <c r="DH49" s="794" t="n">
        <v>45994</v>
      </c>
      <c r="DI49" s="794" t="n">
        <v>45986</v>
      </c>
      <c r="DJ49" s="794" t="n">
        <v>45980</v>
      </c>
      <c r="DK49" s="797" t="n">
        <v>45982</v>
      </c>
      <c r="DL49" s="794" t="n">
        <v>45973</v>
      </c>
      <c r="DM49" s="794" t="n">
        <v>45965</v>
      </c>
      <c r="DN49" s="794" t="n">
        <v>45965</v>
      </c>
      <c r="DO49" s="794" t="n">
        <v>45960</v>
      </c>
      <c r="DP49" s="794" t="n">
        <v>45960</v>
      </c>
      <c r="DQ49" s="794" t="n">
        <v>45951</v>
      </c>
      <c r="DR49" s="794" t="n">
        <v>45945</v>
      </c>
      <c r="DS49" s="737" t="n">
        <v>45903</v>
      </c>
      <c r="DT49" s="794" t="n">
        <v>45945</v>
      </c>
      <c r="DU49" s="794" t="n">
        <v>45937</v>
      </c>
      <c r="DV49" s="794" t="n">
        <v>45923</v>
      </c>
      <c r="DW49" s="794" t="n">
        <v>45931</v>
      </c>
      <c r="DX49" s="794" t="n">
        <v>45931</v>
      </c>
      <c r="DY49" s="794" t="n">
        <v>45915</v>
      </c>
      <c r="DZ49" s="794" t="n">
        <v>45923</v>
      </c>
      <c r="EA49" s="794" t="n">
        <v>45915</v>
      </c>
      <c r="EB49" s="797" t="n">
        <v>45918</v>
      </c>
      <c r="EC49" s="794" t="n">
        <v>45903</v>
      </c>
      <c r="ED49" s="738" t="n">
        <v>45903</v>
      </c>
      <c r="EE49" s="794" t="n">
        <v>45895</v>
      </c>
      <c r="EF49" s="797" t="n">
        <v>45896</v>
      </c>
      <c r="EG49" s="794" t="n">
        <v>45888</v>
      </c>
      <c r="EH49" s="794" t="n">
        <v>45888</v>
      </c>
      <c r="EI49" s="794" t="n">
        <v>45881</v>
      </c>
      <c r="EJ49" s="797" t="n">
        <v>45881</v>
      </c>
      <c r="EK49" s="794" t="n">
        <v>45874</v>
      </c>
      <c r="EL49" s="797" t="n">
        <v>45876</v>
      </c>
      <c r="EM49" s="794" t="n">
        <v>45867</v>
      </c>
      <c r="EN49" s="794" t="n">
        <v>45860</v>
      </c>
      <c r="EO49" s="794" t="n">
        <v>45839</v>
      </c>
      <c r="EP49" s="797" t="n">
        <v>45861</v>
      </c>
      <c r="EQ49" s="797" t="n">
        <v>45860</v>
      </c>
      <c r="ER49" s="794" t="n">
        <v>45853</v>
      </c>
      <c r="ES49" s="739" t="n">
        <v>45855</v>
      </c>
      <c r="ET49" s="794" t="n">
        <v>45848</v>
      </c>
      <c r="EU49" s="794" t="n">
        <v>45839</v>
      </c>
      <c r="EV49" s="739" t="n">
        <v>45791</v>
      </c>
      <c r="EW49" s="797" t="n">
        <v>45835</v>
      </c>
      <c r="EX49" s="794" t="n">
        <v>45832</v>
      </c>
      <c r="EY49" s="794" t="n">
        <v>45825</v>
      </c>
      <c r="EZ49" s="794" t="n">
        <v>45819</v>
      </c>
      <c r="FA49" s="794" t="n">
        <v>45813</v>
      </c>
      <c r="FB49" s="794" t="n">
        <v>45805</v>
      </c>
      <c r="FC49" s="797" t="n">
        <v>45811</v>
      </c>
      <c r="FD49" s="797" t="n">
        <v>45810</v>
      </c>
      <c r="FE49" s="794" t="n">
        <v>45798</v>
      </c>
      <c r="FF49" s="797" t="n">
        <v>45803</v>
      </c>
      <c r="FG49" s="755" t="n">
        <v>45803</v>
      </c>
      <c r="FH49" s="797" t="n">
        <v>45800</v>
      </c>
      <c r="FI49" s="742" t="n">
        <v>45735</v>
      </c>
      <c r="FJ49" s="797" t="n">
        <v>45796</v>
      </c>
      <c r="FK49" s="794" t="n">
        <v>45790</v>
      </c>
      <c r="FL49" s="794" t="n">
        <v>45784</v>
      </c>
      <c r="FM49" s="797" t="n">
        <v>45791</v>
      </c>
      <c r="FN49" s="794" t="n">
        <v>45783</v>
      </c>
      <c r="FO49" s="794" t="n">
        <v>45770</v>
      </c>
      <c r="FP49" s="794" t="n">
        <v>45775</v>
      </c>
      <c r="FQ49" s="794" t="n">
        <v>45770</v>
      </c>
      <c r="FR49" s="797" t="n">
        <v>45775</v>
      </c>
      <c r="FS49" s="794" t="n">
        <v>45756</v>
      </c>
      <c r="FT49" s="794" t="n">
        <v>45749</v>
      </c>
      <c r="FU49" s="797" t="n">
        <v>45751</v>
      </c>
      <c r="FV49" s="794" t="n">
        <v>45743</v>
      </c>
      <c r="FW49" s="746" t="n">
        <v>45729</v>
      </c>
      <c r="FX49" s="794" t="n">
        <v>45722</v>
      </c>
      <c r="FY49" s="746" t="n">
        <v>45700</v>
      </c>
      <c r="FZ49" s="797" t="n">
        <v>45722</v>
      </c>
      <c r="GA49" s="794" t="n">
        <v>45714</v>
      </c>
      <c r="GB49" s="794" t="n">
        <v>45706</v>
      </c>
      <c r="GC49" s="794" t="n">
        <v>45699</v>
      </c>
      <c r="GD49" s="794" t="n">
        <v>45693</v>
      </c>
      <c r="GE49" s="794" t="n">
        <v>45685</v>
      </c>
      <c r="GF49" s="797" t="n">
        <v>45687</v>
      </c>
      <c r="GG49" s="794" t="n">
        <v>45664</v>
      </c>
      <c r="GH49" s="794" t="n">
        <v>45679</v>
      </c>
      <c r="GI49" s="797" t="n">
        <v>45684</v>
      </c>
      <c r="GJ49" s="794" t="n">
        <v>45664</v>
      </c>
      <c r="GK49" s="794" t="n">
        <v>45660</v>
      </c>
      <c r="GL49" s="794" t="n">
        <v>45652</v>
      </c>
      <c r="GM49" s="794" t="n">
        <v>45643</v>
      </c>
      <c r="GN49" s="794" t="n">
        <v>45638</v>
      </c>
    </row>
    <row r="50">
      <c r="A50" s="37" t="inlineStr">
        <is>
          <t>KIT CAIXA P OUI</t>
        </is>
      </c>
      <c r="B50" s="32" t="n">
        <v>100</v>
      </c>
      <c r="C50" s="773" t="n">
        <v>539.7</v>
      </c>
      <c r="D50" s="382" t="n">
        <v>10</v>
      </c>
      <c r="E50" s="573" t="n"/>
      <c r="F50" s="32" t="n">
        <v>20</v>
      </c>
      <c r="G50" s="32" t="n">
        <v>20</v>
      </c>
      <c r="H50" s="32" t="n">
        <v>21</v>
      </c>
      <c r="I50" s="32" t="n">
        <v>21</v>
      </c>
      <c r="J50" s="32" t="n">
        <v>21</v>
      </c>
      <c r="K50" s="32" t="n">
        <v>21</v>
      </c>
      <c r="L50" s="32" t="n">
        <v>21</v>
      </c>
      <c r="M50" s="32" t="n">
        <v>18</v>
      </c>
      <c r="N50" s="32" t="n">
        <v>18</v>
      </c>
      <c r="O50" s="32" t="n">
        <v>18</v>
      </c>
      <c r="P50" s="32" t="n">
        <v>18</v>
      </c>
      <c r="Q50" s="32" t="n">
        <v>18</v>
      </c>
      <c r="R50" s="32" t="n">
        <v>17</v>
      </c>
      <c r="S50" s="32" t="n">
        <v>17</v>
      </c>
      <c r="T50" s="32" t="n">
        <v>17</v>
      </c>
      <c r="U50" s="32" t="n">
        <v>17</v>
      </c>
      <c r="V50" s="32" t="n">
        <v>27</v>
      </c>
      <c r="W50" s="32" t="n">
        <v>27</v>
      </c>
      <c r="X50" s="32" t="n">
        <v>27</v>
      </c>
      <c r="Y50" s="32" t="n">
        <v>25</v>
      </c>
      <c r="Z50" s="32" t="n">
        <v>25</v>
      </c>
      <c r="AA50" s="32" t="n">
        <v>25</v>
      </c>
      <c r="AB50" s="32" t="n">
        <v>25</v>
      </c>
      <c r="AC50" s="32" t="n">
        <v>24</v>
      </c>
      <c r="AD50" s="32" t="n">
        <v>24</v>
      </c>
      <c r="AE50" s="32">
        <f>24+49</f>
        <v/>
      </c>
      <c r="AF50" s="32" t="n">
        <v>73</v>
      </c>
      <c r="AG50" s="32" t="n">
        <v>73</v>
      </c>
      <c r="AH50" s="32" t="n">
        <v>73</v>
      </c>
      <c r="AI50" s="32" t="n">
        <v>73</v>
      </c>
      <c r="AJ50" s="32" t="n">
        <v>73</v>
      </c>
      <c r="AK50" s="32" t="n">
        <v>73</v>
      </c>
      <c r="AL50" s="32" t="n">
        <v>73</v>
      </c>
      <c r="AM50" s="32" t="n">
        <v>73</v>
      </c>
      <c r="AN50" s="32" t="n">
        <v>73</v>
      </c>
      <c r="AO50" s="32" t="n">
        <v>73</v>
      </c>
      <c r="AP50" s="32" t="n">
        <v>73</v>
      </c>
      <c r="AQ50" s="32" t="n">
        <v>73</v>
      </c>
      <c r="AR50" s="32" t="n">
        <v>73</v>
      </c>
      <c r="AS50" s="32" t="n">
        <v>73</v>
      </c>
      <c r="AT50" s="32" t="n">
        <v>73</v>
      </c>
      <c r="AU50" s="32" t="n">
        <v>72</v>
      </c>
      <c r="AV50" s="32" t="n">
        <v>92</v>
      </c>
      <c r="AW50" s="32" t="n">
        <v>92</v>
      </c>
      <c r="AX50" s="32" t="n">
        <v>89</v>
      </c>
      <c r="AY50" s="32" t="n">
        <v>89</v>
      </c>
      <c r="AZ50" s="32" t="n">
        <v>88</v>
      </c>
      <c r="BA50" s="32" t="n">
        <v>88</v>
      </c>
      <c r="BB50" s="32" t="n">
        <v>87</v>
      </c>
      <c r="BC50" s="32" t="n">
        <v>87</v>
      </c>
      <c r="BD50" s="32" t="n">
        <v>87</v>
      </c>
      <c r="BE50" s="32" t="n">
        <v>87</v>
      </c>
      <c r="BF50" s="32" t="n">
        <v>87</v>
      </c>
      <c r="BG50" s="32" t="n">
        <v>87</v>
      </c>
      <c r="BH50" s="32" t="n">
        <v>87</v>
      </c>
      <c r="BI50" s="32" t="n">
        <v>85</v>
      </c>
      <c r="BJ50" s="32" t="n">
        <v>85</v>
      </c>
      <c r="BK50" s="32" t="n">
        <v>84</v>
      </c>
      <c r="BL50" s="32" t="n">
        <v>84</v>
      </c>
      <c r="BM50" s="32" t="n">
        <v>83</v>
      </c>
      <c r="BN50" s="32" t="n">
        <v>83</v>
      </c>
      <c r="BO50" s="32" t="n">
        <v>83</v>
      </c>
      <c r="BP50" s="32" t="n">
        <v>83</v>
      </c>
      <c r="BQ50" s="32" t="n">
        <v>82</v>
      </c>
      <c r="BR50" s="32" t="n">
        <v>82</v>
      </c>
      <c r="BS50" s="32" t="n"/>
      <c r="BT50" s="32" t="n"/>
      <c r="BU50" s="32" t="n"/>
      <c r="BV50" s="32" t="n"/>
      <c r="BW50" s="32" t="n"/>
      <c r="BX50" s="32" t="n">
        <v>81</v>
      </c>
      <c r="BY50" s="192">
        <f>BW50+IF(NOT(ISBLANK(OFFSET(BY50,0,6))),N(OFFSET(BY50,0,6)),N(OFFSET(BY50,0,7)))-BX50</f>
        <v/>
      </c>
      <c r="CA50" s="22" t="n"/>
      <c r="CB50" s="22" t="n"/>
      <c r="CD50" s="73" t="n"/>
      <c r="CE50" s="573" t="n"/>
      <c r="CF50" s="40" t="n">
        <v>0</v>
      </c>
      <c r="CG50" s="40" t="n">
        <v>0</v>
      </c>
      <c r="CH50" s="40" t="n">
        <v>0</v>
      </c>
      <c r="CI50" s="40" t="n"/>
      <c r="CJ50" s="40" t="n"/>
      <c r="CK50" s="40" t="n"/>
      <c r="CL50" s="40" t="n"/>
      <c r="CM50" s="40" t="n"/>
      <c r="CN50" s="40" t="n"/>
      <c r="CO50" s="40" t="n"/>
      <c r="CP50" s="40" t="n"/>
      <c r="CQ50" s="40" t="n"/>
      <c r="CR50" s="40" t="n"/>
      <c r="CS50" s="40" t="n"/>
      <c r="CT50" s="40" t="n"/>
      <c r="CU50" s="40" t="n"/>
      <c r="CV50" s="40" t="n"/>
      <c r="CW50" s="40" t="n"/>
      <c r="CX50" s="40" t="n"/>
      <c r="CY50" s="40" t="n"/>
      <c r="CZ50" s="40" t="n"/>
      <c r="DA50" s="40" t="n"/>
      <c r="DB50" s="40" t="n"/>
      <c r="DC50" s="40" t="n"/>
      <c r="DD50" s="40" t="n"/>
      <c r="DE50" s="40" t="n"/>
      <c r="DF50" s="40" t="n"/>
      <c r="DG50" s="40" t="n"/>
      <c r="DH50" s="40" t="n"/>
      <c r="DI50" s="40" t="n"/>
      <c r="DJ50" s="40" t="n"/>
      <c r="DK50" s="219" t="n"/>
      <c r="DL50" s="40" t="n"/>
      <c r="DM50" s="40" t="n"/>
      <c r="DN50" s="40" t="n"/>
      <c r="DO50" s="40" t="n"/>
      <c r="DP50" s="40" t="n"/>
      <c r="DQ50" s="40" t="n"/>
      <c r="DR50" s="40" t="n"/>
      <c r="DS50" s="40" t="n"/>
      <c r="DT50" s="40" t="n"/>
      <c r="DU50" s="40" t="n"/>
      <c r="DV50" s="40" t="n"/>
      <c r="DW50" s="40" t="n"/>
      <c r="DX50" s="40" t="n"/>
      <c r="DY50" s="40" t="n"/>
      <c r="DZ50" s="40" t="n"/>
      <c r="EA50" s="40" t="n"/>
      <c r="EB50" s="40" t="n"/>
      <c r="EC50" s="40" t="n"/>
      <c r="ED50" s="40" t="n"/>
      <c r="EE50" s="40" t="n"/>
      <c r="EF50" s="40" t="n"/>
      <c r="EG50" s="40" t="n"/>
      <c r="EH50" s="40" t="n"/>
      <c r="EI50" s="40" t="n"/>
      <c r="EJ50" s="40" t="n"/>
      <c r="EK50" s="40" t="n"/>
      <c r="EL50" s="40" t="n"/>
      <c r="EM50" s="40" t="n"/>
      <c r="EN50" s="40" t="n"/>
      <c r="EO50" s="40" t="n"/>
      <c r="EP50" s="40" t="n"/>
      <c r="EQ50" s="40" t="n"/>
      <c r="ER50" s="40" t="n"/>
      <c r="ES50" s="40" t="n"/>
      <c r="ET50" s="40" t="n"/>
      <c r="EU50" s="40" t="n"/>
      <c r="EV50" s="40" t="n"/>
      <c r="EW50" s="282" t="inlineStr">
        <is>
          <t>49 DE CDB</t>
        </is>
      </c>
      <c r="EX50" s="40" t="n"/>
      <c r="EY50" s="40" t="n"/>
      <c r="EZ50" s="40" t="n"/>
      <c r="FA50" s="40" t="n"/>
      <c r="FB50" s="40" t="n"/>
      <c r="FC50" s="40" t="n"/>
      <c r="FD50" s="40" t="n"/>
      <c r="FE50" s="40" t="n"/>
      <c r="FF50" s="40" t="n"/>
      <c r="FG50" s="40" t="n"/>
      <c r="FH50" s="23" t="n"/>
      <c r="FI50" s="219" t="n"/>
      <c r="FJ50" s="40" t="n"/>
      <c r="FK50" s="40" t="n"/>
      <c r="FL50" s="40" t="n"/>
      <c r="FM50" s="40" t="n"/>
      <c r="FN50" s="40" t="n"/>
      <c r="FO50" s="40" t="n"/>
      <c r="FP50" s="40" t="n"/>
      <c r="FQ50" s="40" t="n"/>
      <c r="FR50" s="40" t="n"/>
      <c r="FS50" s="40" t="n"/>
      <c r="FT50" s="40" t="n"/>
      <c r="FU50" s="40" t="n"/>
      <c r="FV50" s="40" t="n"/>
      <c r="FW50" s="219" t="n"/>
      <c r="FX50" s="40" t="n"/>
      <c r="FY50" s="219" t="n"/>
      <c r="FZ50" s="40" t="n"/>
      <c r="GA50" s="40" t="n"/>
      <c r="GB50" s="40" t="n"/>
      <c r="GC50" s="40" t="n"/>
      <c r="GD50" s="40" t="n"/>
      <c r="GE50" s="40" t="n"/>
      <c r="GF50" s="40" t="n"/>
      <c r="GG50" s="40" t="n"/>
      <c r="GH50" s="40" t="n"/>
      <c r="GI50" s="40" t="n"/>
      <c r="GJ50" s="40" t="n"/>
      <c r="GK50" s="40" t="n"/>
      <c r="GL50" s="40" t="n"/>
      <c r="GM50" s="40" t="n"/>
      <c r="GN50" s="40" t="n"/>
    </row>
    <row r="51" ht="18.75" customHeight="1">
      <c r="A51" s="37" t="inlineStr">
        <is>
          <t>KIT CAIXA M OUI</t>
        </is>
      </c>
      <c r="B51" s="32" t="n">
        <v>100</v>
      </c>
      <c r="C51" s="773" t="n">
        <v>652.05</v>
      </c>
      <c r="D51" s="382" t="n">
        <v>10</v>
      </c>
      <c r="E51" s="573" t="n"/>
      <c r="F51" s="32" t="n">
        <v>13</v>
      </c>
      <c r="G51" s="32" t="n">
        <v>13</v>
      </c>
      <c r="H51" s="32" t="n">
        <v>13</v>
      </c>
      <c r="I51" s="32" t="n">
        <v>13</v>
      </c>
      <c r="J51" s="32" t="n">
        <v>13</v>
      </c>
      <c r="K51" s="32" t="n">
        <v>12</v>
      </c>
      <c r="L51" s="32" t="n">
        <v>12</v>
      </c>
      <c r="M51" s="32" t="n">
        <v>12</v>
      </c>
      <c r="N51" s="32" t="n">
        <v>12</v>
      </c>
      <c r="O51" s="32">
        <f>0+10</f>
        <v/>
      </c>
      <c r="P51" s="32" t="n">
        <v>10</v>
      </c>
      <c r="Q51" s="32">
        <f>0+10</f>
        <v/>
      </c>
      <c r="R51" s="32" t="n">
        <v>7</v>
      </c>
      <c r="S51" s="32">
        <f>4+50</f>
        <v/>
      </c>
      <c r="T51" s="32" t="n">
        <v>51</v>
      </c>
      <c r="U51" s="32" t="n">
        <v>43</v>
      </c>
      <c r="V51" s="32" t="n">
        <v>40</v>
      </c>
      <c r="W51" s="32" t="n">
        <v>31</v>
      </c>
      <c r="X51" s="32" t="n">
        <v>26</v>
      </c>
      <c r="Y51" s="32" t="n">
        <v>22</v>
      </c>
      <c r="Z51" s="32" t="n">
        <v>18</v>
      </c>
      <c r="AA51" s="32" t="n">
        <v>15</v>
      </c>
      <c r="AB51" s="32" t="n">
        <v>13</v>
      </c>
      <c r="AC51" s="32" t="n">
        <v>12</v>
      </c>
      <c r="AD51" s="32" t="n">
        <v>11</v>
      </c>
      <c r="AE51" s="32">
        <f>11-5</f>
        <v/>
      </c>
      <c r="AF51" s="32" t="n">
        <v>7</v>
      </c>
      <c r="AG51" s="32" t="n">
        <v>7</v>
      </c>
      <c r="AH51" s="32" t="n">
        <v>6</v>
      </c>
      <c r="AI51" s="32">
        <f>3+10</f>
        <v/>
      </c>
      <c r="AJ51" s="32" t="n">
        <v>13</v>
      </c>
      <c r="AK51" s="32" t="n">
        <v>13</v>
      </c>
      <c r="AL51" s="32" t="n">
        <v>12</v>
      </c>
      <c r="AM51" s="32" t="n">
        <v>12</v>
      </c>
      <c r="AN51" s="32" t="n">
        <v>10</v>
      </c>
      <c r="AO51" s="32" t="n">
        <v>10</v>
      </c>
      <c r="AP51" s="32">
        <f>9+10</f>
        <v/>
      </c>
      <c r="AQ51" s="32" t="n">
        <v>18</v>
      </c>
      <c r="AR51" s="32" t="n">
        <v>18</v>
      </c>
      <c r="AS51" s="32" t="n">
        <v>15</v>
      </c>
      <c r="AT51" s="439" t="n">
        <v>40</v>
      </c>
      <c r="AU51" s="32" t="n">
        <v>39</v>
      </c>
      <c r="AV51" s="32" t="n">
        <v>35</v>
      </c>
      <c r="AW51" s="32" t="n">
        <v>33</v>
      </c>
      <c r="AX51" s="32" t="n">
        <v>30</v>
      </c>
      <c r="AY51" s="32" t="n">
        <v>27</v>
      </c>
      <c r="AZ51" s="32" t="n">
        <v>26</v>
      </c>
      <c r="BA51" s="32" t="n">
        <v>22</v>
      </c>
      <c r="BB51" s="32" t="n">
        <v>18</v>
      </c>
      <c r="BC51" s="32" t="n">
        <v>10</v>
      </c>
      <c r="BD51" s="32" t="n">
        <v>2</v>
      </c>
      <c r="BE51" s="32" t="n">
        <v>2</v>
      </c>
      <c r="BF51" s="32" t="n">
        <v>2</v>
      </c>
      <c r="BG51" s="32" t="n">
        <v>2</v>
      </c>
      <c r="BH51" s="32" t="n">
        <v>2</v>
      </c>
      <c r="BI51" s="32" t="n">
        <v>0</v>
      </c>
      <c r="BJ51" s="32">
        <f>0+CU51</f>
        <v/>
      </c>
      <c r="BK51" s="32" t="n">
        <v>100</v>
      </c>
      <c r="BL51" s="32" t="n">
        <v>100</v>
      </c>
      <c r="BM51" s="32" t="n">
        <v>99</v>
      </c>
      <c r="BN51" s="32" t="n">
        <v>99</v>
      </c>
      <c r="BO51" s="32" t="n">
        <v>97</v>
      </c>
      <c r="BP51" s="32" t="n">
        <v>97</v>
      </c>
      <c r="BQ51" s="32" t="n">
        <v>97</v>
      </c>
      <c r="BR51" s="32" t="n">
        <v>97</v>
      </c>
      <c r="BS51" s="32" t="n"/>
      <c r="BT51" s="32" t="n"/>
      <c r="BU51" s="32" t="n"/>
      <c r="BV51" s="32" t="n"/>
      <c r="BW51" s="32" t="n"/>
      <c r="BX51" s="32" t="n">
        <v>87</v>
      </c>
      <c r="BY51" s="192">
        <f>BW51+IF(NOT(ISBLANK(OFFSET(BY51,0,6))),N(OFFSET(BY51,0,6)),N(OFFSET(BY51,0,7)))-BX51</f>
        <v/>
      </c>
      <c r="CA51" s="22" t="inlineStr">
        <is>
          <t>50 P/ CDB</t>
        </is>
      </c>
      <c r="CB51" s="22" t="n"/>
      <c r="CD51" s="27" t="n"/>
      <c r="CE51" s="573" t="n"/>
      <c r="CF51" s="40" t="n">
        <v>0</v>
      </c>
      <c r="CG51" s="40" t="n">
        <v>0</v>
      </c>
      <c r="CH51" s="40" t="n">
        <v>0</v>
      </c>
      <c r="CI51" s="40" t="n"/>
      <c r="CJ51" s="40" t="n"/>
      <c r="CK51" s="40" t="n"/>
      <c r="CL51" s="40" t="n"/>
      <c r="CM51" s="40" t="n"/>
      <c r="CN51" s="40" t="n"/>
      <c r="CO51" s="40" t="n"/>
      <c r="CP51" s="40" t="n"/>
      <c r="CQ51" s="40" t="n"/>
      <c r="CR51" s="40" t="n"/>
      <c r="CS51" s="40" t="n"/>
      <c r="CT51" s="40" t="n"/>
      <c r="CU51" s="40" t="n">
        <v>100</v>
      </c>
      <c r="CV51" s="40" t="n"/>
      <c r="CW51" s="40" t="n"/>
      <c r="CX51" s="40" t="n"/>
      <c r="CY51" s="40" t="n"/>
      <c r="CZ51" s="40" t="n"/>
      <c r="DA51" s="40" t="n"/>
      <c r="DB51" s="40" t="n"/>
      <c r="DC51" s="40" t="n"/>
      <c r="DD51" s="40" t="n"/>
      <c r="DE51" s="40" t="n"/>
      <c r="DF51" s="40" t="n"/>
      <c r="DG51" s="40" t="n"/>
      <c r="DH51" s="40" t="n"/>
      <c r="DI51" s="40" t="n"/>
      <c r="DJ51" s="40" t="n"/>
      <c r="DK51" s="219" t="n"/>
      <c r="DL51" s="40" t="n"/>
      <c r="DM51" s="40" t="n"/>
      <c r="DN51" s="40" t="n"/>
      <c r="DO51" s="40" t="n"/>
      <c r="DP51" s="40" t="n"/>
      <c r="DQ51" s="40" t="n"/>
      <c r="DR51" s="40" t="n"/>
      <c r="DS51" s="40" t="n"/>
      <c r="DT51" s="40" t="n"/>
      <c r="DU51" s="40" t="n"/>
      <c r="DV51" s="40" t="n"/>
      <c r="DW51" s="40" t="n"/>
      <c r="DX51" s="40" t="n"/>
      <c r="DY51" s="40" t="n"/>
      <c r="DZ51" s="40" t="n"/>
      <c r="EA51" s="40" t="n"/>
      <c r="EB51" s="192" t="inlineStr">
        <is>
          <t>10 DE CD</t>
        </is>
      </c>
      <c r="EC51" s="40" t="n"/>
      <c r="ED51" s="40" t="n"/>
      <c r="EE51" s="40" t="n"/>
      <c r="EF51" s="40" t="n"/>
      <c r="EG51" s="40" t="n"/>
      <c r="EH51" s="40" t="n"/>
      <c r="EI51" s="40" t="n"/>
      <c r="EJ51" s="40" t="n"/>
      <c r="EK51" s="40" t="n"/>
      <c r="EL51" s="40" t="n"/>
      <c r="EM51" s="40" t="n"/>
      <c r="EN51" s="40" t="n"/>
      <c r="EO51" s="40" t="n"/>
      <c r="EP51" s="40" t="n"/>
      <c r="EQ51" s="282" t="inlineStr">
        <is>
          <t>10 DE CD</t>
        </is>
      </c>
      <c r="ER51" s="40" t="n"/>
      <c r="ES51" s="40" t="n"/>
      <c r="ET51" s="40" t="n"/>
      <c r="EU51" s="40" t="n"/>
      <c r="EV51" s="40" t="n"/>
      <c r="EW51" s="282" t="inlineStr">
        <is>
          <t>05 P/ CDB</t>
        </is>
      </c>
      <c r="EX51" s="40" t="n"/>
      <c r="EY51" s="40" t="n"/>
      <c r="EZ51" s="40" t="n"/>
      <c r="FA51" s="40" t="n"/>
      <c r="FB51" s="40" t="n"/>
      <c r="FC51" s="40" t="n"/>
      <c r="FD51" s="40" t="n"/>
      <c r="FE51" s="40" t="n"/>
      <c r="FF51" s="40" t="n"/>
      <c r="FG51" s="40" t="n"/>
      <c r="FH51" s="23" t="n"/>
      <c r="FI51" s="219" t="n"/>
      <c r="FJ51" s="40" t="n"/>
      <c r="FK51" s="40" t="n"/>
      <c r="FL51" s="40" t="n"/>
      <c r="FM51" s="40" t="n"/>
      <c r="FN51" s="40" t="n"/>
      <c r="FO51" s="40" t="n"/>
      <c r="FP51" s="40" t="n"/>
      <c r="FQ51" s="40" t="n"/>
      <c r="FR51" s="40" t="n"/>
      <c r="FS51" s="40" t="n"/>
      <c r="FT51" s="40" t="n"/>
      <c r="FU51" s="282" t="inlineStr">
        <is>
          <t>50 DE CD</t>
        </is>
      </c>
      <c r="FV51" s="40" t="n"/>
      <c r="FW51" s="219" t="n"/>
      <c r="FX51" s="40" t="n"/>
      <c r="FY51" s="219" t="n"/>
      <c r="FZ51" s="282" t="inlineStr">
        <is>
          <t>10 DE CD</t>
        </is>
      </c>
      <c r="GA51" s="40" t="n"/>
      <c r="GB51" s="40" t="n"/>
      <c r="GC51" s="40" t="n"/>
      <c r="GD51" s="40" t="n"/>
      <c r="GE51" s="40" t="n"/>
      <c r="GF51" s="40" t="n"/>
      <c r="GG51" s="40" t="n"/>
      <c r="GH51" s="40" t="n"/>
      <c r="GI51" s="40" t="n"/>
      <c r="GJ51" s="40" t="n"/>
      <c r="GK51" s="40" t="n"/>
      <c r="GL51" s="40" t="n"/>
      <c r="GM51" s="40" t="n"/>
      <c r="GN51" s="40" t="n"/>
    </row>
    <row r="52">
      <c r="A52" s="37" t="inlineStr">
        <is>
          <t>KIT CAIXA G OUI</t>
        </is>
      </c>
      <c r="B52" s="32" t="n">
        <v>50</v>
      </c>
      <c r="C52" s="773" t="n">
        <v>567.53</v>
      </c>
      <c r="D52" s="382" t="n">
        <v>5</v>
      </c>
      <c r="E52" s="573" t="n"/>
      <c r="F52" s="32" t="n">
        <v>23</v>
      </c>
      <c r="G52" s="32" t="n">
        <v>23</v>
      </c>
      <c r="H52" s="32" t="n">
        <v>23</v>
      </c>
      <c r="I52" s="32" t="n">
        <v>23</v>
      </c>
      <c r="J52" s="32" t="n">
        <v>23</v>
      </c>
      <c r="K52" s="32" t="n">
        <v>23</v>
      </c>
      <c r="L52" s="32" t="n">
        <v>23</v>
      </c>
      <c r="M52" s="32" t="n">
        <v>14</v>
      </c>
      <c r="N52" s="32" t="n">
        <v>14</v>
      </c>
      <c r="O52" s="32" t="n">
        <v>13</v>
      </c>
      <c r="P52" s="32" t="n">
        <v>13</v>
      </c>
      <c r="Q52" s="32" t="n">
        <v>13</v>
      </c>
      <c r="R52" s="32" t="n">
        <v>13</v>
      </c>
      <c r="S52" s="32" t="n">
        <v>13</v>
      </c>
      <c r="T52" s="32" t="n">
        <v>13</v>
      </c>
      <c r="U52" s="32" t="n">
        <v>13</v>
      </c>
      <c r="V52" s="32" t="n">
        <v>23</v>
      </c>
      <c r="W52" s="32" t="n">
        <v>23</v>
      </c>
      <c r="X52" s="32" t="n">
        <v>23</v>
      </c>
      <c r="Y52" s="32" t="n">
        <v>23</v>
      </c>
      <c r="Z52" s="32" t="n">
        <v>23</v>
      </c>
      <c r="AA52" s="32" t="n">
        <v>23</v>
      </c>
      <c r="AB52" s="32" t="n">
        <v>23</v>
      </c>
      <c r="AC52" s="32" t="n">
        <v>23</v>
      </c>
      <c r="AD52" s="32" t="n">
        <v>23</v>
      </c>
      <c r="AE52" s="32">
        <f>23+30</f>
        <v/>
      </c>
      <c r="AF52" s="32" t="n">
        <v>53</v>
      </c>
      <c r="AG52" s="32" t="n">
        <v>53</v>
      </c>
      <c r="AH52" s="32" t="n">
        <v>53</v>
      </c>
      <c r="AI52" s="32" t="n">
        <v>53</v>
      </c>
      <c r="AJ52" s="32" t="n">
        <v>53</v>
      </c>
      <c r="AK52" s="32" t="n">
        <v>53</v>
      </c>
      <c r="AL52" s="32" t="n">
        <v>52</v>
      </c>
      <c r="AM52" s="32" t="n">
        <v>52</v>
      </c>
      <c r="AN52" s="32" t="n">
        <v>52</v>
      </c>
      <c r="AO52" s="32" t="n">
        <v>52</v>
      </c>
      <c r="AP52" s="32" t="n">
        <v>52</v>
      </c>
      <c r="AQ52" s="32" t="n">
        <v>52</v>
      </c>
      <c r="AR52" s="32" t="n">
        <v>52</v>
      </c>
      <c r="AS52" s="32" t="n">
        <v>52</v>
      </c>
      <c r="AT52" s="32" t="n">
        <v>51</v>
      </c>
      <c r="AU52" s="32" t="n">
        <v>51</v>
      </c>
      <c r="AV52" s="32" t="n">
        <v>51</v>
      </c>
      <c r="AW52" s="32" t="n">
        <v>51</v>
      </c>
      <c r="AX52" s="32" t="n">
        <v>51</v>
      </c>
      <c r="AY52" s="32" t="n">
        <v>51</v>
      </c>
      <c r="AZ52" s="32" t="n">
        <v>50</v>
      </c>
      <c r="BA52" s="32" t="n">
        <v>50</v>
      </c>
      <c r="BB52" s="32" t="n">
        <v>49</v>
      </c>
      <c r="BC52" s="32" t="n">
        <v>49</v>
      </c>
      <c r="BD52" s="32" t="n">
        <v>49</v>
      </c>
      <c r="BE52" s="32" t="n">
        <v>48</v>
      </c>
      <c r="BF52" s="32" t="n">
        <v>48</v>
      </c>
      <c r="BG52" s="32" t="n">
        <v>48</v>
      </c>
      <c r="BH52" s="32" t="n">
        <v>48</v>
      </c>
      <c r="BI52" s="32" t="n">
        <v>42</v>
      </c>
      <c r="BJ52" s="32" t="n">
        <v>42</v>
      </c>
      <c r="BK52" s="32" t="n">
        <v>42</v>
      </c>
      <c r="BL52" s="32" t="n">
        <v>42</v>
      </c>
      <c r="BM52" s="32" t="n">
        <v>42</v>
      </c>
      <c r="BN52" s="32" t="n">
        <v>42</v>
      </c>
      <c r="BO52" s="32" t="n">
        <v>42</v>
      </c>
      <c r="BP52" s="32" t="n">
        <v>42</v>
      </c>
      <c r="BQ52" s="32" t="n">
        <v>42</v>
      </c>
      <c r="BR52" s="32" t="n">
        <v>42</v>
      </c>
      <c r="BS52" s="32" t="n"/>
      <c r="BT52" s="32" t="n"/>
      <c r="BU52" s="32" t="n"/>
      <c r="BV52" s="32" t="n"/>
      <c r="BW52" s="32" t="n"/>
      <c r="BX52" s="32" t="n">
        <v>41</v>
      </c>
      <c r="BY52" s="192">
        <f>BW52+IF(NOT(ISBLANK(OFFSET(BY52,0,6))),N(OFFSET(BY52,0,6)),N(OFFSET(BY52,0,7)))-BX52</f>
        <v/>
      </c>
      <c r="BZ52" s="5" t="n"/>
      <c r="CA52" s="22" t="n"/>
      <c r="CB52" s="22" t="n"/>
      <c r="CC52" s="5" t="n"/>
      <c r="CD52" s="73" t="n"/>
      <c r="CE52" s="573" t="n"/>
      <c r="CF52" s="40" t="n">
        <v>0</v>
      </c>
      <c r="CG52" s="40" t="n">
        <v>0</v>
      </c>
      <c r="CH52" s="40" t="n">
        <v>0</v>
      </c>
      <c r="CI52" s="40" t="n"/>
      <c r="CJ52" s="40" t="n"/>
      <c r="CK52" s="40" t="n"/>
      <c r="CL52" s="40" t="n"/>
      <c r="CM52" s="40" t="n"/>
      <c r="CN52" s="40" t="n"/>
      <c r="CO52" s="40" t="n"/>
      <c r="CP52" s="40" t="n"/>
      <c r="CQ52" s="40" t="n"/>
      <c r="CR52" s="40" t="n"/>
      <c r="CS52" s="40" t="n"/>
      <c r="CT52" s="40" t="n"/>
      <c r="CU52" s="40" t="n"/>
      <c r="CV52" s="40" t="n"/>
      <c r="CW52" s="40" t="n"/>
      <c r="CX52" s="40" t="n"/>
      <c r="CY52" s="40" t="n"/>
      <c r="CZ52" s="40" t="n"/>
      <c r="DA52" s="40" t="n"/>
      <c r="DB52" s="40" t="n"/>
      <c r="DC52" s="40" t="n"/>
      <c r="DD52" s="40" t="n"/>
      <c r="DE52" s="40" t="n"/>
      <c r="DF52" s="40" t="n"/>
      <c r="DG52" s="40" t="n"/>
      <c r="DH52" s="40" t="n"/>
      <c r="DI52" s="40" t="n"/>
      <c r="DJ52" s="40" t="n"/>
      <c r="DK52" s="219" t="n"/>
      <c r="DL52" s="40" t="n"/>
      <c r="DM52" s="40" t="n"/>
      <c r="DN52" s="40" t="n"/>
      <c r="DO52" s="40" t="n"/>
      <c r="DP52" s="40" t="n"/>
      <c r="DQ52" s="40" t="n"/>
      <c r="DR52" s="40" t="n"/>
      <c r="DS52" s="40" t="n"/>
      <c r="DT52" s="40" t="n"/>
      <c r="DU52" s="40" t="n"/>
      <c r="DV52" s="40" t="n"/>
      <c r="DW52" s="40" t="n"/>
      <c r="DX52" s="40" t="n"/>
      <c r="DY52" s="40" t="n"/>
      <c r="DZ52" s="40" t="n"/>
      <c r="EA52" s="40" t="n"/>
      <c r="EB52" s="40" t="n"/>
      <c r="EC52" s="40" t="n"/>
      <c r="ED52" s="40" t="n"/>
      <c r="EE52" s="40" t="n"/>
      <c r="EF52" s="40" t="n"/>
      <c r="EG52" s="40" t="n"/>
      <c r="EH52" s="40" t="n"/>
      <c r="EI52" s="40" t="n"/>
      <c r="EJ52" s="40" t="n"/>
      <c r="EK52" s="40" t="n"/>
      <c r="EL52" s="40" t="n"/>
      <c r="EM52" s="40" t="n"/>
      <c r="EN52" s="40" t="n"/>
      <c r="EO52" s="40" t="n"/>
      <c r="EP52" s="40" t="n"/>
      <c r="EQ52" s="40" t="n"/>
      <c r="ER52" s="40" t="n"/>
      <c r="ES52" s="40" t="n"/>
      <c r="ET52" s="40" t="n"/>
      <c r="EU52" s="40" t="n"/>
      <c r="EV52" s="40" t="n"/>
      <c r="EW52" s="282" t="inlineStr">
        <is>
          <t>30 DE CDB</t>
        </is>
      </c>
      <c r="EX52" s="40" t="n"/>
      <c r="EY52" s="40" t="n"/>
      <c r="EZ52" s="40" t="n"/>
      <c r="FA52" s="40" t="n"/>
      <c r="FB52" s="40" t="n"/>
      <c r="FC52" s="40" t="n"/>
      <c r="FD52" s="40" t="n"/>
      <c r="FE52" s="40" t="n"/>
      <c r="FF52" s="40" t="n"/>
      <c r="FG52" s="40" t="n"/>
      <c r="FH52" s="23" t="n"/>
      <c r="FI52" s="219" t="n"/>
      <c r="FJ52" s="40" t="n"/>
      <c r="FK52" s="40" t="n"/>
      <c r="FL52" s="40" t="n"/>
      <c r="FM52" s="40" t="n"/>
      <c r="FN52" s="40" t="n"/>
      <c r="FO52" s="40" t="n"/>
      <c r="FP52" s="40" t="n"/>
      <c r="FQ52" s="40" t="n"/>
      <c r="FR52" s="40" t="n"/>
      <c r="FS52" s="40" t="n"/>
      <c r="FT52" s="40" t="n"/>
      <c r="FU52" s="40" t="n"/>
      <c r="FV52" s="40" t="n"/>
      <c r="FW52" s="219" t="n"/>
      <c r="FX52" s="40" t="n"/>
      <c r="FY52" s="219" t="n"/>
      <c r="FZ52" s="40" t="n"/>
      <c r="GA52" s="40" t="n"/>
      <c r="GB52" s="40" t="n"/>
      <c r="GC52" s="40" t="n"/>
      <c r="GD52" s="40" t="n"/>
      <c r="GE52" s="40" t="n"/>
      <c r="GF52" s="40" t="n"/>
      <c r="GG52" s="40" t="n"/>
      <c r="GH52" s="40" t="n"/>
      <c r="GI52" s="40" t="n"/>
      <c r="GJ52" s="40" t="n"/>
      <c r="GK52" s="40" t="n"/>
      <c r="GL52" s="40" t="n"/>
      <c r="GM52" s="40" t="n"/>
      <c r="GN52" s="40" t="n"/>
      <c r="GO52" s="5" t="n"/>
      <c r="GP52" s="5" t="n"/>
      <c r="GQ52" s="5" t="n"/>
      <c r="GR52" s="5" t="n"/>
      <c r="GS52" s="5" t="n"/>
      <c r="GT52" s="5" t="n"/>
      <c r="GU52" s="5" t="n"/>
      <c r="GV52" s="5" t="n"/>
      <c r="GW52" s="5" t="n"/>
      <c r="GX52" s="5" t="n"/>
      <c r="GY52" s="5" t="n"/>
      <c r="GZ52" s="5" t="n"/>
      <c r="HA52" s="5" t="n"/>
      <c r="HB52" s="5" t="n"/>
      <c r="HC52" s="5" t="n"/>
      <c r="HD52" s="5" t="n"/>
      <c r="HE52" s="5" t="n"/>
      <c r="HF52" s="5" t="n"/>
      <c r="HG52" s="5" t="n"/>
      <c r="HH52" s="5" t="n"/>
      <c r="HI52" s="5" t="n"/>
      <c r="HK52" s="5" t="n"/>
      <c r="HL52" s="5" t="n"/>
      <c r="HM52" s="5" t="n"/>
      <c r="HN52" s="5" t="n"/>
      <c r="HO52" s="5" t="n"/>
      <c r="HP52" s="5" t="n"/>
      <c r="HQ52" s="5" t="n"/>
      <c r="HR52" s="5" t="n"/>
      <c r="HS52" s="5" t="n"/>
      <c r="HT52" s="5" t="n"/>
      <c r="HV52" s="5" t="n"/>
      <c r="HW52" s="5" t="n"/>
      <c r="HX52" s="5" t="n"/>
      <c r="HY52" s="5" t="n"/>
      <c r="HZ52" s="5" t="n"/>
      <c r="IA52" s="5" t="n"/>
      <c r="IB52" s="5" t="n"/>
      <c r="IC52" s="5" t="n"/>
      <c r="ID52" s="5" t="n"/>
      <c r="IE52" s="5" t="n"/>
      <c r="IF52" s="5" t="n"/>
      <c r="IH52" s="5" t="n"/>
      <c r="II52" s="5" t="n"/>
      <c r="IJ52" s="5" t="n"/>
      <c r="IK52" s="5" t="n"/>
      <c r="IL52" s="5" t="n"/>
      <c r="IM52" s="5" t="n"/>
    </row>
    <row r="53">
      <c r="B53" s="573" t="n"/>
      <c r="C53" s="573" t="n"/>
      <c r="D53" s="573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CA53" s="5" t="n"/>
      <c r="CB53" s="5" t="n"/>
      <c r="CD53" s="5" t="n"/>
      <c r="CF53" s="5" t="n"/>
      <c r="CG53" s="5" t="n"/>
      <c r="CH53" s="5" t="n"/>
      <c r="CI53" s="5" t="n"/>
      <c r="CJ53" s="5" t="n"/>
      <c r="CK53" s="5" t="n"/>
      <c r="CL53" s="5" t="n"/>
      <c r="CM53" s="5" t="n"/>
      <c r="CN53" s="5" t="n"/>
      <c r="CO53" s="5" t="n"/>
      <c r="CP53" s="5" t="n"/>
      <c r="CQ53" s="5" t="n"/>
      <c r="CR53" s="5" t="n"/>
      <c r="CS53" s="5" t="n"/>
      <c r="CT53" s="5" t="n"/>
      <c r="CU53" s="5" t="n"/>
      <c r="CV53" s="5" t="n"/>
      <c r="CW53" s="5" t="n"/>
      <c r="CX53" s="5" t="n"/>
      <c r="CY53" s="5" t="n"/>
      <c r="CZ53" s="5" t="n"/>
      <c r="DA53" s="5" t="n"/>
      <c r="DB53" s="5" t="n"/>
      <c r="DC53" s="5" t="n"/>
      <c r="DD53" s="5" t="n"/>
      <c r="DE53" s="5" t="n"/>
      <c r="DF53" s="5" t="n"/>
      <c r="DG53" s="5" t="n"/>
      <c r="DH53" s="5" t="n"/>
      <c r="DI53" s="5" t="n"/>
      <c r="DJ53" s="5" t="n"/>
      <c r="DK53" s="306" t="n"/>
      <c r="DL53" s="5" t="n"/>
      <c r="DM53" s="5" t="n"/>
      <c r="DN53" s="5" t="n"/>
      <c r="DO53" s="5" t="n"/>
      <c r="DP53" s="5" t="n"/>
      <c r="DQ53" s="5" t="n"/>
      <c r="DR53" s="5" t="n"/>
      <c r="DS53" s="5" t="n"/>
      <c r="DT53" s="5" t="n"/>
      <c r="DU53" s="5" t="n"/>
      <c r="DV53" s="5" t="n"/>
      <c r="DW53" s="5" t="n"/>
      <c r="DX53" s="5" t="n"/>
      <c r="DY53" s="5" t="n"/>
      <c r="DZ53" s="5" t="n"/>
      <c r="EA53" s="5" t="n"/>
      <c r="EB53" s="5" t="n"/>
      <c r="EC53" s="5" t="n"/>
      <c r="ED53" s="5" t="n"/>
      <c r="EE53" s="5" t="n"/>
      <c r="EF53" s="5" t="n"/>
      <c r="EG53" s="5" t="n"/>
      <c r="EH53" s="5" t="n"/>
      <c r="EI53" s="5" t="n"/>
      <c r="EJ53" s="5" t="n"/>
      <c r="EK53" s="5" t="n"/>
      <c r="EL53" s="5" t="n"/>
      <c r="EM53" s="5" t="n"/>
      <c r="EN53" s="5" t="n"/>
      <c r="EO53" s="5" t="n"/>
      <c r="EP53" s="5" t="n"/>
      <c r="EQ53" s="5" t="n"/>
      <c r="ER53" s="5" t="n"/>
      <c r="ES53" s="5" t="n"/>
      <c r="ET53" s="5" t="n"/>
      <c r="EU53" s="5" t="n"/>
      <c r="EV53" s="5" t="n"/>
      <c r="EW53" s="5" t="n"/>
      <c r="EX53" s="5" t="n"/>
      <c r="EY53" s="5" t="n"/>
      <c r="EZ53" s="5" t="n"/>
      <c r="FA53" s="5" t="n"/>
      <c r="FB53" s="5" t="n"/>
      <c r="FC53" s="5" t="n"/>
      <c r="FD53" s="5" t="n"/>
      <c r="FE53" s="5" t="n"/>
      <c r="FF53" s="5" t="n"/>
      <c r="FG53" s="5" t="n"/>
      <c r="FH53" s="749" t="n"/>
      <c r="FI53" s="5" t="n"/>
      <c r="FJ53" s="5" t="n"/>
      <c r="FK53" s="5" t="n"/>
      <c r="FL53" s="5" t="n"/>
      <c r="FM53" s="5" t="n"/>
      <c r="FN53" s="5" t="n"/>
      <c r="FO53" s="5" t="n"/>
      <c r="FP53" s="5" t="n"/>
      <c r="FQ53" s="5" t="n"/>
      <c r="FR53" s="5" t="n"/>
      <c r="FS53" s="5" t="n"/>
      <c r="FT53" s="5" t="n"/>
      <c r="FU53" s="5" t="n"/>
      <c r="FV53" s="5" t="n"/>
      <c r="FX53" s="5" t="n"/>
      <c r="FZ53" s="5" t="n"/>
      <c r="GA53" s="5" t="n"/>
      <c r="GB53" s="5" t="n"/>
      <c r="GC53" s="5" t="n"/>
      <c r="GD53" s="5" t="n"/>
      <c r="GE53" s="5" t="n"/>
      <c r="GF53" s="5" t="n"/>
      <c r="GG53" s="5" t="n"/>
      <c r="GH53" s="5" t="n"/>
      <c r="GI53" s="5" t="n"/>
      <c r="GJ53" s="5" t="n"/>
      <c r="GK53" s="5" t="n"/>
      <c r="GL53" s="5" t="n"/>
      <c r="GM53" s="5" t="n"/>
      <c r="GN53" s="5" t="n"/>
    </row>
    <row r="54" ht="20.25" customHeight="1">
      <c r="A54" s="167" t="inlineStr">
        <is>
          <t>SACOLAS  / CAIXAS QDB</t>
        </is>
      </c>
      <c r="B54" s="168" t="inlineStr">
        <is>
          <t>PC</t>
        </is>
      </c>
      <c r="C54" s="168" t="inlineStr">
        <is>
          <t>R$</t>
        </is>
      </c>
      <c r="D54" s="168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45915</v>
      </c>
      <c r="AQ54" s="746" t="n">
        <v>45922</v>
      </c>
      <c r="AR54" s="746" t="n">
        <v>45929</v>
      </c>
      <c r="AS54" s="746" t="n">
        <v>45936</v>
      </c>
      <c r="AT54" s="746" t="n">
        <v>45943</v>
      </c>
      <c r="AU54" s="746" t="n">
        <v>45950</v>
      </c>
      <c r="AV54" s="746" t="n">
        <v>45957</v>
      </c>
      <c r="AW54" s="746" t="n">
        <v>45964</v>
      </c>
      <c r="AX54" s="746" t="n">
        <v>45971</v>
      </c>
      <c r="AY54" s="746" t="n">
        <v>45978</v>
      </c>
      <c r="AZ54" s="746" t="n">
        <v>45985</v>
      </c>
      <c r="BA54" s="746" t="n">
        <v>45992</v>
      </c>
      <c r="BB54" s="746" t="n">
        <v>45999</v>
      </c>
      <c r="BC54" s="746" t="n">
        <v>46006</v>
      </c>
      <c r="BD54" s="746" t="n">
        <v>46013</v>
      </c>
      <c r="BE54" s="746" t="n">
        <v>46020</v>
      </c>
      <c r="BF54" s="746" t="n">
        <v>46027</v>
      </c>
      <c r="BG54" s="746" t="n">
        <v>46034</v>
      </c>
      <c r="BH54" s="746" t="n">
        <v>46041</v>
      </c>
      <c r="BI54" s="746" t="n">
        <v>46048</v>
      </c>
      <c r="BJ54" s="746" t="n">
        <v>46055</v>
      </c>
      <c r="BK54" s="746" t="n">
        <v>46062</v>
      </c>
      <c r="BL54" s="746" t="n">
        <v>46069</v>
      </c>
      <c r="BM54" s="746" t="n">
        <v>46076</v>
      </c>
      <c r="BN54" s="746" t="n">
        <v>46083</v>
      </c>
      <c r="BO54" s="746" t="n">
        <v>46090</v>
      </c>
      <c r="BP54" s="746" t="n">
        <v>46097</v>
      </c>
      <c r="BQ54" s="746" t="n">
        <v>46104</v>
      </c>
      <c r="BR54" s="746" t="n">
        <v>46111</v>
      </c>
      <c r="BS54" s="746" t="n">
        <v>46118</v>
      </c>
      <c r="BT54" s="746" t="n">
        <v>46125</v>
      </c>
      <c r="BU54" s="746" t="n">
        <v>46132</v>
      </c>
      <c r="BV54" s="746" t="n">
        <v>46139</v>
      </c>
      <c r="BW54" s="746" t="n">
        <v>46146</v>
      </c>
      <c r="BX54" s="746" t="n">
        <v>46154</v>
      </c>
      <c r="BY54" s="748" t="inlineStr">
        <is>
          <t>USOU</t>
        </is>
      </c>
      <c r="CA54" s="44" t="inlineStr">
        <is>
          <t>Pendências</t>
        </is>
      </c>
      <c r="CB54" s="44" t="inlineStr">
        <is>
          <t>Pendências</t>
        </is>
      </c>
      <c r="CD54" s="12" t="inlineStr">
        <is>
          <t>Novo Pedido</t>
        </is>
      </c>
      <c r="CF54" s="794" t="n">
        <v>46149</v>
      </c>
      <c r="CG54" s="794" t="n">
        <v>46142</v>
      </c>
      <c r="CH54" s="794" t="n">
        <v>46114</v>
      </c>
      <c r="CI54" s="794" t="n">
        <v>46107</v>
      </c>
      <c r="CJ54" s="795" t="n">
        <v>46065</v>
      </c>
      <c r="CK54" s="794" t="n">
        <v>46099</v>
      </c>
      <c r="CL54" s="794" t="n">
        <v>46092</v>
      </c>
      <c r="CM54" s="796" t="n">
        <v>46045</v>
      </c>
      <c r="CN54" s="794" t="n">
        <v>46084</v>
      </c>
      <c r="CO54" s="797" t="n">
        <v>46085</v>
      </c>
      <c r="CP54" s="794" t="n">
        <v>46077</v>
      </c>
      <c r="CQ54" s="794" t="n">
        <v>46071</v>
      </c>
      <c r="CR54" s="794" t="n">
        <v>46056</v>
      </c>
      <c r="CS54" s="794" t="n">
        <v>46048</v>
      </c>
      <c r="CT54" s="794" t="n">
        <v>46056</v>
      </c>
      <c r="CU54" s="794" t="n">
        <v>46048</v>
      </c>
      <c r="CV54" s="794" t="n">
        <v>46043</v>
      </c>
      <c r="CW54" s="794" t="n">
        <v>46035</v>
      </c>
      <c r="CX54" s="794" t="n">
        <v>46043</v>
      </c>
      <c r="CY54" s="794" t="n">
        <v>46035</v>
      </c>
      <c r="CZ54" s="794" t="n">
        <v>46035</v>
      </c>
      <c r="DA54" s="794" t="n">
        <v>46029</v>
      </c>
      <c r="DB54" s="794" t="n">
        <v>46017</v>
      </c>
      <c r="DC54" s="794" t="n">
        <v>46007</v>
      </c>
      <c r="DD54" s="794" t="n">
        <v>46007</v>
      </c>
      <c r="DE54" s="794" t="n">
        <v>46001</v>
      </c>
      <c r="DF54" s="794" t="n">
        <v>46001</v>
      </c>
      <c r="DG54" s="794" t="n">
        <v>45994</v>
      </c>
      <c r="DH54" s="794" t="n">
        <v>45994</v>
      </c>
      <c r="DI54" s="794" t="n">
        <v>45986</v>
      </c>
      <c r="DJ54" s="794" t="n">
        <v>45980</v>
      </c>
      <c r="DK54" s="797" t="n">
        <v>45982</v>
      </c>
      <c r="DL54" s="794" t="n">
        <v>45973</v>
      </c>
      <c r="DM54" s="794" t="n">
        <v>45965</v>
      </c>
      <c r="DN54" s="794" t="n">
        <v>45965</v>
      </c>
      <c r="DO54" s="794" t="n">
        <v>45960</v>
      </c>
      <c r="DP54" s="794" t="n">
        <v>45960</v>
      </c>
      <c r="DQ54" s="794" t="n">
        <v>45951</v>
      </c>
      <c r="DR54" s="794" t="n">
        <v>45945</v>
      </c>
      <c r="DS54" s="737" t="n">
        <v>45903</v>
      </c>
      <c r="DT54" s="794" t="n">
        <v>45945</v>
      </c>
      <c r="DU54" s="794" t="n">
        <v>45937</v>
      </c>
      <c r="DV54" s="794" t="n">
        <v>45923</v>
      </c>
      <c r="DW54" s="794" t="n">
        <v>45931</v>
      </c>
      <c r="DX54" s="794" t="n">
        <v>45931</v>
      </c>
      <c r="DY54" s="794" t="n">
        <v>45915</v>
      </c>
      <c r="DZ54" s="794" t="n">
        <v>45923</v>
      </c>
      <c r="EA54" s="794" t="n">
        <v>45915</v>
      </c>
      <c r="EB54" s="797" t="n">
        <v>45918</v>
      </c>
      <c r="EC54" s="794" t="n">
        <v>45903</v>
      </c>
      <c r="ED54" s="738" t="n">
        <v>45903</v>
      </c>
      <c r="EE54" s="794" t="n">
        <v>45895</v>
      </c>
      <c r="EF54" s="797" t="n">
        <v>45896</v>
      </c>
      <c r="EG54" s="794" t="n">
        <v>45888</v>
      </c>
      <c r="EH54" s="794" t="n">
        <v>45888</v>
      </c>
      <c r="EI54" s="794" t="n">
        <v>45881</v>
      </c>
      <c r="EJ54" s="797" t="n">
        <v>45881</v>
      </c>
      <c r="EK54" s="794" t="n">
        <v>45874</v>
      </c>
      <c r="EL54" s="797" t="n">
        <v>45876</v>
      </c>
      <c r="EM54" s="794" t="n">
        <v>45867</v>
      </c>
      <c r="EN54" s="794" t="n">
        <v>45860</v>
      </c>
      <c r="EO54" s="794" t="n">
        <v>45839</v>
      </c>
      <c r="EP54" s="797" t="n">
        <v>45861</v>
      </c>
      <c r="EQ54" s="797" t="n">
        <v>45860</v>
      </c>
      <c r="ER54" s="794" t="n">
        <v>45853</v>
      </c>
      <c r="ES54" s="739" t="n">
        <v>45855</v>
      </c>
      <c r="ET54" s="794" t="n">
        <v>45848</v>
      </c>
      <c r="EU54" s="794" t="n">
        <v>45839</v>
      </c>
      <c r="EV54" s="739" t="n">
        <v>45791</v>
      </c>
      <c r="EW54" s="797" t="n">
        <v>45835</v>
      </c>
      <c r="EX54" s="794" t="n">
        <v>45832</v>
      </c>
      <c r="EY54" s="794" t="n">
        <v>45825</v>
      </c>
      <c r="EZ54" s="794" t="n">
        <v>45819</v>
      </c>
      <c r="FA54" s="794" t="n">
        <v>45813</v>
      </c>
      <c r="FB54" s="794" t="n">
        <v>45805</v>
      </c>
      <c r="FC54" s="797" t="n">
        <v>45811</v>
      </c>
      <c r="FD54" s="797" t="n">
        <v>45810</v>
      </c>
      <c r="FE54" s="794" t="n">
        <v>45798</v>
      </c>
      <c r="FF54" s="797" t="n">
        <v>45803</v>
      </c>
      <c r="FG54" s="755" t="n">
        <v>45803</v>
      </c>
      <c r="FH54" s="797" t="n">
        <v>45800</v>
      </c>
      <c r="FI54" s="742" t="n">
        <v>45735</v>
      </c>
      <c r="FJ54" s="797" t="n">
        <v>45796</v>
      </c>
      <c r="FK54" s="794" t="n">
        <v>45790</v>
      </c>
      <c r="FL54" s="794" t="n">
        <v>45784</v>
      </c>
      <c r="FM54" s="797" t="n">
        <v>45791</v>
      </c>
      <c r="FN54" s="794" t="n">
        <v>45783</v>
      </c>
      <c r="FO54" s="794" t="n">
        <v>45770</v>
      </c>
      <c r="FP54" s="794" t="n">
        <v>45775</v>
      </c>
      <c r="FQ54" s="794" t="n">
        <v>45770</v>
      </c>
      <c r="FR54" s="797" t="n">
        <v>45775</v>
      </c>
      <c r="FS54" s="794" t="n">
        <v>45756</v>
      </c>
      <c r="FT54" s="794" t="n">
        <v>45749</v>
      </c>
      <c r="FU54" s="797" t="n">
        <v>45751</v>
      </c>
      <c r="FV54" s="794" t="n">
        <v>45743</v>
      </c>
      <c r="FW54" s="746" t="n">
        <v>45729</v>
      </c>
      <c r="FX54" s="794" t="n">
        <v>45722</v>
      </c>
      <c r="FY54" s="746" t="n">
        <v>45700</v>
      </c>
      <c r="FZ54" s="797" t="n">
        <v>45722</v>
      </c>
      <c r="GA54" s="794" t="n">
        <v>45714</v>
      </c>
      <c r="GB54" s="794" t="n">
        <v>45706</v>
      </c>
      <c r="GC54" s="794" t="n">
        <v>45699</v>
      </c>
      <c r="GD54" s="794" t="n">
        <v>45693</v>
      </c>
      <c r="GE54" s="794" t="n">
        <v>45685</v>
      </c>
      <c r="GF54" s="797" t="n">
        <v>45687</v>
      </c>
      <c r="GG54" s="794" t="n">
        <v>45664</v>
      </c>
      <c r="GH54" s="794" t="n">
        <v>45679</v>
      </c>
      <c r="GI54" s="797" t="n">
        <v>45684</v>
      </c>
      <c r="GJ54" s="794" t="n">
        <v>45664</v>
      </c>
      <c r="GK54" s="794" t="n">
        <v>45660</v>
      </c>
      <c r="GL54" s="794" t="n">
        <v>45652</v>
      </c>
      <c r="GM54" s="794" t="n">
        <v>45643</v>
      </c>
      <c r="GN54" s="794" t="n">
        <v>45638</v>
      </c>
    </row>
    <row r="55">
      <c r="A55" s="37" t="inlineStr">
        <is>
          <t>SACOLA P - QDB</t>
        </is>
      </c>
      <c r="B55" s="699" t="n">
        <v>300</v>
      </c>
      <c r="C55" s="762" t="n">
        <v>169.8</v>
      </c>
      <c r="D55" s="382" t="n">
        <v>150</v>
      </c>
      <c r="F55" s="153" t="n">
        <v>600</v>
      </c>
      <c r="G55" s="153" t="n">
        <v>600</v>
      </c>
      <c r="H55" s="153" t="n">
        <v>600</v>
      </c>
      <c r="I55" s="153" t="n">
        <v>600</v>
      </c>
      <c r="J55" s="153" t="n">
        <v>600</v>
      </c>
      <c r="K55" s="153" t="n">
        <v>600</v>
      </c>
      <c r="L55" s="153" t="n">
        <v>600</v>
      </c>
      <c r="M55" s="153" t="n">
        <v>600</v>
      </c>
      <c r="N55" s="153">
        <f>600+GB55</f>
        <v/>
      </c>
      <c r="O55" s="153" t="n">
        <v>600</v>
      </c>
      <c r="P55" s="153">
        <f>600+FX55</f>
        <v/>
      </c>
      <c r="Q55" s="153" t="n">
        <v>1200</v>
      </c>
      <c r="R55" s="153" t="n">
        <v>1200</v>
      </c>
      <c r="S55" s="153" t="n">
        <v>1200</v>
      </c>
      <c r="T55" s="153" t="n">
        <v>1200</v>
      </c>
      <c r="U55" s="153" t="n">
        <v>1200</v>
      </c>
      <c r="V55" s="153" t="n">
        <v>1200</v>
      </c>
      <c r="W55" s="153" t="n">
        <v>1200</v>
      </c>
      <c r="X55" s="153" t="n">
        <v>1200</v>
      </c>
      <c r="Y55" s="153" t="n">
        <v>900</v>
      </c>
      <c r="Z55" s="153" t="n">
        <v>900</v>
      </c>
      <c r="AA55" s="153" t="n">
        <v>900</v>
      </c>
      <c r="AB55" s="153" t="n">
        <v>900</v>
      </c>
      <c r="AC55" s="153" t="n">
        <v>900</v>
      </c>
      <c r="AD55" s="153" t="n">
        <v>600</v>
      </c>
      <c r="AE55" s="153" t="n">
        <v>600</v>
      </c>
      <c r="AF55" s="153" t="n">
        <v>300</v>
      </c>
      <c r="AG55" s="153" t="n">
        <v>300</v>
      </c>
      <c r="AH55" s="153" t="n">
        <v>300</v>
      </c>
      <c r="AI55" s="153" t="n">
        <v>200</v>
      </c>
      <c r="AJ55" s="153" t="n">
        <v>200</v>
      </c>
      <c r="AK55" s="153" t="n">
        <v>200</v>
      </c>
      <c r="AL55" s="153" t="n">
        <v>200</v>
      </c>
      <c r="AM55" s="153" t="n">
        <v>200</v>
      </c>
      <c r="AN55" s="153" t="n">
        <v>0</v>
      </c>
      <c r="AO55" s="153" t="n">
        <v>0</v>
      </c>
      <c r="AP55" s="153" t="n">
        <v>0</v>
      </c>
      <c r="AQ55" s="153" t="n">
        <v>0</v>
      </c>
      <c r="AR55" s="153" t="n">
        <v>0</v>
      </c>
      <c r="AS55" s="153" t="n">
        <v>0</v>
      </c>
      <c r="AT55" s="153" t="n">
        <v>0</v>
      </c>
      <c r="AU55" s="153" t="n">
        <v>0</v>
      </c>
      <c r="AV55" s="153" t="n">
        <v>0</v>
      </c>
      <c r="AW55" s="153" t="n">
        <v>0</v>
      </c>
      <c r="AX55" s="153" t="n">
        <v>0</v>
      </c>
      <c r="AY55" s="153" t="n">
        <v>0</v>
      </c>
      <c r="AZ55" s="153" t="n">
        <v>0</v>
      </c>
      <c r="BA55" s="153" t="n">
        <v>0</v>
      </c>
      <c r="BB55" s="153" t="n">
        <v>0</v>
      </c>
      <c r="BC55" s="153" t="n">
        <v>0</v>
      </c>
      <c r="BD55" s="153" t="n">
        <v>0</v>
      </c>
      <c r="BE55" s="153" t="n">
        <v>0</v>
      </c>
      <c r="BF55" s="153" t="n">
        <v>0</v>
      </c>
      <c r="BG55" s="153" t="n">
        <v>0</v>
      </c>
      <c r="BH55" s="153" t="n">
        <v>0</v>
      </c>
      <c r="BI55" s="153" t="n">
        <v>0</v>
      </c>
      <c r="BJ55" s="153" t="n">
        <v>0</v>
      </c>
      <c r="BK55" s="153" t="n">
        <v>0</v>
      </c>
      <c r="BL55" s="153" t="n">
        <v>0</v>
      </c>
      <c r="BM55" s="153" t="n">
        <v>0</v>
      </c>
      <c r="BN55" s="153" t="n">
        <v>0</v>
      </c>
      <c r="BO55" s="153" t="n">
        <v>0</v>
      </c>
      <c r="BP55" s="153" t="n">
        <v>0</v>
      </c>
      <c r="BQ55" s="153" t="n">
        <v>0</v>
      </c>
      <c r="BR55" s="153" t="n">
        <v>0</v>
      </c>
      <c r="BS55" s="153" t="n">
        <v>0</v>
      </c>
      <c r="BT55" s="153" t="n">
        <v>0</v>
      </c>
      <c r="BU55" s="153" t="n">
        <v>0</v>
      </c>
      <c r="BV55" s="153" t="n">
        <v>0</v>
      </c>
      <c r="BW55" s="153" t="n">
        <v>0</v>
      </c>
      <c r="BX55" s="153" t="n">
        <v>0</v>
      </c>
      <c r="BY55" s="198">
        <f>BW55+IF(NOT(ISBLANK(OFFSET(BY55,0,6))),N(OFFSET(BY55,0,6)),N(OFFSET(BY55,0,7)))-BX55</f>
        <v/>
      </c>
      <c r="CA55" s="194" t="n"/>
      <c r="CB55" s="194" t="n"/>
      <c r="CD55" s="27" t="n"/>
      <c r="CF55" s="135" t="n">
        <v>0</v>
      </c>
      <c r="CG55" s="135" t="n">
        <v>0</v>
      </c>
      <c r="CH55" s="135" t="n">
        <v>0</v>
      </c>
      <c r="CI55" s="135" t="n"/>
      <c r="CJ55" s="135" t="n"/>
      <c r="CK55" s="135" t="n"/>
      <c r="CL55" s="135" t="n"/>
      <c r="CM55" s="135" t="n"/>
      <c r="CN55" s="135" t="n"/>
      <c r="CO55" s="135" t="n"/>
      <c r="CP55" s="135" t="n"/>
      <c r="CQ55" s="135" t="n"/>
      <c r="CR55" s="135" t="n"/>
      <c r="CS55" s="135" t="n"/>
      <c r="CT55" s="135" t="n"/>
      <c r="CU55" s="135" t="n"/>
      <c r="CV55" s="135" t="n"/>
      <c r="CW55" s="135" t="n"/>
      <c r="CX55" s="135" t="n"/>
      <c r="CY55" s="135" t="n"/>
      <c r="CZ55" s="135" t="n"/>
      <c r="DA55" s="135" t="n"/>
      <c r="DB55" s="135" t="n"/>
      <c r="DC55" s="135" t="n"/>
      <c r="DD55" s="135" t="n"/>
      <c r="DE55" s="135" t="n"/>
      <c r="DF55" s="135" t="n"/>
      <c r="DG55" s="135" t="n"/>
      <c r="DH55" s="135" t="n"/>
      <c r="DI55" s="135" t="n"/>
      <c r="DJ55" s="135" t="n"/>
      <c r="DK55" s="374" t="n"/>
      <c r="DL55" s="135" t="n"/>
      <c r="DM55" s="135" t="n"/>
      <c r="DN55" s="135" t="n"/>
      <c r="DO55" s="135" t="n"/>
      <c r="DP55" s="135" t="n"/>
      <c r="DQ55" s="135" t="n"/>
      <c r="DR55" s="135" t="n"/>
      <c r="DS55" s="135" t="n"/>
      <c r="DT55" s="135" t="n"/>
      <c r="DU55" s="135" t="n"/>
      <c r="DV55" s="135" t="n"/>
      <c r="DW55" s="135" t="n"/>
      <c r="DX55" s="135" t="n"/>
      <c r="DY55" s="135" t="n"/>
      <c r="DZ55" s="135" t="n"/>
      <c r="EA55" s="135" t="n"/>
      <c r="EB55" s="135" t="n"/>
      <c r="EC55" s="135" t="n"/>
      <c r="ED55" s="135" t="n"/>
      <c r="EE55" s="135" t="n"/>
      <c r="EF55" s="135" t="n"/>
      <c r="EG55" s="135" t="n"/>
      <c r="EH55" s="135" t="n"/>
      <c r="EI55" s="135" t="n"/>
      <c r="EJ55" s="135" t="n"/>
      <c r="EK55" s="135" t="n"/>
      <c r="EL55" s="135" t="n"/>
      <c r="EM55" s="135" t="n"/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23" t="n"/>
      <c r="FI55" s="374" t="n"/>
      <c r="FJ55" s="135" t="n"/>
      <c r="FK55" s="135" t="n"/>
      <c r="FL55" s="135" t="n"/>
      <c r="FM55" s="135" t="n"/>
      <c r="FN55" s="135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310" t="n"/>
      <c r="FX55" s="135" t="n">
        <v>600</v>
      </c>
      <c r="FY55" s="310" t="n"/>
      <c r="FZ55" s="135" t="n"/>
      <c r="GA55" s="135" t="n"/>
      <c r="GB55" s="135" t="n">
        <v>300</v>
      </c>
      <c r="GC55" s="135" t="n"/>
      <c r="GD55" s="135" t="n"/>
      <c r="GE55" s="135" t="n"/>
      <c r="GF55" s="135" t="n"/>
      <c r="GG55" s="135" t="n"/>
      <c r="GH55" s="135" t="n"/>
      <c r="GI55" s="135" t="n"/>
      <c r="GJ55" s="135" t="n"/>
      <c r="GK55" s="135" t="n"/>
      <c r="GL55" s="135" t="n"/>
      <c r="GM55" s="135" t="n"/>
      <c r="GN55" s="135" t="n"/>
    </row>
    <row r="56">
      <c r="A56" s="37" t="inlineStr">
        <is>
          <t>SACOLA M - QDB</t>
        </is>
      </c>
      <c r="B56" s="699" t="n">
        <v>200</v>
      </c>
      <c r="C56" s="762" t="n">
        <v>175.22</v>
      </c>
      <c r="D56" s="382" t="n">
        <v>300</v>
      </c>
      <c r="F56" s="153" t="n">
        <v>600</v>
      </c>
      <c r="G56" s="153" t="n">
        <v>600</v>
      </c>
      <c r="H56" s="153" t="n">
        <v>600</v>
      </c>
      <c r="I56" s="153" t="n">
        <v>600</v>
      </c>
      <c r="J56" s="153" t="n">
        <v>600</v>
      </c>
      <c r="K56" s="153" t="n">
        <v>400</v>
      </c>
      <c r="L56" s="153">
        <f>400+GD56</f>
        <v/>
      </c>
      <c r="M56" s="153" t="n">
        <v>800</v>
      </c>
      <c r="N56" s="153" t="n">
        <v>800</v>
      </c>
      <c r="O56" s="153" t="n">
        <v>800</v>
      </c>
      <c r="P56" s="153" t="n">
        <v>800</v>
      </c>
      <c r="Q56" s="153" t="n">
        <v>800</v>
      </c>
      <c r="R56" s="153" t="n">
        <v>600</v>
      </c>
      <c r="S56" s="153" t="n">
        <v>400</v>
      </c>
      <c r="T56" s="153">
        <f>200+FT56</f>
        <v/>
      </c>
      <c r="U56" s="153" t="n">
        <v>400</v>
      </c>
      <c r="V56" s="153" t="n">
        <v>400</v>
      </c>
      <c r="W56" s="153" t="n">
        <v>400</v>
      </c>
      <c r="X56" s="153" t="n">
        <v>200</v>
      </c>
      <c r="Y56" s="153" t="n">
        <v>400</v>
      </c>
      <c r="Z56" s="153" t="n">
        <v>400</v>
      </c>
      <c r="AA56" s="153" t="n">
        <v>400</v>
      </c>
      <c r="AB56" s="153" t="n">
        <v>400</v>
      </c>
      <c r="AC56" s="153" t="n">
        <v>0</v>
      </c>
      <c r="AD56" s="153" t="n">
        <v>0</v>
      </c>
      <c r="AE56" s="153" t="n">
        <v>0</v>
      </c>
      <c r="AF56" s="153" t="n">
        <v>0</v>
      </c>
      <c r="AG56" s="153" t="n">
        <v>0</v>
      </c>
      <c r="AH56" s="153" t="n">
        <v>0</v>
      </c>
      <c r="AI56" s="153" t="n">
        <v>0</v>
      </c>
      <c r="AJ56" s="153" t="n">
        <v>0</v>
      </c>
      <c r="AK56" s="153" t="n">
        <v>0</v>
      </c>
      <c r="AL56" s="153" t="n">
        <v>0</v>
      </c>
      <c r="AM56" s="153" t="n">
        <v>0</v>
      </c>
      <c r="AN56" s="153" t="n">
        <v>0</v>
      </c>
      <c r="AO56" s="153" t="n">
        <v>0</v>
      </c>
      <c r="AP56" s="153" t="n">
        <v>0</v>
      </c>
      <c r="AQ56" s="153" t="n">
        <v>0</v>
      </c>
      <c r="AR56" s="153" t="n">
        <v>0</v>
      </c>
      <c r="AS56" s="153" t="n">
        <v>0</v>
      </c>
      <c r="AT56" s="153" t="n">
        <v>0</v>
      </c>
      <c r="AU56" s="153" t="n">
        <v>0</v>
      </c>
      <c r="AV56" s="153" t="n">
        <v>0</v>
      </c>
      <c r="AW56" s="153" t="n">
        <v>0</v>
      </c>
      <c r="AX56" s="153" t="n">
        <v>0</v>
      </c>
      <c r="AY56" s="153" t="n">
        <v>0</v>
      </c>
      <c r="AZ56" s="153" t="n">
        <v>0</v>
      </c>
      <c r="BA56" s="153" t="n">
        <v>0</v>
      </c>
      <c r="BB56" s="153" t="n">
        <v>0</v>
      </c>
      <c r="BC56" s="153" t="n">
        <v>0</v>
      </c>
      <c r="BD56" s="153" t="n">
        <v>0</v>
      </c>
      <c r="BE56" s="153" t="n">
        <v>0</v>
      </c>
      <c r="BF56" s="153" t="n">
        <v>0</v>
      </c>
      <c r="BG56" s="153" t="n">
        <v>0</v>
      </c>
      <c r="BH56" s="153" t="n">
        <v>0</v>
      </c>
      <c r="BI56" s="153" t="n">
        <v>0</v>
      </c>
      <c r="BJ56" s="153" t="n">
        <v>0</v>
      </c>
      <c r="BK56" s="153" t="n">
        <v>0</v>
      </c>
      <c r="BL56" s="153" t="n">
        <v>0</v>
      </c>
      <c r="BM56" s="153" t="n">
        <v>0</v>
      </c>
      <c r="BN56" s="153" t="n">
        <v>0</v>
      </c>
      <c r="BO56" s="153" t="n">
        <v>0</v>
      </c>
      <c r="BP56" s="153" t="n">
        <v>0</v>
      </c>
      <c r="BQ56" s="153" t="n">
        <v>0</v>
      </c>
      <c r="BR56" s="153" t="n">
        <v>0</v>
      </c>
      <c r="BS56" s="153" t="n">
        <v>0</v>
      </c>
      <c r="BT56" s="153" t="n">
        <v>0</v>
      </c>
      <c r="BU56" s="153" t="n">
        <v>0</v>
      </c>
      <c r="BV56" s="153" t="n">
        <v>0</v>
      </c>
      <c r="BW56" s="153" t="n">
        <v>0</v>
      </c>
      <c r="BX56" s="153" t="n">
        <v>0</v>
      </c>
      <c r="BY56" s="198">
        <f>BW56+IF(NOT(ISBLANK(OFFSET(BY56,0,6))),N(OFFSET(BY56,0,6)),N(OFFSET(BY56,0,7)))-BX56</f>
        <v/>
      </c>
      <c r="CA56" s="194" t="n"/>
      <c r="CB56" s="194" t="n"/>
      <c r="CD56" s="27" t="n"/>
      <c r="CF56" s="135" t="n">
        <v>0</v>
      </c>
      <c r="CG56" s="135" t="n">
        <v>0</v>
      </c>
      <c r="CH56" s="135" t="n">
        <v>0</v>
      </c>
      <c r="CI56" s="135" t="n"/>
      <c r="CJ56" s="135" t="n"/>
      <c r="CK56" s="135" t="n"/>
      <c r="CL56" s="135" t="n"/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/>
      <c r="CV56" s="135" t="n"/>
      <c r="CW56" s="135" t="n"/>
      <c r="CX56" s="135" t="n"/>
      <c r="CY56" s="135" t="n"/>
      <c r="CZ56" s="135" t="n"/>
      <c r="DA56" s="135" t="n"/>
      <c r="DB56" s="135" t="n"/>
      <c r="DC56" s="135" t="n"/>
      <c r="DD56" s="135" t="n"/>
      <c r="DE56" s="135" t="n"/>
      <c r="DF56" s="135" t="n"/>
      <c r="DG56" s="135" t="n"/>
      <c r="DH56" s="135" t="n"/>
      <c r="DI56" s="135" t="n"/>
      <c r="DJ56" s="135" t="n"/>
      <c r="DK56" s="374" t="n"/>
      <c r="DL56" s="135" t="n"/>
      <c r="DM56" s="135" t="n"/>
      <c r="DN56" s="135" t="n"/>
      <c r="DO56" s="135" t="n"/>
      <c r="DP56" s="135" t="n"/>
      <c r="DQ56" s="135" t="n"/>
      <c r="DR56" s="135" t="n"/>
      <c r="DS56" s="135" t="n"/>
      <c r="DT56" s="135" t="n"/>
      <c r="DU56" s="135" t="n"/>
      <c r="DV56" s="135" t="n"/>
      <c r="DW56" s="135" t="n"/>
      <c r="DX56" s="135" t="n"/>
      <c r="DY56" s="135" t="n"/>
      <c r="DZ56" s="135" t="n"/>
      <c r="EA56" s="135" t="n"/>
      <c r="EB56" s="135" t="n"/>
      <c r="EC56" s="135" t="n"/>
      <c r="ED56" s="135" t="n"/>
      <c r="EE56" s="135" t="n"/>
      <c r="EF56" s="135" t="n"/>
      <c r="EG56" s="135" t="n"/>
      <c r="EH56" s="135" t="n"/>
      <c r="EI56" s="135" t="n"/>
      <c r="EJ56" s="135" t="n"/>
      <c r="EK56" s="135" t="n"/>
      <c r="EL56" s="135" t="n"/>
      <c r="EM56" s="135" t="n"/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23" t="n"/>
      <c r="FI56" s="374" t="n"/>
      <c r="FJ56" s="135" t="n"/>
      <c r="FK56" s="135" t="n"/>
      <c r="FL56" s="135" t="n"/>
      <c r="FM56" s="135" t="n"/>
      <c r="FN56" s="135" t="n"/>
      <c r="FO56" s="135" t="n">
        <v>400</v>
      </c>
      <c r="FP56" s="135" t="n"/>
      <c r="FQ56" s="135" t="n"/>
      <c r="FR56" s="135" t="n"/>
      <c r="FS56" s="135" t="n"/>
      <c r="FT56" s="135" t="n">
        <v>400</v>
      </c>
      <c r="FU56" s="135" t="n"/>
      <c r="FV56" s="135" t="n"/>
      <c r="FW56" s="310" t="n"/>
      <c r="FX56" s="135" t="n"/>
      <c r="FY56" s="310" t="n"/>
      <c r="FZ56" s="135" t="n"/>
      <c r="GA56" s="135" t="n"/>
      <c r="GB56" s="135" t="n"/>
      <c r="GC56" s="135" t="n"/>
      <c r="GD56" s="135" t="n">
        <v>400</v>
      </c>
      <c r="GE56" s="135" t="n"/>
      <c r="GF56" s="135" t="n"/>
      <c r="GG56" s="135" t="n"/>
      <c r="GH56" s="135" t="n"/>
      <c r="GI56" s="135" t="n"/>
      <c r="GJ56" s="135" t="n"/>
      <c r="GK56" s="135" t="n"/>
      <c r="GL56" s="135" t="n"/>
      <c r="GM56" s="135" t="n">
        <v>400</v>
      </c>
      <c r="GN56" s="135" t="n"/>
    </row>
    <row r="57">
      <c r="A57" s="37" t="inlineStr">
        <is>
          <t>SACOLA G - QDB</t>
        </is>
      </c>
      <c r="B57" s="699" t="n">
        <v>200</v>
      </c>
      <c r="C57" s="762" t="n">
        <v>230.34</v>
      </c>
      <c r="D57" s="382" t="n">
        <v>100</v>
      </c>
      <c r="F57" s="153" t="n">
        <v>400</v>
      </c>
      <c r="G57" s="153" t="n">
        <v>400</v>
      </c>
      <c r="H57" s="153" t="n">
        <v>400</v>
      </c>
      <c r="I57" s="153" t="n">
        <v>400</v>
      </c>
      <c r="J57" s="153" t="n">
        <v>400</v>
      </c>
      <c r="K57" s="153" t="n">
        <v>400</v>
      </c>
      <c r="L57" s="153" t="n">
        <v>400</v>
      </c>
      <c r="M57" s="153" t="n">
        <v>400</v>
      </c>
      <c r="N57" s="153" t="n">
        <v>400</v>
      </c>
      <c r="O57" s="153" t="n">
        <v>400</v>
      </c>
      <c r="P57" s="153" t="n">
        <v>400</v>
      </c>
      <c r="Q57" s="153" t="n">
        <v>400</v>
      </c>
      <c r="R57" s="153" t="n">
        <v>400</v>
      </c>
      <c r="S57" s="153" t="n">
        <v>400</v>
      </c>
      <c r="T57" s="153" t="n">
        <v>400</v>
      </c>
      <c r="U57" s="153" t="n">
        <v>200</v>
      </c>
      <c r="V57" s="153" t="n">
        <v>200</v>
      </c>
      <c r="W57" s="153" t="n">
        <v>200</v>
      </c>
      <c r="X57" s="153" t="n">
        <v>200</v>
      </c>
      <c r="Y57" s="153" t="n">
        <v>600</v>
      </c>
      <c r="Z57" s="153" t="n">
        <v>600</v>
      </c>
      <c r="AA57" s="153" t="n">
        <v>400</v>
      </c>
      <c r="AB57" s="153" t="n">
        <v>200</v>
      </c>
      <c r="AC57" s="153" t="n">
        <v>200</v>
      </c>
      <c r="AD57" s="153" t="n">
        <v>200</v>
      </c>
      <c r="AE57" s="153" t="n">
        <v>200</v>
      </c>
      <c r="AF57" s="153" t="n">
        <v>200</v>
      </c>
      <c r="AG57" s="153" t="n">
        <v>0</v>
      </c>
      <c r="AH57" s="153" t="n">
        <v>0</v>
      </c>
      <c r="AI57" s="153" t="n">
        <v>0</v>
      </c>
      <c r="AJ57" s="153" t="n">
        <v>0</v>
      </c>
      <c r="AK57" s="153" t="n">
        <v>0</v>
      </c>
      <c r="AL57" s="153" t="n">
        <v>0</v>
      </c>
      <c r="AM57" s="153" t="n">
        <v>0</v>
      </c>
      <c r="AN57" s="153" t="n">
        <v>0</v>
      </c>
      <c r="AO57" s="153" t="n">
        <v>0</v>
      </c>
      <c r="AP57" s="153" t="n">
        <v>0</v>
      </c>
      <c r="AQ57" s="153" t="n">
        <v>0</v>
      </c>
      <c r="AR57" s="153" t="n">
        <v>0</v>
      </c>
      <c r="AS57" s="153" t="n">
        <v>0</v>
      </c>
      <c r="AT57" s="153" t="n">
        <v>0</v>
      </c>
      <c r="AU57" s="153" t="n">
        <v>0</v>
      </c>
      <c r="AV57" s="153" t="n">
        <v>0</v>
      </c>
      <c r="AW57" s="153" t="n">
        <v>0</v>
      </c>
      <c r="AX57" s="153" t="n">
        <v>0</v>
      </c>
      <c r="AY57" s="153" t="n">
        <v>0</v>
      </c>
      <c r="AZ57" s="153" t="n">
        <v>0</v>
      </c>
      <c r="BA57" s="153" t="n">
        <v>0</v>
      </c>
      <c r="BB57" s="153" t="n">
        <v>0</v>
      </c>
      <c r="BC57" s="153" t="n">
        <v>0</v>
      </c>
      <c r="BD57" s="153" t="n">
        <v>0</v>
      </c>
      <c r="BE57" s="153" t="n">
        <v>0</v>
      </c>
      <c r="BF57" s="153" t="n">
        <v>0</v>
      </c>
      <c r="BG57" s="153" t="n">
        <v>0</v>
      </c>
      <c r="BH57" s="153" t="n">
        <v>0</v>
      </c>
      <c r="BI57" s="153" t="n">
        <v>0</v>
      </c>
      <c r="BJ57" s="153" t="n">
        <v>0</v>
      </c>
      <c r="BK57" s="153" t="n">
        <v>0</v>
      </c>
      <c r="BL57" s="153" t="n">
        <v>0</v>
      </c>
      <c r="BM57" s="153" t="n">
        <v>0</v>
      </c>
      <c r="BN57" s="153" t="n">
        <v>0</v>
      </c>
      <c r="BO57" s="153" t="n">
        <v>0</v>
      </c>
      <c r="BP57" s="153" t="n">
        <v>0</v>
      </c>
      <c r="BQ57" s="153" t="n">
        <v>0</v>
      </c>
      <c r="BR57" s="153" t="n">
        <v>0</v>
      </c>
      <c r="BS57" s="153" t="n">
        <v>0</v>
      </c>
      <c r="BT57" s="153" t="n">
        <v>0</v>
      </c>
      <c r="BU57" s="153" t="n">
        <v>0</v>
      </c>
      <c r="BV57" s="153" t="n">
        <v>0</v>
      </c>
      <c r="BW57" s="153" t="n">
        <v>0</v>
      </c>
      <c r="BX57" s="153" t="n">
        <v>0</v>
      </c>
      <c r="BY57" s="198">
        <f>BW57+IF(NOT(ISBLANK(OFFSET(BY57,0,6))),N(OFFSET(BY57,0,6)),N(OFFSET(BY57,0,7)))-BX57</f>
        <v/>
      </c>
      <c r="CA57" s="194" t="n"/>
      <c r="CB57" s="194" t="n"/>
      <c r="CD57" s="27" t="n"/>
      <c r="CF57" s="135" t="n">
        <v>0</v>
      </c>
      <c r="CG57" s="135" t="n">
        <v>0</v>
      </c>
      <c r="CH57" s="135" t="n">
        <v>0</v>
      </c>
      <c r="CI57" s="135" t="n"/>
      <c r="CJ57" s="135" t="n"/>
      <c r="CK57" s="135" t="n"/>
      <c r="CL57" s="135" t="n"/>
      <c r="CM57" s="135" t="n"/>
      <c r="CN57" s="135" t="n"/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/>
      <c r="CY57" s="135" t="n"/>
      <c r="CZ57" s="135" t="n"/>
      <c r="DA57" s="135" t="n"/>
      <c r="DB57" s="135" t="n"/>
      <c r="DC57" s="135" t="n"/>
      <c r="DD57" s="135" t="n"/>
      <c r="DE57" s="135" t="n"/>
      <c r="DF57" s="135" t="n"/>
      <c r="DG57" s="135" t="n"/>
      <c r="DH57" s="135" t="n"/>
      <c r="DI57" s="135" t="n"/>
      <c r="DJ57" s="135" t="n"/>
      <c r="DK57" s="374" t="n"/>
      <c r="DL57" s="135" t="n"/>
      <c r="DM57" s="135" t="n"/>
      <c r="DN57" s="135" t="n"/>
      <c r="DO57" s="135" t="n"/>
      <c r="DP57" s="135" t="n"/>
      <c r="DQ57" s="135" t="n"/>
      <c r="DR57" s="135" t="n"/>
      <c r="DS57" s="135" t="n"/>
      <c r="DT57" s="135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23" t="n"/>
      <c r="FI57" s="374" t="n"/>
      <c r="FJ57" s="135" t="n"/>
      <c r="FK57" s="135" t="n"/>
      <c r="FL57" s="135" t="n"/>
      <c r="FM57" s="135" t="n"/>
      <c r="FN57" s="135" t="n"/>
      <c r="FO57" s="135" t="n">
        <v>400</v>
      </c>
      <c r="FP57" s="135" t="n"/>
      <c r="FQ57" s="135" t="n"/>
      <c r="FR57" s="135" t="n"/>
      <c r="FS57" s="135" t="n"/>
      <c r="FT57" s="135" t="n"/>
      <c r="FU57" s="135" t="n"/>
      <c r="FV57" s="135" t="n"/>
      <c r="FW57" s="310" t="n"/>
      <c r="FX57" s="135" t="n"/>
      <c r="FY57" s="310" t="n"/>
      <c r="FZ57" s="135" t="n"/>
      <c r="GA57" s="135" t="n"/>
      <c r="GB57" s="135" t="n"/>
      <c r="GC57" s="135" t="n"/>
      <c r="GD57" s="135" t="n"/>
      <c r="GE57" s="135" t="n"/>
      <c r="GF57" s="135" t="n"/>
      <c r="GG57" s="135" t="n"/>
      <c r="GH57" s="135" t="n"/>
      <c r="GI57" s="135" t="n"/>
      <c r="GJ57" s="135" t="n"/>
      <c r="GK57" s="135" t="n"/>
      <c r="GL57" s="135" t="n"/>
      <c r="GM57" s="135" t="n"/>
      <c r="GN57" s="135" t="n">
        <v>200</v>
      </c>
    </row>
    <row r="58">
      <c r="A58" s="626" t="inlineStr">
        <is>
          <t>PAPEL DE SEDA QDB</t>
        </is>
      </c>
      <c r="B58" s="32" t="n">
        <v>100</v>
      </c>
      <c r="C58" s="773" t="n">
        <v>22.98</v>
      </c>
      <c r="D58" s="382" t="n">
        <v>1</v>
      </c>
      <c r="F58" s="153" t="n">
        <v>5</v>
      </c>
      <c r="G58" s="153" t="n">
        <v>5</v>
      </c>
      <c r="H58" s="153" t="n">
        <v>5</v>
      </c>
      <c r="I58" s="153" t="n">
        <v>5</v>
      </c>
      <c r="J58" s="153" t="n">
        <v>5</v>
      </c>
      <c r="K58" s="153" t="n">
        <v>3</v>
      </c>
      <c r="L58" s="153" t="n">
        <v>3</v>
      </c>
      <c r="M58" s="153" t="n">
        <v>3</v>
      </c>
      <c r="N58" s="153" t="n">
        <v>3</v>
      </c>
      <c r="O58" s="153" t="n">
        <v>3</v>
      </c>
      <c r="P58" s="153" t="n">
        <v>3</v>
      </c>
      <c r="Q58" s="153" t="n">
        <v>3</v>
      </c>
      <c r="R58" s="153" t="n">
        <v>3</v>
      </c>
      <c r="S58" s="153" t="n">
        <v>3</v>
      </c>
      <c r="T58" s="153" t="n">
        <v>3</v>
      </c>
      <c r="U58" s="153" t="n">
        <v>3</v>
      </c>
      <c r="V58" s="153" t="n">
        <v>3</v>
      </c>
      <c r="W58" s="153" t="n">
        <v>3</v>
      </c>
      <c r="X58" s="153" t="n">
        <v>2</v>
      </c>
      <c r="Y58" s="153" t="n">
        <v>2</v>
      </c>
      <c r="Z58" s="153">
        <f>1+5</f>
        <v/>
      </c>
      <c r="AA58" s="153" t="n">
        <v>5</v>
      </c>
      <c r="AB58" s="153" t="n">
        <v>5</v>
      </c>
      <c r="AC58" s="153" t="n">
        <v>5</v>
      </c>
      <c r="AD58" s="153" t="n">
        <v>5</v>
      </c>
      <c r="AE58" s="153" t="n">
        <v>4</v>
      </c>
      <c r="AF58" s="153" t="n">
        <v>4</v>
      </c>
      <c r="AG58" s="153" t="n">
        <v>4</v>
      </c>
      <c r="AH58" s="153" t="n">
        <v>4</v>
      </c>
      <c r="AI58" s="153" t="n">
        <v>4</v>
      </c>
      <c r="AJ58" s="153" t="n">
        <v>4</v>
      </c>
      <c r="AK58" s="153" t="n">
        <v>4</v>
      </c>
      <c r="AL58" s="153" t="n">
        <v>4</v>
      </c>
      <c r="AM58" s="153" t="n">
        <v>3</v>
      </c>
      <c r="AN58" s="153" t="n">
        <v>2</v>
      </c>
      <c r="AO58" s="153" t="n">
        <v>2</v>
      </c>
      <c r="AP58" s="153" t="n">
        <v>1</v>
      </c>
      <c r="AQ58" s="153" t="n">
        <v>1</v>
      </c>
      <c r="AR58" s="153" t="n">
        <v>1</v>
      </c>
      <c r="AS58" s="153" t="n">
        <v>1</v>
      </c>
      <c r="AT58" s="153" t="n">
        <v>0</v>
      </c>
      <c r="AU58" s="153" t="n">
        <v>0</v>
      </c>
      <c r="AV58" s="153" t="n">
        <v>0</v>
      </c>
      <c r="AW58" s="153" t="n">
        <v>0</v>
      </c>
      <c r="AX58" s="153" t="n">
        <v>0</v>
      </c>
      <c r="AY58" s="153" t="n">
        <v>0</v>
      </c>
      <c r="AZ58" s="153" t="n">
        <v>0</v>
      </c>
      <c r="BA58" s="153" t="n">
        <v>0</v>
      </c>
      <c r="BB58" s="153" t="n">
        <v>0</v>
      </c>
      <c r="BC58" s="153" t="n">
        <v>0</v>
      </c>
      <c r="BD58" s="153" t="n">
        <v>0</v>
      </c>
      <c r="BE58" s="153" t="n">
        <v>0</v>
      </c>
      <c r="BF58" s="153" t="n">
        <v>0</v>
      </c>
      <c r="BG58" s="153" t="n">
        <v>0</v>
      </c>
      <c r="BH58" s="153" t="n">
        <v>0</v>
      </c>
      <c r="BI58" s="153" t="n">
        <v>0</v>
      </c>
      <c r="BJ58" s="153" t="n">
        <v>0</v>
      </c>
      <c r="BK58" s="153" t="n">
        <v>0</v>
      </c>
      <c r="BL58" s="153" t="n">
        <v>0</v>
      </c>
      <c r="BM58" s="153" t="n">
        <v>0</v>
      </c>
      <c r="BN58" s="153" t="n">
        <v>0</v>
      </c>
      <c r="BO58" s="153" t="n">
        <v>0</v>
      </c>
      <c r="BP58" s="153" t="n">
        <v>0</v>
      </c>
      <c r="BQ58" s="153" t="n">
        <v>0</v>
      </c>
      <c r="BR58" s="153" t="n">
        <v>0</v>
      </c>
      <c r="BS58" s="153" t="n">
        <v>0</v>
      </c>
      <c r="BT58" s="153" t="n">
        <v>0</v>
      </c>
      <c r="BU58" s="153" t="n">
        <v>0</v>
      </c>
      <c r="BV58" s="153" t="n">
        <v>0</v>
      </c>
      <c r="BW58" s="153" t="n">
        <v>0</v>
      </c>
      <c r="BX58" s="153" t="n">
        <v>0</v>
      </c>
      <c r="BY58" s="198">
        <f>BW58+IF(NOT(ISBLANK(OFFSET(BY58,0,6))),N(OFFSET(BY58,0,6)),N(OFFSET(BY58,0,7)))-BX58</f>
        <v/>
      </c>
      <c r="CA58" s="357" t="n"/>
      <c r="CB58" s="357" t="n"/>
      <c r="CD58" s="27" t="n"/>
      <c r="CF58" s="135" t="n">
        <v>0</v>
      </c>
      <c r="CG58" s="135" t="n">
        <v>0</v>
      </c>
      <c r="CH58" s="135" t="n">
        <v>0</v>
      </c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374" t="n"/>
      <c r="DL58" s="135" t="n"/>
      <c r="DM58" s="135" t="n"/>
      <c r="DN58" s="135" t="n"/>
      <c r="DO58" s="135" t="n"/>
      <c r="DP58" s="135" t="n"/>
      <c r="DQ58" s="135" t="n"/>
      <c r="DR58" s="135" t="n"/>
      <c r="DS58" s="135" t="n"/>
      <c r="DT58" s="135" t="n"/>
      <c r="DU58" s="135" t="n"/>
      <c r="DV58" s="135" t="n"/>
      <c r="DW58" s="135" t="n"/>
      <c r="DX58" s="135" t="n"/>
      <c r="DY58" s="135" t="n"/>
      <c r="DZ58" s="135" t="n"/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282" t="inlineStr">
        <is>
          <t>05 DE ERJ</t>
        </is>
      </c>
      <c r="FI58" s="374" t="n"/>
      <c r="FJ58" s="135" t="n"/>
      <c r="FK58" s="135" t="n"/>
      <c r="FL58" s="135" t="n"/>
      <c r="FM58" s="135" t="n"/>
      <c r="FN58" s="135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311" t="n"/>
      <c r="FX58" s="135" t="n"/>
      <c r="FY58" s="311" t="n"/>
      <c r="FZ58" s="135" t="n"/>
      <c r="GA58" s="135" t="n"/>
      <c r="GB58" s="135" t="n"/>
      <c r="GC58" s="135" t="n"/>
      <c r="GD58" s="135" t="n"/>
      <c r="GE58" s="135" t="n"/>
      <c r="GF58" s="135" t="n"/>
      <c r="GG58" s="135" t="n"/>
      <c r="GH58" s="135" t="n"/>
      <c r="GI58" s="135" t="n"/>
      <c r="GJ58" s="135" t="n"/>
      <c r="GK58" s="135" t="n"/>
      <c r="GL58" s="135" t="n"/>
      <c r="GM58" s="135" t="n"/>
      <c r="GN58" s="135" t="n"/>
    </row>
    <row r="59">
      <c r="A59" s="37" t="inlineStr">
        <is>
          <t>ETIQUETA QDB</t>
        </is>
      </c>
      <c r="B59" s="699" t="n">
        <v>1000</v>
      </c>
      <c r="C59" s="762" t="n">
        <v>7.75</v>
      </c>
      <c r="D59" s="382" t="n">
        <v>1</v>
      </c>
      <c r="F59" s="153" t="n">
        <v>2</v>
      </c>
      <c r="G59" s="153" t="n">
        <v>2</v>
      </c>
      <c r="H59" s="153" t="n">
        <v>1</v>
      </c>
      <c r="I59" s="153" t="n">
        <v>1</v>
      </c>
      <c r="J59" s="153" t="n">
        <v>1</v>
      </c>
      <c r="K59" s="153" t="n">
        <v>1</v>
      </c>
      <c r="L59" s="153" t="n">
        <v>1</v>
      </c>
      <c r="M59" s="153" t="n">
        <v>1</v>
      </c>
      <c r="N59" s="153">
        <f>1+GB59</f>
        <v/>
      </c>
      <c r="O59" s="153" t="n">
        <v>3</v>
      </c>
      <c r="P59" s="153" t="n">
        <v>3</v>
      </c>
      <c r="Q59" s="153" t="n">
        <v>3</v>
      </c>
      <c r="R59" s="153" t="n">
        <v>3</v>
      </c>
      <c r="S59" s="153" t="n">
        <v>3</v>
      </c>
      <c r="T59" s="153" t="n">
        <v>3</v>
      </c>
      <c r="U59" s="153" t="n">
        <v>3</v>
      </c>
      <c r="V59" s="153" t="n">
        <v>2</v>
      </c>
      <c r="W59" s="153" t="n">
        <v>2</v>
      </c>
      <c r="X59" s="153" t="n">
        <v>2</v>
      </c>
      <c r="Y59" s="153" t="n">
        <v>2</v>
      </c>
      <c r="Z59" s="153">
        <f>1+2</f>
        <v/>
      </c>
      <c r="AA59" s="153" t="n">
        <v>2</v>
      </c>
      <c r="AB59" s="153" t="n">
        <v>2</v>
      </c>
      <c r="AC59" s="153" t="n">
        <v>2</v>
      </c>
      <c r="AD59" s="153" t="n">
        <v>2</v>
      </c>
      <c r="AE59" s="153" t="n">
        <v>2</v>
      </c>
      <c r="AF59" s="153" t="n">
        <v>2</v>
      </c>
      <c r="AG59" s="153" t="n">
        <v>2</v>
      </c>
      <c r="AH59" s="153" t="n">
        <v>2</v>
      </c>
      <c r="AI59" s="153" t="n">
        <v>2</v>
      </c>
      <c r="AJ59" s="153" t="n">
        <v>2</v>
      </c>
      <c r="AK59" s="153" t="n">
        <v>2</v>
      </c>
      <c r="AL59" s="153" t="n">
        <v>2</v>
      </c>
      <c r="AM59" s="153" t="n">
        <v>2</v>
      </c>
      <c r="AN59" s="153" t="n">
        <v>1</v>
      </c>
      <c r="AO59" s="153" t="n">
        <v>1</v>
      </c>
      <c r="AP59" s="153" t="n">
        <v>1</v>
      </c>
      <c r="AQ59" s="153" t="n">
        <v>0</v>
      </c>
      <c r="AR59" s="153" t="n">
        <v>0</v>
      </c>
      <c r="AS59" s="153" t="n">
        <v>0</v>
      </c>
      <c r="AT59" s="153" t="n">
        <v>0</v>
      </c>
      <c r="AU59" s="153" t="n">
        <v>0</v>
      </c>
      <c r="AV59" s="153" t="n">
        <v>0</v>
      </c>
      <c r="AW59" s="153" t="n">
        <v>0</v>
      </c>
      <c r="AX59" s="153" t="n">
        <v>0</v>
      </c>
      <c r="AY59" s="153" t="n">
        <v>0</v>
      </c>
      <c r="AZ59" s="153" t="n">
        <v>0</v>
      </c>
      <c r="BA59" s="153" t="n">
        <v>0</v>
      </c>
      <c r="BB59" s="153" t="n">
        <v>0</v>
      </c>
      <c r="BC59" s="153" t="n">
        <v>0</v>
      </c>
      <c r="BD59" s="153" t="n">
        <v>0</v>
      </c>
      <c r="BE59" s="153" t="n">
        <v>0</v>
      </c>
      <c r="BF59" s="153" t="n">
        <v>0</v>
      </c>
      <c r="BG59" s="153" t="n">
        <v>0</v>
      </c>
      <c r="BH59" s="153" t="n">
        <v>0</v>
      </c>
      <c r="BI59" s="153" t="n">
        <v>0</v>
      </c>
      <c r="BJ59" s="153" t="n">
        <v>0</v>
      </c>
      <c r="BK59" s="153" t="n">
        <v>0</v>
      </c>
      <c r="BL59" s="153" t="n">
        <v>0</v>
      </c>
      <c r="BM59" s="153" t="n">
        <v>0</v>
      </c>
      <c r="BN59" s="153" t="n">
        <v>0</v>
      </c>
      <c r="BO59" s="153" t="n">
        <v>0</v>
      </c>
      <c r="BP59" s="153" t="n">
        <v>0</v>
      </c>
      <c r="BQ59" s="153" t="n">
        <v>0</v>
      </c>
      <c r="BR59" s="153" t="n">
        <v>0</v>
      </c>
      <c r="BS59" s="153" t="n">
        <v>0</v>
      </c>
      <c r="BT59" s="153" t="n">
        <v>0</v>
      </c>
      <c r="BU59" s="153" t="n">
        <v>0</v>
      </c>
      <c r="BV59" s="153" t="n">
        <v>0</v>
      </c>
      <c r="BW59" s="153" t="n">
        <v>0</v>
      </c>
      <c r="BX59" s="153" t="n">
        <v>0</v>
      </c>
      <c r="BY59" s="198">
        <f>BW59+IF(NOT(ISBLANK(OFFSET(BY59,0,6))),N(OFFSET(BY59,0,6)),N(OFFSET(BY59,0,7)))-BX59</f>
        <v/>
      </c>
      <c r="CA59" s="357" t="n"/>
      <c r="CB59" s="357" t="n"/>
      <c r="CD59" s="27" t="n"/>
      <c r="CF59" s="135" t="n">
        <v>0</v>
      </c>
      <c r="CG59" s="135" t="n">
        <v>0</v>
      </c>
      <c r="CH59" s="135" t="n">
        <v>0</v>
      </c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374" t="n"/>
      <c r="DL59" s="135" t="n"/>
      <c r="DM59" s="135" t="n"/>
      <c r="DN59" s="135" t="n"/>
      <c r="DO59" s="135" t="n"/>
      <c r="DP59" s="135" t="n"/>
      <c r="DQ59" s="135" t="n"/>
      <c r="DR59" s="135" t="n"/>
      <c r="DS59" s="135" t="n"/>
      <c r="DT59" s="135" t="n"/>
      <c r="DU59" s="135" t="n"/>
      <c r="DV59" s="135" t="n"/>
      <c r="DW59" s="135" t="n"/>
      <c r="DX59" s="135" t="n"/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282" t="inlineStr">
        <is>
          <t>02 DE ERJ</t>
        </is>
      </c>
      <c r="FI59" s="374" t="n"/>
      <c r="FJ59" s="135" t="n"/>
      <c r="FK59" s="135" t="n"/>
      <c r="FL59" s="135" t="n"/>
      <c r="FM59" s="135" t="n"/>
      <c r="FN59" s="135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311" t="n"/>
      <c r="FX59" s="135" t="n"/>
      <c r="FY59" s="311" t="n"/>
      <c r="FZ59" s="135" t="n"/>
      <c r="GA59" s="135" t="n"/>
      <c r="GB59" s="135" t="n">
        <v>2</v>
      </c>
      <c r="GC59" s="135" t="n"/>
      <c r="GD59" s="135" t="n"/>
      <c r="GE59" s="135" t="n"/>
      <c r="GF59" s="135" t="n"/>
      <c r="GG59" s="135" t="n"/>
      <c r="GH59" s="135" t="n"/>
      <c r="GI59" s="135" t="n"/>
      <c r="GJ59" s="135" t="n"/>
      <c r="GK59" s="135" t="n"/>
      <c r="GL59" s="135" t="n"/>
      <c r="GM59" s="135" t="n">
        <v>1</v>
      </c>
      <c r="GN59" s="135" t="n"/>
    </row>
    <row r="60">
      <c r="A60" s="37" t="inlineStr">
        <is>
          <t>TAG QDB</t>
        </is>
      </c>
      <c r="B60" s="699" t="n">
        <v>300</v>
      </c>
      <c r="C60" s="762" t="n">
        <v>53.97</v>
      </c>
      <c r="D60" s="382" t="n">
        <v>1</v>
      </c>
      <c r="F60" s="153" t="n">
        <v>1</v>
      </c>
      <c r="G60" s="153" t="n">
        <v>1</v>
      </c>
      <c r="H60" s="153" t="n">
        <v>1</v>
      </c>
      <c r="I60" s="153" t="n">
        <v>1</v>
      </c>
      <c r="J60" s="153" t="n">
        <v>1</v>
      </c>
      <c r="K60" s="153" t="n">
        <v>1</v>
      </c>
      <c r="L60" s="153" t="n">
        <v>0</v>
      </c>
      <c r="M60" s="153" t="n">
        <v>0</v>
      </c>
      <c r="N60" s="153">
        <f>0+GB60</f>
        <v/>
      </c>
      <c r="O60" s="153" t="n">
        <v>3</v>
      </c>
      <c r="P60" s="153" t="n">
        <v>3</v>
      </c>
      <c r="Q60" s="153" t="n">
        <v>3</v>
      </c>
      <c r="R60" s="153" t="n">
        <v>2</v>
      </c>
      <c r="S60" s="153" t="n">
        <v>1</v>
      </c>
      <c r="T60" s="153">
        <f>1+FT60</f>
        <v/>
      </c>
      <c r="U60" s="153" t="n">
        <v>4</v>
      </c>
      <c r="V60" s="153" t="n">
        <v>3</v>
      </c>
      <c r="W60" s="153" t="n">
        <v>3</v>
      </c>
      <c r="X60" s="153" t="n">
        <v>3</v>
      </c>
      <c r="Y60" s="153" t="n">
        <v>2</v>
      </c>
      <c r="Z60" s="153">
        <f>2+3</f>
        <v/>
      </c>
      <c r="AA60" s="153" t="n">
        <v>4</v>
      </c>
      <c r="AB60" s="153" t="n">
        <v>4</v>
      </c>
      <c r="AC60" s="153" t="n">
        <v>4</v>
      </c>
      <c r="AD60" s="153" t="n">
        <v>4</v>
      </c>
      <c r="AE60" s="153" t="n">
        <v>3</v>
      </c>
      <c r="AF60" s="153" t="n">
        <v>3</v>
      </c>
      <c r="AG60" s="153" t="n">
        <v>3</v>
      </c>
      <c r="AH60" s="153" t="n">
        <v>3</v>
      </c>
      <c r="AI60" s="153" t="n">
        <v>2</v>
      </c>
      <c r="AJ60" s="153" t="n">
        <v>1</v>
      </c>
      <c r="AK60" s="153" t="n">
        <v>1</v>
      </c>
      <c r="AL60" s="153" t="n">
        <v>1</v>
      </c>
      <c r="AM60" s="153" t="n">
        <v>1</v>
      </c>
      <c r="AN60" s="153" t="n">
        <v>1</v>
      </c>
      <c r="AO60" s="153" t="n">
        <v>0</v>
      </c>
      <c r="AP60" s="153" t="n">
        <v>0</v>
      </c>
      <c r="AQ60" s="153" t="n">
        <v>0</v>
      </c>
      <c r="AR60" s="153" t="n">
        <v>0</v>
      </c>
      <c r="AS60" s="153" t="n">
        <v>0</v>
      </c>
      <c r="AT60" s="153" t="n">
        <v>0</v>
      </c>
      <c r="AU60" s="153" t="n">
        <v>0</v>
      </c>
      <c r="AV60" s="153" t="n">
        <v>0</v>
      </c>
      <c r="AW60" s="153" t="n">
        <v>0</v>
      </c>
      <c r="AX60" s="153" t="n">
        <v>0</v>
      </c>
      <c r="AY60" s="153" t="n">
        <v>0</v>
      </c>
      <c r="AZ60" s="153" t="n">
        <v>0</v>
      </c>
      <c r="BA60" s="153" t="n">
        <v>0</v>
      </c>
      <c r="BB60" s="153" t="n">
        <v>0</v>
      </c>
      <c r="BC60" s="153" t="n">
        <v>0</v>
      </c>
      <c r="BD60" s="153" t="n">
        <v>0</v>
      </c>
      <c r="BE60" s="153" t="n">
        <v>0</v>
      </c>
      <c r="BF60" s="153" t="n">
        <v>0</v>
      </c>
      <c r="BG60" s="153" t="n">
        <v>0</v>
      </c>
      <c r="BH60" s="153" t="n">
        <v>0</v>
      </c>
      <c r="BI60" s="153" t="n">
        <v>0</v>
      </c>
      <c r="BJ60" s="153" t="n">
        <v>0</v>
      </c>
      <c r="BK60" s="153" t="n">
        <v>0</v>
      </c>
      <c r="BL60" s="153" t="n">
        <v>0</v>
      </c>
      <c r="BM60" s="153" t="n">
        <v>0</v>
      </c>
      <c r="BN60" s="153" t="n">
        <v>0</v>
      </c>
      <c r="BO60" s="153" t="n">
        <v>0</v>
      </c>
      <c r="BP60" s="153" t="n">
        <v>0</v>
      </c>
      <c r="BQ60" s="153" t="n">
        <v>0</v>
      </c>
      <c r="BR60" s="153" t="n">
        <v>0</v>
      </c>
      <c r="BS60" s="153" t="n">
        <v>0</v>
      </c>
      <c r="BT60" s="153" t="n">
        <v>0</v>
      </c>
      <c r="BU60" s="153" t="n">
        <v>0</v>
      </c>
      <c r="BV60" s="153" t="n">
        <v>0</v>
      </c>
      <c r="BW60" s="153" t="n">
        <v>0</v>
      </c>
      <c r="BX60" s="153" t="n">
        <v>0</v>
      </c>
      <c r="BY60" s="198">
        <f>BW60+IF(NOT(ISBLANK(OFFSET(BY60,0,6))),N(OFFSET(BY60,0,6)),N(OFFSET(BY60,0,7)))-BX60</f>
        <v/>
      </c>
      <c r="CA60" s="357" t="n"/>
      <c r="CB60" s="357" t="n"/>
      <c r="CD60" s="27" t="n"/>
      <c r="CF60" s="135" t="n">
        <v>0</v>
      </c>
      <c r="CG60" s="135" t="n">
        <v>0</v>
      </c>
      <c r="CH60" s="135" t="n">
        <v>0</v>
      </c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374" t="n"/>
      <c r="DL60" s="135" t="n"/>
      <c r="DM60" s="135" t="n"/>
      <c r="DN60" s="135" t="n"/>
      <c r="DO60" s="135" t="n"/>
      <c r="DP60" s="135" t="n"/>
      <c r="DQ60" s="135" t="n"/>
      <c r="DR60" s="135" t="n"/>
      <c r="DS60" s="135" t="n"/>
      <c r="DT60" s="135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282" t="inlineStr">
        <is>
          <t>03 DE ERJ</t>
        </is>
      </c>
      <c r="FI60" s="374" t="n"/>
      <c r="FJ60" s="135" t="n"/>
      <c r="FK60" s="135" t="n"/>
      <c r="FL60" s="135" t="n"/>
      <c r="FM60" s="135" t="n"/>
      <c r="FN60" s="135" t="n"/>
      <c r="FO60" s="135" t="n"/>
      <c r="FP60" s="135" t="n"/>
      <c r="FQ60" s="135" t="n"/>
      <c r="FR60" s="135" t="n"/>
      <c r="FS60" s="135" t="n"/>
      <c r="FT60" s="135" t="n">
        <v>3</v>
      </c>
      <c r="FU60" s="135" t="n"/>
      <c r="FV60" s="135" t="n"/>
      <c r="FW60" s="311" t="n"/>
      <c r="FX60" s="135" t="n"/>
      <c r="FY60" s="311" t="n"/>
      <c r="FZ60" s="135" t="n"/>
      <c r="GA60" s="135" t="n"/>
      <c r="GB60" s="135" t="n">
        <v>3</v>
      </c>
      <c r="GC60" s="135" t="n"/>
      <c r="GD60" s="135" t="n"/>
      <c r="GE60" s="135" t="n"/>
      <c r="GF60" s="135" t="n"/>
      <c r="GG60" s="135" t="n"/>
      <c r="GH60" s="135" t="n"/>
      <c r="GI60" s="135" t="n"/>
      <c r="GJ60" s="135" t="n"/>
      <c r="GK60" s="135" t="n"/>
      <c r="GL60" s="135" t="n"/>
      <c r="GM60" s="135" t="n">
        <v>1</v>
      </c>
      <c r="GN60" s="135" t="n"/>
    </row>
    <row r="61">
      <c r="A61" s="37" t="inlineStr">
        <is>
          <t>LÂMINA OLFATIVA QDB</t>
        </is>
      </c>
      <c r="B61" s="699" t="n">
        <v>3000</v>
      </c>
      <c r="C61" s="762" t="n">
        <v>213</v>
      </c>
      <c r="D61" s="382" t="n">
        <v>0</v>
      </c>
      <c r="E61" s="573" t="n"/>
      <c r="F61" s="153" t="n">
        <v>2</v>
      </c>
      <c r="G61" s="153" t="n">
        <v>2</v>
      </c>
      <c r="H61" s="153" t="n">
        <v>2</v>
      </c>
      <c r="I61" s="153" t="n">
        <v>2</v>
      </c>
      <c r="J61" s="153" t="n">
        <v>2</v>
      </c>
      <c r="K61" s="153" t="n">
        <v>2</v>
      </c>
      <c r="L61" s="153" t="n">
        <v>2</v>
      </c>
      <c r="M61" s="153" t="n">
        <v>2</v>
      </c>
      <c r="N61" s="153" t="n">
        <v>2</v>
      </c>
      <c r="O61" s="153" t="n">
        <v>2</v>
      </c>
      <c r="P61" s="153" t="n">
        <v>2</v>
      </c>
      <c r="Q61" s="153" t="n">
        <v>2</v>
      </c>
      <c r="R61" s="153" t="n">
        <v>2</v>
      </c>
      <c r="S61" s="153" t="n">
        <v>2</v>
      </c>
      <c r="T61" s="153" t="n">
        <v>2</v>
      </c>
      <c r="U61" s="153" t="n">
        <v>2</v>
      </c>
      <c r="V61" s="153" t="n">
        <v>2</v>
      </c>
      <c r="W61" s="153" t="n">
        <v>2</v>
      </c>
      <c r="X61" s="153" t="n">
        <v>2</v>
      </c>
      <c r="Y61" s="153" t="n">
        <v>2</v>
      </c>
      <c r="Z61" s="153" t="n">
        <v>2</v>
      </c>
      <c r="AA61" s="153" t="n">
        <v>2</v>
      </c>
      <c r="AB61" s="153" t="n">
        <v>2</v>
      </c>
      <c r="AC61" s="153" t="n">
        <v>2</v>
      </c>
      <c r="AD61" s="153" t="n">
        <v>2</v>
      </c>
      <c r="AE61" s="153" t="n">
        <v>2</v>
      </c>
      <c r="AF61" s="153" t="n">
        <v>2</v>
      </c>
      <c r="AG61" s="153" t="n">
        <v>2</v>
      </c>
      <c r="AH61" s="153" t="n">
        <v>2</v>
      </c>
      <c r="AI61" s="153" t="n">
        <v>2</v>
      </c>
      <c r="AJ61" s="153" t="n">
        <v>2</v>
      </c>
      <c r="AK61" s="153" t="n">
        <v>2</v>
      </c>
      <c r="AL61" s="153" t="n">
        <v>2</v>
      </c>
      <c r="AM61" s="153" t="n">
        <v>2</v>
      </c>
      <c r="AN61" s="153" t="n">
        <v>2</v>
      </c>
      <c r="AO61" s="153" t="n">
        <v>1</v>
      </c>
      <c r="AP61" s="153" t="n">
        <v>1</v>
      </c>
      <c r="AQ61" s="153" t="n">
        <v>0</v>
      </c>
      <c r="AR61" s="153" t="n">
        <v>0</v>
      </c>
      <c r="AS61" s="153" t="n">
        <v>0</v>
      </c>
      <c r="AT61" s="153" t="n">
        <v>0</v>
      </c>
      <c r="AU61" s="153" t="n">
        <v>0</v>
      </c>
      <c r="AV61" s="153" t="n">
        <v>0</v>
      </c>
      <c r="AW61" s="153" t="n">
        <v>0</v>
      </c>
      <c r="AX61" s="153" t="n">
        <v>0</v>
      </c>
      <c r="AY61" s="153" t="n">
        <v>0</v>
      </c>
      <c r="AZ61" s="153" t="n">
        <v>0</v>
      </c>
      <c r="BA61" s="153" t="n">
        <v>0</v>
      </c>
      <c r="BB61" s="153" t="n">
        <v>0</v>
      </c>
      <c r="BC61" s="153" t="n">
        <v>0</v>
      </c>
      <c r="BD61" s="153" t="n">
        <v>0</v>
      </c>
      <c r="BE61" s="153" t="n">
        <v>0</v>
      </c>
      <c r="BF61" s="153" t="n">
        <v>0</v>
      </c>
      <c r="BG61" s="153" t="n">
        <v>0</v>
      </c>
      <c r="BH61" s="153" t="n">
        <v>0</v>
      </c>
      <c r="BI61" s="153" t="n">
        <v>0</v>
      </c>
      <c r="BJ61" s="153" t="n">
        <v>0</v>
      </c>
      <c r="BK61" s="153" t="n">
        <v>0</v>
      </c>
      <c r="BL61" s="153" t="n">
        <v>0</v>
      </c>
      <c r="BM61" s="153" t="n">
        <v>0</v>
      </c>
      <c r="BN61" s="153" t="n">
        <v>0</v>
      </c>
      <c r="BO61" s="153" t="n">
        <v>0</v>
      </c>
      <c r="BP61" s="153" t="n">
        <v>0</v>
      </c>
      <c r="BQ61" s="153" t="n">
        <v>0</v>
      </c>
      <c r="BR61" s="153" t="n">
        <v>0</v>
      </c>
      <c r="BS61" s="153" t="n">
        <v>0</v>
      </c>
      <c r="BT61" s="153" t="n">
        <v>0</v>
      </c>
      <c r="BU61" s="153" t="n">
        <v>0</v>
      </c>
      <c r="BV61" s="153" t="n">
        <v>0</v>
      </c>
      <c r="BW61" s="153" t="n">
        <v>0</v>
      </c>
      <c r="BX61" s="153" t="n">
        <v>0</v>
      </c>
      <c r="BY61" s="198">
        <f>BW61+IF(NOT(ISBLANK(OFFSET(BY61,0,6))),N(OFFSET(BY61,0,6)),N(OFFSET(BY61,0,7)))-BX61</f>
        <v/>
      </c>
      <c r="CA61" s="194" t="n"/>
      <c r="CB61" s="194" t="n"/>
      <c r="CD61" s="27" t="n"/>
      <c r="CF61" s="135" t="n">
        <v>0</v>
      </c>
      <c r="CG61" s="135" t="n">
        <v>0</v>
      </c>
      <c r="CH61" s="135" t="n">
        <v>0</v>
      </c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/>
      <c r="CZ61" s="135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374" t="n"/>
      <c r="DL61" s="135" t="n"/>
      <c r="DM61" s="135" t="n"/>
      <c r="DN61" s="135" t="n"/>
      <c r="DO61" s="135" t="n"/>
      <c r="DP61" s="135" t="n"/>
      <c r="DQ61" s="135" t="n"/>
      <c r="DR61" s="135" t="n"/>
      <c r="DS61" s="135" t="n"/>
      <c r="DT61" s="135" t="n"/>
      <c r="DU61" s="135" t="n"/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135" t="n"/>
      <c r="EP61" s="135" t="n"/>
      <c r="EQ61" s="135" t="n"/>
      <c r="ER61" s="135" t="n"/>
      <c r="ES61" s="135" t="n"/>
      <c r="ET61" s="135" t="n"/>
      <c r="EU61" s="135" t="n"/>
      <c r="EV61" s="135" t="n"/>
      <c r="EW61" s="135" t="n"/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23" t="n"/>
      <c r="FI61" s="374" t="n"/>
      <c r="FJ61" s="135" t="n"/>
      <c r="FK61" s="135" t="n"/>
      <c r="FL61" s="135" t="n"/>
      <c r="FM61" s="135" t="n"/>
      <c r="FN61" s="135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219" t="n"/>
      <c r="FX61" s="135" t="n"/>
      <c r="FY61" s="219" t="n"/>
      <c r="FZ61" s="135" t="n"/>
      <c r="GA61" s="135" t="n"/>
      <c r="GB61" s="135" t="n"/>
      <c r="GC61" s="135" t="n"/>
      <c r="GD61" s="135" t="n"/>
      <c r="GE61" s="135" t="n"/>
      <c r="GF61" s="135" t="n"/>
      <c r="GG61" s="135" t="n"/>
      <c r="GH61" s="135" t="n"/>
      <c r="GI61" s="135" t="n"/>
      <c r="GJ61" s="135" t="n"/>
      <c r="GK61" s="135" t="n"/>
      <c r="GL61" s="135" t="n"/>
      <c r="GM61" s="135" t="n"/>
      <c r="GN61" s="135" t="n"/>
    </row>
    <row r="62">
      <c r="A62" s="37" t="inlineStr">
        <is>
          <t>CAIXA P QDB</t>
        </is>
      </c>
      <c r="B62" s="699" t="n">
        <v>150</v>
      </c>
      <c r="C62" s="762" t="n">
        <v>295.72</v>
      </c>
      <c r="D62" s="382" t="n">
        <v>10</v>
      </c>
      <c r="F62" s="32" t="n">
        <v>11</v>
      </c>
      <c r="G62" s="32" t="n">
        <v>11</v>
      </c>
      <c r="H62" s="32" t="n">
        <v>28</v>
      </c>
      <c r="I62" s="32" t="n">
        <v>28</v>
      </c>
      <c r="J62" s="32" t="n">
        <v>28</v>
      </c>
      <c r="K62" s="32" t="n">
        <v>28</v>
      </c>
      <c r="L62" s="32" t="n">
        <v>28</v>
      </c>
      <c r="M62" s="32" t="n">
        <v>28</v>
      </c>
      <c r="N62" s="32" t="n">
        <v>28</v>
      </c>
      <c r="O62" s="32" t="n">
        <v>28</v>
      </c>
      <c r="P62" s="32" t="n">
        <v>28</v>
      </c>
      <c r="Q62" s="32" t="n">
        <v>28</v>
      </c>
      <c r="R62" s="32" t="n">
        <v>28</v>
      </c>
      <c r="S62" s="32" t="n">
        <v>28</v>
      </c>
      <c r="T62" s="32" t="n">
        <v>28</v>
      </c>
      <c r="U62" s="32" t="n">
        <v>28</v>
      </c>
      <c r="V62" s="32" t="n">
        <v>27</v>
      </c>
      <c r="W62" s="32" t="n">
        <v>27</v>
      </c>
      <c r="X62" s="32" t="n">
        <v>27</v>
      </c>
      <c r="Y62" s="32" t="n">
        <v>27</v>
      </c>
      <c r="Z62" s="32" t="n">
        <v>27</v>
      </c>
      <c r="AA62" s="32" t="n">
        <v>27</v>
      </c>
      <c r="AB62" s="32" t="n">
        <v>27</v>
      </c>
      <c r="AC62" s="32" t="n">
        <v>27</v>
      </c>
      <c r="AD62" s="32" t="n">
        <v>26</v>
      </c>
      <c r="AE62" s="32">
        <f>26+57</f>
        <v/>
      </c>
      <c r="AF62" s="32" t="n">
        <v>83</v>
      </c>
      <c r="AG62" s="32" t="n">
        <v>83</v>
      </c>
      <c r="AH62" s="32" t="n">
        <v>83</v>
      </c>
      <c r="AI62" s="32" t="n">
        <v>83</v>
      </c>
      <c r="AJ62" s="32" t="n">
        <v>83</v>
      </c>
      <c r="AK62" s="32" t="n">
        <v>83</v>
      </c>
      <c r="AL62" s="32" t="n">
        <v>83</v>
      </c>
      <c r="AM62" s="32" t="n">
        <v>83</v>
      </c>
      <c r="AN62" s="32" t="n">
        <v>83</v>
      </c>
      <c r="AO62" s="32" t="n">
        <v>83</v>
      </c>
      <c r="AP62" s="32" t="n">
        <v>83</v>
      </c>
      <c r="AQ62" s="32" t="n">
        <v>33</v>
      </c>
      <c r="AR62" s="32" t="n">
        <v>33</v>
      </c>
      <c r="AS62" s="32" t="n">
        <v>26</v>
      </c>
      <c r="AT62" s="32" t="n">
        <v>25</v>
      </c>
      <c r="AU62" s="32" t="n">
        <v>25</v>
      </c>
      <c r="AV62" s="32" t="n">
        <v>25</v>
      </c>
      <c r="AW62" s="32" t="n">
        <v>25</v>
      </c>
      <c r="AX62" s="32" t="n">
        <v>25</v>
      </c>
      <c r="AY62" s="32" t="n">
        <v>20</v>
      </c>
      <c r="AZ62" s="32" t="n">
        <v>20</v>
      </c>
      <c r="BA62" s="32" t="n">
        <v>20</v>
      </c>
      <c r="BB62" s="32" t="n">
        <v>20</v>
      </c>
      <c r="BC62" s="32" t="n">
        <v>20</v>
      </c>
      <c r="BD62" s="32" t="n">
        <v>20</v>
      </c>
      <c r="BE62" s="32" t="n">
        <v>20</v>
      </c>
      <c r="BF62" s="32" t="n">
        <v>20</v>
      </c>
      <c r="BG62" s="32" t="n">
        <v>20</v>
      </c>
      <c r="BH62" s="32" t="n">
        <v>20</v>
      </c>
      <c r="BI62" s="32" t="n">
        <v>19</v>
      </c>
      <c r="BJ62" s="32" t="n">
        <v>19</v>
      </c>
      <c r="BK62" s="32" t="n">
        <v>19</v>
      </c>
      <c r="BL62" s="32" t="n">
        <v>19</v>
      </c>
      <c r="BM62" s="32" t="n">
        <v>19</v>
      </c>
      <c r="BN62" s="32" t="n">
        <v>19</v>
      </c>
      <c r="BO62" s="32" t="n">
        <v>19</v>
      </c>
      <c r="BP62" s="32" t="n">
        <v>19</v>
      </c>
      <c r="BQ62" s="32" t="n">
        <v>19</v>
      </c>
      <c r="BR62" s="32" t="n">
        <v>19</v>
      </c>
      <c r="BS62" s="32" t="n"/>
      <c r="BT62" s="32" t="n"/>
      <c r="BU62" s="32" t="n"/>
      <c r="BV62" s="32" t="n"/>
      <c r="BW62" s="32" t="n">
        <v>18</v>
      </c>
      <c r="BX62" s="32" t="n">
        <v>18</v>
      </c>
      <c r="BY62" s="198">
        <f>BW62+IF(NOT(ISBLANK(OFFSET(BY62,0,6))),N(OFFSET(BY62,0,6)),N(OFFSET(BY62,0,7)))-BX62</f>
        <v/>
      </c>
      <c r="CA62" s="38" t="n"/>
      <c r="CB62" s="38" t="n"/>
      <c r="CD62" s="27" t="n"/>
      <c r="CF62" s="135" t="n">
        <v>0</v>
      </c>
      <c r="CG62" s="135" t="n">
        <v>0</v>
      </c>
      <c r="CH62" s="135" t="n">
        <v>0</v>
      </c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374" t="n"/>
      <c r="DL62" s="135" t="n"/>
      <c r="DM62" s="135" t="n"/>
      <c r="DN62" s="135" t="n"/>
      <c r="DO62" s="135" t="n"/>
      <c r="DP62" s="135" t="n"/>
      <c r="DQ62" s="135" t="n"/>
      <c r="DR62" s="135" t="n"/>
      <c r="DS62" s="135" t="n"/>
      <c r="DT62" s="135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135" t="n"/>
      <c r="EP62" s="135" t="n"/>
      <c r="EQ62" s="135" t="n"/>
      <c r="ER62" s="135" t="n"/>
      <c r="ES62" s="135" t="n"/>
      <c r="ET62" s="135" t="n"/>
      <c r="EU62" s="135" t="n"/>
      <c r="EV62" s="135" t="n"/>
      <c r="EW62" s="406" t="inlineStr">
        <is>
          <t>57 DE CDB</t>
        </is>
      </c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290" t="n"/>
      <c r="FI62" s="374" t="n"/>
      <c r="FJ62" s="135" t="n"/>
      <c r="FK62" s="135" t="n"/>
      <c r="FL62" s="135" t="n"/>
      <c r="FM62" s="135" t="n"/>
      <c r="FN62" s="135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219" t="n"/>
      <c r="FX62" s="135" t="n"/>
      <c r="FY62" s="219" t="n"/>
      <c r="FZ62" s="135" t="n"/>
      <c r="GA62" s="135" t="n"/>
      <c r="GB62" s="135" t="n"/>
      <c r="GC62" s="135" t="n"/>
      <c r="GD62" s="135" t="n"/>
      <c r="GE62" s="135" t="n"/>
      <c r="GF62" s="135" t="n"/>
      <c r="GG62" s="135" t="n"/>
      <c r="GH62" s="135" t="n"/>
      <c r="GI62" s="135" t="n"/>
      <c r="GJ62" s="135" t="n"/>
      <c r="GK62" s="135" t="n"/>
      <c r="GL62" s="135" t="n"/>
      <c r="GM62" s="135" t="n"/>
      <c r="GN62" s="135" t="n"/>
    </row>
    <row r="63">
      <c r="A63" s="37" t="inlineStr">
        <is>
          <t>CAIXA M QDB</t>
        </is>
      </c>
      <c r="B63" s="699" t="n">
        <v>100</v>
      </c>
      <c r="C63" s="762" t="n">
        <v>216.38</v>
      </c>
      <c r="D63" s="382" t="n">
        <v>10</v>
      </c>
      <c r="F63" s="32" t="n">
        <v>22</v>
      </c>
      <c r="G63" s="32" t="n">
        <v>22</v>
      </c>
      <c r="H63" s="32" t="n">
        <v>22</v>
      </c>
      <c r="I63" s="32" t="n">
        <v>22</v>
      </c>
      <c r="J63" s="32" t="n">
        <v>22</v>
      </c>
      <c r="K63" s="32" t="n">
        <v>22</v>
      </c>
      <c r="L63" s="32" t="n">
        <v>22</v>
      </c>
      <c r="M63" s="32" t="n">
        <v>21</v>
      </c>
      <c r="N63" s="32" t="n">
        <v>21</v>
      </c>
      <c r="O63" s="32" t="n">
        <v>21</v>
      </c>
      <c r="P63" s="32" t="n">
        <v>21</v>
      </c>
      <c r="Q63" s="32" t="n">
        <v>21</v>
      </c>
      <c r="R63" s="32" t="n">
        <v>21</v>
      </c>
      <c r="S63" s="32" t="n">
        <v>21</v>
      </c>
      <c r="T63" s="32" t="n">
        <v>21</v>
      </c>
      <c r="U63" s="32" t="n">
        <v>21</v>
      </c>
      <c r="V63" s="32" t="n">
        <v>21</v>
      </c>
      <c r="W63" s="32" t="n">
        <v>21</v>
      </c>
      <c r="X63" s="32" t="n">
        <v>21</v>
      </c>
      <c r="Y63" s="32" t="n">
        <v>21</v>
      </c>
      <c r="Z63" s="32" t="n">
        <v>21</v>
      </c>
      <c r="AA63" s="32" t="n">
        <v>21</v>
      </c>
      <c r="AB63" s="32" t="n">
        <v>21</v>
      </c>
      <c r="AC63" s="32" t="n">
        <v>21</v>
      </c>
      <c r="AD63" s="32" t="n">
        <v>20</v>
      </c>
      <c r="AE63" s="32" t="n">
        <v>20</v>
      </c>
      <c r="AF63" s="32" t="n">
        <v>20</v>
      </c>
      <c r="AG63" s="32" t="n">
        <v>20</v>
      </c>
      <c r="AH63" s="32" t="n">
        <v>20</v>
      </c>
      <c r="AI63" s="32" t="n">
        <v>20</v>
      </c>
      <c r="AJ63" s="32" t="n">
        <v>20</v>
      </c>
      <c r="AK63" s="32" t="n">
        <v>20</v>
      </c>
      <c r="AL63" s="32" t="n">
        <v>20</v>
      </c>
      <c r="AM63" s="32" t="n">
        <v>20</v>
      </c>
      <c r="AN63" s="32" t="n">
        <v>20</v>
      </c>
      <c r="AO63" s="32" t="n">
        <v>20</v>
      </c>
      <c r="AP63" s="32" t="n">
        <v>20</v>
      </c>
      <c r="AQ63" s="32" t="n">
        <v>20</v>
      </c>
      <c r="AR63" s="32" t="n">
        <v>20</v>
      </c>
      <c r="AS63" s="32" t="n">
        <v>20</v>
      </c>
      <c r="AT63" s="32" t="n">
        <v>20</v>
      </c>
      <c r="AU63" s="32" t="n">
        <v>20</v>
      </c>
      <c r="AV63" s="32" t="n">
        <v>20</v>
      </c>
      <c r="AW63" s="32" t="n">
        <v>20</v>
      </c>
      <c r="AX63" s="32" t="n">
        <v>20</v>
      </c>
      <c r="AY63" s="32" t="n">
        <v>15</v>
      </c>
      <c r="AZ63" s="32" t="n">
        <v>15</v>
      </c>
      <c r="BA63" s="32" t="n">
        <v>15</v>
      </c>
      <c r="BB63" s="32" t="n">
        <v>15</v>
      </c>
      <c r="BC63" s="32" t="n">
        <v>15</v>
      </c>
      <c r="BD63" s="32" t="n">
        <v>15</v>
      </c>
      <c r="BE63" s="32" t="n">
        <v>15</v>
      </c>
      <c r="BF63" s="32" t="n">
        <v>15</v>
      </c>
      <c r="BG63" s="32" t="n">
        <v>15</v>
      </c>
      <c r="BH63" s="32" t="n">
        <v>15</v>
      </c>
      <c r="BI63" s="32" t="n">
        <v>13</v>
      </c>
      <c r="BJ63" s="32" t="n">
        <v>13</v>
      </c>
      <c r="BK63" s="32" t="n">
        <v>13</v>
      </c>
      <c r="BL63" s="32" t="n">
        <v>13</v>
      </c>
      <c r="BM63" s="32" t="n">
        <v>12</v>
      </c>
      <c r="BN63" s="32" t="n">
        <v>12</v>
      </c>
      <c r="BO63" s="32" t="n">
        <v>12</v>
      </c>
      <c r="BP63" s="32" t="n">
        <v>12</v>
      </c>
      <c r="BQ63" s="32" t="n">
        <v>12</v>
      </c>
      <c r="BR63" s="32" t="n">
        <v>12</v>
      </c>
      <c r="BS63" s="32" t="n"/>
      <c r="BT63" s="32" t="n"/>
      <c r="BU63" s="32" t="n"/>
      <c r="BV63" s="32" t="n"/>
      <c r="BW63" s="32" t="n">
        <v>12</v>
      </c>
      <c r="BX63" s="32" t="n">
        <v>12</v>
      </c>
      <c r="BY63" s="198">
        <f>BW63+IF(NOT(ISBLANK(OFFSET(BY63,0,6))),N(OFFSET(BY63,0,6)),N(OFFSET(BY63,0,7)))-BX63</f>
        <v/>
      </c>
      <c r="CA63" s="38" t="n"/>
      <c r="CB63" s="38" t="n"/>
      <c r="CD63" s="27" t="n"/>
      <c r="CF63" s="135" t="n">
        <v>0</v>
      </c>
      <c r="CG63" s="135" t="n">
        <v>0</v>
      </c>
      <c r="CH63" s="135" t="n">
        <v>0</v>
      </c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374" t="n"/>
      <c r="DL63" s="135" t="n"/>
      <c r="DM63" s="135" t="n"/>
      <c r="DN63" s="135" t="n"/>
      <c r="DO63" s="135" t="n"/>
      <c r="DP63" s="135" t="n"/>
      <c r="DQ63" s="135" t="n"/>
      <c r="DR63" s="135" t="n"/>
      <c r="DS63" s="135" t="n"/>
      <c r="DT63" s="135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135" t="n"/>
      <c r="EP63" s="135" t="n"/>
      <c r="EQ63" s="135" t="n"/>
      <c r="ER63" s="135" t="n"/>
      <c r="ES63" s="135" t="n"/>
      <c r="ET63" s="135" t="n"/>
      <c r="EU63" s="135" t="n"/>
      <c r="EV63" s="135" t="n"/>
      <c r="EW63" s="135" t="n"/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23" t="n"/>
      <c r="FI63" s="374" t="n"/>
      <c r="FJ63" s="135" t="n"/>
      <c r="FK63" s="135" t="n"/>
      <c r="FL63" s="135" t="n"/>
      <c r="FM63" s="135" t="n"/>
      <c r="FN63" s="135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312" t="n"/>
      <c r="FX63" s="135" t="n"/>
      <c r="FY63" s="312" t="n"/>
      <c r="FZ63" s="135" t="n"/>
      <c r="GA63" s="135" t="n"/>
      <c r="GB63" s="135" t="n"/>
      <c r="GC63" s="135" t="n"/>
      <c r="GD63" s="135" t="n"/>
      <c r="GE63" s="135" t="n"/>
      <c r="GF63" s="135" t="n"/>
      <c r="GG63" s="135" t="n"/>
      <c r="GH63" s="135" t="n"/>
      <c r="GI63" s="135" t="n"/>
      <c r="GJ63" s="135" t="n"/>
      <c r="GK63" s="135" t="n"/>
      <c r="GL63" s="135" t="n"/>
      <c r="GM63" s="135" t="n"/>
      <c r="GN63" s="135" t="n"/>
    </row>
    <row r="64">
      <c r="A64" s="37" t="inlineStr">
        <is>
          <t>CAIXA G QDB</t>
        </is>
      </c>
      <c r="B64" s="699" t="n">
        <v>100</v>
      </c>
      <c r="C64" s="762" t="n">
        <v>306</v>
      </c>
      <c r="D64" s="382" t="n">
        <v>10</v>
      </c>
      <c r="E64" s="5" t="n"/>
      <c r="F64" s="32" t="n">
        <v>112</v>
      </c>
      <c r="G64" s="32" t="n">
        <v>112</v>
      </c>
      <c r="H64" s="32" t="n">
        <v>62</v>
      </c>
      <c r="I64" s="32" t="n">
        <v>62</v>
      </c>
      <c r="J64" s="32" t="n">
        <v>62</v>
      </c>
      <c r="K64" s="32" t="n">
        <v>60</v>
      </c>
      <c r="L64" s="32" t="n">
        <v>60</v>
      </c>
      <c r="M64" s="32" t="n">
        <v>60</v>
      </c>
      <c r="N64" s="32" t="n">
        <v>60</v>
      </c>
      <c r="O64" s="32" t="n">
        <v>60</v>
      </c>
      <c r="P64" s="32" t="n">
        <v>60</v>
      </c>
      <c r="Q64" s="32" t="n">
        <v>60</v>
      </c>
      <c r="R64" s="32" t="n">
        <v>60</v>
      </c>
      <c r="S64" s="32" t="n">
        <v>60</v>
      </c>
      <c r="T64" s="32" t="n">
        <v>60</v>
      </c>
      <c r="U64" s="32" t="n">
        <v>60</v>
      </c>
      <c r="V64" s="32" t="n">
        <v>59</v>
      </c>
      <c r="W64" s="32" t="n">
        <v>39</v>
      </c>
      <c r="X64" s="32" t="n">
        <v>38</v>
      </c>
      <c r="Y64" s="32" t="n">
        <v>36</v>
      </c>
      <c r="Z64" s="32" t="n">
        <v>35</v>
      </c>
      <c r="AA64" s="32" t="n">
        <v>35</v>
      </c>
      <c r="AB64" s="32" t="n">
        <v>34</v>
      </c>
      <c r="AC64" s="32" t="n">
        <v>34</v>
      </c>
      <c r="AD64" s="32" t="n">
        <v>34</v>
      </c>
      <c r="AE64" s="32" t="n">
        <v>34</v>
      </c>
      <c r="AF64" s="32" t="n">
        <v>32</v>
      </c>
      <c r="AG64" s="32" t="n">
        <v>32</v>
      </c>
      <c r="AH64" s="32" t="n">
        <v>32</v>
      </c>
      <c r="AI64" s="32" t="n">
        <v>32</v>
      </c>
      <c r="AJ64" s="32" t="n">
        <v>32</v>
      </c>
      <c r="AK64" s="32" t="n">
        <v>32</v>
      </c>
      <c r="AL64" s="32" t="n">
        <v>32</v>
      </c>
      <c r="AM64" s="32" t="n">
        <v>32</v>
      </c>
      <c r="AN64" s="32" t="n">
        <v>30</v>
      </c>
      <c r="AO64" s="32" t="n">
        <v>28</v>
      </c>
      <c r="AP64" s="32" t="n">
        <v>28</v>
      </c>
      <c r="AQ64" s="32" t="n">
        <v>28</v>
      </c>
      <c r="AR64" s="32" t="n">
        <v>28</v>
      </c>
      <c r="AS64" s="32" t="n">
        <v>27</v>
      </c>
      <c r="AT64" s="32" t="n">
        <v>27</v>
      </c>
      <c r="AU64" s="32" t="n">
        <v>27</v>
      </c>
      <c r="AV64" s="32" t="n">
        <v>27</v>
      </c>
      <c r="AW64" s="32" t="n">
        <v>26</v>
      </c>
      <c r="AX64" s="32" t="n">
        <v>25</v>
      </c>
      <c r="AY64" s="32" t="n">
        <v>25</v>
      </c>
      <c r="AZ64" s="32" t="n">
        <v>25</v>
      </c>
      <c r="BA64" s="32" t="n">
        <v>12</v>
      </c>
      <c r="BB64" s="32" t="n">
        <v>12</v>
      </c>
      <c r="BC64" s="32" t="n">
        <v>12</v>
      </c>
      <c r="BD64" s="32" t="n">
        <v>12</v>
      </c>
      <c r="BE64" s="32" t="n">
        <v>10</v>
      </c>
      <c r="BF64" s="32" t="n">
        <v>10</v>
      </c>
      <c r="BG64" s="32" t="n">
        <v>10</v>
      </c>
      <c r="BH64" s="32" t="n">
        <v>10</v>
      </c>
      <c r="BI64" s="32" t="n">
        <v>15</v>
      </c>
      <c r="BJ64" s="32" t="n">
        <v>15</v>
      </c>
      <c r="BK64" s="32" t="n">
        <v>15</v>
      </c>
      <c r="BL64" s="32" t="n">
        <v>15</v>
      </c>
      <c r="BM64" s="32" t="n">
        <v>15</v>
      </c>
      <c r="BN64" s="32" t="n">
        <v>15</v>
      </c>
      <c r="BO64" s="32" t="n">
        <v>15</v>
      </c>
      <c r="BP64" s="32" t="n">
        <v>15</v>
      </c>
      <c r="BQ64" s="32" t="n">
        <v>15</v>
      </c>
      <c r="BR64" s="32" t="n">
        <v>15</v>
      </c>
      <c r="BS64" s="32" t="n"/>
      <c r="BT64" s="32" t="n"/>
      <c r="BU64" s="32" t="n"/>
      <c r="BV64" s="32" t="n"/>
      <c r="BW64" s="32" t="n">
        <v>15</v>
      </c>
      <c r="BX64" s="32" t="n">
        <v>15</v>
      </c>
      <c r="BY64" s="198">
        <f>BW64+IF(NOT(ISBLANK(OFFSET(BY64,0,6))),N(OFFSET(BY64,0,6)),N(OFFSET(BY64,0,7)))-BX64</f>
        <v/>
      </c>
      <c r="BZ64" s="5" t="n"/>
      <c r="CA64" s="38" t="n"/>
      <c r="CB64" s="38" t="n"/>
      <c r="CC64" s="5" t="n"/>
      <c r="CD64" s="27" t="n"/>
      <c r="CE64" s="5" t="n"/>
      <c r="CF64" s="135" t="n">
        <v>0</v>
      </c>
      <c r="CG64" s="135" t="n">
        <v>0</v>
      </c>
      <c r="CH64" s="135" t="n">
        <v>0</v>
      </c>
      <c r="CI64" s="135" t="n"/>
      <c r="CJ64" s="135" t="n"/>
      <c r="CK64" s="135" t="n"/>
      <c r="CL64" s="135" t="n"/>
      <c r="CM64" s="135" t="n"/>
      <c r="CN64" s="135" t="n"/>
      <c r="CO64" s="135" t="n"/>
      <c r="CP64" s="135" t="n"/>
      <c r="CQ64" s="135" t="n"/>
      <c r="CR64" s="135" t="n"/>
      <c r="CS64" s="135" t="n"/>
      <c r="CT64" s="135" t="n"/>
      <c r="CU64" s="135" t="n"/>
      <c r="CV64" s="135" t="n"/>
      <c r="CW64" s="135" t="n"/>
      <c r="CX64" s="135" t="n"/>
      <c r="CY64" s="135" t="n"/>
      <c r="CZ64" s="135" t="n"/>
      <c r="DA64" s="135" t="n"/>
      <c r="DB64" s="135" t="n"/>
      <c r="DC64" s="135" t="n"/>
      <c r="DD64" s="135" t="n"/>
      <c r="DE64" s="135" t="n"/>
      <c r="DF64" s="135" t="n"/>
      <c r="DG64" s="135" t="n"/>
      <c r="DH64" s="135" t="n"/>
      <c r="DI64" s="135" t="n"/>
      <c r="DJ64" s="135" t="n"/>
      <c r="DK64" s="374" t="n"/>
      <c r="DL64" s="135" t="n"/>
      <c r="DM64" s="135" t="n"/>
      <c r="DN64" s="135" t="n"/>
      <c r="DO64" s="135" t="n"/>
      <c r="DP64" s="135" t="n"/>
      <c r="DQ64" s="135" t="n"/>
      <c r="DR64" s="135" t="n"/>
      <c r="DS64" s="135" t="n"/>
      <c r="DT64" s="135" t="n"/>
      <c r="DU64" s="135" t="n"/>
      <c r="DV64" s="135" t="n"/>
      <c r="DW64" s="135" t="n"/>
      <c r="DX64" s="135" t="n"/>
      <c r="DY64" s="135" t="n"/>
      <c r="DZ64" s="135" t="n"/>
      <c r="EA64" s="135" t="n"/>
      <c r="EB64" s="135" t="n"/>
      <c r="EC64" s="135" t="n"/>
      <c r="ED64" s="135" t="n"/>
      <c r="EE64" s="135" t="n"/>
      <c r="EF64" s="135" t="n"/>
      <c r="EG64" s="135" t="n"/>
      <c r="EH64" s="135" t="n"/>
      <c r="EI64" s="135" t="n"/>
      <c r="EJ64" s="135" t="n"/>
      <c r="EK64" s="135" t="n"/>
      <c r="EL64" s="135" t="n"/>
      <c r="EM64" s="135" t="n"/>
      <c r="EN64" s="135" t="n"/>
      <c r="EO64" s="135" t="n"/>
      <c r="EP64" s="135" t="n"/>
      <c r="EQ64" s="135" t="n"/>
      <c r="ER64" s="135" t="n"/>
      <c r="ES64" s="135" t="n"/>
      <c r="ET64" s="135" t="n"/>
      <c r="EU64" s="135" t="n"/>
      <c r="EV64" s="135" t="n"/>
      <c r="EW64" s="135" t="n"/>
      <c r="EX64" s="135" t="n"/>
      <c r="EY64" s="135" t="n"/>
      <c r="EZ64" s="135" t="n"/>
      <c r="FA64" s="135" t="n"/>
      <c r="FB64" s="135" t="n"/>
      <c r="FC64" s="135" t="n"/>
      <c r="FD64" s="135" t="n"/>
      <c r="FE64" s="135" t="n"/>
      <c r="FF64" s="135" t="n"/>
      <c r="FG64" s="135" t="n"/>
      <c r="FH64" s="290" t="n"/>
      <c r="FI64" s="374" t="n"/>
      <c r="FJ64" s="135" t="n"/>
      <c r="FK64" s="135" t="n"/>
      <c r="FL64" s="135" t="n"/>
      <c r="FM64" s="135" t="n"/>
      <c r="FN64" s="135" t="n"/>
      <c r="FO64" s="135" t="n"/>
      <c r="FP64" s="135" t="n"/>
      <c r="FQ64" s="135" t="n"/>
      <c r="FR64" s="135" t="n"/>
      <c r="FS64" s="135" t="n"/>
      <c r="FT64" s="135" t="n"/>
      <c r="FU64" s="135" t="n"/>
      <c r="FV64" s="135" t="n"/>
      <c r="FW64" s="312" t="n"/>
      <c r="FX64" s="135" t="n"/>
      <c r="FY64" s="312" t="n"/>
      <c r="FZ64" s="135" t="n"/>
      <c r="GA64" s="135" t="n"/>
      <c r="GB64" s="135" t="n"/>
      <c r="GC64" s="135" t="n"/>
      <c r="GD64" s="135" t="n"/>
      <c r="GE64" s="135" t="n"/>
      <c r="GF64" s="135" t="n"/>
      <c r="GG64" s="135" t="n"/>
      <c r="GH64" s="135" t="n"/>
      <c r="GI64" s="135" t="n"/>
      <c r="GJ64" s="135" t="n"/>
      <c r="GK64" s="135" t="n"/>
      <c r="GL64" s="135" t="n"/>
      <c r="GM64" s="135" t="n"/>
      <c r="GN64" s="135" t="n"/>
      <c r="GP64" s="5" t="n"/>
      <c r="GQ64" s="5" t="n"/>
      <c r="GR64" s="5" t="n"/>
      <c r="GS64" s="5" t="n"/>
      <c r="GT64" s="5" t="n"/>
      <c r="GU64" s="5" t="n"/>
      <c r="GV64" s="5" t="n"/>
      <c r="GW64" s="5" t="n"/>
      <c r="GX64" s="5" t="n"/>
      <c r="GY64" s="5" t="n"/>
      <c r="GZ64" s="5" t="n"/>
      <c r="HA64" s="5" t="n"/>
      <c r="HB64" s="5" t="n"/>
      <c r="HC64" s="5" t="n"/>
      <c r="HD64" s="5" t="n"/>
      <c r="HE64" s="5" t="n"/>
      <c r="HF64" s="5" t="n"/>
      <c r="HG64" s="5" t="n"/>
      <c r="HH64" s="5" t="n"/>
      <c r="HI64" s="5" t="n"/>
      <c r="HK64" s="5" t="n"/>
      <c r="HL64" s="5" t="n"/>
      <c r="HM64" s="5" t="n"/>
      <c r="HN64" s="5" t="n"/>
      <c r="HO64" s="5" t="n"/>
      <c r="HP64" s="5" t="n"/>
      <c r="HQ64" s="5" t="n"/>
      <c r="HR64" s="5" t="n"/>
      <c r="HS64" s="5" t="n"/>
      <c r="HT64" s="5" t="n"/>
      <c r="HV64" s="5" t="n"/>
      <c r="HW64" s="5" t="n"/>
      <c r="HX64" s="5" t="n"/>
      <c r="HY64" s="5" t="n"/>
      <c r="HZ64" s="5" t="n"/>
      <c r="IA64" s="5" t="n"/>
      <c r="IB64" s="5" t="n"/>
      <c r="IC64" s="5" t="n"/>
      <c r="ID64" s="5" t="n"/>
      <c r="IE64" s="5" t="n"/>
      <c r="IF64" s="5" t="n"/>
      <c r="IH64" s="5" t="n"/>
      <c r="II64" s="5" t="n"/>
      <c r="IJ64" s="5" t="n"/>
      <c r="IK64" s="5" t="n"/>
      <c r="IL64" s="5" t="n"/>
      <c r="IM64" s="5" t="n"/>
    </row>
    <row r="65">
      <c r="D65" s="759" t="n"/>
      <c r="DK65" s="309" t="n"/>
      <c r="FH65" s="47" t="n"/>
      <c r="FW65" s="305" t="n"/>
      <c r="FY65" s="305" t="n"/>
      <c r="GP65" s="5" t="n"/>
      <c r="GQ65" s="5" t="n"/>
      <c r="GR65" s="5" t="n"/>
      <c r="GS65" s="5" t="n"/>
      <c r="GT65" s="5" t="n"/>
      <c r="GU65" s="5" t="n"/>
      <c r="GV65" s="5" t="n"/>
      <c r="GW65" s="5" t="n"/>
      <c r="GX65" s="5" t="n"/>
      <c r="GY65" s="5" t="n"/>
      <c r="GZ65" s="5" t="n"/>
      <c r="HA65" s="5" t="n"/>
      <c r="HB65" s="5" t="n"/>
      <c r="HC65" s="5" t="n"/>
      <c r="HD65" s="5" t="n"/>
      <c r="HE65" s="5" t="n"/>
      <c r="HF65" s="5" t="n"/>
      <c r="HG65" s="5" t="n"/>
      <c r="HH65" s="5" t="n"/>
      <c r="HI65" s="5" t="n"/>
      <c r="HK65" s="5" t="n"/>
      <c r="HL65" s="5" t="n"/>
      <c r="HM65" s="5" t="n"/>
      <c r="HN65" s="5" t="n"/>
      <c r="HO65" s="5" t="n"/>
      <c r="HP65" s="5" t="n"/>
      <c r="HQ65" s="5" t="n"/>
      <c r="HR65" s="5" t="n"/>
      <c r="HS65" s="5" t="n"/>
      <c r="HT65" s="5" t="n"/>
      <c r="HV65" s="5" t="n"/>
      <c r="HW65" s="5" t="n"/>
      <c r="HX65" s="5" t="n"/>
      <c r="HY65" s="5" t="n"/>
      <c r="HZ65" s="5" t="n"/>
      <c r="IA65" s="5" t="n"/>
      <c r="IB65" s="5" t="n"/>
      <c r="IC65" s="5" t="n"/>
      <c r="ID65" s="5" t="n"/>
      <c r="IE65" s="5" t="n"/>
      <c r="IF65" s="5" t="n"/>
      <c r="IH65" s="5" t="n"/>
      <c r="II65" s="5" t="n"/>
      <c r="IJ65" s="5" t="n"/>
      <c r="IK65" s="5" t="n"/>
      <c r="IL65" s="5" t="n"/>
      <c r="IM65" s="5" t="n"/>
    </row>
    <row r="66">
      <c r="A66" s="342" t="inlineStr">
        <is>
          <t>SACOLAS E CAIXAS EUDORA</t>
        </is>
      </c>
      <c r="B66" s="343" t="inlineStr">
        <is>
          <t>PC</t>
        </is>
      </c>
      <c r="C66" s="343" t="inlineStr">
        <is>
          <t>R$</t>
        </is>
      </c>
      <c r="D66" s="343" t="n"/>
      <c r="F66" s="746" t="n">
        <v>45656</v>
      </c>
      <c r="G66" s="746" t="n">
        <v>45663</v>
      </c>
      <c r="H66" s="746" t="n">
        <v>45670</v>
      </c>
      <c r="I66" s="746" t="n">
        <v>45677</v>
      </c>
      <c r="J66" s="746" t="n">
        <v>45684</v>
      </c>
      <c r="K66" s="746" t="n">
        <v>45691</v>
      </c>
      <c r="L66" s="746" t="n">
        <v>45698</v>
      </c>
      <c r="M66" s="746" t="n">
        <v>45705</v>
      </c>
      <c r="N66" s="746" t="n">
        <v>45712</v>
      </c>
      <c r="O66" s="746" t="n">
        <v>45719</v>
      </c>
      <c r="P66" s="746" t="n">
        <v>45726</v>
      </c>
      <c r="Q66" s="746" t="n">
        <v>45733</v>
      </c>
      <c r="R66" s="746" t="n">
        <v>45740</v>
      </c>
      <c r="S66" s="746" t="n">
        <v>45747</v>
      </c>
      <c r="T66" s="746" t="n">
        <v>45754</v>
      </c>
      <c r="U66" s="746" t="n">
        <v>45761</v>
      </c>
      <c r="V66" s="746" t="n">
        <v>45768</v>
      </c>
      <c r="W66" s="746" t="n">
        <v>45775</v>
      </c>
      <c r="X66" s="746" t="n">
        <v>45782</v>
      </c>
      <c r="Y66" s="746" t="n">
        <v>45789</v>
      </c>
      <c r="Z66" s="746" t="n">
        <v>45796</v>
      </c>
      <c r="AA66" s="746" t="n">
        <v>45803</v>
      </c>
      <c r="AB66" s="746" t="n">
        <v>45810</v>
      </c>
      <c r="AC66" s="746" t="n">
        <v>45817</v>
      </c>
      <c r="AD66" s="746" t="n">
        <v>45824</v>
      </c>
      <c r="AE66" s="746" t="n">
        <v>45831</v>
      </c>
      <c r="AF66" s="746" t="n">
        <v>45838</v>
      </c>
      <c r="AG66" s="746" t="n">
        <v>45845</v>
      </c>
      <c r="AH66" s="746" t="n">
        <v>45852</v>
      </c>
      <c r="AI66" s="746" t="n">
        <v>45859</v>
      </c>
      <c r="AJ66" s="746" t="n">
        <v>45866</v>
      </c>
      <c r="AK66" s="746" t="n">
        <v>45873</v>
      </c>
      <c r="AL66" s="746" t="n">
        <v>45880</v>
      </c>
      <c r="AM66" s="746" t="n">
        <v>45887</v>
      </c>
      <c r="AN66" s="746" t="n">
        <v>45894</v>
      </c>
      <c r="AO66" s="746" t="n">
        <v>45901</v>
      </c>
      <c r="AP66" s="746" t="n">
        <v>45915</v>
      </c>
      <c r="AQ66" s="746" t="n">
        <v>45922</v>
      </c>
      <c r="AR66" s="746" t="n">
        <v>45929</v>
      </c>
      <c r="AS66" s="746" t="n">
        <v>45936</v>
      </c>
      <c r="AT66" s="746" t="n">
        <v>45943</v>
      </c>
      <c r="AU66" s="746" t="n">
        <v>45950</v>
      </c>
      <c r="AV66" s="746" t="n">
        <v>45957</v>
      </c>
      <c r="AW66" s="746" t="n">
        <v>45964</v>
      </c>
      <c r="AX66" s="746" t="n">
        <v>45971</v>
      </c>
      <c r="AY66" s="746" t="n">
        <v>45978</v>
      </c>
      <c r="AZ66" s="746" t="n">
        <v>45985</v>
      </c>
      <c r="BA66" s="746" t="n">
        <v>45992</v>
      </c>
      <c r="BB66" s="746" t="n">
        <v>45999</v>
      </c>
      <c r="BC66" s="746" t="n">
        <v>46006</v>
      </c>
      <c r="BD66" s="746" t="n">
        <v>46013</v>
      </c>
      <c r="BE66" s="746" t="n">
        <v>46020</v>
      </c>
      <c r="BF66" s="746" t="n">
        <v>46027</v>
      </c>
      <c r="BG66" s="746" t="n">
        <v>46034</v>
      </c>
      <c r="BH66" s="746" t="n">
        <v>46041</v>
      </c>
      <c r="BI66" s="746" t="n">
        <v>46048</v>
      </c>
      <c r="BJ66" s="746" t="n">
        <v>46055</v>
      </c>
      <c r="BK66" s="746" t="n">
        <v>46062</v>
      </c>
      <c r="BL66" s="746" t="n">
        <v>46069</v>
      </c>
      <c r="BM66" s="746" t="n">
        <v>46076</v>
      </c>
      <c r="BN66" s="746" t="n">
        <v>46083</v>
      </c>
      <c r="BO66" s="746" t="n">
        <v>46090</v>
      </c>
      <c r="BP66" s="746" t="n">
        <v>46097</v>
      </c>
      <c r="BQ66" s="746" t="n">
        <v>46104</v>
      </c>
      <c r="BR66" s="746" t="n">
        <v>46111</v>
      </c>
      <c r="BS66" s="746" t="n">
        <v>46118</v>
      </c>
      <c r="BT66" s="746" t="n">
        <v>46125</v>
      </c>
      <c r="BU66" s="746" t="n">
        <v>46132</v>
      </c>
      <c r="BV66" s="746" t="n">
        <v>46139</v>
      </c>
      <c r="BW66" s="746" t="n">
        <v>46146</v>
      </c>
      <c r="BX66" s="746" t="n">
        <v>46154</v>
      </c>
      <c r="BY66" s="758" t="inlineStr">
        <is>
          <t>USOU</t>
        </is>
      </c>
      <c r="CA66" s="44" t="inlineStr">
        <is>
          <t>Pendências</t>
        </is>
      </c>
      <c r="CB66" s="44" t="inlineStr">
        <is>
          <t>Pendências</t>
        </is>
      </c>
      <c r="CC66" s="5" t="n"/>
      <c r="CD66" s="12" t="inlineStr">
        <is>
          <t>Novo Pedido</t>
        </is>
      </c>
      <c r="CF66" s="794" t="n">
        <v>46149</v>
      </c>
      <c r="CG66" s="794" t="n">
        <v>46142</v>
      </c>
      <c r="CH66" s="794" t="n">
        <v>46114</v>
      </c>
      <c r="CI66" s="794" t="n">
        <v>46107</v>
      </c>
      <c r="CJ66" s="795" t="n">
        <v>46065</v>
      </c>
      <c r="CK66" s="794" t="n">
        <v>46099</v>
      </c>
      <c r="CL66" s="794" t="n">
        <v>46092</v>
      </c>
      <c r="CM66" s="796" t="n">
        <v>46045</v>
      </c>
      <c r="CN66" s="794" t="n">
        <v>46084</v>
      </c>
      <c r="CO66" s="797" t="n">
        <v>46085</v>
      </c>
      <c r="CP66" s="794" t="n">
        <v>46077</v>
      </c>
      <c r="CQ66" s="794" t="n">
        <v>46071</v>
      </c>
      <c r="CR66" s="794" t="n">
        <v>46056</v>
      </c>
      <c r="CS66" s="794" t="n">
        <v>46048</v>
      </c>
      <c r="CT66" s="794" t="n">
        <v>46056</v>
      </c>
      <c r="CU66" s="794" t="n">
        <v>46048</v>
      </c>
      <c r="CV66" s="794" t="n">
        <v>46043</v>
      </c>
      <c r="CW66" s="794" t="n">
        <v>46035</v>
      </c>
      <c r="CX66" s="794" t="n">
        <v>46043</v>
      </c>
      <c r="CY66" s="794" t="n">
        <v>46035</v>
      </c>
      <c r="CZ66" s="794" t="n">
        <v>46035</v>
      </c>
      <c r="DA66" s="794" t="n">
        <v>46029</v>
      </c>
      <c r="DB66" s="794" t="n">
        <v>46017</v>
      </c>
      <c r="DC66" s="794" t="n">
        <v>46007</v>
      </c>
      <c r="DD66" s="794" t="n">
        <v>46007</v>
      </c>
      <c r="DE66" s="794" t="n">
        <v>46001</v>
      </c>
      <c r="DF66" s="794" t="n">
        <v>46001</v>
      </c>
      <c r="DG66" s="794" t="n">
        <v>45994</v>
      </c>
      <c r="DH66" s="794" t="n">
        <v>45994</v>
      </c>
      <c r="DI66" s="794" t="n">
        <v>45986</v>
      </c>
      <c r="DJ66" s="794" t="n">
        <v>45980</v>
      </c>
      <c r="DK66" s="797" t="n">
        <v>45982</v>
      </c>
      <c r="DL66" s="794" t="n">
        <v>45973</v>
      </c>
      <c r="DM66" s="794" t="n">
        <v>45965</v>
      </c>
      <c r="DN66" s="794" t="n">
        <v>45965</v>
      </c>
      <c r="DO66" s="794" t="n">
        <v>45960</v>
      </c>
      <c r="DP66" s="794" t="n">
        <v>45960</v>
      </c>
      <c r="DQ66" s="794" t="n">
        <v>45951</v>
      </c>
      <c r="DR66" s="794" t="n">
        <v>45945</v>
      </c>
      <c r="DS66" s="737" t="n">
        <v>45903</v>
      </c>
      <c r="DT66" s="794" t="n">
        <v>45945</v>
      </c>
      <c r="DU66" s="794" t="n">
        <v>45937</v>
      </c>
      <c r="DV66" s="794" t="n">
        <v>45923</v>
      </c>
      <c r="DW66" s="794" t="n">
        <v>45931</v>
      </c>
      <c r="DX66" s="794" t="n">
        <v>45931</v>
      </c>
      <c r="DY66" s="794" t="n">
        <v>45915</v>
      </c>
      <c r="DZ66" s="794" t="n">
        <v>45923</v>
      </c>
      <c r="EA66" s="794" t="n">
        <v>45915</v>
      </c>
      <c r="EB66" s="797" t="n">
        <v>45918</v>
      </c>
      <c r="EC66" s="794" t="n">
        <v>45903</v>
      </c>
      <c r="ED66" s="738" t="n">
        <v>45903</v>
      </c>
      <c r="EE66" s="794" t="n">
        <v>45895</v>
      </c>
      <c r="EF66" s="797" t="n">
        <v>45896</v>
      </c>
      <c r="EG66" s="794" t="n">
        <v>45888</v>
      </c>
      <c r="EH66" s="794" t="n">
        <v>45888</v>
      </c>
      <c r="EI66" s="794" t="n">
        <v>45881</v>
      </c>
      <c r="EJ66" s="797" t="n">
        <v>45881</v>
      </c>
      <c r="EK66" s="794" t="n">
        <v>45874</v>
      </c>
      <c r="EL66" s="797" t="n">
        <v>45876</v>
      </c>
      <c r="EM66" s="794" t="n">
        <v>45867</v>
      </c>
      <c r="EN66" s="794" t="n">
        <v>45860</v>
      </c>
      <c r="EO66" s="794" t="n">
        <v>45839</v>
      </c>
      <c r="EP66" s="797" t="n">
        <v>45861</v>
      </c>
      <c r="EQ66" s="797" t="n">
        <v>45860</v>
      </c>
      <c r="ER66" s="794" t="n">
        <v>45853</v>
      </c>
      <c r="ES66" s="739" t="n">
        <v>45855</v>
      </c>
      <c r="ET66" s="794" t="n">
        <v>45848</v>
      </c>
      <c r="EU66" s="794" t="n">
        <v>45839</v>
      </c>
      <c r="EV66" s="739" t="n">
        <v>45791</v>
      </c>
      <c r="EW66" s="797" t="n">
        <v>45835</v>
      </c>
      <c r="EX66" s="794" t="n">
        <v>45832</v>
      </c>
      <c r="EY66" s="794" t="n">
        <v>45825</v>
      </c>
      <c r="EZ66" s="794" t="n">
        <v>45819</v>
      </c>
      <c r="FA66" s="794" t="n">
        <v>45813</v>
      </c>
      <c r="FB66" s="794" t="n">
        <v>45805</v>
      </c>
      <c r="FC66" s="797" t="n">
        <v>45811</v>
      </c>
      <c r="FD66" s="797" t="n">
        <v>45810</v>
      </c>
      <c r="FE66" s="794" t="n">
        <v>45798</v>
      </c>
      <c r="FF66" s="797" t="n">
        <v>45803</v>
      </c>
      <c r="FG66" s="755" t="n">
        <v>45803</v>
      </c>
      <c r="FH66" s="797" t="n">
        <v>45800</v>
      </c>
      <c r="FI66" s="742" t="n">
        <v>45735</v>
      </c>
      <c r="FJ66" s="797" t="n">
        <v>45796</v>
      </c>
      <c r="FK66" s="794" t="n">
        <v>45790</v>
      </c>
      <c r="FL66" s="794" t="n">
        <v>45784</v>
      </c>
      <c r="FM66" s="797" t="n">
        <v>45791</v>
      </c>
      <c r="FN66" s="794" t="n">
        <v>45783</v>
      </c>
      <c r="FO66" s="794" t="n">
        <v>45770</v>
      </c>
      <c r="FP66" s="794" t="n">
        <v>45775</v>
      </c>
      <c r="FQ66" s="794" t="n">
        <v>45770</v>
      </c>
      <c r="FR66" s="797" t="n">
        <v>45775</v>
      </c>
      <c r="FS66" s="794" t="n">
        <v>45756</v>
      </c>
      <c r="FT66" s="794" t="n">
        <v>45749</v>
      </c>
      <c r="FU66" s="797" t="n">
        <v>45751</v>
      </c>
      <c r="FV66" s="794" t="n">
        <v>45743</v>
      </c>
      <c r="FW66" s="746" t="n">
        <v>45729</v>
      </c>
      <c r="FX66" s="794" t="n">
        <v>45722</v>
      </c>
      <c r="FY66" s="746" t="n">
        <v>45700</v>
      </c>
      <c r="FZ66" s="797" t="n">
        <v>45722</v>
      </c>
      <c r="GA66" s="794" t="n">
        <v>45714</v>
      </c>
      <c r="GB66" s="794" t="n">
        <v>45706</v>
      </c>
      <c r="GC66" s="794" t="n">
        <v>45699</v>
      </c>
      <c r="GD66" s="794" t="n">
        <v>45693</v>
      </c>
      <c r="GE66" s="794" t="n">
        <v>45685</v>
      </c>
      <c r="GF66" s="797" t="n">
        <v>45687</v>
      </c>
      <c r="GG66" s="794" t="n">
        <v>45664</v>
      </c>
      <c r="GH66" s="794" t="n">
        <v>45679</v>
      </c>
      <c r="GI66" s="797" t="n">
        <v>45684</v>
      </c>
      <c r="GJ66" s="794" t="n">
        <v>45664</v>
      </c>
      <c r="GK66" s="794" t="n">
        <v>45660</v>
      </c>
      <c r="GL66" s="794" t="n">
        <v>45652</v>
      </c>
      <c r="GM66" s="794" t="n">
        <v>45643</v>
      </c>
      <c r="GN66" s="794" t="n">
        <v>45638</v>
      </c>
      <c r="GP66" s="5" t="n"/>
      <c r="GQ66" s="5" t="n"/>
      <c r="GR66" s="5" t="n"/>
      <c r="GS66" s="5" t="n"/>
      <c r="GT66" s="5" t="n"/>
      <c r="GU66" s="5" t="n"/>
      <c r="GV66" s="5" t="n"/>
      <c r="GW66" s="5" t="n"/>
      <c r="GX66" s="5" t="n"/>
      <c r="GY66" s="5" t="n"/>
      <c r="GZ66" s="5" t="n"/>
      <c r="HA66" s="5" t="n"/>
      <c r="HB66" s="5" t="n"/>
      <c r="HC66" s="5" t="n"/>
      <c r="HD66" s="5" t="n"/>
      <c r="HE66" s="5" t="n"/>
      <c r="HF66" s="5" t="n"/>
      <c r="HG66" s="5" t="n"/>
      <c r="HH66" s="5" t="n"/>
      <c r="HI66" s="5" t="n"/>
      <c r="HK66" s="5" t="n"/>
      <c r="HL66" s="5" t="n"/>
      <c r="HM66" s="5" t="n"/>
      <c r="HN66" s="5" t="n"/>
      <c r="HO66" s="5" t="n"/>
      <c r="HP66" s="5" t="n"/>
      <c r="HQ66" s="5" t="n"/>
      <c r="HR66" s="5" t="n"/>
      <c r="HS66" s="5" t="n"/>
      <c r="HT66" s="5" t="n"/>
      <c r="HV66" s="5" t="n"/>
      <c r="HW66" s="5" t="n"/>
      <c r="HX66" s="5" t="n"/>
      <c r="HY66" s="5" t="n"/>
      <c r="HZ66" s="5" t="n"/>
      <c r="IA66" s="5" t="n"/>
      <c r="IB66" s="5" t="n"/>
      <c r="IC66" s="5" t="n"/>
      <c r="ID66" s="5" t="n"/>
      <c r="IE66" s="5" t="n"/>
      <c r="IF66" s="5" t="n"/>
      <c r="IH66" s="5" t="n"/>
      <c r="II66" s="5" t="n"/>
      <c r="IJ66" s="5" t="n"/>
      <c r="IK66" s="5" t="n"/>
      <c r="IL66" s="5" t="n"/>
      <c r="IM66" s="5" t="n"/>
    </row>
    <row r="67">
      <c r="A67" s="37" t="inlineStr">
        <is>
          <t>SACOLA P EUDORA</t>
        </is>
      </c>
      <c r="B67" s="699" t="n">
        <v>200</v>
      </c>
      <c r="C67" s="762" t="n">
        <v>183.24</v>
      </c>
      <c r="D67" s="382" t="inlineStr">
        <is>
          <t>?</t>
        </is>
      </c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>
        <v>0</v>
      </c>
      <c r="Y67" s="697" t="n">
        <v>0</v>
      </c>
      <c r="Z67" s="697" t="n">
        <v>600</v>
      </c>
      <c r="AA67" s="697" t="n">
        <v>600</v>
      </c>
      <c r="AB67" s="237">
        <f>600+FB67</f>
        <v/>
      </c>
      <c r="AC67" s="237" t="n">
        <v>200</v>
      </c>
      <c r="AD67" s="237" t="n">
        <v>800</v>
      </c>
      <c r="AE67" s="237">
        <f>600+EY67</f>
        <v/>
      </c>
      <c r="AF67" s="237" t="n">
        <v>800</v>
      </c>
      <c r="AG67" s="237">
        <f>400+EU67</f>
        <v/>
      </c>
      <c r="AH67" s="237" t="n">
        <v>200</v>
      </c>
      <c r="AI67" s="237" t="n">
        <v>600</v>
      </c>
      <c r="AJ67" s="237" t="n">
        <v>400</v>
      </c>
      <c r="AK67" s="237">
        <f>200+EM67</f>
        <v/>
      </c>
      <c r="AL67" s="237" t="n">
        <v>200</v>
      </c>
      <c r="AM67" s="237" t="n">
        <v>0</v>
      </c>
      <c r="AN67" s="237" t="n">
        <v>0</v>
      </c>
      <c r="AO67" s="237" t="n">
        <v>1000</v>
      </c>
      <c r="AP67" s="237" t="n">
        <v>200</v>
      </c>
      <c r="AQ67" s="237" t="n">
        <v>1000</v>
      </c>
      <c r="AR67" s="237" t="n">
        <v>800</v>
      </c>
      <c r="AS67" s="237" t="n">
        <v>400</v>
      </c>
      <c r="AT67" s="237">
        <f>200+DU67</f>
        <v/>
      </c>
      <c r="AU67" s="237" t="n">
        <v>600</v>
      </c>
      <c r="AV67" s="237" t="n">
        <v>200</v>
      </c>
      <c r="AW67" s="237">
        <f>200+DP67</f>
        <v/>
      </c>
      <c r="AX67" s="237">
        <f>800+DN67</f>
        <v/>
      </c>
      <c r="AY67" s="237" t="n">
        <v>800</v>
      </c>
      <c r="AZ67" s="237">
        <f>400+DJ67</f>
        <v/>
      </c>
      <c r="BA67" s="237">
        <f>1000+DI67</f>
        <v/>
      </c>
      <c r="BB67" s="237" t="n">
        <v>1600</v>
      </c>
      <c r="BC67" s="237" t="n">
        <v>1000</v>
      </c>
      <c r="BD67" s="237" t="n">
        <v>2600</v>
      </c>
      <c r="BE67" s="237" t="n">
        <v>2600</v>
      </c>
      <c r="BF67" s="237" t="n">
        <v>2400</v>
      </c>
      <c r="BG67" s="237" t="n">
        <v>2000</v>
      </c>
      <c r="BH67" s="237" t="n">
        <v>2000</v>
      </c>
      <c r="BI67" s="237" t="n">
        <v>1800</v>
      </c>
      <c r="BJ67" s="237" t="n">
        <v>4000</v>
      </c>
      <c r="BK67" s="237" t="n">
        <v>3000</v>
      </c>
      <c r="BL67" s="237" t="n">
        <v>3000</v>
      </c>
      <c r="BM67" s="237" t="n">
        <v>1800</v>
      </c>
      <c r="BN67" s="237">
        <f>1400+CP67</f>
        <v/>
      </c>
      <c r="BO67" s="237" t="n">
        <v>300</v>
      </c>
      <c r="BP67" s="237" t="n">
        <v>4000</v>
      </c>
      <c r="BQ67" s="237" t="n">
        <v>3000</v>
      </c>
      <c r="BR67" s="237" t="n">
        <v>3000</v>
      </c>
      <c r="BS67" s="237" t="n">
        <v>2800</v>
      </c>
      <c r="BT67" s="237" t="n">
        <v>2600</v>
      </c>
      <c r="BU67" s="237" t="n">
        <v>2400</v>
      </c>
      <c r="BV67" s="237" t="n">
        <v>2400</v>
      </c>
      <c r="BW67" s="237" t="n">
        <v>2200</v>
      </c>
      <c r="BX67" s="237" t="n">
        <v>1000</v>
      </c>
      <c r="BY67" s="198">
        <f>BW67+IF(NOT(ISBLANK(OFFSET(BY67,0,6))),N(OFFSET(BY67,0,6)),N(OFFSET(BY67,0,7)))-BX67</f>
        <v/>
      </c>
      <c r="CA67" s="194" t="n"/>
      <c r="CB67" s="194" t="n"/>
      <c r="CC67" s="5" t="n"/>
      <c r="CD67" s="27" t="n"/>
      <c r="CF67" s="135" t="n">
        <v>0</v>
      </c>
      <c r="CG67" s="135" t="n">
        <v>0</v>
      </c>
      <c r="CH67" s="135" t="n">
        <v>0</v>
      </c>
      <c r="CI67" s="135" t="n"/>
      <c r="CJ67" s="135" t="n"/>
      <c r="CK67" s="135" t="n"/>
      <c r="CL67" s="135" t="n">
        <v>2000</v>
      </c>
      <c r="CM67" s="135" t="n"/>
      <c r="CN67" s="135" t="n"/>
      <c r="CO67" s="135" t="n"/>
      <c r="CP67" s="135" t="n">
        <v>2000</v>
      </c>
      <c r="CQ67" s="135" t="n"/>
      <c r="CR67" s="135" t="n"/>
      <c r="CS67" s="135" t="n">
        <v>1200</v>
      </c>
      <c r="CT67" s="135" t="n"/>
      <c r="CU67" s="135" t="n"/>
      <c r="CV67" s="135" t="n"/>
      <c r="CW67" s="135" t="n">
        <v>2400</v>
      </c>
      <c r="CX67" s="135" t="n"/>
      <c r="CY67" s="135" t="n"/>
      <c r="CZ67" s="135" t="n"/>
      <c r="DA67" s="135" t="n"/>
      <c r="DB67" s="135" t="n"/>
      <c r="DC67" s="135" t="n"/>
      <c r="DD67" s="135" t="n">
        <v>1000</v>
      </c>
      <c r="DE67" s="135" t="n">
        <v>1000</v>
      </c>
      <c r="DF67" s="135" t="n"/>
      <c r="DG67" s="135" t="n"/>
      <c r="DH67" s="135" t="n"/>
      <c r="DI67" s="135" t="n">
        <v>1000</v>
      </c>
      <c r="DJ67" s="135" t="n">
        <v>1000</v>
      </c>
      <c r="DK67" s="374" t="n"/>
      <c r="DL67" s="135" t="n"/>
      <c r="DM67" s="135" t="n"/>
      <c r="DN67" s="135" t="n">
        <v>200</v>
      </c>
      <c r="DO67" s="135" t="n"/>
      <c r="DP67" s="135" t="n">
        <v>800</v>
      </c>
      <c r="DQ67" s="135" t="n"/>
      <c r="DR67" s="135" t="n"/>
      <c r="DS67" s="135" t="n"/>
      <c r="DT67" s="135" t="n"/>
      <c r="DU67" s="135" t="n">
        <v>600</v>
      </c>
      <c r="DV67" s="135" t="n"/>
      <c r="DW67" s="135" t="n"/>
      <c r="DX67" s="135" t="n"/>
      <c r="DY67" s="135" t="n"/>
      <c r="DZ67" s="135" t="n"/>
      <c r="EA67" s="135" t="n">
        <v>1000</v>
      </c>
      <c r="EB67" s="135" t="n"/>
      <c r="EC67" s="135" t="n"/>
      <c r="ED67" s="135" t="n"/>
      <c r="EE67" s="135" t="n"/>
      <c r="EF67" s="135" t="n"/>
      <c r="EG67" s="135" t="n">
        <v>1000</v>
      </c>
      <c r="EH67" s="135" t="n"/>
      <c r="EI67" s="135" t="n"/>
      <c r="EJ67" s="135" t="n"/>
      <c r="EK67" s="135" t="n"/>
      <c r="EL67" s="135" t="n"/>
      <c r="EM67" s="135" t="n">
        <v>1000</v>
      </c>
      <c r="EN67" s="135" t="n">
        <v>600</v>
      </c>
      <c r="EO67" s="135" t="n"/>
      <c r="EP67" s="135" t="n"/>
      <c r="EQ67" s="135" t="n"/>
      <c r="ER67" s="135" t="n">
        <v>800</v>
      </c>
      <c r="ES67" s="135" t="n"/>
      <c r="ET67" s="135" t="n"/>
      <c r="EU67" s="135" t="n">
        <v>400</v>
      </c>
      <c r="EV67" s="135" t="n"/>
      <c r="EW67" s="135" t="n"/>
      <c r="EX67" s="135" t="n">
        <v>200</v>
      </c>
      <c r="EY67" s="135" t="n">
        <v>400</v>
      </c>
      <c r="EZ67" s="135" t="n">
        <v>800</v>
      </c>
      <c r="FA67" s="135" t="n"/>
      <c r="FB67" s="135" t="n">
        <v>400</v>
      </c>
      <c r="FC67" s="135" t="n"/>
      <c r="FD67" s="135" t="n"/>
      <c r="FE67" s="135" t="n"/>
      <c r="FF67" s="135" t="n"/>
      <c r="FG67" s="135" t="n"/>
      <c r="FH67" s="23" t="n"/>
      <c r="FI67" s="374" t="n"/>
      <c r="FJ67" s="135" t="n"/>
      <c r="FK67" s="135" t="n"/>
      <c r="FL67" s="135" t="n">
        <v>600</v>
      </c>
      <c r="FM67" s="135" t="n"/>
      <c r="FN67" s="135" t="n"/>
      <c r="FO67" s="135" t="n"/>
      <c r="FP67" s="135" t="n"/>
      <c r="FQ67" s="135" t="n"/>
      <c r="FR67" s="135" t="n"/>
      <c r="FS67" s="135" t="n"/>
      <c r="FT67" s="135" t="n"/>
      <c r="FU67" s="135" t="n"/>
      <c r="FV67" s="135" t="n"/>
      <c r="FW67" s="310" t="n"/>
      <c r="FX67" s="135" t="n"/>
      <c r="FY67" s="310" t="n"/>
      <c r="FZ67" s="135" t="n"/>
      <c r="GA67" s="135" t="n"/>
      <c r="GB67" s="135" t="n"/>
      <c r="GC67" s="135" t="n"/>
      <c r="GD67" s="135" t="n"/>
      <c r="GE67" s="135" t="n"/>
      <c r="GF67" s="135" t="n"/>
      <c r="GG67" s="135" t="n"/>
      <c r="GH67" s="135" t="n"/>
      <c r="GI67" s="135" t="n"/>
      <c r="GJ67" s="135" t="n"/>
      <c r="GK67" s="135" t="n"/>
      <c r="GL67" s="135" t="n"/>
      <c r="GM67" s="135" t="n"/>
      <c r="GN67" s="135" t="n"/>
      <c r="GP67" s="5" t="n"/>
      <c r="GQ67" s="5" t="n"/>
      <c r="GR67" s="5" t="n"/>
      <c r="GS67" s="5" t="n"/>
      <c r="GT67" s="5" t="n"/>
      <c r="GU67" s="5" t="n"/>
      <c r="GV67" s="5" t="n"/>
      <c r="GW67" s="5" t="n"/>
      <c r="GX67" s="5" t="n"/>
      <c r="GY67" s="5" t="n"/>
      <c r="GZ67" s="5" t="n"/>
      <c r="HA67" s="5" t="n"/>
      <c r="HB67" s="5" t="n"/>
      <c r="HC67" s="5" t="n"/>
      <c r="HD67" s="5" t="n"/>
      <c r="HE67" s="5" t="n"/>
      <c r="HF67" s="5" t="n"/>
      <c r="HG67" s="5" t="n"/>
      <c r="HH67" s="5" t="n"/>
      <c r="HI67" s="5" t="n"/>
      <c r="HK67" s="5" t="n"/>
      <c r="HL67" s="5" t="n"/>
      <c r="HM67" s="5" t="n"/>
      <c r="HN67" s="5" t="n"/>
      <c r="HO67" s="5" t="n"/>
      <c r="HP67" s="5" t="n"/>
      <c r="HQ67" s="5" t="n"/>
      <c r="HR67" s="5" t="n"/>
      <c r="HS67" s="5" t="n"/>
      <c r="HT67" s="5" t="n"/>
      <c r="HV67" s="5" t="n"/>
      <c r="HW67" s="5" t="n"/>
      <c r="HX67" s="5" t="n"/>
      <c r="HY67" s="5" t="n"/>
      <c r="HZ67" s="5" t="n"/>
      <c r="IA67" s="5" t="n"/>
      <c r="IB67" s="5" t="n"/>
      <c r="IC67" s="5" t="n"/>
      <c r="ID67" s="5" t="n"/>
      <c r="IE67" s="5" t="n"/>
      <c r="IF67" s="5" t="n"/>
      <c r="IH67" s="5" t="n"/>
      <c r="II67" s="5" t="n"/>
      <c r="IJ67" s="5" t="n"/>
      <c r="IK67" s="5" t="n"/>
      <c r="IL67" s="5" t="n"/>
      <c r="IM67" s="5" t="n"/>
    </row>
    <row r="68">
      <c r="A68" s="37" t="inlineStr">
        <is>
          <t>SACOLA M EUDORA</t>
        </is>
      </c>
      <c r="B68" s="699" t="n">
        <v>200</v>
      </c>
      <c r="C68" s="762" t="n">
        <v>240.83</v>
      </c>
      <c r="D68" s="382" t="inlineStr">
        <is>
          <t>?</t>
        </is>
      </c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>
        <v>0</v>
      </c>
      <c r="Y68" s="697" t="n">
        <v>0</v>
      </c>
      <c r="Z68" s="697" t="n">
        <v>400</v>
      </c>
      <c r="AA68" s="697" t="n">
        <v>400</v>
      </c>
      <c r="AB68" s="697" t="n">
        <v>400</v>
      </c>
      <c r="AC68" s="697" t="n">
        <v>0</v>
      </c>
      <c r="AD68" s="697" t="n">
        <v>0</v>
      </c>
      <c r="AE68" s="237">
        <f>0+EY68</f>
        <v/>
      </c>
      <c r="AF68" s="237" t="n">
        <v>400</v>
      </c>
      <c r="AG68" s="237">
        <f>200+EU68</f>
        <v/>
      </c>
      <c r="AH68" s="237" t="n">
        <v>200</v>
      </c>
      <c r="AI68" s="237" t="n">
        <v>400</v>
      </c>
      <c r="AJ68" s="237" t="n">
        <v>400</v>
      </c>
      <c r="AK68" s="237" t="n">
        <v>400</v>
      </c>
      <c r="AL68" s="237" t="n">
        <v>400</v>
      </c>
      <c r="AM68" s="237" t="n">
        <v>0</v>
      </c>
      <c r="AN68" s="237" t="n">
        <v>200</v>
      </c>
      <c r="AO68" s="237" t="n">
        <v>400</v>
      </c>
      <c r="AP68" s="237" t="n">
        <v>0</v>
      </c>
      <c r="AQ68" s="237" t="n">
        <v>400</v>
      </c>
      <c r="AR68" s="237" t="n">
        <v>200</v>
      </c>
      <c r="AS68" s="237">
        <f>0+DX68</f>
        <v/>
      </c>
      <c r="AT68" s="237" t="n">
        <v>400</v>
      </c>
      <c r="AU68" s="237" t="n">
        <v>200</v>
      </c>
      <c r="AV68" s="237">
        <f>0+DQ68</f>
        <v/>
      </c>
      <c r="AW68" s="237" t="n">
        <v>200</v>
      </c>
      <c r="AX68" s="237">
        <f>0+DN68</f>
        <v/>
      </c>
      <c r="AY68" s="237" t="n">
        <v>0</v>
      </c>
      <c r="AZ68" s="237">
        <f>0+DJ68</f>
        <v/>
      </c>
      <c r="BA68" s="237">
        <f>0+DI68</f>
        <v/>
      </c>
      <c r="BB68" s="237">
        <f>800+DH68</f>
        <v/>
      </c>
      <c r="BC68" s="237" t="n">
        <v>1600</v>
      </c>
      <c r="BD68" s="237" t="n">
        <v>800</v>
      </c>
      <c r="BE68" s="237" t="n">
        <v>800</v>
      </c>
      <c r="BF68" s="237" t="n">
        <v>800</v>
      </c>
      <c r="BG68" s="237" t="n">
        <v>800</v>
      </c>
      <c r="BH68" s="237" t="n">
        <v>800</v>
      </c>
      <c r="BI68" s="237" t="n">
        <v>800</v>
      </c>
      <c r="BJ68" s="237">
        <f>800+CV68</f>
        <v/>
      </c>
      <c r="BK68" s="237" t="n">
        <v>800</v>
      </c>
      <c r="BL68" s="237" t="n">
        <v>200</v>
      </c>
      <c r="BM68" s="237" t="n">
        <v>600</v>
      </c>
      <c r="BN68" s="237" t="n">
        <v>400</v>
      </c>
      <c r="BO68" s="237" t="n">
        <v>200</v>
      </c>
      <c r="BP68" s="237" t="n">
        <v>0</v>
      </c>
      <c r="BQ68" s="237">
        <f>0+CK68</f>
        <v/>
      </c>
      <c r="BR68" s="237" t="n">
        <v>1000</v>
      </c>
      <c r="BS68" s="237" t="n">
        <v>1000</v>
      </c>
      <c r="BT68" s="237" t="n">
        <v>1000</v>
      </c>
      <c r="BU68" s="237" t="n">
        <v>800</v>
      </c>
      <c r="BV68" s="237" t="n">
        <v>400</v>
      </c>
      <c r="BW68" s="237" t="n">
        <v>400</v>
      </c>
      <c r="BX68" s="237" t="n">
        <v>200</v>
      </c>
      <c r="BY68" s="198">
        <f>BW68+IF(NOT(ISBLANK(OFFSET(BY68,0,6))),N(OFFSET(BY68,0,6)),N(OFFSET(BY68,0,7)))-BX68</f>
        <v/>
      </c>
      <c r="CA68" s="194" t="n"/>
      <c r="CB68" s="194" t="n"/>
      <c r="CC68" s="5" t="n"/>
      <c r="CD68" s="27" t="n">
        <v>600</v>
      </c>
      <c r="CF68" s="135" t="n">
        <v>0</v>
      </c>
      <c r="CG68" s="135" t="n">
        <v>0</v>
      </c>
      <c r="CH68" s="135" t="n">
        <v>0</v>
      </c>
      <c r="CI68" s="135" t="n"/>
      <c r="CJ68" s="135" t="n"/>
      <c r="CK68" s="135" t="n">
        <v>1000</v>
      </c>
      <c r="CL68" s="135" t="n"/>
      <c r="CM68" s="135" t="n"/>
      <c r="CN68" s="135" t="n"/>
      <c r="CO68" s="135" t="n"/>
      <c r="CP68" s="135" t="n"/>
      <c r="CQ68" s="135" t="n"/>
      <c r="CR68" s="135" t="n"/>
      <c r="CS68" s="135" t="n"/>
      <c r="CT68" s="135" t="n"/>
      <c r="CU68" s="135" t="n"/>
      <c r="CV68" s="135" t="n">
        <v>400</v>
      </c>
      <c r="CW68" s="135" t="n"/>
      <c r="CX68" s="135" t="n"/>
      <c r="CY68" s="135" t="n"/>
      <c r="CZ68" s="135" t="n"/>
      <c r="DA68" s="135" t="n"/>
      <c r="DB68" s="135" t="n"/>
      <c r="DC68" s="135" t="n"/>
      <c r="DD68" s="135" t="n"/>
      <c r="DE68" s="135" t="n"/>
      <c r="DF68" s="135" t="n"/>
      <c r="DG68" s="135" t="n"/>
      <c r="DH68" s="135" t="n">
        <v>800</v>
      </c>
      <c r="DI68" s="135" t="n">
        <v>800</v>
      </c>
      <c r="DJ68" s="135" t="n">
        <v>600</v>
      </c>
      <c r="DK68" s="374" t="n"/>
      <c r="DL68" s="135" t="n"/>
      <c r="DM68" s="135" t="n"/>
      <c r="DN68" s="135" t="n">
        <v>400</v>
      </c>
      <c r="DO68" s="135" t="n"/>
      <c r="DP68" s="135" t="n"/>
      <c r="DQ68" s="135" t="n">
        <v>400</v>
      </c>
      <c r="DR68" s="135" t="n"/>
      <c r="DS68" s="135" t="n"/>
      <c r="DT68" s="135" t="n"/>
      <c r="DU68" s="135" t="n"/>
      <c r="DV68" s="135" t="n"/>
      <c r="DW68" s="135" t="n"/>
      <c r="DX68" s="135" t="n">
        <v>400</v>
      </c>
      <c r="DY68" s="135" t="n"/>
      <c r="DZ68" s="135" t="n"/>
      <c r="EA68" s="135" t="n">
        <v>400</v>
      </c>
      <c r="EB68" s="135" t="n"/>
      <c r="EC68" s="135" t="n"/>
      <c r="ED68" s="135" t="n"/>
      <c r="EE68" s="135" t="n">
        <v>400</v>
      </c>
      <c r="EF68" s="135" t="n"/>
      <c r="EG68" s="135" t="n"/>
      <c r="EH68" s="135" t="n">
        <v>400</v>
      </c>
      <c r="EI68" s="135" t="n"/>
      <c r="EJ68" s="135" t="n"/>
      <c r="EK68" s="135" t="n"/>
      <c r="EL68" s="135" t="n"/>
      <c r="EM68" s="135" t="n"/>
      <c r="EN68" s="135" t="n"/>
      <c r="EO68" s="135" t="n"/>
      <c r="EP68" s="135" t="n"/>
      <c r="EQ68" s="135" t="n"/>
      <c r="ER68" s="135" t="n">
        <v>200</v>
      </c>
      <c r="ES68" s="135" t="n"/>
      <c r="ET68" s="135" t="n"/>
      <c r="EU68" s="135" t="n">
        <v>200</v>
      </c>
      <c r="EV68" s="135" t="n"/>
      <c r="EW68" s="135" t="n"/>
      <c r="EX68" s="135" t="n"/>
      <c r="EY68" s="135" t="n">
        <v>600</v>
      </c>
      <c r="EZ68" s="135" t="n">
        <v>400</v>
      </c>
      <c r="FA68" s="135" t="n"/>
      <c r="FB68" s="135" t="n"/>
      <c r="FC68" s="135" t="n"/>
      <c r="FD68" s="135" t="n"/>
      <c r="FE68" s="135" t="n"/>
      <c r="FF68" s="135" t="n"/>
      <c r="FG68" s="135" t="n"/>
      <c r="FH68" s="23" t="n"/>
      <c r="FI68" s="374" t="n"/>
      <c r="FJ68" s="135" t="n"/>
      <c r="FK68" s="135" t="n"/>
      <c r="FL68" s="135" t="n">
        <v>400</v>
      </c>
      <c r="FM68" s="135" t="n"/>
      <c r="FN68" s="135" t="n"/>
      <c r="FO68" s="135" t="n"/>
      <c r="FP68" s="135" t="n"/>
      <c r="FQ68" s="135" t="n"/>
      <c r="FR68" s="135" t="n"/>
      <c r="FS68" s="135" t="n"/>
      <c r="FT68" s="135" t="n"/>
      <c r="FU68" s="135" t="n"/>
      <c r="FV68" s="135" t="n"/>
      <c r="FW68" s="310" t="n"/>
      <c r="FX68" s="135" t="n"/>
      <c r="FY68" s="310" t="n"/>
      <c r="FZ68" s="135" t="n"/>
      <c r="GA68" s="135" t="n"/>
      <c r="GB68" s="135" t="n"/>
      <c r="GC68" s="135" t="n"/>
      <c r="GD68" s="135" t="n"/>
      <c r="GE68" s="135" t="n"/>
      <c r="GF68" s="135" t="n"/>
      <c r="GG68" s="135" t="n"/>
      <c r="GH68" s="135" t="n"/>
      <c r="GI68" s="135" t="n"/>
      <c r="GJ68" s="135" t="n"/>
      <c r="GK68" s="135" t="n"/>
      <c r="GL68" s="135" t="n"/>
      <c r="GM68" s="135" t="n"/>
      <c r="GN68" s="135" t="n"/>
      <c r="GP68" s="5" t="n"/>
      <c r="GQ68" s="5" t="n"/>
      <c r="GR68" s="5" t="n"/>
      <c r="GS68" s="5" t="n"/>
      <c r="GT68" s="5" t="n"/>
      <c r="GU68" s="5" t="n"/>
      <c r="GV68" s="5" t="n"/>
      <c r="GW68" s="5" t="n"/>
      <c r="GX68" s="5" t="n"/>
      <c r="GY68" s="5" t="n"/>
      <c r="GZ68" s="5" t="n"/>
      <c r="HA68" s="5" t="n"/>
      <c r="HB68" s="5" t="n"/>
      <c r="HC68" s="5" t="n"/>
      <c r="HD68" s="5" t="n"/>
      <c r="HE68" s="5" t="n"/>
      <c r="HF68" s="5" t="n"/>
      <c r="HG68" s="5" t="n"/>
      <c r="HH68" s="5" t="n"/>
      <c r="HI68" s="5" t="n"/>
      <c r="HK68" s="5" t="n"/>
      <c r="HL68" s="5" t="n"/>
      <c r="HM68" s="5" t="n"/>
      <c r="HN68" s="5" t="n"/>
      <c r="HO68" s="5" t="n"/>
      <c r="HP68" s="5" t="n"/>
      <c r="HQ68" s="5" t="n"/>
      <c r="HR68" s="5" t="n"/>
      <c r="HS68" s="5" t="n"/>
      <c r="HT68" s="5" t="n"/>
      <c r="HV68" s="5" t="n"/>
      <c r="HW68" s="5" t="n"/>
      <c r="HX68" s="5" t="n"/>
      <c r="HY68" s="5" t="n"/>
      <c r="HZ68" s="5" t="n"/>
      <c r="IA68" s="5" t="n"/>
      <c r="IB68" s="5" t="n"/>
      <c r="IC68" s="5" t="n"/>
      <c r="ID68" s="5" t="n"/>
      <c r="IE68" s="5" t="n"/>
      <c r="IF68" s="5" t="n"/>
      <c r="IH68" s="5" t="n"/>
      <c r="II68" s="5" t="n"/>
      <c r="IJ68" s="5" t="n"/>
      <c r="IK68" s="5" t="n"/>
      <c r="IL68" s="5" t="n"/>
      <c r="IM68" s="5" t="n"/>
    </row>
    <row r="69">
      <c r="A69" s="37" t="inlineStr">
        <is>
          <t>SACOLA G EUDORA</t>
        </is>
      </c>
      <c r="B69" s="699" t="n">
        <v>100</v>
      </c>
      <c r="C69" s="762" t="n">
        <v>175.13</v>
      </c>
      <c r="D69" s="382" t="inlineStr">
        <is>
          <t>?</t>
        </is>
      </c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>
        <v>0</v>
      </c>
      <c r="Y69" s="697" t="n">
        <v>0</v>
      </c>
      <c r="Z69" s="697" t="n">
        <v>100</v>
      </c>
      <c r="AA69" s="697" t="n">
        <v>100</v>
      </c>
      <c r="AB69" s="697" t="n">
        <v>100</v>
      </c>
      <c r="AC69" s="697" t="n">
        <v>100</v>
      </c>
      <c r="AD69" s="697" t="n">
        <v>100</v>
      </c>
      <c r="AE69" s="697" t="n">
        <v>0</v>
      </c>
      <c r="AF69" s="697" t="n">
        <v>100</v>
      </c>
      <c r="AG69" s="237">
        <f>100+EU69</f>
        <v/>
      </c>
      <c r="AH69" s="237" t="n">
        <v>200</v>
      </c>
      <c r="AI69" s="237" t="n">
        <v>200</v>
      </c>
      <c r="AJ69" s="237" t="n">
        <v>200</v>
      </c>
      <c r="AK69" s="237" t="n">
        <v>200</v>
      </c>
      <c r="AL69" s="237" t="n">
        <v>100</v>
      </c>
      <c r="AM69" s="237" t="n">
        <v>100</v>
      </c>
      <c r="AN69" s="237" t="n">
        <v>100</v>
      </c>
      <c r="AO69" s="237" t="n">
        <v>100</v>
      </c>
      <c r="AP69" s="237" t="n">
        <v>100</v>
      </c>
      <c r="AQ69" s="237" t="n">
        <v>100</v>
      </c>
      <c r="AR69" s="237" t="n">
        <v>0</v>
      </c>
      <c r="AS69" s="237" t="n">
        <v>0</v>
      </c>
      <c r="AT69" s="237" t="n">
        <v>100</v>
      </c>
      <c r="AU69" s="237">
        <f>100+DT69</f>
        <v/>
      </c>
      <c r="AV69" s="237" t="n">
        <v>400</v>
      </c>
      <c r="AW69" s="237" t="n">
        <v>400</v>
      </c>
      <c r="AX69" s="237" t="n">
        <v>400</v>
      </c>
      <c r="AY69" s="237" t="n">
        <v>300</v>
      </c>
      <c r="AZ69" s="237">
        <f>300+DJ69</f>
        <v/>
      </c>
      <c r="BA69" s="237" t="n">
        <v>300</v>
      </c>
      <c r="BB69" s="237">
        <f>300+DH69</f>
        <v/>
      </c>
      <c r="BC69" s="237" t="n">
        <v>400</v>
      </c>
      <c r="BD69" s="237" t="n">
        <v>400</v>
      </c>
      <c r="BE69" s="237" t="n">
        <v>400</v>
      </c>
      <c r="BF69" s="237" t="n">
        <v>400</v>
      </c>
      <c r="BG69" s="237" t="n">
        <v>400</v>
      </c>
      <c r="BH69" s="237" t="n">
        <v>300</v>
      </c>
      <c r="BI69" s="237" t="n">
        <v>200</v>
      </c>
      <c r="BJ69" s="237" t="n">
        <v>400</v>
      </c>
      <c r="BK69" s="237" t="n">
        <v>400</v>
      </c>
      <c r="BL69" s="237" t="n">
        <v>400</v>
      </c>
      <c r="BM69" s="237" t="n">
        <v>500</v>
      </c>
      <c r="BN69" s="237">
        <f>200+CP69</f>
        <v/>
      </c>
      <c r="BO69" s="237" t="n">
        <v>700</v>
      </c>
      <c r="BP69" s="237" t="n">
        <v>1000</v>
      </c>
      <c r="BQ69" s="237" t="n">
        <v>800</v>
      </c>
      <c r="BR69" s="237" t="n">
        <v>800</v>
      </c>
      <c r="BS69" s="237" t="n">
        <v>800</v>
      </c>
      <c r="BT69" s="237" t="n">
        <v>700</v>
      </c>
      <c r="BU69" s="237" t="n">
        <v>900</v>
      </c>
      <c r="BV69" s="237" t="n">
        <v>600</v>
      </c>
      <c r="BW69" s="237" t="n">
        <v>600</v>
      </c>
      <c r="BX69" s="237" t="n">
        <v>600</v>
      </c>
      <c r="BY69" s="198">
        <f>BW69+IF(NOT(ISBLANK(OFFSET(BY69,0,6))),N(OFFSET(BY69,0,6)),N(OFFSET(BY69,0,7)))-BX69</f>
        <v/>
      </c>
      <c r="CA69" s="194" t="n"/>
      <c r="CB69" s="194" t="n"/>
      <c r="CC69" s="5" t="n"/>
      <c r="CD69" s="27" t="n"/>
      <c r="CF69" s="135" t="n">
        <v>0</v>
      </c>
      <c r="CG69" s="135" t="n">
        <v>0</v>
      </c>
      <c r="CH69" s="135" t="n">
        <v>0</v>
      </c>
      <c r="CI69" s="135" t="n"/>
      <c r="CJ69" s="135" t="n"/>
      <c r="CK69" s="135" t="n"/>
      <c r="CL69" s="135" t="n">
        <v>300</v>
      </c>
      <c r="CM69" s="135" t="n"/>
      <c r="CN69" s="135" t="n"/>
      <c r="CO69" s="135" t="n"/>
      <c r="CP69" s="135" t="n">
        <v>600</v>
      </c>
      <c r="CQ69" s="135" t="n"/>
      <c r="CR69" s="135" t="n">
        <v>400</v>
      </c>
      <c r="CS69" s="135" t="n"/>
      <c r="CT69" s="135" t="n"/>
      <c r="CU69" s="135" t="n"/>
      <c r="CV69" s="135" t="n">
        <v>200</v>
      </c>
      <c r="CW69" s="135" t="n"/>
      <c r="CX69" s="135" t="n"/>
      <c r="CY69" s="135" t="n"/>
      <c r="CZ69" s="135" t="n"/>
      <c r="DA69" s="135" t="n"/>
      <c r="DB69" s="135" t="n"/>
      <c r="DC69" s="135" t="n"/>
      <c r="DD69" s="135" t="n"/>
      <c r="DE69" s="135" t="n"/>
      <c r="DF69" s="135" t="n"/>
      <c r="DG69" s="135" t="n"/>
      <c r="DH69" s="135" t="n">
        <v>100</v>
      </c>
      <c r="DI69" s="135" t="n"/>
      <c r="DJ69" s="135" t="n">
        <v>100</v>
      </c>
      <c r="DK69" s="374" t="n"/>
      <c r="DL69" s="135" t="n"/>
      <c r="DM69" s="135" t="n"/>
      <c r="DN69" s="135" t="n"/>
      <c r="DO69" s="135" t="n"/>
      <c r="DP69" s="135" t="n"/>
      <c r="DQ69" s="135" t="n"/>
      <c r="DR69" s="135" t="n"/>
      <c r="DS69" s="135" t="n"/>
      <c r="DT69" s="135" t="n">
        <v>300</v>
      </c>
      <c r="DU69" s="135" t="n"/>
      <c r="DV69" s="135" t="n"/>
      <c r="DW69" s="135" t="n">
        <v>200</v>
      </c>
      <c r="DX69" s="135" t="n"/>
      <c r="DY69" s="135" t="n"/>
      <c r="DZ69" s="135" t="n"/>
      <c r="EA69" s="135" t="n"/>
      <c r="EB69" s="135" t="n"/>
      <c r="EC69" s="135" t="n"/>
      <c r="ED69" s="135" t="n"/>
      <c r="EE69" s="135" t="n"/>
      <c r="EF69" s="135" t="n"/>
      <c r="EG69" s="135" t="n"/>
      <c r="EH69" s="135" t="n"/>
      <c r="EI69" s="135" t="n"/>
      <c r="EJ69" s="135" t="n"/>
      <c r="EK69" s="135" t="n"/>
      <c r="EL69" s="135" t="n"/>
      <c r="EM69" s="135" t="n"/>
      <c r="EN69" s="135" t="n"/>
      <c r="EO69" s="135" t="n"/>
      <c r="EP69" s="135" t="n"/>
      <c r="EQ69" s="135" t="n"/>
      <c r="ER69" s="135" t="n"/>
      <c r="ES69" s="135" t="n"/>
      <c r="ET69" s="135" t="n"/>
      <c r="EU69" s="135" t="n">
        <v>100</v>
      </c>
      <c r="EV69" s="135" t="n"/>
      <c r="EW69" s="135" t="n"/>
      <c r="EX69" s="135" t="n">
        <v>100</v>
      </c>
      <c r="EY69" s="135" t="n"/>
      <c r="EZ69" s="135" t="n"/>
      <c r="FA69" s="135" t="n"/>
      <c r="FB69" s="135" t="n"/>
      <c r="FC69" s="135" t="n"/>
      <c r="FD69" s="135" t="n"/>
      <c r="FE69" s="135" t="n"/>
      <c r="FF69" s="135" t="n"/>
      <c r="FG69" s="135" t="n"/>
      <c r="FH69" s="23" t="n"/>
      <c r="FI69" s="374" t="n"/>
      <c r="FJ69" s="135" t="n"/>
      <c r="FK69" s="135" t="n"/>
      <c r="FL69" s="135" t="n">
        <v>100</v>
      </c>
      <c r="FM69" s="135" t="n"/>
      <c r="FN69" s="135" t="n"/>
      <c r="FO69" s="135" t="n"/>
      <c r="FP69" s="135" t="n"/>
      <c r="FQ69" s="135" t="n"/>
      <c r="FR69" s="135" t="n"/>
      <c r="FS69" s="135" t="n"/>
      <c r="FT69" s="135" t="n"/>
      <c r="FU69" s="135" t="n"/>
      <c r="FV69" s="135" t="n"/>
      <c r="FW69" s="310" t="n"/>
      <c r="FX69" s="135" t="n"/>
      <c r="FY69" s="310" t="n"/>
      <c r="FZ69" s="135" t="n"/>
      <c r="GA69" s="135" t="n"/>
      <c r="GB69" s="135" t="n"/>
      <c r="GC69" s="135" t="n"/>
      <c r="GD69" s="135" t="n"/>
      <c r="GE69" s="135" t="n"/>
      <c r="GF69" s="135" t="n"/>
      <c r="GG69" s="135" t="n"/>
      <c r="GH69" s="135" t="n"/>
      <c r="GI69" s="135" t="n"/>
      <c r="GJ69" s="135" t="n"/>
      <c r="GK69" s="135" t="n"/>
      <c r="GL69" s="135" t="n"/>
      <c r="GM69" s="135" t="n"/>
      <c r="GN69" s="135" t="n"/>
      <c r="GP69" s="5" t="n"/>
      <c r="GQ69" s="5" t="n"/>
      <c r="GR69" s="5" t="n"/>
      <c r="GS69" s="5" t="n"/>
      <c r="GT69" s="5" t="n"/>
      <c r="GU69" s="5" t="n"/>
      <c r="GV69" s="5" t="n"/>
      <c r="GW69" s="5" t="n"/>
      <c r="GX69" s="5" t="n"/>
      <c r="GY69" s="5" t="n"/>
      <c r="GZ69" s="5" t="n"/>
      <c r="HA69" s="5" t="n"/>
      <c r="HB69" s="5" t="n"/>
      <c r="HC69" s="5" t="n"/>
      <c r="HD69" s="5" t="n"/>
      <c r="HE69" s="5" t="n"/>
      <c r="HF69" s="5" t="n"/>
      <c r="HG69" s="5" t="n"/>
      <c r="HH69" s="5" t="n"/>
      <c r="HI69" s="5" t="n"/>
      <c r="HK69" s="5" t="n"/>
      <c r="HL69" s="5" t="n"/>
      <c r="HM69" s="5" t="n"/>
      <c r="HN69" s="5" t="n"/>
      <c r="HO69" s="5" t="n"/>
      <c r="HP69" s="5" t="n"/>
      <c r="HQ69" s="5" t="n"/>
      <c r="HR69" s="5" t="n"/>
      <c r="HS69" s="5" t="n"/>
      <c r="HT69" s="5" t="n"/>
      <c r="HV69" s="5" t="n"/>
      <c r="HW69" s="5" t="n"/>
      <c r="HX69" s="5" t="n"/>
      <c r="HY69" s="5" t="n"/>
      <c r="HZ69" s="5" t="n"/>
      <c r="IA69" s="5" t="n"/>
      <c r="IB69" s="5" t="n"/>
      <c r="IC69" s="5" t="n"/>
      <c r="ID69" s="5" t="n"/>
      <c r="IE69" s="5" t="n"/>
      <c r="IF69" s="5" t="n"/>
      <c r="IH69" s="5" t="n"/>
      <c r="II69" s="5" t="n"/>
      <c r="IJ69" s="5" t="n"/>
      <c r="IK69" s="5" t="n"/>
      <c r="IL69" s="5" t="n"/>
      <c r="IM69" s="5" t="n"/>
    </row>
    <row r="70">
      <c r="A70" s="626" t="inlineStr">
        <is>
          <t>PAPEL DE SEDA EUDORA</t>
        </is>
      </c>
      <c r="B70" s="345" t="n">
        <v>200</v>
      </c>
      <c r="C70" s="834" t="n">
        <v>29.77</v>
      </c>
      <c r="D70" s="382" t="n">
        <v>1</v>
      </c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>
        <v>0</v>
      </c>
      <c r="Y70" s="697" t="n">
        <v>0</v>
      </c>
      <c r="Z70" s="697" t="n">
        <v>3</v>
      </c>
      <c r="AA70" s="697" t="n">
        <v>3</v>
      </c>
      <c r="AB70" s="697" t="n">
        <v>3</v>
      </c>
      <c r="AC70" s="697" t="n">
        <v>2</v>
      </c>
      <c r="AD70" s="697" t="n">
        <v>2</v>
      </c>
      <c r="AE70" s="697" t="n">
        <v>2</v>
      </c>
      <c r="AF70" s="697" t="n">
        <v>1</v>
      </c>
      <c r="AG70" s="697" t="n">
        <v>1</v>
      </c>
      <c r="AH70" s="697" t="n">
        <v>1</v>
      </c>
      <c r="AI70" s="697" t="n">
        <v>1</v>
      </c>
      <c r="AJ70" s="697" t="n">
        <v>2</v>
      </c>
      <c r="AK70" s="697" t="n">
        <v>2</v>
      </c>
      <c r="AL70" s="697" t="n">
        <v>0</v>
      </c>
      <c r="AM70" s="697" t="n">
        <v>0</v>
      </c>
      <c r="AN70" s="697" t="n">
        <v>1</v>
      </c>
      <c r="AO70" s="697" t="n">
        <v>0</v>
      </c>
      <c r="AP70" s="697" t="n">
        <v>0</v>
      </c>
      <c r="AQ70" s="697" t="n">
        <v>1</v>
      </c>
      <c r="AR70" s="697" t="n">
        <v>0</v>
      </c>
      <c r="AS70" s="237">
        <f>0+DX70</f>
        <v/>
      </c>
      <c r="AT70" s="237" t="n">
        <v>1</v>
      </c>
      <c r="AU70" s="237">
        <f>1+DT70</f>
        <v/>
      </c>
      <c r="AV70" s="237" t="n">
        <v>1</v>
      </c>
      <c r="AW70" s="237" t="n">
        <v>1</v>
      </c>
      <c r="AX70" s="237" t="n">
        <v>1</v>
      </c>
      <c r="AY70" s="237" t="n">
        <v>1</v>
      </c>
      <c r="AZ70" s="237" t="n">
        <v>1</v>
      </c>
      <c r="BA70" s="237" t="n">
        <v>0</v>
      </c>
      <c r="BB70" s="237">
        <f>0+DH70</f>
        <v/>
      </c>
      <c r="BC70" s="237" t="n">
        <v>1</v>
      </c>
      <c r="BD70" s="237" t="n">
        <v>0</v>
      </c>
      <c r="BE70" s="237" t="n">
        <v>0</v>
      </c>
      <c r="BF70" s="237" t="n">
        <v>0</v>
      </c>
      <c r="BG70" s="237" t="n">
        <v>0</v>
      </c>
      <c r="BH70" s="237" t="n">
        <v>0</v>
      </c>
      <c r="BI70" s="237" t="n">
        <v>0</v>
      </c>
      <c r="BJ70" s="237" t="n">
        <v>0</v>
      </c>
      <c r="BK70" s="237" t="n">
        <v>0</v>
      </c>
      <c r="BL70" s="237" t="n">
        <v>0</v>
      </c>
      <c r="BM70" s="237" t="n">
        <v>0</v>
      </c>
      <c r="BN70" s="237" t="n">
        <v>0</v>
      </c>
      <c r="BO70" s="237" t="n">
        <v>0</v>
      </c>
      <c r="BP70" s="237" t="n">
        <v>0</v>
      </c>
      <c r="BQ70" s="237" t="n">
        <v>0</v>
      </c>
      <c r="BR70" s="237" t="n">
        <v>0</v>
      </c>
      <c r="BS70" s="237" t="n">
        <v>0</v>
      </c>
      <c r="BT70" s="237" t="n">
        <v>0</v>
      </c>
      <c r="BU70" s="237" t="n">
        <v>0</v>
      </c>
      <c r="BV70" s="237" t="n">
        <v>0</v>
      </c>
      <c r="BW70" s="237" t="n">
        <v>0</v>
      </c>
      <c r="BX70" s="237" t="n">
        <v>0</v>
      </c>
      <c r="BY70" s="198">
        <f>BW70+IF(NOT(ISBLANK(OFFSET(BY70,0,6))),N(OFFSET(BY70,0,6)),N(OFFSET(BY70,0,7)))-BX70</f>
        <v/>
      </c>
      <c r="CA70" s="194" t="n"/>
      <c r="CB70" s="194" t="n"/>
      <c r="CC70" s="5" t="n"/>
      <c r="CD70" s="27" t="n"/>
      <c r="CF70" s="135" t="n">
        <v>0</v>
      </c>
      <c r="CG70" s="135" t="n">
        <v>0</v>
      </c>
      <c r="CH70" s="135" t="n">
        <v>0</v>
      </c>
      <c r="CI70" s="135" t="n"/>
      <c r="CJ70" s="135" t="n"/>
      <c r="CK70" s="135" t="n"/>
      <c r="CL70" s="135" t="n"/>
      <c r="CM70" s="135" t="n"/>
      <c r="CN70" s="135" t="n"/>
      <c r="CO70" s="135" t="n"/>
      <c r="CP70" s="135" t="n"/>
      <c r="CQ70" s="135" t="n"/>
      <c r="CR70" s="135" t="n"/>
      <c r="CS70" s="135" t="n"/>
      <c r="CT70" s="135" t="n"/>
      <c r="CU70" s="135" t="n"/>
      <c r="CV70" s="135" t="n"/>
      <c r="CW70" s="135" t="n"/>
      <c r="CX70" s="135" t="n"/>
      <c r="CY70" s="135" t="n"/>
      <c r="CZ70" s="135" t="n"/>
      <c r="DA70" s="135" t="n"/>
      <c r="DB70" s="135" t="n"/>
      <c r="DC70" s="135" t="n"/>
      <c r="DD70" s="135" t="n"/>
      <c r="DE70" s="135" t="n"/>
      <c r="DF70" s="135" t="n"/>
      <c r="DG70" s="135" t="n"/>
      <c r="DH70" s="135" t="n">
        <v>2</v>
      </c>
      <c r="DI70" s="135" t="n"/>
      <c r="DJ70" s="135" t="n"/>
      <c r="DK70" s="374" t="n"/>
      <c r="DL70" s="135" t="n"/>
      <c r="DM70" s="135" t="n"/>
      <c r="DN70" s="135" t="n"/>
      <c r="DO70" s="135" t="n"/>
      <c r="DP70" s="135" t="n"/>
      <c r="DQ70" s="135" t="n"/>
      <c r="DR70" s="135" t="n"/>
      <c r="DS70" s="135" t="n"/>
      <c r="DT70" s="135" t="n">
        <v>1</v>
      </c>
      <c r="DU70" s="135" t="n"/>
      <c r="DV70" s="135" t="n"/>
      <c r="DW70" s="135" t="n"/>
      <c r="DX70" s="135" t="n">
        <v>2</v>
      </c>
      <c r="DY70" s="135" t="n"/>
      <c r="DZ70" s="135" t="n"/>
      <c r="EA70" s="135" t="n">
        <v>1</v>
      </c>
      <c r="EB70" s="135" t="n"/>
      <c r="EC70" s="135" t="n"/>
      <c r="ED70" s="135" t="n"/>
      <c r="EE70" s="135" t="n"/>
      <c r="EF70" s="135" t="n"/>
      <c r="EG70" s="135" t="n"/>
      <c r="EH70" s="135" t="n">
        <v>1</v>
      </c>
      <c r="EI70" s="135" t="n"/>
      <c r="EJ70" s="135" t="n"/>
      <c r="EK70" s="135" t="n"/>
      <c r="EL70" s="135" t="n"/>
      <c r="EM70" s="135" t="n"/>
      <c r="EN70" s="135" t="n"/>
      <c r="EO70" s="135" t="n">
        <v>1</v>
      </c>
      <c r="EP70" s="135" t="n"/>
      <c r="EQ70" s="135" t="n"/>
      <c r="ER70" s="135" t="n"/>
      <c r="ES70" s="135" t="n"/>
      <c r="ET70" s="135" t="n"/>
      <c r="EU70" s="135" t="n"/>
      <c r="EV70" s="135" t="n"/>
      <c r="EW70" s="135" t="n"/>
      <c r="EX70" s="135" t="n"/>
      <c r="EY70" s="135" t="n"/>
      <c r="EZ70" s="135" t="n"/>
      <c r="FA70" s="135" t="n"/>
      <c r="FB70" s="135" t="n"/>
      <c r="FC70" s="135" t="n"/>
      <c r="FD70" s="135" t="n"/>
      <c r="FE70" s="135" t="n"/>
      <c r="FF70" s="135" t="n"/>
      <c r="FG70" s="135" t="n"/>
      <c r="FH70" s="23" t="n"/>
      <c r="FI70" s="374" t="n"/>
      <c r="FJ70" s="135" t="n"/>
      <c r="FK70" s="135" t="n"/>
      <c r="FL70" s="135" t="n">
        <v>3</v>
      </c>
      <c r="FM70" s="135" t="n"/>
      <c r="FN70" s="135" t="n"/>
      <c r="FO70" s="135" t="n"/>
      <c r="FP70" s="135" t="n"/>
      <c r="FQ70" s="135" t="n"/>
      <c r="FR70" s="135" t="n"/>
      <c r="FS70" s="135" t="n"/>
      <c r="FT70" s="135" t="n"/>
      <c r="FU70" s="135" t="n"/>
      <c r="FV70" s="135" t="n"/>
      <c r="FW70" s="311" t="n"/>
      <c r="FX70" s="135" t="n"/>
      <c r="FY70" s="311" t="n"/>
      <c r="FZ70" s="135" t="n"/>
      <c r="GA70" s="135" t="n"/>
      <c r="GB70" s="135" t="n"/>
      <c r="GC70" s="135" t="n"/>
      <c r="GD70" s="135" t="n"/>
      <c r="GE70" s="135" t="n"/>
      <c r="GF70" s="135" t="n"/>
      <c r="GG70" s="135" t="n"/>
      <c r="GH70" s="135" t="n"/>
      <c r="GI70" s="135" t="n"/>
      <c r="GJ70" s="135" t="n"/>
      <c r="GK70" s="135" t="n"/>
      <c r="GL70" s="135" t="n"/>
      <c r="GM70" s="135" t="n"/>
      <c r="GN70" s="135" t="n"/>
      <c r="GP70" s="5" t="n"/>
      <c r="GQ70" s="5" t="n"/>
      <c r="GR70" s="5" t="n"/>
      <c r="GS70" s="5" t="n"/>
      <c r="GT70" s="5" t="n"/>
      <c r="GU70" s="5" t="n"/>
      <c r="GV70" s="5" t="n"/>
      <c r="GW70" s="5" t="n"/>
      <c r="GX70" s="5" t="n"/>
      <c r="GY70" s="5" t="n"/>
      <c r="GZ70" s="5" t="n"/>
      <c r="HA70" s="5" t="n"/>
      <c r="HB70" s="5" t="n"/>
      <c r="HC70" s="5" t="n"/>
      <c r="HD70" s="5" t="n"/>
      <c r="HE70" s="5" t="n"/>
      <c r="HF70" s="5" t="n"/>
      <c r="HG70" s="5" t="n"/>
      <c r="HH70" s="5" t="n"/>
      <c r="HI70" s="5" t="n"/>
      <c r="HK70" s="5" t="n"/>
      <c r="HL70" s="5" t="n"/>
      <c r="HM70" s="5" t="n"/>
      <c r="HN70" s="5" t="n"/>
      <c r="HO70" s="5" t="n"/>
      <c r="HP70" s="5" t="n"/>
      <c r="HQ70" s="5" t="n"/>
      <c r="HR70" s="5" t="n"/>
      <c r="HS70" s="5" t="n"/>
      <c r="HT70" s="5" t="n"/>
      <c r="HV70" s="5" t="n"/>
      <c r="HW70" s="5" t="n"/>
      <c r="HX70" s="5" t="n"/>
      <c r="HY70" s="5" t="n"/>
      <c r="HZ70" s="5" t="n"/>
      <c r="IA70" s="5" t="n"/>
      <c r="IB70" s="5" t="n"/>
      <c r="IC70" s="5" t="n"/>
      <c r="ID70" s="5" t="n"/>
      <c r="IE70" s="5" t="n"/>
      <c r="IF70" s="5" t="n"/>
      <c r="IH70" s="5" t="n"/>
      <c r="II70" s="5" t="n"/>
      <c r="IJ70" s="5" t="n"/>
      <c r="IK70" s="5" t="n"/>
      <c r="IL70" s="5" t="n"/>
      <c r="IM70" s="5" t="n"/>
    </row>
    <row r="71">
      <c r="A71" s="626" t="inlineStr">
        <is>
          <t>ADESIVOS EUDORA</t>
        </is>
      </c>
      <c r="B71" s="345" t="n">
        <v>1000</v>
      </c>
      <c r="C71" s="834" t="n">
        <v>70</v>
      </c>
      <c r="D71" s="382" t="n">
        <v>1</v>
      </c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>
        <v>0</v>
      </c>
      <c r="Y71" s="697" t="n">
        <v>0</v>
      </c>
      <c r="Z71" s="697" t="n">
        <v>2</v>
      </c>
      <c r="AA71" s="697" t="n">
        <v>2</v>
      </c>
      <c r="AB71" s="697" t="n">
        <v>2</v>
      </c>
      <c r="AC71" s="697" t="n">
        <v>1</v>
      </c>
      <c r="AD71" s="697" t="n">
        <v>1</v>
      </c>
      <c r="AE71" s="697" t="n">
        <v>1</v>
      </c>
      <c r="AF71" s="697" t="n">
        <v>0</v>
      </c>
      <c r="AG71" s="237">
        <f>0+EU71</f>
        <v/>
      </c>
      <c r="AH71" s="237" t="n">
        <v>1</v>
      </c>
      <c r="AI71" s="237" t="n">
        <v>1</v>
      </c>
      <c r="AJ71" s="237" t="n">
        <v>1</v>
      </c>
      <c r="AK71" s="237" t="n">
        <v>1</v>
      </c>
      <c r="AL71" s="237" t="n">
        <v>0</v>
      </c>
      <c r="AM71" s="237" t="n">
        <v>0</v>
      </c>
      <c r="AN71" s="237" t="n">
        <v>1</v>
      </c>
      <c r="AO71" s="237" t="n">
        <v>0</v>
      </c>
      <c r="AP71" s="237" t="n">
        <v>0</v>
      </c>
      <c r="AQ71" s="237" t="n">
        <v>1</v>
      </c>
      <c r="AR71" s="237" t="n">
        <v>0</v>
      </c>
      <c r="AS71" s="237">
        <f>0+DX71</f>
        <v/>
      </c>
      <c r="AT71" s="237" t="n">
        <v>0</v>
      </c>
      <c r="AU71" s="237">
        <f>0+DT71</f>
        <v/>
      </c>
      <c r="AV71" s="237" t="n">
        <v>0</v>
      </c>
      <c r="AW71" s="237" t="n">
        <v>0</v>
      </c>
      <c r="AX71" s="237" t="n">
        <v>0</v>
      </c>
      <c r="AY71" s="237" t="n">
        <v>0</v>
      </c>
      <c r="AZ71" s="237" t="n">
        <v>0</v>
      </c>
      <c r="BA71" s="237">
        <f>0+DI71</f>
        <v/>
      </c>
      <c r="BB71" s="237">
        <f>0+DH71</f>
        <v/>
      </c>
      <c r="BC71" s="237" t="n">
        <v>0</v>
      </c>
      <c r="BD71" s="237" t="n">
        <v>0</v>
      </c>
      <c r="BE71" s="237" t="n">
        <v>0</v>
      </c>
      <c r="BF71" s="237" t="n">
        <v>0</v>
      </c>
      <c r="BG71" s="237" t="n">
        <v>0</v>
      </c>
      <c r="BH71" s="237" t="n">
        <v>0</v>
      </c>
      <c r="BI71" s="237" t="n">
        <v>0</v>
      </c>
      <c r="BJ71" s="237" t="n">
        <v>0</v>
      </c>
      <c r="BK71" s="237" t="n">
        <v>0</v>
      </c>
      <c r="BL71" s="237" t="n">
        <v>0</v>
      </c>
      <c r="BM71" s="237" t="n">
        <v>0</v>
      </c>
      <c r="BN71" s="237" t="n">
        <v>0</v>
      </c>
      <c r="BO71" s="237" t="n">
        <v>0</v>
      </c>
      <c r="BP71" s="237" t="n">
        <v>0</v>
      </c>
      <c r="BQ71" s="237" t="n">
        <v>0</v>
      </c>
      <c r="BR71" s="237" t="n">
        <v>0</v>
      </c>
      <c r="BS71" s="237" t="n">
        <v>0</v>
      </c>
      <c r="BT71" s="237" t="n">
        <v>0</v>
      </c>
      <c r="BU71" s="237" t="n">
        <v>0</v>
      </c>
      <c r="BV71" s="237" t="n">
        <v>0</v>
      </c>
      <c r="BW71" s="237" t="n">
        <v>0</v>
      </c>
      <c r="BX71" s="237" t="n">
        <v>0</v>
      </c>
      <c r="BY71" s="198">
        <f>BW71+IF(NOT(ISBLANK(OFFSET(BY71,0,6))),N(OFFSET(BY71,0,6)),N(OFFSET(BY71,0,7)))-BX71</f>
        <v/>
      </c>
      <c r="CA71" s="161" t="n"/>
      <c r="CB71" s="161" t="n"/>
      <c r="CC71" s="5" t="n"/>
      <c r="CD71" s="27" t="n"/>
      <c r="CF71" s="135" t="n">
        <v>0</v>
      </c>
      <c r="CG71" s="135" t="n">
        <v>0</v>
      </c>
      <c r="CH71" s="135" t="n">
        <v>0</v>
      </c>
      <c r="CI71" s="135" t="n"/>
      <c r="CJ71" s="135" t="n"/>
      <c r="CK71" s="135" t="n"/>
      <c r="CL71" s="135" t="n"/>
      <c r="CM71" s="135" t="n"/>
      <c r="CN71" s="135" t="n"/>
      <c r="CO71" s="135" t="n"/>
      <c r="CP71" s="135" t="n"/>
      <c r="CQ71" s="135" t="n"/>
      <c r="CR71" s="135" t="n"/>
      <c r="CS71" s="135" t="n"/>
      <c r="CT71" s="135" t="n"/>
      <c r="CU71" s="135" t="n"/>
      <c r="CV71" s="135" t="n"/>
      <c r="CW71" s="135" t="n"/>
      <c r="CX71" s="135" t="n"/>
      <c r="CY71" s="135" t="n"/>
      <c r="CZ71" s="135" t="n"/>
      <c r="DA71" s="135" t="n"/>
      <c r="DB71" s="135" t="n"/>
      <c r="DC71" s="135" t="n"/>
      <c r="DD71" s="135" t="n"/>
      <c r="DE71" s="135" t="n"/>
      <c r="DF71" s="135" t="n"/>
      <c r="DG71" s="135" t="n"/>
      <c r="DH71" s="135" t="n">
        <v>1</v>
      </c>
      <c r="DI71" s="135" t="n">
        <v>1</v>
      </c>
      <c r="DJ71" s="135" t="n"/>
      <c r="DK71" s="374" t="n"/>
      <c r="DL71" s="135" t="n"/>
      <c r="DM71" s="135" t="n"/>
      <c r="DN71" s="135" t="n"/>
      <c r="DO71" s="135" t="n"/>
      <c r="DP71" s="135" t="n"/>
      <c r="DQ71" s="135" t="n"/>
      <c r="DR71" s="135" t="n"/>
      <c r="DS71" s="135" t="n"/>
      <c r="DT71" s="135" t="n">
        <v>1</v>
      </c>
      <c r="DU71" s="135" t="n"/>
      <c r="DV71" s="135" t="n"/>
      <c r="DW71" s="135" t="n"/>
      <c r="DX71" s="135" t="n">
        <v>1</v>
      </c>
      <c r="DY71" s="135" t="n"/>
      <c r="DZ71" s="135" t="n"/>
      <c r="EA71" s="135" t="n">
        <v>1</v>
      </c>
      <c r="EB71" s="135" t="n"/>
      <c r="EC71" s="135" t="n"/>
      <c r="ED71" s="135" t="n"/>
      <c r="EE71" s="135" t="n"/>
      <c r="EF71" s="135" t="n"/>
      <c r="EG71" s="135" t="n"/>
      <c r="EH71" s="135" t="n">
        <v>1</v>
      </c>
      <c r="EI71" s="135" t="n"/>
      <c r="EJ71" s="135" t="n"/>
      <c r="EK71" s="135" t="n"/>
      <c r="EL71" s="135" t="n"/>
      <c r="EM71" s="135" t="n"/>
      <c r="EN71" s="135" t="n"/>
      <c r="EO71" s="135" t="n"/>
      <c r="EP71" s="135" t="n"/>
      <c r="EQ71" s="135" t="n"/>
      <c r="ER71" s="135" t="n"/>
      <c r="ES71" s="135" t="n"/>
      <c r="ET71" s="135" t="n"/>
      <c r="EU71" s="135" t="n">
        <v>1</v>
      </c>
      <c r="EV71" s="135" t="n"/>
      <c r="EW71" s="135" t="n"/>
      <c r="EX71" s="135" t="n"/>
      <c r="EY71" s="135" t="n"/>
      <c r="EZ71" s="135" t="n"/>
      <c r="FA71" s="135" t="n"/>
      <c r="FB71" s="135" t="n"/>
      <c r="FC71" s="135" t="n"/>
      <c r="FD71" s="135" t="n"/>
      <c r="FE71" s="135" t="n"/>
      <c r="FF71" s="135" t="n"/>
      <c r="FG71" s="135" t="n"/>
      <c r="FH71" s="23" t="n"/>
      <c r="FI71" s="374" t="n"/>
      <c r="FJ71" s="135" t="n"/>
      <c r="FK71" s="135" t="n"/>
      <c r="FL71" s="135" t="n">
        <v>2</v>
      </c>
      <c r="FM71" s="135" t="n"/>
      <c r="FN71" s="135" t="n"/>
      <c r="FO71" s="135" t="n"/>
      <c r="FP71" s="135" t="n"/>
      <c r="FQ71" s="135" t="n"/>
      <c r="FR71" s="135" t="n"/>
      <c r="FS71" s="135" t="n"/>
      <c r="FT71" s="135" t="n"/>
      <c r="FU71" s="135" t="n"/>
      <c r="FV71" s="135" t="n"/>
      <c r="FW71" s="311" t="n"/>
      <c r="FX71" s="135" t="n"/>
      <c r="FY71" s="311" t="n"/>
      <c r="FZ71" s="135" t="n"/>
      <c r="GA71" s="135" t="n"/>
      <c r="GB71" s="135" t="n"/>
      <c r="GC71" s="135" t="n"/>
      <c r="GD71" s="135" t="n"/>
      <c r="GE71" s="135" t="n"/>
      <c r="GF71" s="135" t="n"/>
      <c r="GG71" s="135" t="n"/>
      <c r="GH71" s="135" t="n"/>
      <c r="GI71" s="135" t="n"/>
      <c r="GJ71" s="135" t="n"/>
      <c r="GK71" s="135" t="n"/>
      <c r="GL71" s="135" t="n"/>
      <c r="GM71" s="135" t="n"/>
      <c r="GN71" s="135" t="n"/>
      <c r="GP71" s="5" t="n"/>
      <c r="GQ71" s="5" t="n"/>
      <c r="GR71" s="5" t="n"/>
      <c r="GS71" s="5" t="n"/>
      <c r="GT71" s="5" t="n"/>
      <c r="GU71" s="5" t="n"/>
      <c r="GV71" s="5" t="n"/>
      <c r="GW71" s="5" t="n"/>
      <c r="GX71" s="5" t="n"/>
      <c r="GY71" s="5" t="n"/>
      <c r="GZ71" s="5" t="n"/>
      <c r="HA71" s="5" t="n"/>
      <c r="HB71" s="5" t="n"/>
      <c r="HC71" s="5" t="n"/>
      <c r="HD71" s="5" t="n"/>
      <c r="HE71" s="5" t="n"/>
      <c r="HF71" s="5" t="n"/>
      <c r="HG71" s="5" t="n"/>
      <c r="HH71" s="5" t="n"/>
      <c r="HI71" s="5" t="n"/>
      <c r="HK71" s="5" t="n"/>
      <c r="HL71" s="5" t="n"/>
      <c r="HM71" s="5" t="n"/>
      <c r="HN71" s="5" t="n"/>
      <c r="HO71" s="5" t="n"/>
      <c r="HP71" s="5" t="n"/>
      <c r="HQ71" s="5" t="n"/>
      <c r="HR71" s="5" t="n"/>
      <c r="HS71" s="5" t="n"/>
      <c r="HT71" s="5" t="n"/>
      <c r="HV71" s="5" t="n"/>
      <c r="HW71" s="5" t="n"/>
      <c r="HX71" s="5" t="n"/>
      <c r="HY71" s="5" t="n"/>
      <c r="HZ71" s="5" t="n"/>
      <c r="IA71" s="5" t="n"/>
      <c r="IB71" s="5" t="n"/>
      <c r="IC71" s="5" t="n"/>
      <c r="ID71" s="5" t="n"/>
      <c r="IE71" s="5" t="n"/>
      <c r="IF71" s="5" t="n"/>
      <c r="IH71" s="5" t="n"/>
      <c r="II71" s="5" t="n"/>
      <c r="IJ71" s="5" t="n"/>
      <c r="IK71" s="5" t="n"/>
      <c r="IL71" s="5" t="n"/>
      <c r="IM71" s="5" t="n"/>
    </row>
    <row r="72">
      <c r="A72" s="626" t="inlineStr">
        <is>
          <t>LÂMINA OLFATIVA EUDORA</t>
        </is>
      </c>
      <c r="B72" s="348" t="n">
        <v>2000</v>
      </c>
      <c r="C72" s="834" t="n">
        <v>71</v>
      </c>
      <c r="D72" s="382" t="n">
        <v>0</v>
      </c>
      <c r="F72" s="697" t="n"/>
      <c r="G72" s="697" t="n"/>
      <c r="H72" s="697" t="n"/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198">
        <f>BW72+IF(NOT(ISBLANK(OFFSET(BY72,0,6))),N(OFFSET(BY72,0,6)),N(OFFSET(BY72,0,7)))-BX72</f>
        <v/>
      </c>
      <c r="CA72" s="194" t="n"/>
      <c r="CB72" s="194" t="n"/>
      <c r="CC72" s="5" t="n"/>
      <c r="CD72" s="27" t="n"/>
      <c r="CF72" s="135" t="n">
        <v>0</v>
      </c>
      <c r="CG72" s="135" t="n">
        <v>0</v>
      </c>
      <c r="CH72" s="135" t="n">
        <v>0</v>
      </c>
      <c r="CI72" s="135" t="n"/>
      <c r="CJ72" s="135" t="n"/>
      <c r="CK72" s="135" t="n"/>
      <c r="CL72" s="135" t="n"/>
      <c r="CM72" s="135" t="n"/>
      <c r="CN72" s="135" t="n"/>
      <c r="CO72" s="135" t="n"/>
      <c r="CP72" s="135" t="n"/>
      <c r="CQ72" s="135" t="n"/>
      <c r="CR72" s="135" t="n"/>
      <c r="CS72" s="135" t="n"/>
      <c r="CT72" s="135" t="n"/>
      <c r="CU72" s="135" t="n"/>
      <c r="CV72" s="135" t="n"/>
      <c r="CW72" s="135" t="n"/>
      <c r="CX72" s="135" t="n"/>
      <c r="CY72" s="135" t="n"/>
      <c r="CZ72" s="135" t="n"/>
      <c r="DA72" s="135" t="n"/>
      <c r="DB72" s="135" t="n"/>
      <c r="DC72" s="135" t="n"/>
      <c r="DD72" s="135" t="n"/>
      <c r="DE72" s="135" t="n"/>
      <c r="DF72" s="135" t="n"/>
      <c r="DG72" s="135" t="n"/>
      <c r="DH72" s="135" t="n"/>
      <c r="DI72" s="135" t="n"/>
      <c r="DJ72" s="135" t="n"/>
      <c r="DK72" s="374" t="n"/>
      <c r="DL72" s="135" t="n"/>
      <c r="DM72" s="135" t="n"/>
      <c r="DN72" s="135" t="n"/>
      <c r="DO72" s="135" t="n"/>
      <c r="DP72" s="135" t="n"/>
      <c r="DQ72" s="135" t="n"/>
      <c r="DR72" s="135" t="n"/>
      <c r="DS72" s="135" t="n"/>
      <c r="DT72" s="135" t="n"/>
      <c r="DU72" s="135" t="n"/>
      <c r="DV72" s="135" t="n"/>
      <c r="DW72" s="135" t="n"/>
      <c r="DX72" s="135" t="n"/>
      <c r="DY72" s="135" t="n"/>
      <c r="DZ72" s="135" t="n"/>
      <c r="EA72" s="135" t="n"/>
      <c r="EB72" s="135" t="n"/>
      <c r="EC72" s="135" t="n"/>
      <c r="ED72" s="135" t="n"/>
      <c r="EE72" s="135" t="n"/>
      <c r="EF72" s="135" t="n"/>
      <c r="EG72" s="135" t="n"/>
      <c r="EH72" s="135" t="n"/>
      <c r="EI72" s="135" t="n"/>
      <c r="EJ72" s="135" t="n"/>
      <c r="EK72" s="135" t="n"/>
      <c r="EL72" s="135" t="n"/>
      <c r="EM72" s="135" t="n"/>
      <c r="EN72" s="135" t="n"/>
      <c r="EO72" s="135" t="n"/>
      <c r="EP72" s="135" t="n"/>
      <c r="EQ72" s="135" t="n"/>
      <c r="ER72" s="135" t="n"/>
      <c r="ES72" s="135" t="n"/>
      <c r="ET72" s="135" t="n"/>
      <c r="EU72" s="135" t="n"/>
      <c r="EV72" s="135" t="n"/>
      <c r="EW72" s="135" t="n"/>
      <c r="EX72" s="135" t="n"/>
      <c r="EY72" s="135" t="n"/>
      <c r="EZ72" s="135" t="n"/>
      <c r="FA72" s="135" t="n"/>
      <c r="FB72" s="135" t="n"/>
      <c r="FC72" s="135" t="n"/>
      <c r="FD72" s="135" t="n"/>
      <c r="FE72" s="135" t="n"/>
      <c r="FF72" s="135" t="n"/>
      <c r="FG72" s="135" t="n"/>
      <c r="FH72" s="23" t="n"/>
      <c r="FI72" s="374" t="n"/>
      <c r="FJ72" s="135" t="n"/>
      <c r="FK72" s="135" t="n"/>
      <c r="FL72" s="135" t="n"/>
      <c r="FM72" s="135" t="n"/>
      <c r="FN72" s="135" t="n"/>
      <c r="FO72" s="135" t="n"/>
      <c r="FP72" s="135" t="n"/>
      <c r="FQ72" s="135" t="n"/>
      <c r="FR72" s="135" t="n"/>
      <c r="FS72" s="135" t="n"/>
      <c r="FT72" s="135" t="n"/>
      <c r="FU72" s="135" t="n"/>
      <c r="FV72" s="135" t="n"/>
      <c r="FW72" s="311" t="n"/>
      <c r="FX72" s="135" t="n"/>
      <c r="FY72" s="311" t="n"/>
      <c r="FZ72" s="135" t="n"/>
      <c r="GA72" s="135" t="n"/>
      <c r="GB72" s="135" t="n"/>
      <c r="GC72" s="135" t="n"/>
      <c r="GD72" s="135" t="n"/>
      <c r="GE72" s="135" t="n"/>
      <c r="GF72" s="135" t="n"/>
      <c r="GG72" s="135" t="n"/>
      <c r="GH72" s="135" t="n"/>
      <c r="GI72" s="135" t="n"/>
      <c r="GJ72" s="135" t="n"/>
      <c r="GK72" s="135" t="n"/>
      <c r="GL72" s="135" t="n"/>
      <c r="GM72" s="135" t="n"/>
      <c r="GN72" s="135" t="n"/>
      <c r="GP72" s="5" t="n"/>
      <c r="GQ72" s="5" t="n"/>
      <c r="GR72" s="5" t="n"/>
      <c r="GS72" s="5" t="n"/>
      <c r="GT72" s="5" t="n"/>
      <c r="GU72" s="5" t="n"/>
      <c r="GV72" s="5" t="n"/>
      <c r="GW72" s="5" t="n"/>
      <c r="GX72" s="5" t="n"/>
      <c r="GY72" s="5" t="n"/>
      <c r="GZ72" s="5" t="n"/>
      <c r="HA72" s="5" t="n"/>
      <c r="HB72" s="5" t="n"/>
      <c r="HC72" s="5" t="n"/>
      <c r="HD72" s="5" t="n"/>
      <c r="HE72" s="5" t="n"/>
      <c r="HF72" s="5" t="n"/>
      <c r="HG72" s="5" t="n"/>
      <c r="HH72" s="5" t="n"/>
      <c r="HI72" s="5" t="n"/>
      <c r="HK72" s="5" t="n"/>
      <c r="HL72" s="5" t="n"/>
      <c r="HM72" s="5" t="n"/>
      <c r="HN72" s="5" t="n"/>
      <c r="HO72" s="5" t="n"/>
      <c r="HP72" s="5" t="n"/>
      <c r="HQ72" s="5" t="n"/>
      <c r="HR72" s="5" t="n"/>
      <c r="HS72" s="5" t="n"/>
      <c r="HT72" s="5" t="n"/>
      <c r="HV72" s="5" t="n"/>
      <c r="HW72" s="5" t="n"/>
      <c r="HX72" s="5" t="n"/>
      <c r="HY72" s="5" t="n"/>
      <c r="HZ72" s="5" t="n"/>
      <c r="IA72" s="5" t="n"/>
      <c r="IB72" s="5" t="n"/>
      <c r="IC72" s="5" t="n"/>
      <c r="ID72" s="5" t="n"/>
      <c r="IE72" s="5" t="n"/>
      <c r="IF72" s="5" t="n"/>
      <c r="IH72" s="5" t="n"/>
      <c r="II72" s="5" t="n"/>
      <c r="IJ72" s="5" t="n"/>
      <c r="IK72" s="5" t="n"/>
      <c r="IL72" s="5" t="n"/>
      <c r="IM72" s="5" t="n"/>
    </row>
    <row r="73">
      <c r="A73" s="626" t="inlineStr">
        <is>
          <t>KIT SACOLA P EUDORA (C/ 10)</t>
        </is>
      </c>
      <c r="B73" s="345" t="n">
        <v>200</v>
      </c>
      <c r="C73" s="834" t="n">
        <v>184.13</v>
      </c>
      <c r="D73" s="382" t="n">
        <v>15</v>
      </c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>
        <v>0</v>
      </c>
      <c r="Y73" s="697" t="n">
        <v>0</v>
      </c>
      <c r="Z73" s="697" t="n">
        <v>20</v>
      </c>
      <c r="AA73" s="697" t="n">
        <v>20</v>
      </c>
      <c r="AB73" s="697" t="n">
        <v>20</v>
      </c>
      <c r="AC73" s="697" t="n">
        <v>15</v>
      </c>
      <c r="AD73" s="697" t="n">
        <v>11</v>
      </c>
      <c r="AE73" s="697">
        <f>6+9</f>
        <v/>
      </c>
      <c r="AF73" s="697" t="n">
        <v>15</v>
      </c>
      <c r="AG73" s="697" t="n">
        <v>8</v>
      </c>
      <c r="AH73" s="697" t="n">
        <v>5</v>
      </c>
      <c r="AI73" s="697" t="n">
        <v>24</v>
      </c>
      <c r="AJ73" s="697" t="n">
        <v>24</v>
      </c>
      <c r="AK73" s="697" t="n">
        <v>23</v>
      </c>
      <c r="AL73" s="697" t="n">
        <v>23</v>
      </c>
      <c r="AM73" s="697" t="n">
        <v>21</v>
      </c>
      <c r="AN73" s="697" t="n">
        <v>20</v>
      </c>
      <c r="AO73" s="697" t="n">
        <v>19</v>
      </c>
      <c r="AP73" s="697" t="n">
        <v>17</v>
      </c>
      <c r="AQ73" s="697" t="n">
        <v>16</v>
      </c>
      <c r="AR73" s="697" t="n">
        <v>16</v>
      </c>
      <c r="AS73" s="697" t="n">
        <v>15</v>
      </c>
      <c r="AT73" s="697" t="n">
        <v>15</v>
      </c>
      <c r="AU73" s="697" t="n">
        <v>13</v>
      </c>
      <c r="AV73" s="697" t="n">
        <v>13</v>
      </c>
      <c r="AW73" s="697" t="n">
        <v>13</v>
      </c>
      <c r="AX73" s="697" t="n">
        <v>13</v>
      </c>
      <c r="AY73" s="697" t="n">
        <v>11</v>
      </c>
      <c r="AZ73" s="697" t="n">
        <v>11</v>
      </c>
      <c r="BA73" s="697" t="n">
        <v>5</v>
      </c>
      <c r="BB73" s="697" t="n">
        <v>0</v>
      </c>
      <c r="BC73" s="697" t="n">
        <v>0</v>
      </c>
      <c r="BD73" s="697" t="n">
        <v>0</v>
      </c>
      <c r="BE73" s="697" t="n">
        <v>0</v>
      </c>
      <c r="BF73" s="697" t="n">
        <v>0</v>
      </c>
      <c r="BG73" s="697" t="n">
        <v>0</v>
      </c>
      <c r="BH73" s="697" t="n">
        <v>0</v>
      </c>
      <c r="BI73" s="697" t="n">
        <v>0</v>
      </c>
      <c r="BJ73" s="237">
        <f>0+CU73</f>
        <v/>
      </c>
      <c r="BK73" s="237" t="n">
        <v>40</v>
      </c>
      <c r="BL73" s="237" t="n">
        <v>40</v>
      </c>
      <c r="BM73" s="237" t="n">
        <v>40</v>
      </c>
      <c r="BN73" s="237" t="n">
        <v>40</v>
      </c>
      <c r="BO73" s="237" t="n">
        <v>40</v>
      </c>
      <c r="BP73" s="237" t="n">
        <v>40</v>
      </c>
      <c r="BQ73" s="237" t="n">
        <v>40</v>
      </c>
      <c r="BR73" s="237" t="n">
        <v>40</v>
      </c>
      <c r="BS73" s="237" t="n"/>
      <c r="BT73" s="237" t="n"/>
      <c r="BU73" s="237" t="n"/>
      <c r="BV73" s="237" t="n"/>
      <c r="BW73" s="237" t="n"/>
      <c r="BX73" s="237" t="n">
        <v>39</v>
      </c>
      <c r="BY73" s="198">
        <f>BW73+IF(NOT(ISBLANK(OFFSET(BY73,0,6))),N(OFFSET(BY73,0,6)),N(OFFSET(BY73,0,7)))-BX73</f>
        <v/>
      </c>
      <c r="CA73" s="194" t="n"/>
      <c r="CB73" s="194" t="n"/>
      <c r="CC73" s="5" t="n"/>
      <c r="CD73" s="27" t="n"/>
      <c r="CF73" s="135" t="n">
        <v>0</v>
      </c>
      <c r="CG73" s="135" t="n">
        <v>0</v>
      </c>
      <c r="CH73" s="135" t="n">
        <v>0</v>
      </c>
      <c r="CI73" s="135" t="n"/>
      <c r="CJ73" s="135" t="n"/>
      <c r="CK73" s="135" t="n"/>
      <c r="CL73" s="135" t="n"/>
      <c r="CM73" s="135" t="n"/>
      <c r="CN73" s="135" t="n"/>
      <c r="CO73" s="135" t="n"/>
      <c r="CP73" s="135" t="n"/>
      <c r="CQ73" s="135" t="n"/>
      <c r="CR73" s="135" t="n"/>
      <c r="CS73" s="135" t="n"/>
      <c r="CT73" s="135" t="n"/>
      <c r="CU73" s="135" t="n">
        <v>40</v>
      </c>
      <c r="CV73" s="135" t="n"/>
      <c r="CW73" s="135" t="n"/>
      <c r="CX73" s="135" t="n"/>
      <c r="CY73" s="135" t="n"/>
      <c r="CZ73" s="135" t="n"/>
      <c r="DA73" s="135" t="n"/>
      <c r="DB73" s="135" t="n"/>
      <c r="DC73" s="135" t="n"/>
      <c r="DD73" s="135" t="n"/>
      <c r="DE73" s="135" t="n"/>
      <c r="DF73" s="135" t="n"/>
      <c r="DG73" s="135" t="n"/>
      <c r="DH73" s="135" t="n"/>
      <c r="DI73" s="135" t="n"/>
      <c r="DJ73" s="135" t="n"/>
      <c r="DK73" s="374" t="n"/>
      <c r="DL73" s="135" t="n"/>
      <c r="DM73" s="135" t="n"/>
      <c r="DN73" s="135" t="n"/>
      <c r="DO73" s="135" t="n"/>
      <c r="DP73" s="135" t="n"/>
      <c r="DQ73" s="135" t="n"/>
      <c r="DR73" s="135" t="n"/>
      <c r="DS73" s="135" t="n"/>
      <c r="DT73" s="135" t="n"/>
      <c r="DU73" s="135" t="n"/>
      <c r="DV73" s="135" t="n"/>
      <c r="DW73" s="135" t="n"/>
      <c r="DX73" s="135" t="n"/>
      <c r="DY73" s="135" t="n"/>
      <c r="DZ73" s="135" t="n"/>
      <c r="EA73" s="135" t="n"/>
      <c r="EB73" s="135" t="n"/>
      <c r="EC73" s="135" t="n"/>
      <c r="ED73" s="135" t="n"/>
      <c r="EE73" s="135" t="n"/>
      <c r="EF73" s="135" t="n"/>
      <c r="EG73" s="135" t="n"/>
      <c r="EH73" s="135" t="n"/>
      <c r="EI73" s="135" t="n"/>
      <c r="EJ73" s="135" t="n"/>
      <c r="EK73" s="135" t="n"/>
      <c r="EL73" s="135" t="n"/>
      <c r="EM73" s="135" t="n"/>
      <c r="EN73" s="135" t="n"/>
      <c r="EO73" s="135" t="n"/>
      <c r="EP73" s="135" t="n"/>
      <c r="EQ73" s="135" t="n"/>
      <c r="ER73" s="135" t="n">
        <v>20</v>
      </c>
      <c r="ES73" s="135" t="n"/>
      <c r="ET73" s="135" t="n"/>
      <c r="EU73" s="135" t="n"/>
      <c r="EV73" s="135" t="n"/>
      <c r="EW73" s="406" t="inlineStr">
        <is>
          <t>09 DE CDB</t>
        </is>
      </c>
      <c r="EX73" s="135" t="n"/>
      <c r="EY73" s="135" t="n"/>
      <c r="EZ73" s="135" t="n"/>
      <c r="FA73" s="135" t="n"/>
      <c r="FB73" s="135" t="n"/>
      <c r="FC73" s="135" t="n"/>
      <c r="FD73" s="135" t="n"/>
      <c r="FE73" s="135" t="n"/>
      <c r="FF73" s="135" t="n"/>
      <c r="FG73" s="135" t="n"/>
      <c r="FH73" s="23" t="n"/>
      <c r="FI73" s="374" t="n"/>
      <c r="FJ73" s="135" t="n"/>
      <c r="FK73" s="135" t="n"/>
      <c r="FL73" s="135" t="n">
        <v>20</v>
      </c>
      <c r="FM73" s="135" t="n"/>
      <c r="FN73" s="135" t="n"/>
      <c r="FO73" s="135" t="n"/>
      <c r="FP73" s="135" t="n"/>
      <c r="FQ73" s="135" t="n"/>
      <c r="FR73" s="135" t="n"/>
      <c r="FS73" s="135" t="n"/>
      <c r="FT73" s="135" t="n"/>
      <c r="FU73" s="135" t="n"/>
      <c r="FV73" s="135" t="n"/>
      <c r="FW73" s="219" t="n"/>
      <c r="FX73" s="135" t="n"/>
      <c r="FY73" s="219" t="n"/>
      <c r="FZ73" s="135" t="n"/>
      <c r="GA73" s="135" t="n"/>
      <c r="GB73" s="135" t="n"/>
      <c r="GC73" s="135" t="n"/>
      <c r="GD73" s="135" t="n"/>
      <c r="GE73" s="135" t="n"/>
      <c r="GF73" s="135" t="n"/>
      <c r="GG73" s="135" t="n"/>
      <c r="GH73" s="135" t="n"/>
      <c r="GI73" s="135" t="n"/>
      <c r="GJ73" s="135" t="n"/>
      <c r="GK73" s="135" t="n"/>
      <c r="GL73" s="135" t="n"/>
      <c r="GM73" s="135" t="n"/>
      <c r="GN73" s="135" t="n"/>
      <c r="GP73" s="5" t="n"/>
      <c r="GQ73" s="5" t="n"/>
      <c r="GR73" s="5" t="n"/>
      <c r="GS73" s="5" t="n"/>
      <c r="GT73" s="5" t="n"/>
      <c r="GU73" s="5" t="n"/>
      <c r="GV73" s="5" t="n"/>
      <c r="GW73" s="5" t="n"/>
      <c r="GX73" s="5" t="n"/>
      <c r="GY73" s="5" t="n"/>
      <c r="GZ73" s="5" t="n"/>
      <c r="HA73" s="5" t="n"/>
      <c r="HB73" s="5" t="n"/>
      <c r="HC73" s="5" t="n"/>
      <c r="HD73" s="5" t="n"/>
      <c r="HE73" s="5" t="n"/>
      <c r="HF73" s="5" t="n"/>
      <c r="HG73" s="5" t="n"/>
      <c r="HH73" s="5" t="n"/>
      <c r="HI73" s="5" t="n"/>
      <c r="HK73" s="5" t="n"/>
      <c r="HL73" s="5" t="n"/>
      <c r="HM73" s="5" t="n"/>
      <c r="HN73" s="5" t="n"/>
      <c r="HO73" s="5" t="n"/>
      <c r="HP73" s="5" t="n"/>
      <c r="HQ73" s="5" t="n"/>
      <c r="HR73" s="5" t="n"/>
      <c r="HS73" s="5" t="n"/>
      <c r="HT73" s="5" t="n"/>
      <c r="HV73" s="5" t="n"/>
      <c r="HW73" s="5" t="n"/>
      <c r="HX73" s="5" t="n"/>
      <c r="HY73" s="5" t="n"/>
      <c r="HZ73" s="5" t="n"/>
      <c r="IA73" s="5" t="n"/>
      <c r="IB73" s="5" t="n"/>
      <c r="IC73" s="5" t="n"/>
      <c r="ID73" s="5" t="n"/>
      <c r="IE73" s="5" t="n"/>
      <c r="IF73" s="5" t="n"/>
      <c r="IH73" s="5" t="n"/>
      <c r="II73" s="5" t="n"/>
      <c r="IJ73" s="5" t="n"/>
      <c r="IK73" s="5" t="n"/>
      <c r="IL73" s="5" t="n"/>
      <c r="IM73" s="5" t="n"/>
    </row>
    <row r="74">
      <c r="A74" s="626" t="inlineStr">
        <is>
          <t>KIT SACOLA M EUDORA (C/ 10)</t>
        </is>
      </c>
      <c r="B74" s="345" t="n">
        <v>150</v>
      </c>
      <c r="C74" s="834" t="n">
        <v>181.4</v>
      </c>
      <c r="D74" s="382" t="n">
        <v>15</v>
      </c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>
        <v>0</v>
      </c>
      <c r="Y74" s="697" t="n">
        <v>0</v>
      </c>
      <c r="Z74" s="697" t="n">
        <v>15</v>
      </c>
      <c r="AA74" s="697" t="n">
        <v>15</v>
      </c>
      <c r="AB74" s="697" t="n">
        <v>15</v>
      </c>
      <c r="AC74" s="697" t="n">
        <v>15</v>
      </c>
      <c r="AD74" s="697" t="n">
        <v>12</v>
      </c>
      <c r="AE74" s="697" t="n">
        <v>11</v>
      </c>
      <c r="AF74" s="697" t="n">
        <v>11</v>
      </c>
      <c r="AG74" s="697" t="n">
        <v>10</v>
      </c>
      <c r="AH74" s="697" t="n">
        <v>9</v>
      </c>
      <c r="AI74" s="697" t="n">
        <v>24</v>
      </c>
      <c r="AJ74" s="697" t="n">
        <v>24</v>
      </c>
      <c r="AK74" s="697" t="n">
        <v>24</v>
      </c>
      <c r="AL74" s="697" t="n">
        <v>24</v>
      </c>
      <c r="AM74" s="697" t="n">
        <v>24</v>
      </c>
      <c r="AN74" s="697" t="n">
        <v>24</v>
      </c>
      <c r="AO74" s="697" t="n">
        <v>24</v>
      </c>
      <c r="AP74" s="697" t="n">
        <v>24</v>
      </c>
      <c r="AQ74" s="697" t="n">
        <v>24</v>
      </c>
      <c r="AR74" s="697" t="n">
        <v>24</v>
      </c>
      <c r="AS74" s="697" t="n">
        <v>24</v>
      </c>
      <c r="AT74" s="697" t="n">
        <v>23</v>
      </c>
      <c r="AU74" s="697" t="n">
        <v>23</v>
      </c>
      <c r="AV74" s="697" t="n">
        <v>23</v>
      </c>
      <c r="AW74" s="697" t="n">
        <v>23</v>
      </c>
      <c r="AX74" s="697" t="n">
        <v>22</v>
      </c>
      <c r="AY74" s="697">
        <f>22-10</f>
        <v/>
      </c>
      <c r="AZ74" s="697" t="n">
        <v>12</v>
      </c>
      <c r="BA74" s="697" t="n">
        <v>11</v>
      </c>
      <c r="BB74" s="697" t="n">
        <v>10</v>
      </c>
      <c r="BC74" s="237">
        <f>10+DF74</f>
        <v/>
      </c>
      <c r="BD74" s="237" t="n">
        <v>23</v>
      </c>
      <c r="BE74" s="237" t="n">
        <v>23</v>
      </c>
      <c r="BF74" s="237" t="n">
        <v>23</v>
      </c>
      <c r="BG74" s="237" t="n">
        <v>23</v>
      </c>
      <c r="BH74" s="237" t="n">
        <v>23</v>
      </c>
      <c r="BI74" s="237" t="n">
        <v>22</v>
      </c>
      <c r="BJ74" s="237" t="n">
        <v>22</v>
      </c>
      <c r="BK74" s="237" t="n">
        <v>22</v>
      </c>
      <c r="BL74" s="237" t="n">
        <v>22</v>
      </c>
      <c r="BM74" s="237" t="n">
        <v>22</v>
      </c>
      <c r="BN74" s="237" t="n">
        <v>22</v>
      </c>
      <c r="BO74" s="237" t="n">
        <v>22</v>
      </c>
      <c r="BP74" s="237" t="n">
        <v>22</v>
      </c>
      <c r="BQ74" s="237" t="n">
        <v>22</v>
      </c>
      <c r="BR74" s="237" t="n">
        <v>22</v>
      </c>
      <c r="BS74" s="237" t="n"/>
      <c r="BT74" s="237" t="n"/>
      <c r="BU74" s="237" t="n"/>
      <c r="BV74" s="237" t="n"/>
      <c r="BW74" s="237" t="n"/>
      <c r="BX74" s="237" t="n">
        <v>18</v>
      </c>
      <c r="BY74" s="198">
        <f>BW74+IF(NOT(ISBLANK(OFFSET(BY74,0,6))),N(OFFSET(BY74,0,6)),N(OFFSET(BY74,0,7)))-BX74</f>
        <v/>
      </c>
      <c r="CA74" s="194" t="n"/>
      <c r="CB74" s="38" t="n"/>
      <c r="CC74" s="5" t="n"/>
      <c r="CD74" s="27" t="n"/>
      <c r="CF74" s="135" t="n">
        <v>0</v>
      </c>
      <c r="CG74" s="135" t="n">
        <v>0</v>
      </c>
      <c r="CH74" s="135" t="n">
        <v>0</v>
      </c>
      <c r="CI74" s="135" t="n"/>
      <c r="CJ74" s="135" t="n"/>
      <c r="CK74" s="135" t="n"/>
      <c r="CL74" s="135" t="n"/>
      <c r="CM74" s="135" t="n"/>
      <c r="CN74" s="135" t="n"/>
      <c r="CO74" s="135" t="n"/>
      <c r="CP74" s="135" t="n"/>
      <c r="CQ74" s="135" t="n"/>
      <c r="CR74" s="135" t="n"/>
      <c r="CS74" s="135" t="n"/>
      <c r="CT74" s="135" t="n"/>
      <c r="CU74" s="135" t="n"/>
      <c r="CV74" s="135" t="n"/>
      <c r="CW74" s="135" t="n"/>
      <c r="CX74" s="135" t="n"/>
      <c r="CY74" s="135" t="n"/>
      <c r="CZ74" s="135" t="n"/>
      <c r="DA74" s="135" t="n"/>
      <c r="DB74" s="135" t="n"/>
      <c r="DC74" s="135" t="n"/>
      <c r="DD74" s="135" t="n"/>
      <c r="DE74" s="135" t="n"/>
      <c r="DF74" s="135" t="n">
        <v>15</v>
      </c>
      <c r="DG74" s="135" t="n"/>
      <c r="DH74" s="135" t="n"/>
      <c r="DI74" s="135" t="n"/>
      <c r="DJ74" s="135" t="n"/>
      <c r="DK74" s="192" t="inlineStr">
        <is>
          <t>10 P/ CDB</t>
        </is>
      </c>
      <c r="DL74" s="135" t="n"/>
      <c r="DM74" s="135" t="n"/>
      <c r="DN74" s="135" t="n"/>
      <c r="DO74" s="135" t="n"/>
      <c r="DP74" s="135" t="n"/>
      <c r="DQ74" s="135" t="n"/>
      <c r="DR74" s="135" t="n"/>
      <c r="DS74" s="135" t="n"/>
      <c r="DT74" s="135" t="n"/>
      <c r="DU74" s="135" t="n"/>
      <c r="DV74" s="135" t="n"/>
      <c r="DW74" s="135" t="n"/>
      <c r="DX74" s="135" t="n"/>
      <c r="DY74" s="135" t="n"/>
      <c r="DZ74" s="135" t="n"/>
      <c r="EA74" s="135" t="n"/>
      <c r="EB74" s="135" t="n"/>
      <c r="EC74" s="135" t="n"/>
      <c r="ED74" s="135" t="n"/>
      <c r="EE74" s="135" t="n"/>
      <c r="EF74" s="135" t="n"/>
      <c r="EG74" s="135" t="n"/>
      <c r="EH74" s="135" t="n"/>
      <c r="EI74" s="135" t="n"/>
      <c r="EJ74" s="135" t="n"/>
      <c r="EK74" s="135" t="n"/>
      <c r="EL74" s="135" t="n"/>
      <c r="EM74" s="135" t="n"/>
      <c r="EN74" s="135" t="n"/>
      <c r="EO74" s="135" t="n"/>
      <c r="EP74" s="135" t="n"/>
      <c r="EQ74" s="135" t="n"/>
      <c r="ER74" s="135" t="n">
        <v>15</v>
      </c>
      <c r="ES74" s="135" t="n"/>
      <c r="ET74" s="135" t="n"/>
      <c r="EU74" s="135" t="n"/>
      <c r="EV74" s="135" t="n"/>
      <c r="EW74" s="135" t="n"/>
      <c r="EX74" s="135" t="n"/>
      <c r="EY74" s="135" t="n"/>
      <c r="EZ74" s="135" t="n"/>
      <c r="FA74" s="135" t="n"/>
      <c r="FB74" s="135" t="n"/>
      <c r="FC74" s="135" t="n"/>
      <c r="FD74" s="135" t="n"/>
      <c r="FE74" s="135" t="n"/>
      <c r="FF74" s="135" t="n"/>
      <c r="FG74" s="135" t="n"/>
      <c r="FH74" s="23" t="n"/>
      <c r="FI74" s="374" t="n"/>
      <c r="FJ74" s="135" t="n"/>
      <c r="FK74" s="135" t="n"/>
      <c r="FL74" s="135" t="n">
        <v>15</v>
      </c>
      <c r="FM74" s="135" t="n"/>
      <c r="FN74" s="135" t="n"/>
      <c r="FO74" s="135" t="n"/>
      <c r="FP74" s="135" t="n"/>
      <c r="FQ74" s="135" t="n"/>
      <c r="FR74" s="135" t="n"/>
      <c r="FS74" s="135" t="n"/>
      <c r="FT74" s="135" t="n"/>
      <c r="FU74" s="135" t="n"/>
      <c r="FV74" s="135" t="n"/>
      <c r="FW74" s="219" t="n"/>
      <c r="FX74" s="135" t="n"/>
      <c r="FY74" s="219" t="n"/>
      <c r="FZ74" s="135" t="n"/>
      <c r="GA74" s="135" t="n"/>
      <c r="GB74" s="135" t="n"/>
      <c r="GC74" s="135" t="n"/>
      <c r="GD74" s="135" t="n"/>
      <c r="GE74" s="135" t="n"/>
      <c r="GF74" s="135" t="n"/>
      <c r="GG74" s="135" t="n"/>
      <c r="GH74" s="135" t="n"/>
      <c r="GI74" s="135" t="n"/>
      <c r="GJ74" s="135" t="n"/>
      <c r="GK74" s="135" t="n"/>
      <c r="GL74" s="135" t="n"/>
      <c r="GM74" s="135" t="n"/>
      <c r="GN74" s="135" t="n"/>
      <c r="GP74" s="5" t="n"/>
      <c r="GQ74" s="5" t="n"/>
      <c r="GR74" s="5" t="n"/>
      <c r="GS74" s="5" t="n"/>
      <c r="GT74" s="5" t="n"/>
      <c r="GU74" s="5" t="n"/>
      <c r="GV74" s="5" t="n"/>
      <c r="GW74" s="5" t="n"/>
      <c r="GX74" s="5" t="n"/>
      <c r="GY74" s="5" t="n"/>
      <c r="GZ74" s="5" t="n"/>
      <c r="HA74" s="5" t="n"/>
      <c r="HB74" s="5" t="n"/>
      <c r="HC74" s="5" t="n"/>
      <c r="HD74" s="5" t="n"/>
      <c r="HE74" s="5" t="n"/>
      <c r="HF74" s="5" t="n"/>
      <c r="HG74" s="5" t="n"/>
      <c r="HH74" s="5" t="n"/>
      <c r="HI74" s="5" t="n"/>
      <c r="HK74" s="5" t="n"/>
      <c r="HL74" s="5" t="n"/>
      <c r="HM74" s="5" t="n"/>
      <c r="HN74" s="5" t="n"/>
      <c r="HO74" s="5" t="n"/>
      <c r="HP74" s="5" t="n"/>
      <c r="HQ74" s="5" t="n"/>
      <c r="HR74" s="5" t="n"/>
      <c r="HS74" s="5" t="n"/>
      <c r="HT74" s="5" t="n"/>
      <c r="HV74" s="5" t="n"/>
      <c r="HW74" s="5" t="n"/>
      <c r="HX74" s="5" t="n"/>
      <c r="HY74" s="5" t="n"/>
      <c r="HZ74" s="5" t="n"/>
      <c r="IA74" s="5" t="n"/>
      <c r="IB74" s="5" t="n"/>
      <c r="IC74" s="5" t="n"/>
      <c r="ID74" s="5" t="n"/>
      <c r="IE74" s="5" t="n"/>
      <c r="IF74" s="5" t="n"/>
      <c r="IH74" s="5" t="n"/>
      <c r="II74" s="5" t="n"/>
      <c r="IJ74" s="5" t="n"/>
      <c r="IK74" s="5" t="n"/>
      <c r="IL74" s="5" t="n"/>
      <c r="IM74" s="5" t="n"/>
    </row>
    <row r="75">
      <c r="A75" s="626" t="inlineStr">
        <is>
          <t>KIT SACOLA G EUDORA (C/ 10)</t>
        </is>
      </c>
      <c r="B75" s="345" t="inlineStr">
        <is>
          <t>-</t>
        </is>
      </c>
      <c r="C75" s="834" t="inlineStr">
        <is>
          <t>-</t>
        </is>
      </c>
      <c r="D75" s="382" t="n">
        <v>10</v>
      </c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>
        <v>0</v>
      </c>
      <c r="Y75" s="697" t="n">
        <v>0</v>
      </c>
      <c r="Z75" s="697" t="n">
        <v>0</v>
      </c>
      <c r="AA75" s="697" t="n">
        <v>0</v>
      </c>
      <c r="AB75" s="697" t="n">
        <v>0</v>
      </c>
      <c r="AC75" s="697" t="n">
        <v>0</v>
      </c>
      <c r="AD75" s="697" t="n">
        <v>0</v>
      </c>
      <c r="AE75" s="697" t="n">
        <v>0</v>
      </c>
      <c r="AF75" s="697" t="n">
        <v>0</v>
      </c>
      <c r="AG75" s="697" t="n">
        <v>0</v>
      </c>
      <c r="AH75" s="697" t="n">
        <v>0</v>
      </c>
      <c r="AI75" s="697" t="n">
        <v>0</v>
      </c>
      <c r="AJ75" s="697" t="n">
        <v>0</v>
      </c>
      <c r="AK75" s="697" t="n">
        <v>0</v>
      </c>
      <c r="AL75" s="697" t="n">
        <v>0</v>
      </c>
      <c r="AM75" s="697" t="n">
        <v>0</v>
      </c>
      <c r="AN75" s="697" t="n">
        <v>0</v>
      </c>
      <c r="AO75" s="697" t="n">
        <v>0</v>
      </c>
      <c r="AP75" s="697" t="n">
        <v>0</v>
      </c>
      <c r="AQ75" s="697" t="n">
        <v>0</v>
      </c>
      <c r="AR75" s="697" t="n">
        <v>0</v>
      </c>
      <c r="AS75" s="697" t="n">
        <v>0</v>
      </c>
      <c r="AT75" s="697" t="n">
        <v>0</v>
      </c>
      <c r="AU75" s="697" t="n">
        <v>0</v>
      </c>
      <c r="AV75" s="697" t="n">
        <v>0</v>
      </c>
      <c r="AW75" s="697" t="n">
        <v>0</v>
      </c>
      <c r="AX75" s="697" t="n">
        <v>0</v>
      </c>
      <c r="AY75" s="697" t="n">
        <v>0</v>
      </c>
      <c r="AZ75" s="697" t="n">
        <v>0</v>
      </c>
      <c r="BA75" s="697" t="n">
        <v>0</v>
      </c>
      <c r="BB75" s="697" t="n">
        <v>0</v>
      </c>
      <c r="BC75" s="697" t="n">
        <v>0</v>
      </c>
      <c r="BD75" s="697" t="n">
        <v>0</v>
      </c>
      <c r="BE75" s="697" t="n">
        <v>0</v>
      </c>
      <c r="BF75" s="697" t="n">
        <v>0</v>
      </c>
      <c r="BG75" s="697" t="n">
        <v>0</v>
      </c>
      <c r="BH75" s="697" t="n">
        <v>0</v>
      </c>
      <c r="BI75" s="697" t="n">
        <v>0</v>
      </c>
      <c r="BJ75" s="697" t="n">
        <v>0</v>
      </c>
      <c r="BK75" s="697" t="n">
        <v>0</v>
      </c>
      <c r="BL75" s="697" t="n">
        <v>0</v>
      </c>
      <c r="BM75" s="697" t="n">
        <v>0</v>
      </c>
      <c r="BN75" s="697" t="n">
        <v>0</v>
      </c>
      <c r="BO75" s="697" t="n">
        <v>0</v>
      </c>
      <c r="BP75" s="697" t="n">
        <v>0</v>
      </c>
      <c r="BQ75" s="697" t="n">
        <v>0</v>
      </c>
      <c r="BR75" s="697" t="n">
        <v>0</v>
      </c>
      <c r="BS75" s="697" t="n"/>
      <c r="BT75" s="697" t="n"/>
      <c r="BU75" s="697" t="n"/>
      <c r="BV75" s="697" t="n"/>
      <c r="BW75" s="697" t="n"/>
      <c r="BX75" s="697" t="n">
        <v>0</v>
      </c>
      <c r="BY75" s="198">
        <f>BW75+IF(NOT(ISBLANK(OFFSET(BY75,0,6))),N(OFFSET(BY75,0,6)),N(OFFSET(BY75,0,7)))-BX75</f>
        <v/>
      </c>
      <c r="CA75" s="38" t="n"/>
      <c r="CB75" s="38" t="n"/>
      <c r="CC75" s="5" t="n"/>
      <c r="CD75" s="27" t="n"/>
      <c r="CF75" s="135" t="n">
        <v>0</v>
      </c>
      <c r="CG75" s="135" t="n">
        <v>0</v>
      </c>
      <c r="CH75" s="135" t="n">
        <v>0</v>
      </c>
      <c r="CI75" s="135" t="n"/>
      <c r="CJ75" s="135" t="n"/>
      <c r="CK75" s="135" t="n"/>
      <c r="CL75" s="135" t="n"/>
      <c r="CM75" s="135" t="n"/>
      <c r="CN75" s="135" t="n"/>
      <c r="CO75" s="135" t="n"/>
      <c r="CP75" s="135" t="n"/>
      <c r="CQ75" s="135" t="n"/>
      <c r="CR75" s="135" t="n"/>
      <c r="CS75" s="135" t="n"/>
      <c r="CT75" s="135" t="n"/>
      <c r="CU75" s="135" t="n"/>
      <c r="CV75" s="135" t="n"/>
      <c r="CW75" s="135" t="n"/>
      <c r="CX75" s="135" t="n"/>
      <c r="CY75" s="135" t="n"/>
      <c r="CZ75" s="135" t="n"/>
      <c r="DA75" s="135" t="n"/>
      <c r="DB75" s="135" t="n"/>
      <c r="DC75" s="135" t="n"/>
      <c r="DD75" s="135" t="n"/>
      <c r="DE75" s="135" t="n"/>
      <c r="DF75" s="135" t="n"/>
      <c r="DG75" s="135" t="n"/>
      <c r="DH75" s="135" t="n"/>
      <c r="DI75" s="135" t="n"/>
      <c r="DJ75" s="135" t="n"/>
      <c r="DK75" s="374" t="n"/>
      <c r="DL75" s="135" t="n"/>
      <c r="DM75" s="135" t="n"/>
      <c r="DN75" s="135" t="n"/>
      <c r="DO75" s="135" t="n"/>
      <c r="DP75" s="135" t="n"/>
      <c r="DQ75" s="135" t="n"/>
      <c r="DR75" s="135" t="n"/>
      <c r="DS75" s="135" t="n"/>
      <c r="DT75" s="135" t="n"/>
      <c r="DU75" s="135" t="n"/>
      <c r="DV75" s="135" t="n"/>
      <c r="DW75" s="135" t="n"/>
      <c r="DX75" s="135" t="n"/>
      <c r="DY75" s="135" t="n"/>
      <c r="DZ75" s="135" t="n"/>
      <c r="EA75" s="135" t="n"/>
      <c r="EB75" s="135" t="n"/>
      <c r="EC75" s="135" t="n"/>
      <c r="ED75" s="135" t="n"/>
      <c r="EE75" s="135" t="n"/>
      <c r="EF75" s="135" t="n"/>
      <c r="EG75" s="135" t="n"/>
      <c r="EH75" s="135" t="n"/>
      <c r="EI75" s="135" t="n"/>
      <c r="EJ75" s="135" t="n"/>
      <c r="EK75" s="135" t="n"/>
      <c r="EL75" s="135" t="n"/>
      <c r="EM75" s="135" t="n"/>
      <c r="EN75" s="135" t="n"/>
      <c r="EO75" s="135" t="n"/>
      <c r="EP75" s="135" t="n"/>
      <c r="EQ75" s="135" t="n"/>
      <c r="ER75" s="135" t="n"/>
      <c r="ES75" s="135" t="n"/>
      <c r="ET75" s="135" t="n"/>
      <c r="EU75" s="135" t="n"/>
      <c r="EV75" s="135" t="n"/>
      <c r="EW75" s="135" t="n"/>
      <c r="EX75" s="135" t="n"/>
      <c r="EY75" s="135" t="n"/>
      <c r="EZ75" s="135" t="n"/>
      <c r="FA75" s="135" t="n"/>
      <c r="FB75" s="135" t="n"/>
      <c r="FC75" s="135" t="n"/>
      <c r="FD75" s="135" t="n"/>
      <c r="FE75" s="135" t="n"/>
      <c r="FF75" s="135" t="n"/>
      <c r="FG75" s="135" t="n"/>
      <c r="FH75" s="23" t="n"/>
      <c r="FI75" s="374" t="n"/>
      <c r="FJ75" s="135" t="n"/>
      <c r="FK75" s="135" t="n"/>
      <c r="FL75" s="135" t="n"/>
      <c r="FM75" s="135" t="n"/>
      <c r="FN75" s="135" t="n"/>
      <c r="FO75" s="135" t="n"/>
      <c r="FP75" s="135" t="n"/>
      <c r="FQ75" s="135" t="n"/>
      <c r="FR75" s="135" t="n"/>
      <c r="FS75" s="135" t="n"/>
      <c r="FT75" s="135" t="n"/>
      <c r="FU75" s="135" t="n"/>
      <c r="FV75" s="135" t="n"/>
      <c r="FW75" s="312" t="n"/>
      <c r="FX75" s="135" t="n"/>
      <c r="FY75" s="312" t="n"/>
      <c r="FZ75" s="135" t="n"/>
      <c r="GA75" s="135" t="n"/>
      <c r="GB75" s="135" t="n"/>
      <c r="GC75" s="135" t="n"/>
      <c r="GD75" s="135" t="n"/>
      <c r="GE75" s="135" t="n"/>
      <c r="GF75" s="135" t="n"/>
      <c r="GG75" s="135" t="n"/>
      <c r="GH75" s="135" t="n"/>
      <c r="GI75" s="135" t="n"/>
      <c r="GJ75" s="135" t="n"/>
      <c r="GK75" s="135" t="n"/>
      <c r="GL75" s="135" t="n"/>
      <c r="GM75" s="135" t="n"/>
      <c r="GN75" s="135" t="n"/>
      <c r="GP75" s="5" t="n"/>
      <c r="GQ75" s="5" t="n"/>
      <c r="GR75" s="5" t="n"/>
      <c r="GS75" s="5" t="n"/>
      <c r="GT75" s="5" t="n"/>
      <c r="GU75" s="5" t="n"/>
      <c r="GV75" s="5" t="n"/>
      <c r="GW75" s="5" t="n"/>
      <c r="GX75" s="5" t="n"/>
      <c r="GY75" s="5" t="n"/>
      <c r="GZ75" s="5" t="n"/>
      <c r="HA75" s="5" t="n"/>
      <c r="HB75" s="5" t="n"/>
      <c r="HC75" s="5" t="n"/>
      <c r="HD75" s="5" t="n"/>
      <c r="HE75" s="5" t="n"/>
      <c r="HF75" s="5" t="n"/>
      <c r="HG75" s="5" t="n"/>
      <c r="HH75" s="5" t="n"/>
      <c r="HI75" s="5" t="n"/>
      <c r="HK75" s="5" t="n"/>
      <c r="HL75" s="5" t="n"/>
      <c r="HM75" s="5" t="n"/>
      <c r="HN75" s="5" t="n"/>
      <c r="HO75" s="5" t="n"/>
      <c r="HP75" s="5" t="n"/>
      <c r="HQ75" s="5" t="n"/>
      <c r="HR75" s="5" t="n"/>
      <c r="HS75" s="5" t="n"/>
      <c r="HT75" s="5" t="n"/>
      <c r="HV75" s="5" t="n"/>
      <c r="HW75" s="5" t="n"/>
      <c r="HX75" s="5" t="n"/>
      <c r="HY75" s="5" t="n"/>
      <c r="HZ75" s="5" t="n"/>
      <c r="IA75" s="5" t="n"/>
      <c r="IB75" s="5" t="n"/>
      <c r="IC75" s="5" t="n"/>
      <c r="ID75" s="5" t="n"/>
      <c r="IE75" s="5" t="n"/>
      <c r="IF75" s="5" t="n"/>
      <c r="IH75" s="5" t="n"/>
      <c r="II75" s="5" t="n"/>
      <c r="IJ75" s="5" t="n"/>
      <c r="IK75" s="5" t="n"/>
      <c r="IL75" s="5" t="n"/>
      <c r="IM75" s="5" t="n"/>
    </row>
    <row r="76">
      <c r="A76" s="626" t="inlineStr">
        <is>
          <t>CAIXA P EUDORA</t>
        </is>
      </c>
      <c r="B76" s="345" t="n">
        <v>150</v>
      </c>
      <c r="C76" s="834" t="n">
        <v>400.5</v>
      </c>
      <c r="D76" s="382" t="n">
        <v>15</v>
      </c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>
        <v>0</v>
      </c>
      <c r="Y76" s="697" t="n">
        <v>0</v>
      </c>
      <c r="Z76" s="697">
        <f>0+75</f>
        <v/>
      </c>
      <c r="AA76" s="697" t="n">
        <v>75</v>
      </c>
      <c r="AB76" s="697" t="n">
        <v>75</v>
      </c>
      <c r="AC76" s="697" t="n">
        <v>75</v>
      </c>
      <c r="AD76" s="697" t="n">
        <v>68</v>
      </c>
      <c r="AE76" s="697" t="n">
        <v>67</v>
      </c>
      <c r="AF76" s="697" t="n">
        <v>67</v>
      </c>
      <c r="AG76" s="697" t="n">
        <v>64</v>
      </c>
      <c r="AH76" s="697" t="n">
        <v>59</v>
      </c>
      <c r="AI76" s="697" t="n">
        <v>59</v>
      </c>
      <c r="AJ76" s="697" t="n">
        <v>55</v>
      </c>
      <c r="AK76" s="697" t="n">
        <v>53</v>
      </c>
      <c r="AL76" s="697" t="n">
        <v>52</v>
      </c>
      <c r="AM76" s="697" t="n">
        <v>11</v>
      </c>
      <c r="AN76" s="697">
        <f>0+75</f>
        <v/>
      </c>
      <c r="AO76" s="697" t="n">
        <v>42</v>
      </c>
      <c r="AP76" s="697" t="n">
        <v>6</v>
      </c>
      <c r="AQ76" s="697" t="n">
        <v>6</v>
      </c>
      <c r="AR76" s="237">
        <f>6+DY76</f>
        <v/>
      </c>
      <c r="AS76" s="237" t="n">
        <v>154</v>
      </c>
      <c r="AT76" s="237" t="n">
        <v>154</v>
      </c>
      <c r="AU76" s="237" t="n">
        <v>154</v>
      </c>
      <c r="AV76" s="237" t="n">
        <v>154</v>
      </c>
      <c r="AW76" s="237" t="n">
        <v>154</v>
      </c>
      <c r="AX76" s="237" t="n">
        <v>153</v>
      </c>
      <c r="AY76" s="237" t="n">
        <v>153</v>
      </c>
      <c r="AZ76" s="237" t="n">
        <v>153</v>
      </c>
      <c r="BA76" s="237" t="n">
        <v>140</v>
      </c>
      <c r="BB76" s="237" t="n">
        <v>0</v>
      </c>
      <c r="BC76" s="237">
        <f>0+DF76</f>
        <v/>
      </c>
      <c r="BD76" s="237" t="n">
        <v>11</v>
      </c>
      <c r="BE76" s="237" t="n">
        <v>0</v>
      </c>
      <c r="BF76" s="237" t="n">
        <v>0</v>
      </c>
      <c r="BG76" s="237" t="n">
        <v>0</v>
      </c>
      <c r="BH76" s="237" t="n">
        <v>0</v>
      </c>
      <c r="BI76" s="237" t="n">
        <v>36</v>
      </c>
      <c r="BJ76" s="237" t="n">
        <v>35</v>
      </c>
      <c r="BK76" s="237" t="n">
        <v>35</v>
      </c>
      <c r="BL76" s="237" t="n">
        <v>35</v>
      </c>
      <c r="BM76" s="237" t="n">
        <v>35</v>
      </c>
      <c r="BN76" s="237" t="n">
        <v>35</v>
      </c>
      <c r="BO76" s="237" t="n">
        <v>35</v>
      </c>
      <c r="BP76" s="237" t="n">
        <v>34</v>
      </c>
      <c r="BQ76" s="237" t="n">
        <v>31</v>
      </c>
      <c r="BR76" s="237" t="n">
        <v>31</v>
      </c>
      <c r="BS76" s="237" t="n"/>
      <c r="BT76" s="237" t="n"/>
      <c r="BU76" s="237" t="n"/>
      <c r="BV76" s="237" t="n"/>
      <c r="BW76" s="237" t="n"/>
      <c r="BX76" s="237" t="n">
        <v>29</v>
      </c>
      <c r="BY76" s="198">
        <f>BW76+IF(NOT(ISBLANK(OFFSET(BY76,0,6))),N(OFFSET(BY76,0,6)),N(OFFSET(BY76,0,7)))-BX76</f>
        <v/>
      </c>
      <c r="CA76" s="38" t="n"/>
      <c r="CB76" s="38" t="n"/>
      <c r="CC76" s="5" t="n"/>
      <c r="CD76" s="27" t="n"/>
      <c r="CF76" s="135" t="n">
        <v>0</v>
      </c>
      <c r="CG76" s="135" t="n">
        <v>0</v>
      </c>
      <c r="CH76" s="135" t="n">
        <v>0</v>
      </c>
      <c r="CI76" s="135" t="n"/>
      <c r="CJ76" s="135" t="n"/>
      <c r="CK76" s="135" t="n"/>
      <c r="CL76" s="135" t="n"/>
      <c r="CM76" s="135" t="n"/>
      <c r="CN76" s="135" t="n"/>
      <c r="CO76" s="135" t="n"/>
      <c r="CP76" s="135" t="n"/>
      <c r="CQ76" s="135" t="n"/>
      <c r="CR76" s="135" t="n"/>
      <c r="CS76" s="135" t="n"/>
      <c r="CT76" s="135" t="n"/>
      <c r="CU76" s="135" t="n"/>
      <c r="CV76" s="135" t="n"/>
      <c r="CW76" s="135" t="n"/>
      <c r="CX76" s="135" t="n"/>
      <c r="CY76" s="135" t="n"/>
      <c r="CZ76" s="135" t="n"/>
      <c r="DA76" s="135" t="n"/>
      <c r="DB76" s="135" t="n"/>
      <c r="DC76" s="135" t="n"/>
      <c r="DD76" s="135" t="n"/>
      <c r="DE76" s="135" t="n"/>
      <c r="DF76" s="135" t="n">
        <v>150</v>
      </c>
      <c r="DG76" s="135" t="n"/>
      <c r="DH76" s="135" t="n"/>
      <c r="DI76" s="135" t="n"/>
      <c r="DJ76" s="135" t="n"/>
      <c r="DK76" s="374" t="n"/>
      <c r="DL76" s="135" t="n"/>
      <c r="DM76" s="135" t="n"/>
      <c r="DN76" s="135" t="n"/>
      <c r="DO76" s="135" t="n"/>
      <c r="DP76" s="135" t="n"/>
      <c r="DQ76" s="135" t="n"/>
      <c r="DR76" s="135" t="n"/>
      <c r="DS76" s="135" t="n"/>
      <c r="DT76" s="135" t="n"/>
      <c r="DU76" s="135" t="n"/>
      <c r="DV76" s="135" t="n"/>
      <c r="DW76" s="135" t="n"/>
      <c r="DX76" s="135" t="n"/>
      <c r="DY76" s="135" t="n">
        <v>150</v>
      </c>
      <c r="DZ76" s="135" t="n"/>
      <c r="EA76" s="135" t="n"/>
      <c r="EB76" s="135" t="n"/>
      <c r="EC76" s="135" t="n"/>
      <c r="ED76" s="135" t="n"/>
      <c r="EE76" s="135" t="n"/>
      <c r="EF76" s="192" t="inlineStr">
        <is>
          <t>75 DE CD</t>
        </is>
      </c>
      <c r="EG76" s="135" t="n"/>
      <c r="EH76" s="135" t="n"/>
      <c r="EI76" s="135" t="n"/>
      <c r="EJ76" s="135" t="n"/>
      <c r="EK76" s="135" t="n"/>
      <c r="EL76" s="135" t="n"/>
      <c r="EM76" s="135" t="n"/>
      <c r="EN76" s="135" t="n"/>
      <c r="EO76" s="135" t="n"/>
      <c r="EP76" s="135" t="n"/>
      <c r="EQ76" s="135" t="n"/>
      <c r="ER76" s="135" t="n"/>
      <c r="ES76" s="135" t="n"/>
      <c r="ET76" s="135" t="n"/>
      <c r="EU76" s="135" t="n"/>
      <c r="EV76" s="135" t="n"/>
      <c r="EW76" s="135" t="n"/>
      <c r="EX76" s="135" t="n"/>
      <c r="EY76" s="135" t="n"/>
      <c r="EZ76" s="135" t="n"/>
      <c r="FA76" s="135" t="n"/>
      <c r="FB76" s="135" t="n"/>
      <c r="FC76" s="219" t="n"/>
      <c r="FD76" s="219" t="n"/>
      <c r="FE76" s="135" t="n"/>
      <c r="FF76" s="282" t="inlineStr">
        <is>
          <t>75 DE CDB</t>
        </is>
      </c>
      <c r="FG76" s="135" t="n"/>
      <c r="FH76" s="23" t="n"/>
      <c r="FI76" s="374" t="n"/>
      <c r="FJ76" s="135" t="n"/>
      <c r="FK76" s="135" t="n"/>
      <c r="FL76" s="135" t="n"/>
      <c r="FM76" s="135" t="n"/>
      <c r="FN76" s="135" t="n"/>
      <c r="FO76" s="135" t="n"/>
      <c r="FP76" s="135" t="n"/>
      <c r="FQ76" s="135" t="n"/>
      <c r="FR76" s="135" t="n"/>
      <c r="FS76" s="135" t="n"/>
      <c r="FT76" s="135" t="n"/>
      <c r="FU76" s="135" t="n"/>
      <c r="FV76" s="135" t="n"/>
      <c r="FW76" s="312" t="n"/>
      <c r="FX76" s="135" t="n"/>
      <c r="FY76" s="312" t="n"/>
      <c r="FZ76" s="135" t="n"/>
      <c r="GA76" s="135" t="n"/>
      <c r="GB76" s="135" t="n"/>
      <c r="GC76" s="135" t="n"/>
      <c r="GD76" s="135" t="n"/>
      <c r="GE76" s="135" t="n"/>
      <c r="GF76" s="135" t="n"/>
      <c r="GG76" s="135" t="n"/>
      <c r="GH76" s="135" t="n"/>
      <c r="GI76" s="135" t="n"/>
      <c r="GJ76" s="135" t="n"/>
      <c r="GK76" s="135" t="n"/>
      <c r="GL76" s="135" t="n"/>
      <c r="GM76" s="135" t="n"/>
      <c r="GN76" s="135" t="n"/>
      <c r="GP76" s="5" t="n"/>
      <c r="GQ76" s="5" t="n"/>
      <c r="GR76" s="5" t="n"/>
      <c r="GS76" s="5" t="n"/>
      <c r="GT76" s="5" t="n"/>
      <c r="GU76" s="5" t="n"/>
      <c r="GV76" s="5" t="n"/>
      <c r="GW76" s="5" t="n"/>
      <c r="GX76" s="5" t="n"/>
      <c r="GY76" s="5" t="n"/>
      <c r="GZ76" s="5" t="n"/>
      <c r="HA76" s="5" t="n"/>
      <c r="HB76" s="5" t="n"/>
      <c r="HC76" s="5" t="n"/>
      <c r="HD76" s="5" t="n"/>
      <c r="HE76" s="5" t="n"/>
      <c r="HF76" s="5" t="n"/>
      <c r="HG76" s="5" t="n"/>
      <c r="HH76" s="5" t="n"/>
      <c r="HI76" s="5" t="n"/>
      <c r="HK76" s="5" t="n"/>
      <c r="HL76" s="5" t="n"/>
      <c r="HM76" s="5" t="n"/>
      <c r="HN76" s="5" t="n"/>
      <c r="HO76" s="5" t="n"/>
      <c r="HP76" s="5" t="n"/>
      <c r="HQ76" s="5" t="n"/>
      <c r="HR76" s="5" t="n"/>
      <c r="HS76" s="5" t="n"/>
      <c r="HT76" s="5" t="n"/>
      <c r="HV76" s="5" t="n"/>
      <c r="HW76" s="5" t="n"/>
      <c r="HX76" s="5" t="n"/>
      <c r="HY76" s="5" t="n"/>
      <c r="HZ76" s="5" t="n"/>
      <c r="IA76" s="5" t="n"/>
      <c r="IB76" s="5" t="n"/>
      <c r="IC76" s="5" t="n"/>
      <c r="ID76" s="5" t="n"/>
      <c r="IE76" s="5" t="n"/>
      <c r="IF76" s="5" t="n"/>
      <c r="IH76" s="5" t="n"/>
      <c r="II76" s="5" t="n"/>
      <c r="IJ76" s="5" t="n"/>
      <c r="IK76" s="5" t="n"/>
      <c r="IL76" s="5" t="n"/>
      <c r="IM76" s="5" t="n"/>
    </row>
    <row r="77">
      <c r="A77" s="626" t="inlineStr">
        <is>
          <t>CAIXA M EUDORA</t>
        </is>
      </c>
      <c r="B77" s="345" t="n">
        <v>100</v>
      </c>
      <c r="C77" s="834" t="n">
        <v>365</v>
      </c>
      <c r="D77" s="382" t="n">
        <v>15</v>
      </c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>
        <v>0</v>
      </c>
      <c r="Y77" s="697" t="n">
        <v>0</v>
      </c>
      <c r="Z77" s="697">
        <f>0+50</f>
        <v/>
      </c>
      <c r="AA77" s="697" t="n">
        <v>50</v>
      </c>
      <c r="AB77" s="697" t="n">
        <v>50</v>
      </c>
      <c r="AC77" s="697" t="n">
        <v>49</v>
      </c>
      <c r="AD77" s="697" t="n">
        <v>44</v>
      </c>
      <c r="AE77" s="697" t="n">
        <v>40</v>
      </c>
      <c r="AF77" s="697" t="n">
        <v>40</v>
      </c>
      <c r="AG77" s="697" t="n">
        <v>40</v>
      </c>
      <c r="AH77" s="697" t="n">
        <v>39</v>
      </c>
      <c r="AI77" s="697" t="n">
        <v>38</v>
      </c>
      <c r="AJ77" s="697" t="n">
        <v>38</v>
      </c>
      <c r="AK77" s="697" t="n">
        <v>38</v>
      </c>
      <c r="AL77" s="697" t="n">
        <v>37</v>
      </c>
      <c r="AM77" s="697" t="n">
        <v>36</v>
      </c>
      <c r="AN77" s="697" t="n">
        <v>35</v>
      </c>
      <c r="AO77" s="697" t="n">
        <v>33</v>
      </c>
      <c r="AP77" s="697" t="n">
        <v>29</v>
      </c>
      <c r="AQ77" s="697" t="n">
        <v>29</v>
      </c>
      <c r="AR77" s="697" t="n">
        <v>28</v>
      </c>
      <c r="AS77" s="697" t="n">
        <v>28</v>
      </c>
      <c r="AT77" s="697" t="n">
        <v>27</v>
      </c>
      <c r="AU77" s="697" t="n">
        <v>27</v>
      </c>
      <c r="AV77" s="697" t="n">
        <v>25</v>
      </c>
      <c r="AW77" s="697" t="n">
        <v>24</v>
      </c>
      <c r="AX77" s="697" t="n">
        <v>24</v>
      </c>
      <c r="AY77" s="697" t="n">
        <v>23</v>
      </c>
      <c r="AZ77" s="697" t="n">
        <v>22</v>
      </c>
      <c r="BA77" s="697" t="n">
        <v>22</v>
      </c>
      <c r="BB77" s="697" t="n">
        <v>21</v>
      </c>
      <c r="BC77" s="697" t="n">
        <v>21</v>
      </c>
      <c r="BD77" s="697" t="n">
        <v>15</v>
      </c>
      <c r="BE77" s="697" t="n">
        <v>14</v>
      </c>
      <c r="BF77" s="697" t="n">
        <v>14</v>
      </c>
      <c r="BG77" s="697" t="n">
        <v>13</v>
      </c>
      <c r="BH77" s="697" t="n">
        <v>12</v>
      </c>
      <c r="BI77" s="697" t="n">
        <v>0</v>
      </c>
      <c r="BJ77" s="237">
        <f>0+CU77</f>
        <v/>
      </c>
      <c r="BK77" s="237" t="n">
        <v>99</v>
      </c>
      <c r="BL77" s="237" t="n">
        <v>97</v>
      </c>
      <c r="BM77" s="237" t="n">
        <v>97</v>
      </c>
      <c r="BN77" s="237" t="n">
        <v>97</v>
      </c>
      <c r="BO77" s="237" t="n">
        <v>96</v>
      </c>
      <c r="BP77" s="237" t="n">
        <v>94</v>
      </c>
      <c r="BQ77" s="237" t="n">
        <v>94</v>
      </c>
      <c r="BR77" s="237" t="n">
        <v>92</v>
      </c>
      <c r="BS77" s="237" t="n"/>
      <c r="BT77" s="237" t="n"/>
      <c r="BU77" s="237" t="n"/>
      <c r="BV77" s="237" t="n"/>
      <c r="BW77" s="237" t="n"/>
      <c r="BX77" s="237" t="n">
        <v>88</v>
      </c>
      <c r="BY77" s="198">
        <f>BW77+IF(NOT(ISBLANK(OFFSET(BY77,0,6))),N(OFFSET(BY77,0,6)),N(OFFSET(BY77,0,7)))-BX77</f>
        <v/>
      </c>
      <c r="CA77" s="38" t="n"/>
      <c r="CB77" s="38" t="n"/>
      <c r="CD77" s="27" t="n"/>
      <c r="CF77" s="135" t="n">
        <v>0</v>
      </c>
      <c r="CG77" s="135" t="n">
        <v>0</v>
      </c>
      <c r="CH77" s="135" t="n">
        <v>0</v>
      </c>
      <c r="CI77" s="135" t="n"/>
      <c r="CJ77" s="135" t="n"/>
      <c r="CK77" s="135" t="n"/>
      <c r="CL77" s="135" t="n"/>
      <c r="CM77" s="135" t="n"/>
      <c r="CN77" s="135" t="n"/>
      <c r="CO77" s="135" t="n"/>
      <c r="CP77" s="135" t="n"/>
      <c r="CQ77" s="135" t="n"/>
      <c r="CR77" s="135" t="n"/>
      <c r="CS77" s="135" t="n"/>
      <c r="CT77" s="135" t="n"/>
      <c r="CU77" s="135" t="n">
        <v>100</v>
      </c>
      <c r="CV77" s="217" t="n"/>
      <c r="CW77" s="217" t="n"/>
      <c r="CX77" s="217" t="n"/>
      <c r="CY77" s="217" t="n"/>
      <c r="CZ77" s="217" t="n"/>
      <c r="DA77" s="217" t="n"/>
      <c r="DB77" s="217" t="n"/>
      <c r="DC77" s="217" t="n"/>
      <c r="DD77" s="217" t="n"/>
      <c r="DE77" s="217" t="n"/>
      <c r="DF77" s="217" t="n"/>
      <c r="DG77" s="217" t="n"/>
      <c r="DH77" s="217" t="n"/>
      <c r="DI77" s="217" t="n"/>
      <c r="DJ77" s="217" t="n"/>
      <c r="DK77" s="311" t="n"/>
      <c r="DL77" s="217" t="n"/>
      <c r="DM77" s="217" t="n"/>
      <c r="DN77" s="217" t="n"/>
      <c r="DO77" s="217" t="n"/>
      <c r="DP77" s="217" t="n"/>
      <c r="DQ77" s="217" t="n"/>
      <c r="DR77" s="217" t="n"/>
      <c r="DS77" s="217" t="n"/>
      <c r="DT77" s="217" t="n"/>
      <c r="DU77" s="217" t="n"/>
      <c r="DV77" s="217" t="n"/>
      <c r="DW77" s="217" t="n"/>
      <c r="DX77" s="217" t="n"/>
      <c r="DY77" s="217" t="n"/>
      <c r="DZ77" s="217" t="n"/>
      <c r="EA77" s="217" t="n"/>
      <c r="EB77" s="217" t="n"/>
      <c r="EC77" s="217" t="n"/>
      <c r="ED77" s="217" t="n"/>
      <c r="EE77" s="217" t="n"/>
      <c r="EF77" s="217" t="n"/>
      <c r="EG77" s="217" t="n"/>
      <c r="EH77" s="217" t="n"/>
      <c r="EI77" s="217" t="n"/>
      <c r="EJ77" s="217" t="n"/>
      <c r="EK77" s="217" t="n"/>
      <c r="EL77" s="217" t="n"/>
      <c r="EM77" s="217" t="n"/>
      <c r="EN77" s="217" t="n"/>
      <c r="EO77" s="217" t="n"/>
      <c r="EP77" s="217" t="n"/>
      <c r="EQ77" s="217" t="n"/>
      <c r="ER77" s="217" t="n"/>
      <c r="ES77" s="217" t="n"/>
      <c r="ET77" s="217" t="n"/>
      <c r="EU77" s="217" t="n"/>
      <c r="EV77" s="217" t="n"/>
      <c r="EW77" s="217" t="n"/>
      <c r="EX77" s="217" t="n"/>
      <c r="EY77" s="217" t="n"/>
      <c r="EZ77" s="217" t="n"/>
      <c r="FA77" s="217" t="n"/>
      <c r="FB77" s="217" t="n"/>
      <c r="FC77" s="219" t="n"/>
      <c r="FD77" s="219" t="n"/>
      <c r="FE77" s="217" t="n"/>
      <c r="FF77" s="282" t="inlineStr">
        <is>
          <t>50 DE CDB</t>
        </is>
      </c>
      <c r="FG77" s="217" t="n"/>
      <c r="FH77" s="23" t="n"/>
      <c r="FI77" s="375" t="n"/>
      <c r="FJ77" s="217" t="n"/>
      <c r="FK77" s="217" t="n"/>
      <c r="FL77" s="217" t="n"/>
      <c r="FM77" s="217" t="n"/>
      <c r="FN77" s="217" t="n"/>
      <c r="FO77" s="217" t="n"/>
      <c r="FP77" s="217" t="n"/>
      <c r="FQ77" s="217" t="n"/>
      <c r="FR77" s="217" t="n"/>
      <c r="FS77" s="217" t="n"/>
      <c r="FT77" s="217" t="n"/>
      <c r="FU77" s="217" t="n"/>
      <c r="FV77" s="217" t="n"/>
      <c r="FW77" s="312" t="n"/>
      <c r="FX77" s="217" t="n"/>
      <c r="FY77" s="312" t="n"/>
      <c r="FZ77" s="217" t="n"/>
      <c r="GA77" s="217" t="n"/>
      <c r="GB77" s="217" t="n"/>
      <c r="GC77" s="217" t="n"/>
      <c r="GD77" s="217" t="n"/>
      <c r="GE77" s="217" t="n"/>
      <c r="GF77" s="217" t="n"/>
      <c r="GG77" s="217" t="n"/>
      <c r="GH77" s="217" t="n"/>
      <c r="GI77" s="217" t="n"/>
      <c r="GJ77" s="217" t="n"/>
      <c r="GK77" s="217" t="n"/>
      <c r="GL77" s="217" t="n"/>
      <c r="GM77" s="217" t="n"/>
      <c r="GN77" s="217" t="n"/>
      <c r="GP77" s="5" t="n"/>
      <c r="GQ77" s="5" t="n"/>
      <c r="GR77" s="5" t="n"/>
      <c r="GS77" s="5" t="n"/>
      <c r="GT77" s="5" t="n"/>
      <c r="GU77" s="5" t="n"/>
      <c r="GV77" s="5" t="n"/>
      <c r="GW77" s="5" t="n"/>
      <c r="GX77" s="5" t="n"/>
      <c r="GY77" s="5" t="n"/>
      <c r="GZ77" s="5" t="n"/>
      <c r="HA77" s="5" t="n"/>
      <c r="HB77" s="5" t="n"/>
      <c r="HC77" s="5" t="n"/>
      <c r="HD77" s="5" t="n"/>
      <c r="HE77" s="5" t="n"/>
      <c r="HF77" s="5" t="n"/>
      <c r="HG77" s="5" t="n"/>
      <c r="HH77" s="5" t="n"/>
      <c r="HI77" s="5" t="n"/>
      <c r="HK77" s="5" t="n"/>
      <c r="HL77" s="5" t="n"/>
      <c r="HM77" s="5" t="n"/>
      <c r="HN77" s="5" t="n"/>
      <c r="HO77" s="5" t="n"/>
      <c r="HP77" s="5" t="n"/>
      <c r="HQ77" s="5" t="n"/>
      <c r="HR77" s="5" t="n"/>
      <c r="HS77" s="5" t="n"/>
      <c r="HT77" s="5" t="n"/>
      <c r="HV77" s="5" t="n"/>
      <c r="HW77" s="5" t="n"/>
      <c r="HX77" s="5" t="n"/>
      <c r="HY77" s="5" t="n"/>
      <c r="HZ77" s="5" t="n"/>
      <c r="IA77" s="5" t="n"/>
      <c r="IB77" s="5" t="n"/>
      <c r="IC77" s="5" t="n"/>
      <c r="ID77" s="5" t="n"/>
      <c r="IE77" s="5" t="n"/>
      <c r="IF77" s="5" t="n"/>
      <c r="IH77" s="5" t="n"/>
      <c r="II77" s="5" t="n"/>
      <c r="IJ77" s="5" t="n"/>
      <c r="IK77" s="5" t="n"/>
      <c r="IL77" s="5" t="n"/>
      <c r="IM77" s="5" t="n"/>
    </row>
    <row r="78">
      <c r="A78" s="626" t="inlineStr">
        <is>
          <t>CAIXA G EUDORA</t>
        </is>
      </c>
      <c r="B78" s="345" t="n">
        <v>75</v>
      </c>
      <c r="C78" s="834" t="n">
        <v>438.75</v>
      </c>
      <c r="D78" s="382" t="n">
        <v>10</v>
      </c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>
        <v>0</v>
      </c>
      <c r="Y78" s="697" t="n">
        <v>0</v>
      </c>
      <c r="Z78" s="697">
        <f>0+25</f>
        <v/>
      </c>
      <c r="AA78" s="697" t="n">
        <v>25</v>
      </c>
      <c r="AB78" s="697" t="n">
        <v>25</v>
      </c>
      <c r="AC78" s="697" t="n">
        <v>25</v>
      </c>
      <c r="AD78" s="697" t="n">
        <v>23</v>
      </c>
      <c r="AE78" s="697">
        <f>23+15</f>
        <v/>
      </c>
      <c r="AF78" s="697" t="n">
        <v>38</v>
      </c>
      <c r="AG78" s="697" t="n">
        <v>37</v>
      </c>
      <c r="AH78" s="697" t="n">
        <v>37</v>
      </c>
      <c r="AI78" s="697" t="n">
        <v>37</v>
      </c>
      <c r="AJ78" s="697" t="n">
        <v>37</v>
      </c>
      <c r="AK78" s="697" t="n">
        <v>36</v>
      </c>
      <c r="AL78" s="697" t="n">
        <v>35</v>
      </c>
      <c r="AM78" s="697" t="n">
        <v>35</v>
      </c>
      <c r="AN78" s="697" t="n">
        <v>33</v>
      </c>
      <c r="AO78" s="697" t="n">
        <v>33</v>
      </c>
      <c r="AP78" s="697" t="n">
        <v>32</v>
      </c>
      <c r="AQ78" s="697" t="n">
        <v>32</v>
      </c>
      <c r="AR78" s="697" t="n">
        <v>32</v>
      </c>
      <c r="AS78" s="697" t="n">
        <v>32</v>
      </c>
      <c r="AT78" s="697" t="n">
        <v>31</v>
      </c>
      <c r="AU78" s="697" t="n">
        <v>31</v>
      </c>
      <c r="AV78" s="697" t="n">
        <v>31</v>
      </c>
      <c r="AW78" s="697" t="n">
        <v>31</v>
      </c>
      <c r="AX78" s="697" t="n">
        <v>31</v>
      </c>
      <c r="AY78" s="697" t="n">
        <v>31</v>
      </c>
      <c r="AZ78" s="697" t="n">
        <v>30</v>
      </c>
      <c r="BA78" s="697" t="n">
        <v>30</v>
      </c>
      <c r="BB78" s="697" t="n">
        <v>30</v>
      </c>
      <c r="BC78" s="697" t="n">
        <v>30</v>
      </c>
      <c r="BD78" s="697" t="n">
        <v>27</v>
      </c>
      <c r="BE78" s="697" t="n">
        <v>27</v>
      </c>
      <c r="BF78" s="697" t="n">
        <v>27</v>
      </c>
      <c r="BG78" s="697" t="n">
        <v>27</v>
      </c>
      <c r="BH78" s="697" t="n">
        <v>27</v>
      </c>
      <c r="BI78" s="697" t="n">
        <v>26</v>
      </c>
      <c r="BJ78" s="697" t="n">
        <v>26</v>
      </c>
      <c r="BK78" s="697" t="n">
        <v>26</v>
      </c>
      <c r="BL78" s="697" t="n">
        <v>26</v>
      </c>
      <c r="BM78" s="697" t="n">
        <v>26</v>
      </c>
      <c r="BN78" s="697" t="n">
        <v>26</v>
      </c>
      <c r="BO78" s="697" t="n">
        <v>24</v>
      </c>
      <c r="BP78" s="697" t="n">
        <v>24</v>
      </c>
      <c r="BQ78" s="697" t="n">
        <v>24</v>
      </c>
      <c r="BR78" s="697" t="n">
        <v>24</v>
      </c>
      <c r="BS78" s="697" t="n"/>
      <c r="BT78" s="697" t="n"/>
      <c r="BU78" s="697" t="n"/>
      <c r="BV78" s="697" t="n"/>
      <c r="BW78" s="697" t="n"/>
      <c r="BX78" s="697" t="n">
        <v>23</v>
      </c>
      <c r="BY78" s="198">
        <f>BW78+IF(NOT(ISBLANK(OFFSET(BY78,0,6))),N(OFFSET(BY78,0,6)),N(OFFSET(BY78,0,7)))-BX78</f>
        <v/>
      </c>
      <c r="CA78" s="38" t="n"/>
      <c r="CB78" s="38" t="n"/>
      <c r="CD78" s="27" t="n"/>
      <c r="CF78" s="135" t="n">
        <v>0</v>
      </c>
      <c r="CG78" s="135" t="n">
        <v>0</v>
      </c>
      <c r="CH78" s="135" t="n">
        <v>0</v>
      </c>
      <c r="CI78" s="217" t="n"/>
      <c r="CJ78" s="217" t="n"/>
      <c r="CK78" s="217" t="n"/>
      <c r="CL78" s="217" t="n"/>
      <c r="CM78" s="217" t="n"/>
      <c r="CN78" s="217" t="n"/>
      <c r="CO78" s="217" t="n"/>
      <c r="CP78" s="217" t="n"/>
      <c r="CQ78" s="217" t="n"/>
      <c r="CR78" s="217" t="n"/>
      <c r="CS78" s="217" t="n"/>
      <c r="CT78" s="217" t="n"/>
      <c r="CU78" s="217" t="n"/>
      <c r="CV78" s="217" t="n"/>
      <c r="CW78" s="217" t="n"/>
      <c r="CX78" s="217" t="n"/>
      <c r="CY78" s="217" t="n"/>
      <c r="CZ78" s="217" t="n"/>
      <c r="DA78" s="217" t="n"/>
      <c r="DB78" s="217" t="n"/>
      <c r="DC78" s="217" t="n"/>
      <c r="DD78" s="217" t="n"/>
      <c r="DE78" s="217" t="n"/>
      <c r="DF78" s="217" t="n"/>
      <c r="DG78" s="217" t="n"/>
      <c r="DH78" s="217" t="n"/>
      <c r="DI78" s="217" t="n"/>
      <c r="DJ78" s="217" t="n"/>
      <c r="DK78" s="311" t="n"/>
      <c r="DL78" s="217" t="n"/>
      <c r="DM78" s="217" t="n"/>
      <c r="DN78" s="217" t="n"/>
      <c r="DO78" s="217" t="n"/>
      <c r="DP78" s="217" t="n"/>
      <c r="DQ78" s="217" t="n"/>
      <c r="DR78" s="217" t="n"/>
      <c r="DS78" s="217" t="n"/>
      <c r="DT78" s="217" t="n"/>
      <c r="DU78" s="217" t="n"/>
      <c r="DV78" s="217" t="n"/>
      <c r="DW78" s="217" t="n"/>
      <c r="DX78" s="217" t="n"/>
      <c r="DY78" s="217" t="n"/>
      <c r="DZ78" s="217" t="n"/>
      <c r="EA78" s="217" t="n"/>
      <c r="EB78" s="217" t="n"/>
      <c r="EC78" s="217" t="n"/>
      <c r="ED78" s="217" t="n"/>
      <c r="EE78" s="217" t="n"/>
      <c r="EF78" s="217" t="n"/>
      <c r="EG78" s="217" t="n"/>
      <c r="EH78" s="217" t="n"/>
      <c r="EI78" s="217" t="n"/>
      <c r="EJ78" s="217" t="n"/>
      <c r="EK78" s="217" t="n"/>
      <c r="EL78" s="217" t="n"/>
      <c r="EM78" s="217" t="n"/>
      <c r="EN78" s="217" t="n"/>
      <c r="EO78" s="217" t="n"/>
      <c r="EP78" s="217" t="n"/>
      <c r="EQ78" s="217" t="n"/>
      <c r="ER78" s="217" t="n"/>
      <c r="ES78" s="217" t="n"/>
      <c r="ET78" s="217" t="n"/>
      <c r="EU78" s="217" t="n"/>
      <c r="EV78" s="217" t="n"/>
      <c r="EW78" s="406" t="inlineStr">
        <is>
          <t>15 DE CDB</t>
        </is>
      </c>
      <c r="EX78" s="217" t="n"/>
      <c r="EY78" s="217" t="n"/>
      <c r="EZ78" s="217" t="n"/>
      <c r="FA78" s="217" t="n"/>
      <c r="FB78" s="217" t="n"/>
      <c r="FC78" s="219" t="n"/>
      <c r="FD78" s="219" t="n"/>
      <c r="FE78" s="217" t="n"/>
      <c r="FF78" s="282" t="inlineStr">
        <is>
          <t>25 DE CDB</t>
        </is>
      </c>
      <c r="FG78" s="217" t="n"/>
      <c r="FH78" s="219" t="n"/>
      <c r="FI78" s="375" t="n"/>
      <c r="FJ78" s="217" t="n"/>
      <c r="FK78" s="217" t="n"/>
      <c r="FL78" s="217" t="n"/>
      <c r="FM78" s="217" t="n"/>
      <c r="FN78" s="217" t="n"/>
      <c r="FO78" s="217" t="n"/>
      <c r="FP78" s="217" t="n"/>
      <c r="FQ78" s="217" t="n"/>
      <c r="FR78" s="217" t="n"/>
      <c r="FS78" s="217" t="n"/>
      <c r="FT78" s="217" t="n"/>
      <c r="FU78" s="217" t="n"/>
      <c r="FV78" s="217" t="n"/>
      <c r="FW78" s="312" t="n"/>
      <c r="FX78" s="217" t="n"/>
      <c r="FY78" s="312" t="n"/>
      <c r="FZ78" s="217" t="n"/>
      <c r="GA78" s="217" t="n"/>
      <c r="GB78" s="217" t="n"/>
      <c r="GC78" s="217" t="n"/>
      <c r="GD78" s="217" t="n"/>
      <c r="GE78" s="217" t="n"/>
      <c r="GF78" s="217" t="n"/>
      <c r="GG78" s="217" t="n"/>
      <c r="GH78" s="217" t="n"/>
      <c r="GI78" s="217" t="n"/>
      <c r="GJ78" s="217" t="n"/>
      <c r="GK78" s="217" t="n"/>
      <c r="GL78" s="217" t="n"/>
      <c r="GM78" s="217" t="n"/>
      <c r="GN78" s="217" t="n"/>
      <c r="GP78" s="5" t="n"/>
      <c r="GQ78" s="5" t="n"/>
      <c r="GR78" s="5" t="n"/>
      <c r="GS78" s="5" t="n"/>
      <c r="GT78" s="5" t="n"/>
      <c r="GU78" s="5" t="n"/>
      <c r="GV78" s="5" t="n"/>
      <c r="GW78" s="5" t="n"/>
      <c r="GX78" s="5" t="n"/>
      <c r="GY78" s="5" t="n"/>
      <c r="GZ78" s="5" t="n"/>
      <c r="HA78" s="5" t="n"/>
      <c r="HB78" s="5" t="n"/>
      <c r="HC78" s="5" t="n"/>
      <c r="HD78" s="5" t="n"/>
      <c r="HE78" s="5" t="n"/>
      <c r="HF78" s="5" t="n"/>
      <c r="HG78" s="5" t="n"/>
      <c r="HH78" s="5" t="n"/>
      <c r="HI78" s="5" t="n"/>
      <c r="HK78" s="5" t="n"/>
      <c r="HL78" s="5" t="n"/>
      <c r="HM78" s="5" t="n"/>
      <c r="HN78" s="5" t="n"/>
      <c r="HO78" s="5" t="n"/>
      <c r="HP78" s="5" t="n"/>
      <c r="HQ78" s="5" t="n"/>
      <c r="HR78" s="5" t="n"/>
      <c r="HS78" s="5" t="n"/>
      <c r="HT78" s="5" t="n"/>
      <c r="HV78" s="5" t="n"/>
      <c r="HW78" s="5" t="n"/>
      <c r="HX78" s="5" t="n"/>
      <c r="HY78" s="5" t="n"/>
      <c r="HZ78" s="5" t="n"/>
      <c r="IA78" s="5" t="n"/>
      <c r="IB78" s="5" t="n"/>
      <c r="IC78" s="5" t="n"/>
      <c r="ID78" s="5" t="n"/>
      <c r="IE78" s="5" t="n"/>
      <c r="IF78" s="5" t="n"/>
      <c r="IH78" s="5" t="n"/>
      <c r="II78" s="5" t="n"/>
      <c r="IJ78" s="5" t="n"/>
      <c r="IK78" s="5" t="n"/>
      <c r="IL78" s="5" t="n"/>
      <c r="IM78" s="5" t="n"/>
    </row>
    <row r="79">
      <c r="DK79" s="309" t="n"/>
      <c r="FH79" s="47" t="n"/>
    </row>
    <row r="80">
      <c r="A80" s="429" t="inlineStr">
        <is>
          <t>HARRY POTTER/25</t>
        </is>
      </c>
      <c r="B80" s="430" t="inlineStr">
        <is>
          <t>PC</t>
        </is>
      </c>
      <c r="C80" s="430" t="inlineStr">
        <is>
          <t>R$</t>
        </is>
      </c>
      <c r="D80" s="430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  <c r="AA80" s="4" t="n"/>
      <c r="AB80" s="4" t="n"/>
      <c r="AC80" s="4" t="n"/>
      <c r="AD80" s="4" t="n"/>
      <c r="AE80" s="4" t="n"/>
      <c r="AF80" s="4" t="n"/>
      <c r="AG80" s="4" t="n"/>
      <c r="AH80" s="4" t="n"/>
      <c r="AI80" s="4" t="n"/>
      <c r="AJ80" s="4" t="n"/>
      <c r="AK80" s="746" t="n">
        <v>45873</v>
      </c>
      <c r="AL80" s="746" t="n">
        <v>45880</v>
      </c>
      <c r="AM80" s="746" t="n">
        <v>45887</v>
      </c>
      <c r="AN80" s="746" t="n">
        <v>45894</v>
      </c>
      <c r="AO80" s="746" t="n">
        <v>45901</v>
      </c>
      <c r="AP80" s="746" t="n">
        <v>45915</v>
      </c>
      <c r="AQ80" s="746" t="n">
        <v>45922</v>
      </c>
      <c r="AR80" s="746" t="n">
        <v>45929</v>
      </c>
      <c r="AS80" s="746" t="n">
        <v>45936</v>
      </c>
      <c r="AT80" s="746" t="n">
        <v>45943</v>
      </c>
      <c r="AU80" s="746" t="n">
        <v>45950</v>
      </c>
      <c r="AV80" s="746" t="n">
        <v>45957</v>
      </c>
      <c r="AW80" s="746" t="n">
        <v>45964</v>
      </c>
      <c r="AX80" s="746" t="n">
        <v>45971</v>
      </c>
      <c r="AY80" s="746" t="n">
        <v>45978</v>
      </c>
      <c r="AZ80" s="746" t="n">
        <v>45985</v>
      </c>
      <c r="BA80" s="746" t="n">
        <v>45992</v>
      </c>
      <c r="BB80" s="746" t="n">
        <v>45999</v>
      </c>
      <c r="BC80" s="746" t="n">
        <v>46006</v>
      </c>
      <c r="BD80" s="746" t="n">
        <v>46013</v>
      </c>
      <c r="BE80" s="746" t="n">
        <v>46020</v>
      </c>
      <c r="BF80" s="746" t="n">
        <v>46027</v>
      </c>
      <c r="BG80" s="746" t="n">
        <v>46034</v>
      </c>
      <c r="BH80" s="746" t="n">
        <v>46041</v>
      </c>
      <c r="BI80" s="746" t="n">
        <v>46048</v>
      </c>
      <c r="BJ80" s="746" t="n">
        <v>46055</v>
      </c>
      <c r="BK80" s="746" t="n">
        <v>46062</v>
      </c>
      <c r="BL80" s="746" t="n">
        <v>46069</v>
      </c>
      <c r="BM80" s="746" t="n">
        <v>46076</v>
      </c>
      <c r="BN80" s="746" t="n">
        <v>46083</v>
      </c>
      <c r="BO80" s="746" t="n">
        <v>46090</v>
      </c>
      <c r="BP80" s="746" t="n">
        <v>46097</v>
      </c>
      <c r="BQ80" s="746" t="n">
        <v>46104</v>
      </c>
      <c r="BR80" s="746" t="n">
        <v>46111</v>
      </c>
      <c r="BS80" s="746" t="n">
        <v>46118</v>
      </c>
      <c r="BT80" s="746" t="n">
        <v>46125</v>
      </c>
      <c r="BU80" s="746" t="n">
        <v>46132</v>
      </c>
      <c r="BV80" s="746" t="n">
        <v>46139</v>
      </c>
      <c r="BW80" s="746" t="n">
        <v>46146</v>
      </c>
      <c r="BX80" s="746" t="n">
        <v>46154</v>
      </c>
      <c r="BY80" s="758" t="inlineStr">
        <is>
          <t>USOU</t>
        </is>
      </c>
      <c r="DK80" s="309" t="n"/>
      <c r="GA80" s="309" t="n"/>
      <c r="GB80" s="309" t="n"/>
      <c r="GE80" s="309" t="n"/>
      <c r="GR80" s="309" t="n"/>
      <c r="GS80" s="309" t="n"/>
    </row>
    <row r="81" hidden="1">
      <c r="A81" s="37" t="inlineStr">
        <is>
          <t>SACOLA G HP/25</t>
        </is>
      </c>
      <c r="B81" s="699" t="n">
        <v>100</v>
      </c>
      <c r="C81" s="762" t="n">
        <v>316</v>
      </c>
      <c r="D81" s="382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  <c r="AA81" s="4" t="n"/>
      <c r="AB81" s="4" t="n"/>
      <c r="AC81" s="4" t="n"/>
      <c r="AD81" s="4" t="n"/>
      <c r="AE81" s="4" t="n"/>
      <c r="AF81" s="4" t="n"/>
      <c r="AG81" s="4" t="n"/>
      <c r="AH81" s="4" t="n"/>
      <c r="AI81" s="4" t="n"/>
      <c r="AJ81" s="4" t="n"/>
      <c r="AK81" s="697" t="n">
        <v>0</v>
      </c>
      <c r="AL81" s="697" t="n">
        <v>0</v>
      </c>
      <c r="AM81" s="697" t="n">
        <v>0</v>
      </c>
      <c r="AN81" s="697" t="n">
        <v>0</v>
      </c>
      <c r="AO81" s="697">
        <f>0+60</f>
        <v/>
      </c>
      <c r="AP81" s="697" t="n">
        <v>22</v>
      </c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>
        <v>4</v>
      </c>
      <c r="BA81" s="697" t="n">
        <v>4</v>
      </c>
      <c r="BB81" s="697" t="n">
        <v>4</v>
      </c>
      <c r="BC81" s="697" t="n">
        <v>4</v>
      </c>
      <c r="BD81" s="697" t="n">
        <v>4</v>
      </c>
      <c r="BE81" s="697" t="n">
        <v>4</v>
      </c>
      <c r="BF81" s="697" t="n">
        <v>4</v>
      </c>
      <c r="BG81" s="697" t="n">
        <v>4</v>
      </c>
      <c r="BH81" s="697" t="n">
        <v>4</v>
      </c>
      <c r="BI81" s="697" t="n">
        <v>0</v>
      </c>
      <c r="BJ81" s="697" t="n">
        <v>0</v>
      </c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431">
        <f>BW81+IF(NOT(ISBLANK(OFFSET(BY81,0,6))),N(OFFSET(BY81,0,6)),N(OFFSET(BY81,0,7)))-BX81</f>
        <v/>
      </c>
      <c r="DK81" s="309" t="n"/>
      <c r="GA81" s="309" t="n"/>
      <c r="GB81" s="309" t="n"/>
      <c r="GE81" s="309" t="n"/>
      <c r="GR81" s="309" t="n"/>
      <c r="GS81" s="309" t="n"/>
    </row>
    <row r="82" hidden="1">
      <c r="A82" s="37" t="inlineStr">
        <is>
          <t>TAG HP/25</t>
        </is>
      </c>
      <c r="B82" s="699" t="n">
        <v>100</v>
      </c>
      <c r="C82" s="762" t="n">
        <v>41</v>
      </c>
      <c r="D82" s="382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  <c r="AA82" s="4" t="n"/>
      <c r="AB82" s="4" t="n"/>
      <c r="AC82" s="4" t="n"/>
      <c r="AD82" s="4" t="n"/>
      <c r="AE82" s="4" t="n"/>
      <c r="AF82" s="4" t="n"/>
      <c r="AG82" s="4" t="n"/>
      <c r="AH82" s="4" t="n"/>
      <c r="AI82" s="4" t="n"/>
      <c r="AJ82" s="4" t="n"/>
      <c r="AK82" s="697" t="n">
        <v>0</v>
      </c>
      <c r="AL82" s="697" t="n">
        <v>0</v>
      </c>
      <c r="AM82" s="697" t="n">
        <v>0</v>
      </c>
      <c r="AN82" s="697" t="n">
        <v>0</v>
      </c>
      <c r="AO82" s="697">
        <f>0+60</f>
        <v/>
      </c>
      <c r="AP82" s="314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431">
        <f>BW82+IF(NOT(ISBLANK(OFFSET(BY82,0,6))),N(OFFSET(BY82,0,6)),N(OFFSET(BY82,0,7)))-BX82</f>
        <v/>
      </c>
      <c r="DK82" s="309" t="n"/>
      <c r="GA82" s="309" t="n"/>
      <c r="GB82" s="309" t="n"/>
      <c r="GE82" s="309" t="n"/>
      <c r="GR82" s="309" t="n"/>
      <c r="GS82" s="309" t="n"/>
    </row>
    <row r="83">
      <c r="A83" s="37" t="inlineStr">
        <is>
          <t>CARTUCHO P HP/25</t>
        </is>
      </c>
      <c r="B83" s="699" t="n">
        <v>150</v>
      </c>
      <c r="C83" s="762" t="n">
        <v>478.5</v>
      </c>
      <c r="D83" s="382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  <c r="AA83" s="4" t="n"/>
      <c r="AB83" s="4" t="n"/>
      <c r="AC83" s="4" t="n"/>
      <c r="AD83" s="4" t="n"/>
      <c r="AE83" s="4" t="n"/>
      <c r="AF83" s="4" t="n"/>
      <c r="AG83" s="4" t="n"/>
      <c r="AH83" s="4" t="n"/>
      <c r="AI83" s="4" t="n"/>
      <c r="AJ83" s="4" t="n"/>
      <c r="AK83" s="697" t="n">
        <v>0</v>
      </c>
      <c r="AL83" s="697" t="n">
        <v>0</v>
      </c>
      <c r="AM83" s="697" t="n">
        <v>0</v>
      </c>
      <c r="AN83" s="697" t="n">
        <v>0</v>
      </c>
      <c r="AO83" s="697">
        <f>0+75</f>
        <v/>
      </c>
      <c r="AP83" s="697" t="n">
        <v>65</v>
      </c>
      <c r="AQ83" s="697" t="n"/>
      <c r="AR83" s="697" t="n"/>
      <c r="AS83" s="697" t="n"/>
      <c r="AT83" s="697" t="n"/>
      <c r="AU83" s="697" t="n"/>
      <c r="AV83" s="697" t="n"/>
      <c r="AW83" s="697" t="n"/>
      <c r="AX83" s="697" t="n"/>
      <c r="AY83" s="697" t="n"/>
      <c r="AZ83" s="697" t="n">
        <v>23</v>
      </c>
      <c r="BA83" s="697" t="n">
        <v>23</v>
      </c>
      <c r="BB83" s="697" t="n">
        <v>18</v>
      </c>
      <c r="BC83" s="697" t="n">
        <v>18</v>
      </c>
      <c r="BD83" s="697" t="n">
        <v>18</v>
      </c>
      <c r="BE83" s="697" t="n">
        <v>18</v>
      </c>
      <c r="BF83" s="697" t="n">
        <v>18</v>
      </c>
      <c r="BG83" s="697" t="n">
        <v>18</v>
      </c>
      <c r="BH83" s="697" t="n">
        <v>18</v>
      </c>
      <c r="BI83" s="697" t="n">
        <v>34</v>
      </c>
      <c r="BJ83" s="697" t="n">
        <v>34</v>
      </c>
      <c r="BK83" s="697" t="n">
        <v>33</v>
      </c>
      <c r="BL83" s="697" t="n">
        <v>33</v>
      </c>
      <c r="BM83" s="697" t="n">
        <v>33</v>
      </c>
      <c r="BN83" s="697" t="n">
        <v>33</v>
      </c>
      <c r="BO83" s="697" t="n">
        <v>33</v>
      </c>
      <c r="BP83" s="697" t="n">
        <v>33</v>
      </c>
      <c r="BQ83" s="697" t="n">
        <v>32</v>
      </c>
      <c r="BR83" s="697" t="n">
        <v>32</v>
      </c>
      <c r="BS83" s="697" t="n">
        <v>32</v>
      </c>
      <c r="BT83" s="697" t="n">
        <v>32</v>
      </c>
      <c r="BU83" s="697" t="n">
        <v>32</v>
      </c>
      <c r="BV83" s="697" t="n">
        <v>32</v>
      </c>
      <c r="BW83" s="697" t="n">
        <v>32</v>
      </c>
      <c r="BX83" s="697" t="n">
        <v>32</v>
      </c>
      <c r="BY83" s="431">
        <f>BW83+IF(NOT(ISBLANK(OFFSET(BY83,0,6))),N(OFFSET(BY83,0,6)),N(OFFSET(BY83,0,7)))-BX83</f>
        <v/>
      </c>
      <c r="DK83" s="309" t="n"/>
      <c r="GA83" s="309" t="n"/>
      <c r="GB83" s="309" t="n"/>
      <c r="GE83" s="309" t="n"/>
      <c r="GR83" s="309" t="n"/>
      <c r="GS83" s="309" t="n"/>
    </row>
    <row r="84">
      <c r="DK84" s="309" t="n"/>
      <c r="FH84" s="47" t="n"/>
    </row>
    <row r="85">
      <c r="A85" s="454" t="inlineStr">
        <is>
          <t>HOMEM ARANHA/25</t>
        </is>
      </c>
      <c r="B85" s="455" t="inlineStr">
        <is>
          <t>PC</t>
        </is>
      </c>
      <c r="C85" s="455" t="inlineStr">
        <is>
          <t>R$</t>
        </is>
      </c>
      <c r="D85" s="455" t="n"/>
      <c r="AY85" s="746" t="n">
        <v>45978</v>
      </c>
      <c r="AZ85" s="746" t="n">
        <v>45985</v>
      </c>
      <c r="BA85" s="746" t="n">
        <v>45992</v>
      </c>
      <c r="BB85" s="746" t="n">
        <v>45999</v>
      </c>
      <c r="BC85" s="746" t="n">
        <v>46006</v>
      </c>
      <c r="BD85" s="746" t="n">
        <v>46013</v>
      </c>
      <c r="BE85" s="746" t="n">
        <v>46020</v>
      </c>
      <c r="BF85" s="746" t="n">
        <v>46027</v>
      </c>
      <c r="BG85" s="746" t="n">
        <v>46034</v>
      </c>
      <c r="BH85" s="746" t="n">
        <v>46041</v>
      </c>
      <c r="BI85" s="746" t="n">
        <v>46048</v>
      </c>
      <c r="BJ85" s="746" t="n">
        <v>46055</v>
      </c>
      <c r="BK85" s="746" t="n">
        <v>46062</v>
      </c>
      <c r="BL85" s="746" t="n">
        <v>46069</v>
      </c>
      <c r="BM85" s="746" t="n">
        <v>46076</v>
      </c>
      <c r="BN85" s="746" t="n">
        <v>46083</v>
      </c>
      <c r="BO85" s="746" t="n">
        <v>46090</v>
      </c>
      <c r="BP85" s="746" t="n">
        <v>46097</v>
      </c>
      <c r="BQ85" s="746" t="n">
        <v>46104</v>
      </c>
      <c r="BR85" s="746" t="n">
        <v>46111</v>
      </c>
      <c r="BS85" s="746" t="n">
        <v>46118</v>
      </c>
      <c r="BT85" s="746" t="n">
        <v>46125</v>
      </c>
      <c r="BU85" s="746" t="n">
        <v>46132</v>
      </c>
      <c r="BV85" s="746" t="n">
        <v>46139</v>
      </c>
      <c r="BW85" s="746" t="n">
        <v>46146</v>
      </c>
      <c r="BX85" s="746" t="n">
        <v>46154</v>
      </c>
      <c r="BY85" s="758" t="inlineStr">
        <is>
          <t>USOU</t>
        </is>
      </c>
      <c r="DK85" s="309" t="n"/>
      <c r="FH85" s="47" t="n"/>
    </row>
    <row r="86" hidden="1">
      <c r="A86" s="37" t="inlineStr">
        <is>
          <t>SACOLA M</t>
        </is>
      </c>
      <c r="B86" s="699" t="n">
        <v>200</v>
      </c>
      <c r="C86" s="762" t="n">
        <v>479.2</v>
      </c>
      <c r="D86" s="382" t="n"/>
      <c r="AY86" s="697" t="n"/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/>
      <c r="BK86" s="697" t="n"/>
      <c r="BL86" s="697" t="n"/>
      <c r="BM86" s="697" t="n"/>
      <c r="BN86" s="697" t="n"/>
      <c r="BO86" s="697" t="n"/>
      <c r="BP86" s="697" t="n"/>
      <c r="BQ86" s="697" t="n"/>
      <c r="BR86" s="697" t="n"/>
      <c r="BS86" s="697" t="n"/>
      <c r="BT86" s="697" t="n"/>
      <c r="BU86" s="697" t="n"/>
      <c r="BV86" s="697" t="n"/>
      <c r="BW86" s="697" t="n"/>
      <c r="BX86" s="697" t="n"/>
      <c r="BY86" s="431">
        <f>BW86+IF(NOT(ISBLANK(OFFSET(BY86,0,6))),N(OFFSET(BY86,0,6)),N(OFFSET(BY86,0,7)))-BX86</f>
        <v/>
      </c>
      <c r="DK86" s="309" t="n"/>
      <c r="FH86" s="47" t="n"/>
    </row>
    <row r="87" hidden="1">
      <c r="A87" s="37" t="inlineStr">
        <is>
          <t>PAPEL DE SEDA</t>
        </is>
      </c>
      <c r="B87" s="699" t="n">
        <v>200</v>
      </c>
      <c r="C87" s="762" t="n">
        <v>45.47</v>
      </c>
      <c r="D87" s="382" t="n"/>
      <c r="AY87" s="697" t="n"/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/>
      <c r="BK87" s="697" t="n"/>
      <c r="BL87" s="697" t="n"/>
      <c r="BM87" s="697" t="n"/>
      <c r="BN87" s="697" t="n"/>
      <c r="BO87" s="697" t="n"/>
      <c r="BP87" s="697" t="n"/>
      <c r="BQ87" s="697" t="n"/>
      <c r="BR87" s="697" t="n"/>
      <c r="BS87" s="697" t="n"/>
      <c r="BT87" s="697" t="n"/>
      <c r="BU87" s="697" t="n"/>
      <c r="BV87" s="697" t="n"/>
      <c r="BW87" s="697" t="n"/>
      <c r="BX87" s="697" t="n"/>
      <c r="BY87" s="431">
        <f>BW87+IF(NOT(ISBLANK(OFFSET(BY87,0,6))),N(OFFSET(BY87,0,6)),N(OFFSET(BY87,0,7)))-BX87</f>
        <v/>
      </c>
      <c r="DK87" s="309" t="n"/>
      <c r="FH87" s="47" t="n"/>
    </row>
    <row r="88">
      <c r="A88" s="37" t="inlineStr">
        <is>
          <t>CAIXA M</t>
        </is>
      </c>
      <c r="B88" s="699" t="n">
        <v>100</v>
      </c>
      <c r="C88" s="762" t="n">
        <v>1490</v>
      </c>
      <c r="D88" s="382" t="n"/>
      <c r="AY88" s="697" t="n"/>
      <c r="AZ88" s="697" t="n">
        <v>22</v>
      </c>
      <c r="BA88" s="697" t="n">
        <v>22</v>
      </c>
      <c r="BB88" s="697" t="n">
        <v>22</v>
      </c>
      <c r="BC88" s="697" t="n">
        <v>22</v>
      </c>
      <c r="BD88" s="697" t="n">
        <v>22</v>
      </c>
      <c r="BE88" s="697" t="n">
        <v>22</v>
      </c>
      <c r="BF88" s="697" t="n">
        <v>22</v>
      </c>
      <c r="BG88" s="697" t="n">
        <v>22</v>
      </c>
      <c r="BH88" s="697" t="n">
        <v>21</v>
      </c>
      <c r="BI88" s="697" t="n">
        <v>16</v>
      </c>
      <c r="BJ88" s="697" t="n">
        <v>16</v>
      </c>
      <c r="BK88" s="697" t="n">
        <v>16</v>
      </c>
      <c r="BL88" s="697" t="n">
        <v>16</v>
      </c>
      <c r="BM88" s="697" t="n">
        <v>16</v>
      </c>
      <c r="BN88" s="697" t="n">
        <v>16</v>
      </c>
      <c r="BO88" s="697" t="n">
        <v>16</v>
      </c>
      <c r="BP88" s="697" t="n">
        <v>16</v>
      </c>
      <c r="BQ88" s="697" t="n">
        <v>16</v>
      </c>
      <c r="BR88" s="697" t="n">
        <v>16</v>
      </c>
      <c r="BS88" s="697" t="n">
        <v>16</v>
      </c>
      <c r="BT88" s="697" t="n">
        <v>16</v>
      </c>
      <c r="BU88" s="697" t="n">
        <v>16</v>
      </c>
      <c r="BV88" s="697" t="n">
        <v>16</v>
      </c>
      <c r="BW88" s="697" t="n">
        <v>16</v>
      </c>
      <c r="BX88" s="697" t="n">
        <v>15</v>
      </c>
      <c r="BY88" s="431">
        <f>BW88+IF(NOT(ISBLANK(OFFSET(BY88,0,6))),N(OFFSET(BY88,0,6)),N(OFFSET(BY88,0,7)))-BX88</f>
        <v/>
      </c>
      <c r="DK88" s="309" t="n"/>
      <c r="FH88" s="47" t="n"/>
    </row>
    <row r="89">
      <c r="DK89" s="309" t="n"/>
      <c r="FH89" s="47" t="n"/>
    </row>
    <row r="90">
      <c r="A90" s="456" t="inlineStr">
        <is>
          <t>EUDORA NATAL/25</t>
        </is>
      </c>
      <c r="B90" s="457" t="inlineStr">
        <is>
          <t>PC</t>
        </is>
      </c>
      <c r="C90" s="457" t="inlineStr">
        <is>
          <t>R$</t>
        </is>
      </c>
      <c r="D90" s="457" t="n"/>
      <c r="AY90" s="746" t="n">
        <v>45978</v>
      </c>
      <c r="AZ90" s="746" t="n">
        <v>45985</v>
      </c>
      <c r="BA90" s="746" t="n">
        <v>45992</v>
      </c>
      <c r="BB90" s="746" t="n">
        <v>45999</v>
      </c>
      <c r="BC90" s="746" t="n">
        <v>46006</v>
      </c>
      <c r="BD90" s="746" t="n">
        <v>46013</v>
      </c>
      <c r="BE90" s="746" t="n">
        <v>46020</v>
      </c>
      <c r="BF90" s="746" t="n">
        <v>46027</v>
      </c>
      <c r="BG90" s="746" t="n">
        <v>46034</v>
      </c>
      <c r="BH90" s="746" t="n">
        <v>46041</v>
      </c>
      <c r="BI90" s="746" t="n">
        <v>46048</v>
      </c>
      <c r="BJ90" s="746" t="n">
        <v>46055</v>
      </c>
      <c r="BK90" s="746" t="n">
        <v>46062</v>
      </c>
      <c r="BL90" s="746" t="n">
        <v>46069</v>
      </c>
      <c r="BM90" s="746" t="n">
        <v>46076</v>
      </c>
      <c r="BN90" s="746" t="n">
        <v>46083</v>
      </c>
      <c r="BO90" s="746" t="n">
        <v>46090</v>
      </c>
      <c r="BP90" s="746" t="n">
        <v>46097</v>
      </c>
      <c r="BQ90" s="746" t="n">
        <v>46104</v>
      </c>
      <c r="BR90" s="746" t="n">
        <v>46111</v>
      </c>
      <c r="BS90" s="746" t="n">
        <v>46118</v>
      </c>
      <c r="BT90" s="746" t="n">
        <v>46125</v>
      </c>
      <c r="BU90" s="746" t="n">
        <v>46132</v>
      </c>
      <c r="BV90" s="746" t="n">
        <v>46139</v>
      </c>
      <c r="BW90" s="746" t="n">
        <v>46146</v>
      </c>
      <c r="BX90" s="746" t="n">
        <v>46154</v>
      </c>
      <c r="BY90" s="758" t="inlineStr">
        <is>
          <t>USOU</t>
        </is>
      </c>
      <c r="DK90" s="309" t="n"/>
      <c r="FH90" s="47" t="n"/>
    </row>
    <row r="91" hidden="1">
      <c r="A91" s="37" t="inlineStr">
        <is>
          <t xml:space="preserve">SACOLA M </t>
        </is>
      </c>
      <c r="B91" s="699" t="n">
        <v>200</v>
      </c>
      <c r="C91" s="762" t="n">
        <v>336</v>
      </c>
      <c r="D91" s="382" t="n"/>
      <c r="AY91" s="697" t="n"/>
      <c r="AZ91" s="697" t="n">
        <v>402</v>
      </c>
      <c r="BA91" s="697" t="n">
        <v>298</v>
      </c>
      <c r="BB91" s="697" t="n">
        <v>214</v>
      </c>
      <c r="BC91" s="697" t="n">
        <v>87</v>
      </c>
      <c r="BD91" s="697" t="n">
        <v>59</v>
      </c>
      <c r="BE91" s="697" t="n">
        <v>56</v>
      </c>
      <c r="BF91" s="697" t="n">
        <v>56</v>
      </c>
      <c r="BG91" s="697" t="n">
        <v>56</v>
      </c>
      <c r="BH91" s="697" t="n">
        <v>55</v>
      </c>
      <c r="BI91" s="697" t="n">
        <v>0</v>
      </c>
      <c r="BJ91" s="697" t="n">
        <v>0</v>
      </c>
      <c r="BK91" s="697" t="n"/>
      <c r="BL91" s="697" t="n"/>
      <c r="BM91" s="697" t="n"/>
      <c r="BN91" s="697" t="n"/>
      <c r="BO91" s="697" t="n"/>
      <c r="BP91" s="697" t="n"/>
      <c r="BQ91" s="697" t="n"/>
      <c r="BR91" s="697" t="n"/>
      <c r="BS91" s="697" t="n"/>
      <c r="BT91" s="697" t="n"/>
      <c r="BU91" s="697" t="n"/>
      <c r="BV91" s="697" t="n"/>
      <c r="BW91" s="697" t="n"/>
      <c r="BX91" s="697" t="n"/>
      <c r="BY91" s="431">
        <f>BW91+IF(NOT(ISBLANK(OFFSET(BY91,0,6))),N(OFFSET(BY91,0,6)),N(OFFSET(BY91,0,7)))-BX91</f>
        <v/>
      </c>
      <c r="DK91" s="309" t="n"/>
      <c r="FH91" s="47" t="n"/>
    </row>
    <row r="92" hidden="1">
      <c r="A92" s="37" t="inlineStr">
        <is>
          <t>PAPEL DE SEDA</t>
        </is>
      </c>
      <c r="B92" s="699" t="n">
        <v>200</v>
      </c>
      <c r="C92" s="762" t="n">
        <v>54</v>
      </c>
      <c r="D92" s="382" t="n"/>
      <c r="AY92" s="697" t="n"/>
      <c r="AZ92" s="697" t="n">
        <v>497</v>
      </c>
      <c r="BA92" s="697" t="n">
        <v>497</v>
      </c>
      <c r="BB92" s="697" t="n">
        <v>490</v>
      </c>
      <c r="BC92" s="697" t="n">
        <v>470</v>
      </c>
      <c r="BD92" s="697" t="n">
        <v>0</v>
      </c>
      <c r="BE92" s="697" t="n">
        <v>0</v>
      </c>
      <c r="BF92" s="697" t="n">
        <v>0</v>
      </c>
      <c r="BG92" s="697" t="n">
        <v>0</v>
      </c>
      <c r="BH92" s="697" t="n">
        <v>0</v>
      </c>
      <c r="BI92" s="697" t="n">
        <v>0</v>
      </c>
      <c r="BJ92" s="697" t="n">
        <v>0</v>
      </c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431">
        <f>BW92+IF(NOT(ISBLANK(OFFSET(BY92,0,6))),N(OFFSET(BY92,0,6)),N(OFFSET(BY92,0,7)))-BX92</f>
        <v/>
      </c>
      <c r="DK92" s="309" t="n"/>
      <c r="FH92" s="47" t="n"/>
    </row>
    <row r="93" hidden="1">
      <c r="A93" s="37" t="inlineStr">
        <is>
          <t>KIT TAG 10 C/ 20</t>
        </is>
      </c>
      <c r="B93" s="699" t="n">
        <v>200</v>
      </c>
      <c r="C93" s="762" t="n">
        <v>40</v>
      </c>
      <c r="D93" s="382" t="n"/>
      <c r="AY93" s="697" t="n"/>
      <c r="AZ93" s="697" t="n">
        <v>5</v>
      </c>
      <c r="BA93" s="697" t="n">
        <v>0</v>
      </c>
      <c r="BB93" s="697" t="n">
        <v>0</v>
      </c>
      <c r="BC93" s="697" t="n">
        <v>0</v>
      </c>
      <c r="BD93" s="697" t="n">
        <v>0</v>
      </c>
      <c r="BE93" s="697" t="n">
        <v>0</v>
      </c>
      <c r="BF93" s="697" t="n">
        <v>0</v>
      </c>
      <c r="BG93" s="697" t="n">
        <v>0</v>
      </c>
      <c r="BH93" s="697" t="n">
        <v>0</v>
      </c>
      <c r="BI93" s="697" t="n">
        <v>0</v>
      </c>
      <c r="BJ93" s="697" t="n">
        <v>0</v>
      </c>
      <c r="BK93" s="697" t="n"/>
      <c r="BL93" s="697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/>
      <c r="BY93" s="431">
        <f>BW93+IF(NOT(ISBLANK(OFFSET(BY93,0,6))),N(OFFSET(BY93,0,6)),N(OFFSET(BY93,0,7)))-BX93</f>
        <v/>
      </c>
      <c r="DK93" s="309" t="n"/>
      <c r="FH93" s="47" t="n"/>
    </row>
    <row r="94">
      <c r="A94" s="347" t="inlineStr">
        <is>
          <t>CAIXA M</t>
        </is>
      </c>
      <c r="B94" s="32" t="n">
        <v>100</v>
      </c>
      <c r="C94" s="773" t="n">
        <v>904</v>
      </c>
      <c r="D94" s="32" t="n"/>
      <c r="AY94" s="697" t="n"/>
      <c r="AZ94" s="697" t="n">
        <v>42</v>
      </c>
      <c r="BA94" s="697" t="n">
        <v>37</v>
      </c>
      <c r="BB94" s="697" t="n">
        <v>37</v>
      </c>
      <c r="BC94" s="697" t="n">
        <v>36</v>
      </c>
      <c r="BD94" s="697" t="n">
        <v>34</v>
      </c>
      <c r="BE94" s="697" t="n">
        <v>34</v>
      </c>
      <c r="BF94" s="697" t="n">
        <v>34</v>
      </c>
      <c r="BG94" s="697" t="n">
        <v>34</v>
      </c>
      <c r="BH94" s="697" t="n">
        <v>34</v>
      </c>
      <c r="BI94" s="697" t="n">
        <v>33</v>
      </c>
      <c r="BJ94" s="697" t="n">
        <v>33</v>
      </c>
      <c r="BK94" s="697" t="n">
        <v>32</v>
      </c>
      <c r="BL94" s="697" t="n">
        <v>32</v>
      </c>
      <c r="BM94" s="697" t="n">
        <v>32</v>
      </c>
      <c r="BN94" s="697" t="n">
        <v>32</v>
      </c>
      <c r="BO94" s="697" t="n">
        <v>31</v>
      </c>
      <c r="BP94" s="697" t="n">
        <v>31</v>
      </c>
      <c r="BQ94" s="697" t="n">
        <v>31</v>
      </c>
      <c r="BR94" s="697" t="n">
        <v>31</v>
      </c>
      <c r="BS94" s="697" t="n">
        <v>31</v>
      </c>
      <c r="BT94" s="697" t="n">
        <v>31</v>
      </c>
      <c r="BU94" s="697" t="n">
        <v>31</v>
      </c>
      <c r="BV94" s="697" t="n">
        <v>31</v>
      </c>
      <c r="BW94" s="697" t="n">
        <v>31</v>
      </c>
      <c r="BX94" s="697" t="n">
        <v>29</v>
      </c>
      <c r="BY94" s="431">
        <f>BW94+IF(NOT(ISBLANK(OFFSET(BY94,0,6))),N(OFFSET(BY94,0,6)),N(OFFSET(BY94,0,7)))-BX94</f>
        <v/>
      </c>
      <c r="DK94" s="309" t="n"/>
      <c r="FH94" s="47" t="n"/>
    </row>
    <row r="95">
      <c r="A95" s="347" t="inlineStr">
        <is>
          <t>CARTUCHO P</t>
        </is>
      </c>
      <c r="B95" s="32" t="n">
        <v>200</v>
      </c>
      <c r="C95" s="773" t="n">
        <v>464</v>
      </c>
      <c r="D95" s="32" t="n"/>
      <c r="AY95" s="697" t="n"/>
      <c r="AZ95" s="697" t="n">
        <v>184</v>
      </c>
      <c r="BA95" s="697" t="n">
        <v>171</v>
      </c>
      <c r="BB95" s="697" t="n">
        <v>160</v>
      </c>
      <c r="BC95" s="697" t="n">
        <v>151</v>
      </c>
      <c r="BD95" s="697" t="n">
        <v>108</v>
      </c>
      <c r="BE95" s="697" t="n">
        <v>105</v>
      </c>
      <c r="BF95" s="697" t="n">
        <v>105</v>
      </c>
      <c r="BG95" s="697" t="n">
        <v>105</v>
      </c>
      <c r="BH95" s="697" t="n">
        <v>105</v>
      </c>
      <c r="BI95" s="697" t="n">
        <v>87</v>
      </c>
      <c r="BJ95" s="697" t="n">
        <v>87</v>
      </c>
      <c r="BK95" s="697" t="n">
        <v>86</v>
      </c>
      <c r="BL95" s="697" t="n">
        <v>86</v>
      </c>
      <c r="BM95" s="697" t="n">
        <v>86</v>
      </c>
      <c r="BN95" s="697" t="n">
        <v>86</v>
      </c>
      <c r="BO95" s="697" t="n">
        <v>86</v>
      </c>
      <c r="BP95" s="697" t="n">
        <v>86</v>
      </c>
      <c r="BQ95" s="697" t="n">
        <v>86</v>
      </c>
      <c r="BR95" s="697" t="n">
        <v>85</v>
      </c>
      <c r="BS95" s="697" t="n">
        <v>85</v>
      </c>
      <c r="BT95" s="697" t="n">
        <v>85</v>
      </c>
      <c r="BU95" s="697" t="n">
        <v>85</v>
      </c>
      <c r="BV95" s="697" t="n">
        <v>85</v>
      </c>
      <c r="BW95" s="697" t="n">
        <v>85</v>
      </c>
      <c r="BX95" s="697" t="n">
        <v>82</v>
      </c>
      <c r="BY95" s="431">
        <f>BW95+IF(NOT(ISBLANK(OFFSET(BY95,0,6))),N(OFFSET(BY95,0,6)),N(OFFSET(BY95,0,7)))-BX95</f>
        <v/>
      </c>
      <c r="DK95" s="309" t="n"/>
      <c r="FH95" s="47" t="n"/>
    </row>
    <row r="96">
      <c r="DK96" s="309" t="n"/>
      <c r="FH96" s="47" t="n"/>
    </row>
    <row r="97">
      <c r="A97" s="458" t="inlineStr">
        <is>
          <t>BOTICÁRIO NATAL/25</t>
        </is>
      </c>
      <c r="B97" s="411" t="inlineStr">
        <is>
          <t>PC</t>
        </is>
      </c>
      <c r="C97" s="411" t="inlineStr">
        <is>
          <t>R$</t>
        </is>
      </c>
      <c r="D97" s="411" t="n"/>
      <c r="AY97" s="746" t="n">
        <v>45978</v>
      </c>
      <c r="AZ97" s="746" t="n">
        <v>45985</v>
      </c>
      <c r="BA97" s="746" t="n">
        <v>45992</v>
      </c>
      <c r="BB97" s="746" t="n">
        <v>45999</v>
      </c>
      <c r="BC97" s="746" t="n">
        <v>46006</v>
      </c>
      <c r="BD97" s="746" t="n">
        <v>46013</v>
      </c>
      <c r="BE97" s="746" t="n">
        <v>46020</v>
      </c>
      <c r="BF97" s="746" t="n">
        <v>46027</v>
      </c>
      <c r="BG97" s="746" t="n">
        <v>46034</v>
      </c>
      <c r="BH97" s="746" t="n">
        <v>46041</v>
      </c>
      <c r="BI97" s="746" t="n">
        <v>46048</v>
      </c>
      <c r="BJ97" s="746" t="n">
        <v>46055</v>
      </c>
      <c r="BK97" s="746" t="n">
        <v>46062</v>
      </c>
      <c r="BL97" s="746" t="n">
        <v>46069</v>
      </c>
      <c r="BM97" s="746" t="n">
        <v>46076</v>
      </c>
      <c r="BN97" s="746" t="n">
        <v>46083</v>
      </c>
      <c r="BO97" s="746" t="n">
        <v>46090</v>
      </c>
      <c r="BP97" s="746" t="n">
        <v>46097</v>
      </c>
      <c r="BQ97" s="746" t="n">
        <v>46104</v>
      </c>
      <c r="BR97" s="746" t="n">
        <v>46111</v>
      </c>
      <c r="BS97" s="746" t="n">
        <v>46118</v>
      </c>
      <c r="BT97" s="746" t="n">
        <v>46125</v>
      </c>
      <c r="BU97" s="746" t="n">
        <v>46132</v>
      </c>
      <c r="BV97" s="746" t="n">
        <v>46139</v>
      </c>
      <c r="BW97" s="746" t="n">
        <v>46146</v>
      </c>
      <c r="BX97" s="746" t="n">
        <v>46154</v>
      </c>
      <c r="BY97" s="758" t="inlineStr">
        <is>
          <t>USOU</t>
        </is>
      </c>
      <c r="DK97" s="309" t="n"/>
      <c r="FH97" s="47" t="n"/>
    </row>
    <row r="98" hidden="1">
      <c r="A98" s="37" t="inlineStr">
        <is>
          <t>SACOLA P</t>
        </is>
      </c>
      <c r="B98" s="699" t="n">
        <v>200</v>
      </c>
      <c r="C98" s="762" t="n">
        <v>274.2</v>
      </c>
      <c r="D98" s="382" t="n"/>
      <c r="AY98" s="697" t="n"/>
      <c r="AZ98" s="697" t="n">
        <v>374</v>
      </c>
      <c r="BA98" s="697" t="n">
        <v>359</v>
      </c>
      <c r="BB98" s="697" t="n">
        <v>345</v>
      </c>
      <c r="BC98" s="697" t="n">
        <v>328</v>
      </c>
      <c r="BD98" s="697" t="n">
        <v>0</v>
      </c>
      <c r="BE98" s="697" t="n">
        <v>0</v>
      </c>
      <c r="BF98" s="697" t="n">
        <v>0</v>
      </c>
      <c r="BG98" s="697" t="n">
        <v>0</v>
      </c>
      <c r="BH98" s="697" t="n">
        <v>0</v>
      </c>
      <c r="BI98" s="697" t="n">
        <v>0</v>
      </c>
      <c r="BJ98" s="697" t="n">
        <v>0</v>
      </c>
      <c r="BK98" s="697" t="n"/>
      <c r="BL98" s="697" t="n"/>
      <c r="BM98" s="697" t="n"/>
      <c r="BN98" s="697" t="n"/>
      <c r="BO98" s="697" t="n"/>
      <c r="BP98" s="697" t="n"/>
      <c r="BQ98" s="697" t="n"/>
      <c r="BR98" s="697" t="n"/>
      <c r="BS98" s="697" t="n"/>
      <c r="BT98" s="697" t="n"/>
      <c r="BU98" s="697" t="n"/>
      <c r="BV98" s="697" t="n"/>
      <c r="BW98" s="697" t="n"/>
      <c r="BX98" s="697" t="n"/>
      <c r="BY98" s="431">
        <f>BW98+IF(NOT(ISBLANK(OFFSET(BY98,0,6))),N(OFFSET(BY98,0,6)),N(OFFSET(BY98,0,7)))-BX98</f>
        <v/>
      </c>
      <c r="DK98" s="309" t="n"/>
      <c r="FH98" s="47" t="n"/>
    </row>
    <row r="99" hidden="1">
      <c r="A99" s="37" t="inlineStr">
        <is>
          <t>SACOLA M</t>
        </is>
      </c>
      <c r="B99" s="699" t="n">
        <v>200</v>
      </c>
      <c r="C99" s="762" t="n">
        <v>347.8</v>
      </c>
      <c r="D99" s="382" t="n"/>
      <c r="AY99" s="697" t="n"/>
      <c r="AZ99" s="697" t="n">
        <v>148</v>
      </c>
      <c r="BA99" s="697" t="n">
        <v>131</v>
      </c>
      <c r="BB99" s="697" t="n">
        <v>123</v>
      </c>
      <c r="BC99" s="697" t="n">
        <v>107</v>
      </c>
      <c r="BD99" s="697" t="n">
        <v>0</v>
      </c>
      <c r="BE99" s="697" t="n">
        <v>0</v>
      </c>
      <c r="BF99" s="697" t="n">
        <v>0</v>
      </c>
      <c r="BG99" s="697" t="n">
        <v>0</v>
      </c>
      <c r="BH99" s="697" t="n">
        <v>0</v>
      </c>
      <c r="BI99" s="697" t="n">
        <v>0</v>
      </c>
      <c r="BJ99" s="697" t="n">
        <v>0</v>
      </c>
      <c r="BK99" s="697" t="n"/>
      <c r="BL99" s="697" t="n"/>
      <c r="BM99" s="697" t="n"/>
      <c r="BN99" s="697" t="n"/>
      <c r="BO99" s="697" t="n"/>
      <c r="BP99" s="697" t="n"/>
      <c r="BQ99" s="697" t="n"/>
      <c r="BR99" s="697" t="n"/>
      <c r="BS99" s="697" t="n"/>
      <c r="BT99" s="697" t="n"/>
      <c r="BU99" s="697" t="n"/>
      <c r="BV99" s="697" t="n"/>
      <c r="BW99" s="697" t="n"/>
      <c r="BX99" s="697" t="n"/>
      <c r="BY99" s="431">
        <f>BW99+IF(NOT(ISBLANK(OFFSET(BY99,0,6))),N(OFFSET(BY99,0,6)),N(OFFSET(BY99,0,7)))-BX99</f>
        <v/>
      </c>
      <c r="DK99" s="309" t="n"/>
      <c r="FH99" s="47" t="n"/>
    </row>
    <row r="100" hidden="1">
      <c r="A100" s="37" t="inlineStr">
        <is>
          <t>SACOLA G</t>
        </is>
      </c>
      <c r="B100" s="699" t="n">
        <v>100</v>
      </c>
      <c r="C100" s="762" t="n">
        <v>267</v>
      </c>
      <c r="D100" s="382" t="n"/>
      <c r="AY100" s="697" t="n"/>
      <c r="AZ100" s="697" t="n">
        <v>50</v>
      </c>
      <c r="BA100" s="697" t="n">
        <v>47</v>
      </c>
      <c r="BB100" s="697" t="n">
        <v>46</v>
      </c>
      <c r="BC100" s="697" t="n">
        <v>44</v>
      </c>
      <c r="BD100" s="697" t="n">
        <v>0</v>
      </c>
      <c r="BE100" s="697" t="n">
        <v>0</v>
      </c>
      <c r="BF100" s="697" t="n">
        <v>0</v>
      </c>
      <c r="BG100" s="697" t="n">
        <v>0</v>
      </c>
      <c r="BH100" s="697" t="n">
        <v>0</v>
      </c>
      <c r="BI100" s="697" t="n">
        <v>0</v>
      </c>
      <c r="BJ100" s="697" t="n">
        <v>0</v>
      </c>
      <c r="BK100" s="697" t="n"/>
      <c r="BL100" s="697" t="n"/>
      <c r="BM100" s="697" t="n"/>
      <c r="BN100" s="697" t="n"/>
      <c r="BO100" s="697" t="n"/>
      <c r="BP100" s="697" t="n"/>
      <c r="BQ100" s="697" t="n"/>
      <c r="BR100" s="697" t="n"/>
      <c r="BS100" s="697" t="n"/>
      <c r="BT100" s="697" t="n"/>
      <c r="BU100" s="697" t="n"/>
      <c r="BV100" s="697" t="n"/>
      <c r="BW100" s="697" t="n"/>
      <c r="BX100" s="697" t="n"/>
      <c r="BY100" s="431">
        <f>BW100+IF(NOT(ISBLANK(OFFSET(BY100,0,6))),N(OFFSET(BY100,0,6)),N(OFFSET(BY100,0,7)))-BX100</f>
        <v/>
      </c>
      <c r="DK100" s="309" t="n"/>
      <c r="FH100" s="47" t="n"/>
    </row>
    <row r="101" hidden="1">
      <c r="A101" s="347" t="inlineStr">
        <is>
          <t xml:space="preserve">PAPEL DE SEDA </t>
        </is>
      </c>
      <c r="B101" s="32" t="n">
        <v>200</v>
      </c>
      <c r="C101" s="773" t="n">
        <v>44.4</v>
      </c>
      <c r="D101" s="32" t="n"/>
      <c r="AY101" s="697" t="n"/>
      <c r="AZ101" s="697" t="n">
        <v>165</v>
      </c>
      <c r="BA101" s="697" t="n">
        <v>155</v>
      </c>
      <c r="BB101" s="697" t="n">
        <v>154</v>
      </c>
      <c r="BC101" s="697" t="n">
        <v>54</v>
      </c>
      <c r="BD101" s="697" t="n">
        <v>44</v>
      </c>
      <c r="BE101" s="697" t="n">
        <v>44</v>
      </c>
      <c r="BF101" s="697" t="n">
        <v>44</v>
      </c>
      <c r="BG101" s="697" t="n">
        <v>44</v>
      </c>
      <c r="BH101" s="697" t="n">
        <v>44</v>
      </c>
      <c r="BI101" s="697" t="n">
        <v>0</v>
      </c>
      <c r="BJ101" s="697" t="n">
        <v>0</v>
      </c>
      <c r="BK101" s="697" t="n"/>
      <c r="BL101" s="697" t="n"/>
      <c r="BM101" s="697" t="n"/>
      <c r="BN101" s="697" t="n"/>
      <c r="BO101" s="697" t="n"/>
      <c r="BP101" s="697" t="n"/>
      <c r="BQ101" s="697" t="n"/>
      <c r="BR101" s="697" t="n"/>
      <c r="BS101" s="697" t="n"/>
      <c r="BT101" s="697" t="n"/>
      <c r="BU101" s="697" t="n"/>
      <c r="BV101" s="697" t="n"/>
      <c r="BW101" s="697" t="n"/>
      <c r="BX101" s="697" t="n"/>
      <c r="BY101" s="431">
        <f>BW101+IF(NOT(ISBLANK(OFFSET(BY101,0,6))),N(OFFSET(BY101,0,6)),N(OFFSET(BY101,0,7)))-BX101</f>
        <v/>
      </c>
      <c r="DK101" s="309" t="n"/>
      <c r="FH101" s="47" t="n"/>
    </row>
    <row r="102">
      <c r="A102" s="347" t="inlineStr">
        <is>
          <t>CAIXA P</t>
        </is>
      </c>
      <c r="B102" s="32" t="n">
        <v>150</v>
      </c>
      <c r="C102" s="773" t="n">
        <v>805.35</v>
      </c>
      <c r="D102" s="32" t="n"/>
      <c r="AY102" s="697" t="n"/>
      <c r="AZ102" s="697" t="n">
        <v>100</v>
      </c>
      <c r="BA102" s="697" t="n">
        <v>88</v>
      </c>
      <c r="BB102" s="697" t="n">
        <v>82</v>
      </c>
      <c r="BC102" s="697" t="n">
        <v>78</v>
      </c>
      <c r="BD102" s="697" t="n">
        <v>48</v>
      </c>
      <c r="BE102" s="697" t="n">
        <v>43</v>
      </c>
      <c r="BF102" s="697" t="n">
        <v>43</v>
      </c>
      <c r="BG102" s="697" t="n">
        <v>43</v>
      </c>
      <c r="BH102" s="697" t="n">
        <v>43</v>
      </c>
      <c r="BI102" s="697" t="n">
        <v>30</v>
      </c>
      <c r="BJ102" s="697" t="n">
        <v>30</v>
      </c>
      <c r="BK102" s="697" t="n">
        <v>30</v>
      </c>
      <c r="BL102" s="697" t="n">
        <v>30</v>
      </c>
      <c r="BM102" s="697" t="n">
        <v>30</v>
      </c>
      <c r="BN102" s="697" t="n">
        <v>30</v>
      </c>
      <c r="BO102" s="697" t="n">
        <v>30</v>
      </c>
      <c r="BP102" s="697" t="n">
        <v>30</v>
      </c>
      <c r="BQ102" s="697" t="n">
        <v>29</v>
      </c>
      <c r="BR102" s="697" t="n">
        <v>28</v>
      </c>
      <c r="BS102" s="697" t="n">
        <v>28</v>
      </c>
      <c r="BT102" s="697" t="n">
        <v>28</v>
      </c>
      <c r="BU102" s="697" t="n">
        <v>28</v>
      </c>
      <c r="BV102" s="697" t="n">
        <v>28</v>
      </c>
      <c r="BW102" s="697" t="n">
        <v>28</v>
      </c>
      <c r="BX102" s="697" t="n">
        <v>26</v>
      </c>
      <c r="BY102" s="431">
        <f>BW102+IF(NOT(ISBLANK(OFFSET(BY102,0,6))),N(OFFSET(BY102,0,6)),N(OFFSET(BY102,0,7)))-BX102</f>
        <v/>
      </c>
      <c r="DK102" s="309" t="n"/>
      <c r="FH102" s="47" t="n"/>
    </row>
    <row r="103" hidden="1">
      <c r="A103" s="347" t="inlineStr">
        <is>
          <t>CAIXA M</t>
        </is>
      </c>
      <c r="B103" s="32" t="n">
        <v>100</v>
      </c>
      <c r="C103" s="773" t="n">
        <v>792.2</v>
      </c>
      <c r="D103" s="32" t="n"/>
      <c r="AY103" s="697" t="n"/>
      <c r="AZ103" s="697" t="n">
        <v>141</v>
      </c>
      <c r="BA103" s="697" t="n">
        <v>128</v>
      </c>
      <c r="BB103" s="697" t="n">
        <v>73</v>
      </c>
      <c r="BC103" s="697" t="n">
        <v>64</v>
      </c>
      <c r="BD103" s="697" t="n">
        <v>10</v>
      </c>
      <c r="BE103" s="697" t="n">
        <v>10</v>
      </c>
      <c r="BF103" s="697" t="n">
        <v>10</v>
      </c>
      <c r="BG103" s="697" t="n">
        <v>10</v>
      </c>
      <c r="BH103" s="697" t="n">
        <v>10</v>
      </c>
      <c r="BI103" s="697" t="n">
        <v>0</v>
      </c>
      <c r="BJ103" s="697" t="n">
        <v>0</v>
      </c>
      <c r="BK103" s="697" t="n"/>
      <c r="BL103" s="697" t="n"/>
      <c r="BM103" s="697" t="n"/>
      <c r="BN103" s="697" t="n"/>
      <c r="BO103" s="697" t="n"/>
      <c r="BP103" s="697" t="n"/>
      <c r="BQ103" s="697" t="n"/>
      <c r="BR103" s="697" t="n"/>
      <c r="BS103" s="697" t="n"/>
      <c r="BT103" s="697" t="n"/>
      <c r="BU103" s="697" t="n"/>
      <c r="BV103" s="697" t="n"/>
      <c r="BW103" s="697" t="n"/>
      <c r="BX103" s="697" t="n"/>
      <c r="BY103" s="431">
        <f>BW103+IF(NOT(ISBLANK(OFFSET(BY103,0,6))),N(OFFSET(BY103,0,6)),N(OFFSET(BY103,0,7)))-BX103</f>
        <v/>
      </c>
      <c r="DK103" s="309" t="n"/>
      <c r="FH103" s="47" t="n"/>
    </row>
    <row r="104" hidden="1">
      <c r="A104" s="347" t="inlineStr">
        <is>
          <t>CARTUCHO P</t>
        </is>
      </c>
      <c r="B104" s="32" t="n">
        <v>200</v>
      </c>
      <c r="C104" s="773" t="n">
        <v>487.2</v>
      </c>
      <c r="D104" s="32" t="n"/>
      <c r="AY104" s="697" t="n"/>
      <c r="AZ104" s="697" t="n">
        <v>195</v>
      </c>
      <c r="BA104" s="697" t="n">
        <v>189</v>
      </c>
      <c r="BB104" s="697" t="n">
        <v>89</v>
      </c>
      <c r="BC104" s="697" t="n">
        <v>37</v>
      </c>
      <c r="BD104" s="697" t="n">
        <v>0</v>
      </c>
      <c r="BE104" s="697" t="n">
        <v>0</v>
      </c>
      <c r="BF104" s="697" t="n">
        <v>0</v>
      </c>
      <c r="BG104" s="697" t="n">
        <v>0</v>
      </c>
      <c r="BH104" s="697" t="n">
        <v>0</v>
      </c>
      <c r="BI104" s="697" t="n">
        <v>0</v>
      </c>
      <c r="BJ104" s="697" t="n">
        <v>0</v>
      </c>
      <c r="BK104" s="697" t="n"/>
      <c r="BL104" s="697" t="n"/>
      <c r="BM104" s="697" t="n"/>
      <c r="BN104" s="697" t="n"/>
      <c r="BO104" s="697" t="n"/>
      <c r="BP104" s="697" t="n"/>
      <c r="BQ104" s="697" t="n"/>
      <c r="BR104" s="697" t="n"/>
      <c r="BS104" s="697" t="n"/>
      <c r="BT104" s="697" t="n"/>
      <c r="BU104" s="697" t="n"/>
      <c r="BV104" s="697" t="n"/>
      <c r="BW104" s="697" t="n"/>
      <c r="BX104" s="697" t="n"/>
      <c r="BY104" s="431">
        <f>BW104+IF(NOT(ISBLANK(OFFSET(BY104,0,6))),N(OFFSET(BY104,0,6)),N(OFFSET(BY104,0,7)))-BX104</f>
        <v/>
      </c>
      <c r="DK104" s="309" t="n"/>
      <c r="FH104" s="47" t="n"/>
    </row>
    <row r="105" hidden="1">
      <c r="A105" s="347" t="inlineStr">
        <is>
          <t>CARTUCHO M</t>
        </is>
      </c>
      <c r="B105" s="32" t="n">
        <v>150</v>
      </c>
      <c r="C105" s="773" t="n">
        <v>460.35</v>
      </c>
      <c r="D105" s="32" t="n"/>
      <c r="AY105" s="697" t="n"/>
      <c r="AZ105" s="697" t="n">
        <v>135</v>
      </c>
      <c r="BA105" s="697" t="n">
        <v>132</v>
      </c>
      <c r="BB105" s="697" t="n">
        <v>41</v>
      </c>
      <c r="BC105" s="697" t="n">
        <v>18</v>
      </c>
      <c r="BD105" s="697" t="n">
        <v>0</v>
      </c>
      <c r="BE105" s="697" t="n">
        <v>0</v>
      </c>
      <c r="BF105" s="697" t="n">
        <v>0</v>
      </c>
      <c r="BG105" s="697" t="n">
        <v>0</v>
      </c>
      <c r="BH105" s="697" t="n">
        <v>0</v>
      </c>
      <c r="BI105" s="697" t="n">
        <v>0</v>
      </c>
      <c r="BJ105" s="697" t="n">
        <v>0</v>
      </c>
      <c r="BK105" s="697" t="n"/>
      <c r="BL105" s="697" t="n"/>
      <c r="BM105" s="697" t="n"/>
      <c r="BN105" s="697" t="n"/>
      <c r="BO105" s="697" t="n"/>
      <c r="BP105" s="697" t="n"/>
      <c r="BQ105" s="697" t="n"/>
      <c r="BR105" s="697" t="n"/>
      <c r="BS105" s="697" t="n"/>
      <c r="BT105" s="697" t="n"/>
      <c r="BU105" s="697" t="n"/>
      <c r="BV105" s="697" t="n"/>
      <c r="BW105" s="697" t="n"/>
      <c r="BX105" s="697" t="n"/>
      <c r="BY105" s="431">
        <f>BW105+IF(NOT(ISBLANK(OFFSET(BY105,0,6))),N(OFFSET(BY105,0,6)),N(OFFSET(BY105,0,7)))-BX105</f>
        <v/>
      </c>
      <c r="DK105" s="309" t="n"/>
      <c r="FH105" s="47" t="n"/>
    </row>
    <row r="106">
      <c r="DK106" s="309" t="n"/>
      <c r="FH106" s="47" t="n"/>
    </row>
    <row r="107">
      <c r="A107" s="454" t="inlineStr">
        <is>
          <t>ETIQUETAS ZEBRA</t>
        </is>
      </c>
      <c r="B107" s="455" t="inlineStr">
        <is>
          <t>PC</t>
        </is>
      </c>
      <c r="C107" s="455" t="inlineStr">
        <is>
          <t>R$</t>
        </is>
      </c>
      <c r="D107" s="455" t="n"/>
      <c r="BJ107" s="746" t="n">
        <v>46055</v>
      </c>
      <c r="BK107" s="746" t="n">
        <v>46062</v>
      </c>
      <c r="BL107" s="746" t="n">
        <v>46069</v>
      </c>
      <c r="BM107" s="746" t="n">
        <v>46076</v>
      </c>
      <c r="BN107" s="746" t="n">
        <v>46083</v>
      </c>
      <c r="BO107" s="746" t="n">
        <v>46090</v>
      </c>
      <c r="BP107" s="746" t="n">
        <v>46097</v>
      </c>
      <c r="BQ107" s="746" t="n">
        <v>46104</v>
      </c>
      <c r="BR107" s="746" t="n">
        <v>46111</v>
      </c>
      <c r="BS107" s="746" t="n">
        <v>46118</v>
      </c>
      <c r="BT107" s="746" t="n">
        <v>46125</v>
      </c>
      <c r="BU107" s="746" t="n">
        <v>46132</v>
      </c>
      <c r="BV107" s="746" t="n">
        <v>46139</v>
      </c>
      <c r="BW107" s="746" t="n">
        <v>46146</v>
      </c>
      <c r="BX107" s="746" t="n">
        <v>46154</v>
      </c>
      <c r="BY107" s="758" t="inlineStr">
        <is>
          <t>USOU</t>
        </is>
      </c>
      <c r="DK107" s="309" t="n"/>
      <c r="FH107" s="47" t="n"/>
    </row>
    <row r="108">
      <c r="A108" s="37" t="inlineStr">
        <is>
          <t>ETIQUETA BRANCA 100X80</t>
        </is>
      </c>
      <c r="B108" s="699" t="n">
        <v>1</v>
      </c>
      <c r="C108" s="762" t="n">
        <v>25.9</v>
      </c>
      <c r="D108" s="382" t="n"/>
      <c r="BJ108" s="697" t="n">
        <v>0</v>
      </c>
      <c r="BK108" s="697" t="n">
        <v>0</v>
      </c>
      <c r="BL108" s="697" t="n">
        <v>20</v>
      </c>
      <c r="BM108" s="697" t="n">
        <v>20</v>
      </c>
      <c r="BN108" s="697" t="n">
        <v>20</v>
      </c>
      <c r="BO108" s="697" t="n">
        <v>20</v>
      </c>
      <c r="BP108" s="697" t="n">
        <v>12</v>
      </c>
      <c r="BQ108" s="697" t="n">
        <v>20</v>
      </c>
      <c r="BR108" s="697" t="n">
        <v>20</v>
      </c>
      <c r="BS108" s="697" t="n">
        <v>20</v>
      </c>
      <c r="BT108" s="697" t="n">
        <v>20</v>
      </c>
      <c r="BU108" s="697" t="n">
        <v>20</v>
      </c>
      <c r="BV108" s="697" t="n">
        <v>10</v>
      </c>
      <c r="BW108" s="697" t="n">
        <v>10</v>
      </c>
      <c r="BX108" s="697" t="n">
        <v>10</v>
      </c>
      <c r="BY108" s="431">
        <f>BW108+IF(NOT(ISBLANK(OFFSET(BY108,0,6))),N(OFFSET(BY108,0,6)),N(OFFSET(BY108,0,7)))-BX108</f>
        <v/>
      </c>
      <c r="DK108" s="309" t="n"/>
      <c r="FH108" s="47" t="n"/>
    </row>
    <row r="109">
      <c r="A109" s="37" t="inlineStr">
        <is>
          <t>RIBBON DE CERA 110X74</t>
        </is>
      </c>
      <c r="B109" s="699" t="n">
        <v>1</v>
      </c>
      <c r="C109" s="762" t="n">
        <v>7.9</v>
      </c>
      <c r="D109" s="382" t="n"/>
      <c r="BJ109" s="697" t="n">
        <v>0</v>
      </c>
      <c r="BK109" s="697" t="n">
        <v>0</v>
      </c>
      <c r="BL109" s="697" t="n">
        <v>20</v>
      </c>
      <c r="BM109" s="697" t="n">
        <v>20</v>
      </c>
      <c r="BN109" s="697" t="n">
        <v>20</v>
      </c>
      <c r="BO109" s="697" t="n">
        <v>20</v>
      </c>
      <c r="BP109" s="697" t="n">
        <v>20</v>
      </c>
      <c r="BQ109" s="697" t="n">
        <v>20</v>
      </c>
      <c r="BR109" s="697" t="n">
        <v>20</v>
      </c>
      <c r="BS109" s="697" t="n">
        <v>20</v>
      </c>
      <c r="BT109" s="697" t="n">
        <v>20</v>
      </c>
      <c r="BU109" s="697" t="n">
        <v>20</v>
      </c>
      <c r="BV109" s="697" t="n">
        <v>20</v>
      </c>
      <c r="BW109" s="697" t="n">
        <v>20</v>
      </c>
      <c r="BX109" s="697" t="n">
        <v>20</v>
      </c>
      <c r="BY109" s="431">
        <f>BW109+IF(NOT(ISBLANK(OFFSET(BY109,0,6))),N(OFFSET(BY109,0,6)),N(OFFSET(BY109,0,7)))-BX109</f>
        <v/>
      </c>
      <c r="DK109" s="309" t="n"/>
      <c r="FH109" s="47" t="n"/>
    </row>
    <row r="110" ht="19.5" customHeight="1" thickBot="1">
      <c r="DK110" s="309" t="n"/>
      <c r="FH110" s="47" t="n"/>
    </row>
    <row r="111" ht="24" customHeight="1" thickBot="1">
      <c r="A111" s="839" t="n">
        <v>2026</v>
      </c>
      <c r="B111" s="836" t="n"/>
      <c r="C111" s="836" t="n"/>
      <c r="D111" s="836" t="n"/>
      <c r="E111" s="836" t="n"/>
      <c r="F111" s="836" t="n"/>
      <c r="G111" s="836" t="n"/>
      <c r="H111" s="836" t="n"/>
      <c r="I111" s="836" t="n"/>
      <c r="J111" s="836" t="n"/>
      <c r="K111" s="836" t="n"/>
      <c r="L111" s="836" t="n"/>
      <c r="M111" s="836" t="n"/>
      <c r="N111" s="836" t="n"/>
      <c r="O111" s="836" t="n"/>
      <c r="P111" s="836" t="n"/>
      <c r="Q111" s="836" t="n"/>
      <c r="R111" s="836" t="n"/>
      <c r="S111" s="836" t="n"/>
      <c r="T111" s="836" t="n"/>
      <c r="U111" s="836" t="n"/>
      <c r="V111" s="836" t="n"/>
      <c r="W111" s="836" t="n"/>
      <c r="X111" s="836" t="n"/>
      <c r="Y111" s="836" t="n"/>
      <c r="Z111" s="836" t="n"/>
      <c r="AA111" s="836" t="n"/>
      <c r="AB111" s="836" t="n"/>
      <c r="AC111" s="836" t="n"/>
      <c r="AD111" s="836" t="n"/>
      <c r="AE111" s="836" t="n"/>
      <c r="AF111" s="836" t="n"/>
      <c r="AG111" s="836" t="n"/>
      <c r="AH111" s="836" t="n"/>
      <c r="AI111" s="836" t="n"/>
      <c r="AJ111" s="836" t="n"/>
      <c r="AK111" s="836" t="n"/>
      <c r="AL111" s="836" t="n"/>
      <c r="AM111" s="836" t="n"/>
      <c r="AN111" s="836" t="n"/>
      <c r="AO111" s="836" t="n"/>
      <c r="AP111" s="836" t="n"/>
      <c r="AQ111" s="836" t="n"/>
      <c r="AR111" s="836" t="n"/>
      <c r="AS111" s="836" t="n"/>
      <c r="AT111" s="836" t="n"/>
      <c r="AU111" s="836" t="n"/>
      <c r="AV111" s="836" t="n"/>
      <c r="AW111" s="836" t="n"/>
      <c r="AX111" s="836" t="n"/>
      <c r="AY111" s="836" t="n"/>
      <c r="AZ111" s="836" t="n"/>
      <c r="BA111" s="836" t="n"/>
      <c r="BB111" s="836" t="n"/>
      <c r="BC111" s="836" t="n"/>
      <c r="BD111" s="836" t="n"/>
      <c r="BE111" s="836" t="n"/>
      <c r="BF111" s="836" t="n"/>
      <c r="BG111" s="836" t="n"/>
      <c r="BH111" s="836" t="n"/>
      <c r="BI111" s="836" t="n"/>
      <c r="BJ111" s="836" t="n"/>
      <c r="BK111" s="836" t="n"/>
      <c r="BL111" s="836" t="n"/>
      <c r="BM111" s="836" t="n"/>
      <c r="BN111" s="836" t="n"/>
      <c r="BO111" s="836" t="n"/>
      <c r="BP111" s="836" t="n"/>
      <c r="BQ111" s="836" t="n"/>
      <c r="BR111" s="836" t="n"/>
      <c r="BS111" s="836" t="n"/>
      <c r="BT111" s="836" t="n"/>
      <c r="BU111" s="836" t="n"/>
      <c r="BV111" s="836" t="n"/>
      <c r="BW111" s="836" t="n"/>
      <c r="BX111" s="836" t="n"/>
      <c r="BY111" s="836" t="n"/>
      <c r="BZ111" s="840" t="n"/>
      <c r="DK111" s="309" t="n"/>
      <c r="FH111" s="47" t="n"/>
    </row>
    <row r="112">
      <c r="DK112" s="309" t="n"/>
      <c r="FH112" s="47" t="n"/>
    </row>
    <row r="113">
      <c r="A113" s="456" t="inlineStr">
        <is>
          <t>EUDORA MÃES/26</t>
        </is>
      </c>
      <c r="B113" s="457" t="inlineStr">
        <is>
          <t>PC</t>
        </is>
      </c>
      <c r="C113" s="457" t="inlineStr">
        <is>
          <t>R$</t>
        </is>
      </c>
      <c r="D113" s="457" t="n"/>
      <c r="BL113" s="746" t="n">
        <v>46069</v>
      </c>
      <c r="BM113" s="746" t="n">
        <v>46076</v>
      </c>
      <c r="BN113" s="746" t="n">
        <v>46083</v>
      </c>
      <c r="BO113" s="746" t="n">
        <v>46090</v>
      </c>
      <c r="BP113" s="746" t="n">
        <v>46097</v>
      </c>
      <c r="BQ113" s="746" t="n">
        <v>46104</v>
      </c>
      <c r="BR113" s="746" t="n">
        <v>46111</v>
      </c>
      <c r="BS113" s="746" t="n">
        <v>46118</v>
      </c>
      <c r="BT113" s="746" t="n">
        <v>46125</v>
      </c>
      <c r="BU113" s="746" t="n">
        <v>46132</v>
      </c>
      <c r="BV113" s="746" t="n">
        <v>46139</v>
      </c>
      <c r="BW113" s="746" t="n">
        <v>46146</v>
      </c>
      <c r="BX113" s="746" t="n">
        <v>46154</v>
      </c>
      <c r="BY113" s="758" t="inlineStr">
        <is>
          <t>USOU</t>
        </is>
      </c>
      <c r="DK113" s="309" t="n"/>
      <c r="FH113" s="47" t="n"/>
    </row>
    <row r="114">
      <c r="A114" s="37" t="inlineStr">
        <is>
          <t xml:space="preserve">SACOLA M </t>
        </is>
      </c>
      <c r="B114" s="699" t="n">
        <v>150</v>
      </c>
      <c r="C114" s="762" t="n"/>
      <c r="D114" s="382" t="n"/>
      <c r="BL114" s="697" t="n">
        <v>0</v>
      </c>
      <c r="BM114" s="697" t="n">
        <v>0</v>
      </c>
      <c r="BN114" s="697" t="n">
        <v>0</v>
      </c>
      <c r="BO114" s="697">
        <f>CM10</f>
        <v/>
      </c>
      <c r="BP114" s="697" t="n"/>
      <c r="BQ114" s="697" t="n"/>
      <c r="BR114" s="697" t="n"/>
      <c r="BS114" s="697" t="n">
        <v>1500</v>
      </c>
      <c r="BT114" s="697" t="n">
        <v>1500</v>
      </c>
      <c r="BU114" s="697" t="n">
        <v>450</v>
      </c>
      <c r="BV114" s="697" t="n">
        <v>150</v>
      </c>
      <c r="BW114" s="697" t="n">
        <v>0</v>
      </c>
      <c r="BX114" s="697" t="n">
        <v>0</v>
      </c>
      <c r="BY114" s="431">
        <f>BW114+IF(NOT(ISBLANK(OFFSET(BY114,0,6))),N(OFFSET(BY114,0,6)),N(OFFSET(BY114,0,7)))-BX114</f>
        <v/>
      </c>
      <c r="DK114" s="309" t="n"/>
      <c r="FH114" s="47" t="n"/>
    </row>
    <row r="115">
      <c r="A115" s="37" t="inlineStr">
        <is>
          <t>ADESIVO</t>
        </is>
      </c>
      <c r="B115" s="699" t="n">
        <v>1000</v>
      </c>
      <c r="C115" s="762" t="n"/>
      <c r="D115" s="382" t="n"/>
      <c r="BL115" s="697" t="n">
        <v>0</v>
      </c>
      <c r="BM115" s="697" t="n">
        <v>0</v>
      </c>
      <c r="BN115" s="697" t="n">
        <v>0</v>
      </c>
      <c r="BO115" s="697">
        <f>CM17</f>
        <v/>
      </c>
      <c r="BP115" s="697" t="n"/>
      <c r="BQ115" s="697" t="n"/>
      <c r="BR115" s="697" t="n"/>
      <c r="BS115" s="697" t="n">
        <v>0</v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431">
        <f>BW115+IF(NOT(ISBLANK(OFFSET(BY115,0,6))),N(OFFSET(BY115,0,6)),N(OFFSET(BY115,0,7)))-BX115</f>
        <v/>
      </c>
      <c r="DK115" s="309" t="n"/>
      <c r="FH115" s="47" t="n"/>
    </row>
    <row r="116">
      <c r="A116" s="37" t="inlineStr">
        <is>
          <t>PAPEL DE SEDA</t>
        </is>
      </c>
      <c r="B116" s="699" t="n">
        <v>200</v>
      </c>
      <c r="C116" s="762" t="n"/>
      <c r="D116" s="382" t="n"/>
      <c r="BL116" s="697" t="n">
        <v>0</v>
      </c>
      <c r="BM116" s="697" t="n">
        <v>0</v>
      </c>
      <c r="BN116" s="697" t="n">
        <v>0</v>
      </c>
      <c r="BO116" s="697">
        <f>CM16</f>
        <v/>
      </c>
      <c r="BP116" s="697" t="n"/>
      <c r="BQ116" s="697" t="n"/>
      <c r="BR116" s="697" t="n"/>
      <c r="BS116" s="697" t="n">
        <v>0</v>
      </c>
      <c r="BT116" s="697" t="n">
        <v>0</v>
      </c>
      <c r="BU116" s="697" t="n">
        <v>0</v>
      </c>
      <c r="BV116" s="697" t="n">
        <v>0</v>
      </c>
      <c r="BW116" s="697" t="n">
        <v>0</v>
      </c>
      <c r="BX116" s="697" t="n">
        <v>0</v>
      </c>
      <c r="BY116" s="431">
        <f>BW116+IF(NOT(ISBLANK(OFFSET(BY116,0,6))),N(OFFSET(BY116,0,6)),N(OFFSET(BY116,0,7)))-BX116</f>
        <v/>
      </c>
      <c r="DK116" s="309" t="n"/>
      <c r="FH116" s="47" t="n"/>
    </row>
    <row r="117">
      <c r="A117" s="37" t="inlineStr">
        <is>
          <t>SACOLA M VENDA</t>
        </is>
      </c>
      <c r="B117" s="699" t="n">
        <v>150</v>
      </c>
      <c r="C117" s="762" t="n"/>
      <c r="D117" s="382" t="n"/>
      <c r="BL117" s="697" t="n">
        <v>0</v>
      </c>
      <c r="BM117" s="697" t="n">
        <v>0</v>
      </c>
      <c r="BN117" s="697" t="n">
        <v>0</v>
      </c>
      <c r="BO117" s="697">
        <f>CM24</f>
        <v/>
      </c>
      <c r="BP117" s="697" t="n">
        <v>130</v>
      </c>
      <c r="BQ117" s="697" t="n">
        <v>0</v>
      </c>
      <c r="BR117" s="697" t="n">
        <v>0</v>
      </c>
      <c r="BS117" s="697" t="n"/>
      <c r="BT117" s="697" t="n"/>
      <c r="BU117" s="697" t="n"/>
      <c r="BV117" s="697" t="n"/>
      <c r="BW117" s="697" t="n"/>
      <c r="BX117" s="697" t="n">
        <v>0</v>
      </c>
      <c r="BY117" s="431">
        <f>BW117+IF(NOT(ISBLANK(OFFSET(BY117,0,6))),N(OFFSET(BY117,0,6)),N(OFFSET(BY117,0,7)))-BX117</f>
        <v/>
      </c>
      <c r="DK117" s="309" t="n"/>
      <c r="FH117" s="47" t="n"/>
    </row>
    <row r="118">
      <c r="A118" s="37" t="inlineStr">
        <is>
          <t>KIT TAG 10 C/ 20</t>
        </is>
      </c>
      <c r="B118" s="699" t="n">
        <v>200</v>
      </c>
      <c r="C118" s="762" t="n"/>
      <c r="D118" s="382" t="n"/>
      <c r="BL118" s="697" t="n">
        <v>0</v>
      </c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5</v>
      </c>
      <c r="BS118" s="697" t="n"/>
      <c r="BT118" s="697" t="n"/>
      <c r="BU118" s="697" t="n"/>
      <c r="BV118" s="697" t="n"/>
      <c r="BW118" s="697" t="n"/>
      <c r="BX118" s="697" t="n">
        <v>0</v>
      </c>
      <c r="BY118" s="431">
        <f>BW118+IF(NOT(ISBLANK(OFFSET(BY118,0,6))),N(OFFSET(BY118,0,6)),N(OFFSET(BY118,0,7)))-BX118</f>
        <v/>
      </c>
      <c r="DK118" s="309" t="n"/>
      <c r="FH118" s="47" t="n"/>
    </row>
    <row r="119">
      <c r="A119" s="347" t="inlineStr">
        <is>
          <t>CAIXA M</t>
        </is>
      </c>
      <c r="B119" s="32" t="n">
        <v>100</v>
      </c>
      <c r="C119" s="773" t="n"/>
      <c r="D119" s="32" t="n"/>
      <c r="BL119" s="697" t="n">
        <v>0</v>
      </c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50</v>
      </c>
      <c r="BS119" s="697" t="n"/>
      <c r="BT119" s="697" t="n"/>
      <c r="BU119" s="697" t="n"/>
      <c r="BV119" s="697" t="n"/>
      <c r="BW119" s="697" t="n"/>
      <c r="BX119" s="697" t="n">
        <v>50</v>
      </c>
      <c r="BY119" s="431">
        <f>BW119+IF(NOT(ISBLANK(OFFSET(BY119,0,6))),N(OFFSET(BY119,0,6)),N(OFFSET(BY119,0,7)))-BX119</f>
        <v/>
      </c>
      <c r="DK119" s="309" t="n"/>
      <c r="FH119" s="47" t="n"/>
    </row>
    <row r="120">
      <c r="A120" s="347" t="inlineStr">
        <is>
          <t>CARTUCHO P</t>
        </is>
      </c>
      <c r="B120" s="32" t="n">
        <v>200</v>
      </c>
      <c r="C120" s="773" t="n"/>
      <c r="D120" s="32" t="n"/>
      <c r="BL120" s="697" t="n">
        <v>0</v>
      </c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50</v>
      </c>
      <c r="BS120" s="697" t="n"/>
      <c r="BT120" s="697" t="n"/>
      <c r="BU120" s="697" t="n"/>
      <c r="BV120" s="697" t="n"/>
      <c r="BW120" s="697" t="n"/>
      <c r="BX120" s="697" t="n">
        <v>31</v>
      </c>
      <c r="BY120" s="431">
        <f>BW120+IF(NOT(ISBLANK(OFFSET(BY120,0,6))),N(OFFSET(BY120,0,6)),N(OFFSET(BY120,0,7)))-BX120</f>
        <v/>
      </c>
      <c r="DK120" s="309" t="n"/>
      <c r="FH120" s="47" t="n"/>
    </row>
    <row r="121">
      <c r="DK121" s="309" t="n"/>
      <c r="FH121" s="47" t="n"/>
    </row>
    <row r="122">
      <c r="A122" s="458" t="inlineStr">
        <is>
          <t>BOTICÁRIO MÃES/26</t>
        </is>
      </c>
      <c r="B122" s="411" t="inlineStr">
        <is>
          <t>PC</t>
        </is>
      </c>
      <c r="C122" s="411" t="inlineStr">
        <is>
          <t>R$</t>
        </is>
      </c>
      <c r="D122" s="411" t="n"/>
      <c r="BL122" s="746" t="n">
        <v>46069</v>
      </c>
      <c r="BM122" s="746" t="n">
        <v>46076</v>
      </c>
      <c r="BN122" s="746" t="n">
        <v>46083</v>
      </c>
      <c r="BO122" s="746" t="n">
        <v>46090</v>
      </c>
      <c r="BP122" s="746" t="n">
        <v>46097</v>
      </c>
      <c r="BQ122" s="746" t="n">
        <v>46104</v>
      </c>
      <c r="BR122" s="746" t="n">
        <v>46111</v>
      </c>
      <c r="BS122" s="746" t="n">
        <v>46118</v>
      </c>
      <c r="BT122" s="746" t="n">
        <v>46125</v>
      </c>
      <c r="BU122" s="746" t="n">
        <v>46132</v>
      </c>
      <c r="BV122" s="746" t="n">
        <v>46139</v>
      </c>
      <c r="BW122" s="746" t="n">
        <v>46146</v>
      </c>
      <c r="BX122" s="746" t="n">
        <v>46154</v>
      </c>
      <c r="BY122" s="758" t="inlineStr">
        <is>
          <t>USOU</t>
        </is>
      </c>
      <c r="DK122" s="309" t="n"/>
      <c r="FH122" s="47" t="n"/>
    </row>
    <row r="123">
      <c r="A123" s="37" t="inlineStr">
        <is>
          <t>SACOLA P</t>
        </is>
      </c>
      <c r="B123" s="699" t="n">
        <v>200</v>
      </c>
      <c r="C123" s="762" t="n"/>
      <c r="D123" s="382" t="n"/>
      <c r="BL123" s="697" t="n">
        <v>0</v>
      </c>
      <c r="BM123" s="697" t="n">
        <v>0</v>
      </c>
      <c r="BN123" s="697" t="n">
        <v>0</v>
      </c>
      <c r="BO123" s="697" t="n">
        <v>0</v>
      </c>
      <c r="BP123" s="697" t="n">
        <v>0</v>
      </c>
      <c r="BQ123" s="697" t="n">
        <v>0</v>
      </c>
      <c r="BR123" s="697">
        <f>CK9</f>
        <v/>
      </c>
      <c r="BS123" s="697" t="n">
        <v>1600</v>
      </c>
      <c r="BT123" s="697" t="n">
        <v>600</v>
      </c>
      <c r="BU123" s="697" t="n">
        <v>200</v>
      </c>
      <c r="BV123" s="697" t="n">
        <v>200</v>
      </c>
      <c r="BW123" s="697" t="n">
        <v>0</v>
      </c>
      <c r="BX123" s="697" t="n">
        <v>0</v>
      </c>
      <c r="BY123" s="431">
        <f>BW123+IF(NOT(ISBLANK(OFFSET(BY123,0,6))),N(OFFSET(BY123,0,6)),N(OFFSET(BY123,0,7)))-BX123</f>
        <v/>
      </c>
      <c r="DK123" s="309" t="n"/>
      <c r="FH123" s="47" t="n"/>
    </row>
    <row r="124">
      <c r="A124" s="37" t="inlineStr">
        <is>
          <t>SACOLA M</t>
        </is>
      </c>
      <c r="B124" s="699" t="n">
        <v>200</v>
      </c>
      <c r="C124" s="762" t="n"/>
      <c r="D124" s="382" t="n"/>
      <c r="BL124" s="697" t="n">
        <v>0</v>
      </c>
      <c r="BM124" s="697" t="n">
        <v>0</v>
      </c>
      <c r="BN124" s="697" t="n">
        <v>0</v>
      </c>
      <c r="BO124" s="697" t="n">
        <v>0</v>
      </c>
      <c r="BP124" s="697" t="n">
        <v>0</v>
      </c>
      <c r="BQ124" s="697" t="n">
        <v>0</v>
      </c>
      <c r="BR124" s="697">
        <f>CJ10</f>
        <v/>
      </c>
      <c r="BS124" s="697" t="n">
        <v>2200</v>
      </c>
      <c r="BT124" s="697" t="n">
        <v>1200</v>
      </c>
      <c r="BU124" s="697" t="n">
        <v>800</v>
      </c>
      <c r="BV124" s="697" t="n">
        <v>600</v>
      </c>
      <c r="BW124" s="697" t="n">
        <v>0</v>
      </c>
      <c r="BX124" s="697" t="n">
        <v>0</v>
      </c>
      <c r="BY124" s="431">
        <f>BW124+IF(NOT(ISBLANK(OFFSET(BY124,0,6))),N(OFFSET(BY124,0,6)),N(OFFSET(BY124,0,7)))-BX124</f>
        <v/>
      </c>
      <c r="DK124" s="309" t="n"/>
      <c r="FH124" s="47" t="n"/>
    </row>
    <row r="125">
      <c r="A125" s="37" t="inlineStr">
        <is>
          <t>SACOLA G</t>
        </is>
      </c>
      <c r="B125" s="699" t="n">
        <v>100</v>
      </c>
      <c r="C125" s="762" t="n"/>
      <c r="D125" s="382" t="n"/>
      <c r="BL125" s="697" t="n">
        <v>0</v>
      </c>
      <c r="BM125" s="697" t="n">
        <v>0</v>
      </c>
      <c r="BN125" s="697" t="n">
        <v>0</v>
      </c>
      <c r="BO125" s="697" t="n">
        <v>0</v>
      </c>
      <c r="BP125" s="697" t="n">
        <v>0</v>
      </c>
      <c r="BQ125" s="697" t="n">
        <v>0</v>
      </c>
      <c r="BR125" s="697">
        <f>CJ11</f>
        <v/>
      </c>
      <c r="BS125" s="697" t="n">
        <v>100</v>
      </c>
      <c r="BT125" s="697" t="n">
        <v>0</v>
      </c>
      <c r="BU125" s="697" t="n">
        <v>400</v>
      </c>
      <c r="BV125" s="697" t="n">
        <v>300</v>
      </c>
      <c r="BW125" s="697" t="n">
        <v>300</v>
      </c>
      <c r="BX125" s="697" t="n">
        <v>300</v>
      </c>
      <c r="BY125" s="431">
        <f>BW125+IF(NOT(ISBLANK(OFFSET(BY125,0,6))),N(OFFSET(BY125,0,6)),N(OFFSET(BY125,0,7)))-BX125</f>
        <v/>
      </c>
      <c r="DK125" s="309" t="n"/>
      <c r="FH125" s="47" t="n"/>
    </row>
    <row r="126">
      <c r="A126" s="37" t="inlineStr">
        <is>
          <t>SACOLA P VENDA</t>
        </is>
      </c>
      <c r="B126" s="699" t="n">
        <v>200</v>
      </c>
      <c r="C126" s="762" t="n"/>
      <c r="D126" s="382" t="n"/>
      <c r="BL126" s="697" t="n">
        <v>0</v>
      </c>
      <c r="BM126" s="697" t="n">
        <v>0</v>
      </c>
      <c r="BN126" s="697" t="n">
        <v>0</v>
      </c>
      <c r="BO126" s="697" t="n">
        <v>0</v>
      </c>
      <c r="BP126" s="697" t="n">
        <v>0</v>
      </c>
      <c r="BQ126" s="697" t="n">
        <v>0</v>
      </c>
      <c r="BR126" s="697">
        <f>CJ22</f>
        <v/>
      </c>
      <c r="BS126" s="697" t="n"/>
      <c r="BT126" s="697" t="n"/>
      <c r="BU126" s="697" t="n"/>
      <c r="BV126" s="697" t="n"/>
      <c r="BW126" s="697" t="n"/>
      <c r="BX126" s="697" t="n">
        <v>127</v>
      </c>
      <c r="BY126" s="431">
        <f>BW126+IF(NOT(ISBLANK(OFFSET(BY126,0,6))),N(OFFSET(BY126,0,6)),N(OFFSET(BY126,0,7)))-BX126</f>
        <v/>
      </c>
      <c r="DK126" s="309" t="n"/>
      <c r="FH126" s="47" t="n"/>
    </row>
    <row r="127">
      <c r="A127" s="37" t="inlineStr">
        <is>
          <t>SACOLA M VENDA</t>
        </is>
      </c>
      <c r="B127" s="699" t="n">
        <v>200</v>
      </c>
      <c r="C127" s="762" t="n"/>
      <c r="D127" s="382" t="n"/>
      <c r="BL127" s="697" t="n">
        <v>0</v>
      </c>
      <c r="BM127" s="697" t="n">
        <v>0</v>
      </c>
      <c r="BN127" s="697" t="n">
        <v>0</v>
      </c>
      <c r="BO127" s="697" t="n">
        <v>0</v>
      </c>
      <c r="BP127" s="697" t="n">
        <v>0</v>
      </c>
      <c r="BQ127" s="697" t="n">
        <v>0</v>
      </c>
      <c r="BR127" s="697" t="n">
        <v>0</v>
      </c>
      <c r="BS127" s="697" t="n"/>
      <c r="BT127" s="697" t="n"/>
      <c r="BU127" s="697" t="n"/>
      <c r="BV127" s="697" t="n"/>
      <c r="BW127" s="697" t="n"/>
      <c r="BX127" s="697" t="n">
        <v>21</v>
      </c>
      <c r="BY127" s="431">
        <f>BW127+IF(NOT(ISBLANK(OFFSET(BY127,0,6))),N(OFFSET(BY127,0,6)),N(OFFSET(BY127,0,7)))-BX127</f>
        <v/>
      </c>
      <c r="DK127" s="309" t="n"/>
      <c r="FH127" s="47" t="n"/>
    </row>
    <row r="128">
      <c r="A128" s="347" t="inlineStr">
        <is>
          <t>KIT PAPEL DE SEDA 10 C/ 20</t>
        </is>
      </c>
      <c r="B128" s="32" t="n">
        <v>200</v>
      </c>
      <c r="C128" s="773" t="n"/>
      <c r="D128" s="32" t="n"/>
      <c r="BL128" s="697" t="n">
        <v>0</v>
      </c>
      <c r="BM128" s="697" t="n">
        <v>0</v>
      </c>
      <c r="BN128" s="697" t="n">
        <v>0</v>
      </c>
      <c r="BO128" s="697" t="n">
        <v>0</v>
      </c>
      <c r="BP128" s="697" t="n">
        <v>0</v>
      </c>
      <c r="BQ128" s="697" t="n">
        <v>0</v>
      </c>
      <c r="BR128" s="697">
        <f>CJ27</f>
        <v/>
      </c>
      <c r="BS128" s="697" t="n"/>
      <c r="BT128" s="697" t="n"/>
      <c r="BU128" s="697" t="n"/>
      <c r="BV128" s="697" t="n"/>
      <c r="BW128" s="697" t="n"/>
      <c r="BX128" s="697" t="n">
        <v>0</v>
      </c>
      <c r="BY128" s="431">
        <f>BW128+IF(NOT(ISBLANK(OFFSET(BY128,0,6))),N(OFFSET(BY128,0,6)),N(OFFSET(BY128,0,7)))-BX128</f>
        <v/>
      </c>
      <c r="DK128" s="309" t="n"/>
      <c r="FH128" s="47" t="n"/>
    </row>
    <row r="129">
      <c r="A129" s="347" t="inlineStr">
        <is>
          <t>CAIXA P</t>
        </is>
      </c>
      <c r="B129" s="32" t="n">
        <v>150</v>
      </c>
      <c r="C129" s="773" t="n"/>
      <c r="D129" s="32" t="n"/>
      <c r="BL129" s="697" t="n">
        <v>0</v>
      </c>
      <c r="BM129" s="697" t="n">
        <v>0</v>
      </c>
      <c r="BN129" s="697" t="n">
        <v>0</v>
      </c>
      <c r="BO129" s="697" t="n">
        <v>0</v>
      </c>
      <c r="BP129" s="697" t="n">
        <v>0</v>
      </c>
      <c r="BQ129" s="697" t="n">
        <v>0</v>
      </c>
      <c r="BR129" s="697" t="n">
        <v>0</v>
      </c>
      <c r="BS129" s="697" t="n"/>
      <c r="BT129" s="697" t="n"/>
      <c r="BU129" s="697" t="n"/>
      <c r="BV129" s="697" t="n"/>
      <c r="BW129" s="697" t="n"/>
      <c r="BX129" s="697" t="n">
        <v>63</v>
      </c>
      <c r="BY129" s="431">
        <f>BW129+IF(NOT(ISBLANK(OFFSET(BY129,0,6))),N(OFFSET(BY129,0,6)),N(OFFSET(BY129,0,7)))-BX129</f>
        <v/>
      </c>
      <c r="DK129" s="309" t="n"/>
      <c r="FH129" s="47" t="n"/>
    </row>
    <row r="130">
      <c r="A130" s="347" t="inlineStr">
        <is>
          <t>CAIXA M</t>
        </is>
      </c>
      <c r="B130" s="32" t="n">
        <v>100</v>
      </c>
      <c r="C130" s="773" t="n"/>
      <c r="D130" s="32" t="n"/>
      <c r="BL130" s="697" t="n">
        <v>0</v>
      </c>
      <c r="BM130" s="697" t="n">
        <v>0</v>
      </c>
      <c r="BN130" s="697" t="n">
        <v>0</v>
      </c>
      <c r="BO130" s="697" t="n">
        <v>0</v>
      </c>
      <c r="BP130" s="697" t="n">
        <v>0</v>
      </c>
      <c r="BQ130" s="697" t="n">
        <v>0</v>
      </c>
      <c r="BR130" s="697" t="n">
        <v>0</v>
      </c>
      <c r="BS130" s="697" t="n"/>
      <c r="BT130" s="697" t="n"/>
      <c r="BU130" s="697" t="n"/>
      <c r="BV130" s="697" t="n"/>
      <c r="BW130" s="697" t="n"/>
      <c r="BX130" s="697" t="n">
        <v>1</v>
      </c>
      <c r="BY130" s="431">
        <f>BW130+IF(NOT(ISBLANK(OFFSET(BY130,0,6))),N(OFFSET(BY130,0,6)),N(OFFSET(BY130,0,7)))-BX130</f>
        <v/>
      </c>
      <c r="DK130" s="309" t="n"/>
      <c r="FH130" s="47" t="n"/>
    </row>
    <row r="131">
      <c r="A131" s="347" t="inlineStr">
        <is>
          <t>CARTUCHO M</t>
        </is>
      </c>
      <c r="B131" s="32" t="n">
        <v>150</v>
      </c>
      <c r="C131" s="773" t="n"/>
      <c r="D131" s="32" t="n"/>
      <c r="BL131" s="697" t="n">
        <v>0</v>
      </c>
      <c r="BM131" s="697" t="n">
        <v>0</v>
      </c>
      <c r="BN131" s="697" t="n">
        <v>0</v>
      </c>
      <c r="BO131" s="697" t="n">
        <v>0</v>
      </c>
      <c r="BP131" s="697" t="n">
        <v>0</v>
      </c>
      <c r="BQ131" s="697" t="n">
        <v>0</v>
      </c>
      <c r="BR131" s="697" t="n">
        <v>0</v>
      </c>
      <c r="BS131" s="697" t="n"/>
      <c r="BT131" s="697" t="n"/>
      <c r="BU131" s="697" t="n"/>
      <c r="BV131" s="697" t="n"/>
      <c r="BW131" s="697" t="n"/>
      <c r="BX131" s="697" t="n">
        <v>0</v>
      </c>
      <c r="BY131" s="431">
        <f>BW131+IF(NOT(ISBLANK(OFFSET(BY131,0,6))),N(OFFSET(BY131,0,6)),N(OFFSET(BY131,0,7)))-BX131</f>
        <v/>
      </c>
      <c r="DK131" s="309" t="n"/>
      <c r="FH131" s="47" t="n"/>
    </row>
    <row r="132">
      <c r="DK132" s="309" t="n"/>
      <c r="FH132" s="47" t="n"/>
    </row>
    <row r="133">
      <c r="DK133" s="309" t="n"/>
      <c r="FH133" s="47" t="n"/>
    </row>
    <row r="134" ht="21" customHeight="1">
      <c r="A134" s="838" t="inlineStr">
        <is>
          <t>SOBRAS DATAS COMEMORATIVAS</t>
        </is>
      </c>
      <c r="B134" s="731" t="n"/>
      <c r="C134" s="775" t="n"/>
      <c r="HU134" s="29" t="n"/>
      <c r="IG134" s="29" t="n"/>
      <c r="IN134" s="29" t="n"/>
      <c r="IO134" s="29" t="n"/>
      <c r="IP134" s="29" t="n"/>
      <c r="IQ134" s="29" t="n"/>
      <c r="IR134" s="29" t="n"/>
      <c r="IS134" s="29" t="n"/>
      <c r="IT134" s="29" t="n"/>
      <c r="IV134" s="29" t="n"/>
      <c r="IX134" s="29" t="n"/>
      <c r="IY134" s="29" t="n"/>
      <c r="IZ134" s="29" t="n"/>
      <c r="JA134" s="29" t="n"/>
      <c r="JB134" s="29" t="n"/>
      <c r="JC134" s="29" t="n"/>
      <c r="JD134" s="29" t="n"/>
      <c r="JE134" s="29" t="n"/>
      <c r="JF134" s="29" t="n"/>
      <c r="JG134" s="29" t="n"/>
      <c r="JH134" s="29" t="n"/>
      <c r="JI134" s="29" t="n"/>
      <c r="JJ134" s="29" t="n"/>
      <c r="JK134" s="29" t="n"/>
      <c r="JL134" s="29" t="n"/>
      <c r="JM134" s="29" t="n"/>
      <c r="JN134" s="29" t="n"/>
      <c r="JO134" s="29" t="n"/>
      <c r="JP134" s="29" t="n"/>
      <c r="JQ134" s="29" t="n"/>
      <c r="JR134" s="29" t="n"/>
      <c r="JS134" s="29" t="n"/>
      <c r="JT134" s="29" t="n"/>
      <c r="JU134" s="29" t="n"/>
      <c r="JV134" s="29" t="n"/>
      <c r="JW134" s="29" t="n"/>
      <c r="JX134" s="29" t="n"/>
      <c r="JY134" s="29" t="n"/>
      <c r="JZ134" s="29" t="n"/>
      <c r="KA134" s="29" t="n"/>
      <c r="KB134" s="29" t="n"/>
      <c r="KC134" s="29" t="n"/>
      <c r="KD134" s="29" t="n"/>
      <c r="KE134" s="29" t="n"/>
      <c r="KF134" s="29" t="n"/>
      <c r="KG134" s="29" t="n"/>
      <c r="KH134" s="29" t="n"/>
      <c r="KI134" s="29" t="n"/>
      <c r="KJ134" s="29" t="n"/>
      <c r="KK134" s="29" t="n"/>
      <c r="KL134" s="29" t="n"/>
      <c r="KM134" s="29" t="n"/>
      <c r="KN134" s="29" t="n"/>
      <c r="KO134" s="29" t="n"/>
      <c r="KP134" s="29" t="n"/>
      <c r="KQ134" s="29" t="n"/>
      <c r="KR134" s="29" t="n"/>
      <c r="KS134" s="29" t="n"/>
      <c r="KT134" s="29" t="n"/>
      <c r="KU134" s="29" t="n"/>
      <c r="KV134" s="29" t="n"/>
      <c r="KW134" s="29" t="n"/>
      <c r="KX134" s="29" t="n"/>
      <c r="KY134" s="29" t="n"/>
      <c r="KZ134" s="29" t="n"/>
      <c r="LA134" s="29" t="n"/>
      <c r="LB134" s="29" t="n"/>
      <c r="LC134" s="29" t="n"/>
      <c r="LD134" s="29" t="n"/>
      <c r="LE134" s="29" t="n"/>
      <c r="LF134" s="29" t="n"/>
      <c r="LG134" s="29" t="n"/>
      <c r="LH134" s="29" t="n"/>
      <c r="LI134" s="29" t="n"/>
      <c r="LJ134" s="29" t="n"/>
      <c r="LK134" s="29" t="n"/>
      <c r="LL134" s="29" t="n"/>
      <c r="LM134" s="29" t="n"/>
      <c r="LN134" s="29" t="n"/>
      <c r="LO134" s="29" t="n"/>
      <c r="LP134" s="29" t="n"/>
      <c r="LQ134" s="29" t="n"/>
      <c r="LR134" s="29" t="n"/>
      <c r="LS134" s="29" t="n"/>
      <c r="LT134" s="29" t="n"/>
      <c r="LU134" s="29" t="n"/>
      <c r="LV134" s="29" t="n"/>
      <c r="LW134" s="29" t="n"/>
      <c r="LX134" s="29" t="n"/>
      <c r="LY134" s="29" t="n"/>
      <c r="LZ134" s="29" t="n"/>
      <c r="MA134" s="29" t="n"/>
      <c r="MB134" s="29" t="n"/>
      <c r="MC134" s="29" t="n"/>
      <c r="MD134" s="29" t="n"/>
      <c r="ME134" s="29" t="n"/>
      <c r="MF134" s="29" t="n"/>
      <c r="MG134" s="29" t="n"/>
      <c r="MH134" s="29" t="n"/>
      <c r="MI134" s="29" t="n"/>
      <c r="MJ134" s="29" t="n"/>
      <c r="MK134" s="29" t="n"/>
      <c r="ML134" s="29" t="n"/>
      <c r="MM134" s="29" t="n"/>
      <c r="MN134" s="29" t="n"/>
      <c r="MO134" s="29" t="n"/>
      <c r="MP134" s="29" t="n"/>
      <c r="MQ134" s="29" t="n"/>
      <c r="MR134" s="29" t="n"/>
      <c r="MS134" s="29" t="n"/>
      <c r="MT134" s="29" t="n"/>
      <c r="MU134" s="29" t="n"/>
      <c r="MV134" s="29" t="n"/>
      <c r="MW134" s="29" t="n"/>
      <c r="MX134" s="29" t="n"/>
      <c r="MY134" s="29" t="n"/>
      <c r="MZ134" s="29" t="n"/>
      <c r="NA134" s="29" t="n"/>
      <c r="NB134" s="29" t="n"/>
      <c r="NC134" s="29" t="n"/>
      <c r="ND134" s="29" t="n"/>
      <c r="NE134" s="29" t="n"/>
    </row>
    <row r="135" ht="37.5" customHeight="1">
      <c r="A135" s="165" t="inlineStr">
        <is>
          <t>ITENS</t>
        </is>
      </c>
      <c r="B135" s="165" t="n"/>
      <c r="C135" s="165" t="inlineStr">
        <is>
          <t>TEMOS EM ESTOQUE</t>
        </is>
      </c>
    </row>
    <row r="136">
      <c r="A136" s="190" t="n"/>
      <c r="B136" s="32" t="n"/>
      <c r="C136" s="32" t="n"/>
      <c r="CA136" s="5" t="n"/>
      <c r="CB136" s="5" t="n"/>
      <c r="CD136" s="5" t="n"/>
      <c r="CF136" s="5" t="n"/>
      <c r="CG136" s="5" t="n"/>
      <c r="CH136" s="5" t="n"/>
      <c r="CI136" s="5" t="n"/>
      <c r="CJ136" s="5" t="n"/>
      <c r="CK136" s="5" t="n"/>
      <c r="CL136" s="5" t="n"/>
      <c r="CM136" s="5" t="n"/>
      <c r="CN136" s="5" t="n"/>
      <c r="CO136" s="5" t="n"/>
      <c r="CP136" s="5" t="n"/>
      <c r="CQ136" s="5" t="n"/>
      <c r="CR136" s="5" t="n"/>
      <c r="CS136" s="5" t="n"/>
      <c r="CT136" s="5" t="n"/>
      <c r="CU136" s="5" t="n"/>
      <c r="CV136" s="5" t="n"/>
      <c r="CW136" s="5" t="n"/>
      <c r="CX136" s="5" t="n"/>
      <c r="CY136" s="5" t="n"/>
      <c r="CZ136" s="5" t="n"/>
      <c r="DA136" s="5" t="n"/>
      <c r="DB136" s="5" t="n"/>
      <c r="DC136" s="5" t="n"/>
      <c r="DD136" s="5" t="n"/>
      <c r="DE136" s="5" t="n"/>
      <c r="DF136" s="5" t="n"/>
      <c r="DG136" s="5" t="n"/>
      <c r="DH136" s="5" t="n"/>
      <c r="DI136" s="5" t="n"/>
      <c r="DJ136" s="5" t="n"/>
      <c r="DK136" s="306" t="n"/>
      <c r="DL136" s="5" t="n"/>
      <c r="DM136" s="5" t="n"/>
      <c r="DN136" s="5" t="n"/>
      <c r="DO136" s="5" t="n"/>
      <c r="DP136" s="5" t="n"/>
      <c r="DQ136" s="5" t="n"/>
      <c r="DR136" s="5" t="n"/>
      <c r="DS136" s="5" t="n"/>
      <c r="DT136" s="5" t="n"/>
      <c r="DU136" s="5" t="n"/>
      <c r="DV136" s="5" t="n"/>
      <c r="DW136" s="5" t="n"/>
      <c r="DX136" s="5" t="n"/>
      <c r="DY136" s="5" t="n"/>
      <c r="DZ136" s="5" t="n"/>
      <c r="EA136" s="5" t="n"/>
      <c r="EB136" s="5" t="n"/>
      <c r="EC136" s="5" t="n"/>
      <c r="ED136" s="5" t="n"/>
      <c r="EE136" s="5" t="n"/>
      <c r="EF136" s="5" t="n"/>
      <c r="EG136" s="5" t="n"/>
      <c r="EH136" s="5" t="n"/>
      <c r="EI136" s="5" t="n"/>
      <c r="EJ136" s="5" t="n"/>
      <c r="EK136" s="5" t="n"/>
      <c r="EL136" s="5" t="n"/>
      <c r="EM136" s="5" t="n"/>
      <c r="EN136" s="5" t="n"/>
      <c r="EO136" s="5" t="n"/>
      <c r="EP136" s="5" t="n"/>
      <c r="EQ136" s="5" t="n"/>
      <c r="ER136" s="5" t="n"/>
      <c r="ES136" s="5" t="n"/>
      <c r="ET136" s="5" t="n"/>
      <c r="EU136" s="5" t="n"/>
      <c r="EV136" s="5" t="n"/>
      <c r="EW136" s="5" t="n"/>
      <c r="EX136" s="5" t="n"/>
      <c r="EY136" s="5" t="n"/>
      <c r="EZ136" s="5" t="n"/>
      <c r="FA136" s="5" t="n"/>
      <c r="FB136" s="5" t="n"/>
      <c r="FC136" s="5" t="n"/>
      <c r="FD136" s="5" t="n"/>
      <c r="FE136" s="5" t="n"/>
      <c r="FF136" s="5" t="n"/>
      <c r="FG136" s="5" t="n"/>
      <c r="FH136" s="47" t="n"/>
      <c r="FI136" s="5" t="n"/>
      <c r="FJ136" s="5" t="n"/>
      <c r="FK136" s="5" t="n"/>
      <c r="FL136" s="5" t="n"/>
      <c r="FM136" s="5" t="n"/>
      <c r="FN136" s="5" t="n"/>
      <c r="FO136" s="5" t="n"/>
      <c r="FP136" s="5" t="n"/>
      <c r="FQ136" s="5" t="n"/>
      <c r="FR136" s="5" t="n"/>
      <c r="FS136" s="5" t="n"/>
      <c r="FT136" s="5" t="n"/>
      <c r="FU136" s="5" t="n"/>
      <c r="FV136" s="5" t="n"/>
      <c r="FX136" s="5" t="n"/>
      <c r="FZ136" s="5" t="n"/>
      <c r="GA136" s="5" t="n"/>
      <c r="GB136" s="5" t="n"/>
      <c r="GC136" s="5" t="n"/>
      <c r="GD136" s="5" t="n"/>
      <c r="GE136" s="5" t="n"/>
      <c r="GF136" s="5" t="n"/>
      <c r="GG136" s="5" t="n"/>
      <c r="GH136" s="5" t="n"/>
      <c r="GI136" s="5" t="n"/>
      <c r="GJ136" s="5" t="n"/>
      <c r="GK136" s="5" t="n"/>
      <c r="GL136" s="5" t="n"/>
      <c r="GM136" s="5" t="n"/>
      <c r="GN136" s="5" t="n"/>
    </row>
    <row r="137">
      <c r="A137" s="843" t="n"/>
      <c r="B137" s="731" t="n"/>
      <c r="C137" s="775" t="n"/>
      <c r="FH137" s="47" t="n"/>
    </row>
    <row r="138">
      <c r="A138" s="223" t="n"/>
      <c r="B138" s="32" t="n"/>
      <c r="C138" s="32" t="n"/>
    </row>
  </sheetData>
  <mergeCells count="103">
    <mergeCell ref="HX21:HX22"/>
    <mergeCell ref="A111:BZ111"/>
    <mergeCell ref="HP21:HP22"/>
    <mergeCell ref="GQ5:GQ6"/>
    <mergeCell ref="GS5:GS6"/>
    <mergeCell ref="A1:E1"/>
    <mergeCell ref="IB7:IB9"/>
    <mergeCell ref="HT31:HT32"/>
    <mergeCell ref="HV7:HV9"/>
    <mergeCell ref="IL7:IL8"/>
    <mergeCell ref="HK31:HK32"/>
    <mergeCell ref="IH5:IM6"/>
    <mergeCell ref="IF31:IF32"/>
    <mergeCell ref="GY5:GY6"/>
    <mergeCell ref="HA5:HA6"/>
    <mergeCell ref="IC31:IC32"/>
    <mergeCell ref="IE31:IE32"/>
    <mergeCell ref="IA21:IA22"/>
    <mergeCell ref="IC21:IC22"/>
    <mergeCell ref="HP7:HP9"/>
    <mergeCell ref="HD5:HD6"/>
    <mergeCell ref="HM31:HM32"/>
    <mergeCell ref="ID7:ID9"/>
    <mergeCell ref="HK21:HK22"/>
    <mergeCell ref="B3:C3"/>
    <mergeCell ref="HM21:HM22"/>
    <mergeCell ref="IA7:IA9"/>
    <mergeCell ref="GP5:GP6"/>
    <mergeCell ref="HP31:HP32"/>
    <mergeCell ref="HY7:HY9"/>
    <mergeCell ref="II7:II8"/>
    <mergeCell ref="B2:C2"/>
    <mergeCell ref="IB31:IB32"/>
    <mergeCell ref="HN21:HN22"/>
    <mergeCell ref="ID31:ID32"/>
    <mergeCell ref="GP37:HI37"/>
    <mergeCell ref="HZ21:HZ22"/>
    <mergeCell ref="HF5:HF6"/>
    <mergeCell ref="HV31:HV32"/>
    <mergeCell ref="HR21:HR22"/>
    <mergeCell ref="HT21:HT22"/>
    <mergeCell ref="GU5:GU6"/>
    <mergeCell ref="IF21:IF22"/>
    <mergeCell ref="HL7:HL9"/>
    <mergeCell ref="GW5:GW6"/>
    <mergeCell ref="HN7:HN9"/>
    <mergeCell ref="HG5:HG6"/>
    <mergeCell ref="HX7:HX9"/>
    <mergeCell ref="HI5:HI6"/>
    <mergeCell ref="HZ7:HZ9"/>
    <mergeCell ref="IH7:IH8"/>
    <mergeCell ref="IJ7:IJ8"/>
    <mergeCell ref="IF7:IF9"/>
    <mergeCell ref="C5:C6"/>
    <mergeCell ref="HW31:HW32"/>
    <mergeCell ref="HS21:HS22"/>
    <mergeCell ref="HY31:HY32"/>
    <mergeCell ref="IA31:IA32"/>
    <mergeCell ref="HW21:HW22"/>
    <mergeCell ref="HT7:HT9"/>
    <mergeCell ref="HY21:HY22"/>
    <mergeCell ref="GZ5:GZ6"/>
    <mergeCell ref="HQ7:HQ9"/>
    <mergeCell ref="HB5:HB6"/>
    <mergeCell ref="GR5:GR6"/>
    <mergeCell ref="HS7:HS9"/>
    <mergeCell ref="GT5:GT6"/>
    <mergeCell ref="HK7:HK9"/>
    <mergeCell ref="A134:C134"/>
    <mergeCell ref="HW7:HW9"/>
    <mergeCell ref="IK7:IK8"/>
    <mergeCell ref="IM7:IM8"/>
    <mergeCell ref="HL31:HL32"/>
    <mergeCell ref="HN31:HN32"/>
    <mergeCell ref="HX31:HX32"/>
    <mergeCell ref="HL21:HL22"/>
    <mergeCell ref="HR7:HR9"/>
    <mergeCell ref="HK5:HL6"/>
    <mergeCell ref="HV21:HV22"/>
    <mergeCell ref="A137:C137"/>
    <mergeCell ref="IB21:IB22"/>
    <mergeCell ref="ID21:ID22"/>
    <mergeCell ref="HC5:HC6"/>
    <mergeCell ref="HE5:HE6"/>
    <mergeCell ref="IE21:IE22"/>
    <mergeCell ref="HO31:HO32"/>
    <mergeCell ref="A5:A6"/>
    <mergeCell ref="HQ31:HQ32"/>
    <mergeCell ref="HS31:HS32"/>
    <mergeCell ref="HO21:HO22"/>
    <mergeCell ref="IC7:IC9"/>
    <mergeCell ref="HQ21:HQ22"/>
    <mergeCell ref="IE7:IE9"/>
    <mergeCell ref="B5:B6"/>
    <mergeCell ref="D5:D6"/>
    <mergeCell ref="HV5:HW6"/>
    <mergeCell ref="GV5:GV6"/>
    <mergeCell ref="HM7:HM9"/>
    <mergeCell ref="GX5:GX6"/>
    <mergeCell ref="HO7:HO9"/>
    <mergeCell ref="HH5:HH6"/>
    <mergeCell ref="HZ31:HZ32"/>
    <mergeCell ref="HR31:HR32"/>
  </mergeCells>
  <conditionalFormatting sqref="CA8:CA9 CA11 CA22:CB25 CA27:CA29 CA32:CB35 CA37:CB38 CA45:CB45 CA59:CB59 CA71:CB71 CB8:CB11 CB27:CB30">
    <cfRule type="cellIs" priority="6" operator="lessThan" dxfId="48">
      <formula>0</formula>
    </cfRule>
  </conditionalFormatting>
  <conditionalFormatting sqref="CD22:CD38">
    <cfRule type="cellIs" priority="1" operator="lessThan" dxfId="48">
      <formula>0</formula>
    </cfRule>
  </conditionalFormatting>
  <conditionalFormatting sqref="CD8:CD19 CD41:CD47">
    <cfRule type="cellIs" priority="3" operator="lessThan" dxfId="48">
      <formula>0</formula>
    </cfRule>
  </conditionalFormatting>
  <conditionalFormatting sqref="CD51">
    <cfRule type="cellIs" priority="5" operator="lessThan" dxfId="48">
      <formula>0</formula>
    </cfRule>
  </conditionalFormatting>
  <conditionalFormatting sqref="CD55:CD64">
    <cfRule type="cellIs" priority="4" operator="lessThan" dxfId="48">
      <formula>0</formula>
    </cfRule>
  </conditionalFormatting>
  <conditionalFormatting sqref="CD67:CD78">
    <cfRule type="cellIs" priority="2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8" horizontalDpi="4294967295" verticalDpi="429496729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Planilha10">
    <tabColor rgb="FF7030A0"/>
    <outlinePr summaryBelow="1" summaryRight="1"/>
    <pageSetUpPr/>
  </sheetPr>
  <dimension ref="A1:BM154"/>
  <sheetViews>
    <sheetView topLeftCell="A130" zoomScaleNormal="100" workbookViewId="0">
      <pane xSplit="1" topLeftCell="W1" activePane="topRight" state="frozen"/>
      <selection pane="topRight" activeCell="Y146" sqref="Y146"/>
    </sheetView>
  </sheetViews>
  <sheetFormatPr baseColWidth="8" defaultRowHeight="15"/>
  <cols>
    <col width="30.42578125" customWidth="1" min="1" max="1"/>
    <col width="9.140625" customWidth="1" min="2" max="3"/>
    <col width="9.140625" customWidth="1" style="199" min="4" max="4"/>
    <col width="9.140625" customWidth="1" min="5" max="5"/>
    <col width="9.7109375" customWidth="1" min="6" max="6"/>
    <col width="9.140625" customWidth="1" min="7" max="26"/>
    <col width="9.140625" customWidth="1" min="28" max="29"/>
    <col width="10.28515625" customWidth="1" min="30" max="30"/>
    <col width="9.140625" customWidth="1" min="31" max="32"/>
    <col width="9.140625" customWidth="1" min="34" max="37"/>
    <col width="9.140625" customWidth="1" min="39" max="42"/>
  </cols>
  <sheetData>
    <row r="1" ht="18" customHeight="1">
      <c r="A1" s="577" t="inlineStr">
        <is>
          <t>GASTO DE SACOLAS E ITENS DOADOS 2026 - MENSAIS</t>
        </is>
      </c>
      <c r="B1" s="844" t="n"/>
      <c r="C1" s="844" t="n"/>
      <c r="D1" s="844" t="n"/>
      <c r="E1" s="844" t="n"/>
      <c r="F1" s="844" t="n"/>
      <c r="G1" s="844" t="n"/>
      <c r="H1" s="844" t="n"/>
      <c r="I1" s="844" t="n"/>
      <c r="J1" s="844" t="n"/>
      <c r="K1" s="844" t="n"/>
      <c r="L1" s="844" t="n"/>
      <c r="M1" s="844" t="n"/>
      <c r="N1" s="844" t="n"/>
      <c r="O1" s="844" t="n"/>
      <c r="P1" s="844" t="n"/>
      <c r="Q1" s="844" t="n"/>
      <c r="R1" s="844" t="n"/>
      <c r="S1" s="844" t="n"/>
      <c r="T1" s="844" t="n"/>
      <c r="U1" s="844" t="n"/>
      <c r="V1" s="844" t="n"/>
      <c r="W1" s="844" t="n"/>
      <c r="X1" s="844" t="n"/>
      <c r="Y1" s="844" t="n"/>
      <c r="Z1" s="844" t="n"/>
      <c r="AA1" s="844" t="n"/>
      <c r="AB1" s="844" t="n"/>
      <c r="AC1" s="844" t="n"/>
      <c r="AD1" s="844" t="n"/>
      <c r="AE1" s="844" t="n"/>
      <c r="AF1" s="844" t="n"/>
      <c r="AG1" s="844" t="n"/>
      <c r="AH1" s="844" t="n"/>
      <c r="AI1" s="844" t="n"/>
      <c r="AJ1" s="844" t="n"/>
      <c r="AK1" s="844" t="n"/>
      <c r="AL1" s="844" t="n"/>
      <c r="AM1" s="844" t="n"/>
      <c r="AN1" s="844" t="n"/>
      <c r="AO1" s="844" t="n"/>
      <c r="AP1" s="844" t="n"/>
      <c r="AQ1" s="844" t="n"/>
      <c r="AR1" s="844" t="n"/>
      <c r="AS1" s="844" t="n"/>
      <c r="AT1" s="844" t="n"/>
      <c r="AU1" s="844" t="n"/>
      <c r="AV1" s="844" t="n"/>
      <c r="AW1" s="844" t="n"/>
      <c r="AX1" s="844" t="n"/>
      <c r="AY1" s="844" t="n"/>
      <c r="AZ1" s="844" t="n"/>
      <c r="BA1" s="844" t="n"/>
      <c r="BB1" s="844" t="n"/>
      <c r="BC1" s="844" t="n"/>
      <c r="BD1" s="844" t="n"/>
      <c r="BE1" s="844" t="n"/>
      <c r="BF1" s="844" t="n"/>
      <c r="BG1" s="844" t="n"/>
      <c r="BH1" s="844" t="n"/>
      <c r="BI1" s="844" t="n"/>
      <c r="BJ1" s="844" t="n"/>
      <c r="BK1" s="844" t="n"/>
      <c r="BL1" s="844" t="n"/>
      <c r="BM1" s="844" t="n"/>
    </row>
    <row r="2" ht="18" customHeight="1">
      <c r="A2" s="845" t="inlineStr">
        <is>
          <t>BAURU SHOPPING</t>
        </is>
      </c>
      <c r="B2" s="845" t="inlineStr">
        <is>
          <t>JANEIRO</t>
        </is>
      </c>
      <c r="C2" s="846" t="n"/>
      <c r="D2" s="846" t="n"/>
      <c r="E2" s="846" t="n"/>
      <c r="F2" s="847" t="n"/>
      <c r="G2" s="845" t="inlineStr">
        <is>
          <t>FEVEREIRO</t>
        </is>
      </c>
      <c r="H2" s="846" t="n"/>
      <c r="I2" s="846" t="n"/>
      <c r="J2" s="846" t="n"/>
      <c r="K2" s="847" t="n"/>
      <c r="L2" s="845" t="inlineStr">
        <is>
          <t>MARÇO</t>
        </is>
      </c>
      <c r="M2" s="846" t="n"/>
      <c r="N2" s="846" t="n"/>
      <c r="O2" s="846" t="n"/>
      <c r="P2" s="846" t="n"/>
      <c r="Q2" s="847" t="n"/>
      <c r="R2" s="845" t="inlineStr">
        <is>
          <t>ABRIL</t>
        </is>
      </c>
      <c r="S2" s="846" t="n"/>
      <c r="T2" s="846" t="n"/>
      <c r="U2" s="846" t="n"/>
      <c r="V2" s="847" t="n"/>
      <c r="W2" s="845" t="inlineStr">
        <is>
          <t>MAIO</t>
        </is>
      </c>
      <c r="X2" s="846" t="n"/>
      <c r="Y2" s="846" t="n"/>
      <c r="Z2" s="846" t="n"/>
      <c r="AA2" s="847" t="n"/>
      <c r="AB2" s="845" t="inlineStr">
        <is>
          <t>JUNHO</t>
        </is>
      </c>
      <c r="AC2" s="846" t="n"/>
      <c r="AD2" s="846" t="n"/>
      <c r="AE2" s="846" t="n"/>
      <c r="AF2" s="846" t="n"/>
      <c r="AG2" s="847" t="n"/>
      <c r="AH2" s="845" t="inlineStr">
        <is>
          <t>JULHO</t>
        </is>
      </c>
      <c r="AI2" s="846" t="n"/>
      <c r="AJ2" s="846" t="n"/>
      <c r="AK2" s="846" t="n"/>
      <c r="AL2" s="847" t="n"/>
      <c r="AM2" s="845" t="inlineStr">
        <is>
          <t>AGOSTO</t>
        </is>
      </c>
      <c r="AN2" s="846" t="n"/>
      <c r="AO2" s="846" t="n"/>
      <c r="AP2" s="846" t="n"/>
      <c r="AQ2" s="846" t="n"/>
      <c r="AR2" s="847" t="n"/>
      <c r="AS2" s="845" t="inlineStr">
        <is>
          <t>SETEMBRO</t>
        </is>
      </c>
      <c r="AT2" s="846" t="n"/>
      <c r="AU2" s="846" t="n"/>
      <c r="AV2" s="846" t="n"/>
      <c r="AW2" s="847" t="n"/>
      <c r="AX2" s="845" t="inlineStr">
        <is>
          <t>OUTUBRO</t>
        </is>
      </c>
      <c r="AY2" s="846" t="n"/>
      <c r="AZ2" s="846" t="n"/>
      <c r="BA2" s="846" t="n"/>
      <c r="BB2" s="847" t="n"/>
      <c r="BC2" s="845" t="inlineStr">
        <is>
          <t>NOVEMBRO</t>
        </is>
      </c>
      <c r="BD2" s="846" t="n"/>
      <c r="BE2" s="846" t="n"/>
      <c r="BF2" s="846" t="n"/>
      <c r="BG2" s="846" t="n"/>
      <c r="BH2" s="847" t="n"/>
      <c r="BI2" s="845" t="inlineStr">
        <is>
          <t>DEZEMBRO</t>
        </is>
      </c>
      <c r="BJ2" s="846" t="n"/>
      <c r="BK2" s="846" t="n"/>
      <c r="BL2" s="846" t="n"/>
      <c r="BM2" s="847" t="n"/>
    </row>
    <row r="3" ht="15.75" customHeight="1">
      <c r="A3" s="848" t="n"/>
      <c r="B3" s="121" t="n">
        <v>46027</v>
      </c>
      <c r="C3" s="121" t="n">
        <v>46034</v>
      </c>
      <c r="D3" s="121" t="n">
        <v>46041</v>
      </c>
      <c r="E3" s="121" t="n">
        <v>46048</v>
      </c>
      <c r="F3" s="120" t="inlineStr">
        <is>
          <t>USOU</t>
        </is>
      </c>
      <c r="G3" s="121" t="n">
        <v>46055</v>
      </c>
      <c r="H3" s="121" t="n">
        <v>46062</v>
      </c>
      <c r="I3" s="121" t="n">
        <v>46069</v>
      </c>
      <c r="J3" s="121" t="n">
        <v>46076</v>
      </c>
      <c r="K3" s="120" t="inlineStr">
        <is>
          <t>USOU</t>
        </is>
      </c>
      <c r="L3" s="121" t="n">
        <v>46083</v>
      </c>
      <c r="M3" s="121" t="n">
        <v>46090</v>
      </c>
      <c r="N3" s="121" t="n">
        <v>46097</v>
      </c>
      <c r="O3" s="121" t="n">
        <v>46104</v>
      </c>
      <c r="P3" s="121" t="n">
        <v>46111</v>
      </c>
      <c r="Q3" s="120" t="inlineStr">
        <is>
          <t>USOU</t>
        </is>
      </c>
      <c r="R3" s="121" t="n">
        <v>46118</v>
      </c>
      <c r="S3" s="121" t="n">
        <v>46125</v>
      </c>
      <c r="T3" s="121" t="n">
        <v>46132</v>
      </c>
      <c r="U3" s="121" t="n">
        <v>46139</v>
      </c>
      <c r="V3" s="120" t="inlineStr">
        <is>
          <t>USOU</t>
        </is>
      </c>
      <c r="W3" s="121" t="n">
        <v>46146</v>
      </c>
      <c r="X3" s="121" t="n">
        <v>46153</v>
      </c>
      <c r="Y3" s="121" t="n">
        <v>46160</v>
      </c>
      <c r="Z3" s="121" t="n">
        <v>46167</v>
      </c>
      <c r="AA3" s="120" t="inlineStr">
        <is>
          <t>USOU</t>
        </is>
      </c>
      <c r="AB3" s="121" t="n">
        <v>46174</v>
      </c>
      <c r="AC3" s="121" t="n">
        <v>46181</v>
      </c>
      <c r="AD3" s="121" t="n">
        <v>46188</v>
      </c>
      <c r="AE3" s="121" t="n">
        <v>46195</v>
      </c>
      <c r="AF3" s="121" t="n">
        <v>46202</v>
      </c>
      <c r="AG3" s="120" t="inlineStr">
        <is>
          <t>USOU</t>
        </is>
      </c>
      <c r="AH3" s="121" t="n">
        <v>46209</v>
      </c>
      <c r="AI3" s="121" t="n">
        <v>46216</v>
      </c>
      <c r="AJ3" s="121" t="n">
        <v>46223</v>
      </c>
      <c r="AK3" s="121" t="n">
        <v>46230</v>
      </c>
      <c r="AL3" s="120" t="inlineStr">
        <is>
          <t>USOU</t>
        </is>
      </c>
      <c r="AM3" s="121" t="n">
        <v>46237</v>
      </c>
      <c r="AN3" s="121" t="n">
        <v>46244</v>
      </c>
      <c r="AO3" s="121" t="n">
        <v>46251</v>
      </c>
      <c r="AP3" s="121" t="n">
        <v>46258</v>
      </c>
      <c r="AQ3" s="121" t="n">
        <v>46265</v>
      </c>
      <c r="AR3" s="120" t="inlineStr">
        <is>
          <t>USOU</t>
        </is>
      </c>
      <c r="AS3" s="121" t="n">
        <v>46272</v>
      </c>
      <c r="AT3" s="121" t="n">
        <v>46279</v>
      </c>
      <c r="AU3" s="121" t="n">
        <v>46286</v>
      </c>
      <c r="AV3" s="121" t="n">
        <v>46293</v>
      </c>
      <c r="AW3" s="120" t="inlineStr">
        <is>
          <t>USOU</t>
        </is>
      </c>
      <c r="AX3" s="121" t="n">
        <v>46300</v>
      </c>
      <c r="AY3" s="121" t="n">
        <v>46307</v>
      </c>
      <c r="AZ3" s="121" t="n">
        <v>46314</v>
      </c>
      <c r="BA3" s="121" t="n">
        <v>46321</v>
      </c>
      <c r="BB3" s="120" t="inlineStr">
        <is>
          <t>USOU</t>
        </is>
      </c>
      <c r="BC3" s="121" t="n">
        <v>46328</v>
      </c>
      <c r="BD3" s="121" t="n">
        <v>46335</v>
      </c>
      <c r="BE3" s="121" t="n">
        <v>46342</v>
      </c>
      <c r="BF3" s="121" t="n">
        <v>46349</v>
      </c>
      <c r="BG3" s="121" t="n">
        <v>46356</v>
      </c>
      <c r="BH3" s="120" t="inlineStr">
        <is>
          <t>USOU</t>
        </is>
      </c>
      <c r="BI3" s="121" t="n">
        <v>46363</v>
      </c>
      <c r="BJ3" s="121" t="n">
        <v>46370</v>
      </c>
      <c r="BK3" s="121" t="n">
        <v>46377</v>
      </c>
      <c r="BL3" s="121" t="n">
        <v>46384</v>
      </c>
      <c r="BM3" s="120" t="inlineStr">
        <is>
          <t>USOU</t>
        </is>
      </c>
    </row>
    <row r="4" ht="15.75" customHeight="1">
      <c r="A4" s="118" t="inlineStr">
        <is>
          <t>SACOLA PP VERDE</t>
        </is>
      </c>
      <c r="B4" s="115" t="n">
        <v>59</v>
      </c>
      <c r="C4" s="115" t="n">
        <v>0</v>
      </c>
      <c r="D4" s="115" t="n">
        <v>0</v>
      </c>
      <c r="E4" s="115" t="n">
        <v>30</v>
      </c>
      <c r="F4" s="114">
        <f>B4+C4+D4+E4</f>
        <v/>
      </c>
      <c r="G4" s="115" t="n">
        <v>420</v>
      </c>
      <c r="H4" s="115" t="n">
        <v>0</v>
      </c>
      <c r="I4" s="115" t="n">
        <v>160</v>
      </c>
      <c r="J4" s="115" t="n">
        <v>80</v>
      </c>
      <c r="K4" s="114">
        <f>G4+H4+I4+J4</f>
        <v/>
      </c>
      <c r="L4" s="115" t="n">
        <v>60</v>
      </c>
      <c r="M4" s="115" t="n">
        <v>600</v>
      </c>
      <c r="N4" s="115" t="n">
        <v>0</v>
      </c>
      <c r="O4" s="115" t="n">
        <v>0</v>
      </c>
      <c r="P4" s="115" t="n">
        <v>0</v>
      </c>
      <c r="Q4" s="114">
        <f>L4+M4+N4+O4+P4</f>
        <v/>
      </c>
      <c r="R4" s="115" t="n"/>
      <c r="S4" s="115" t="n"/>
      <c r="T4" s="115" t="n"/>
      <c r="U4" s="115" t="n"/>
      <c r="V4" s="114">
        <f>R4+S4+T4+U4</f>
        <v/>
      </c>
      <c r="W4" s="115" t="n">
        <v>350</v>
      </c>
      <c r="X4" s="115" t="n">
        <v>0</v>
      </c>
      <c r="Y4" s="115" t="n"/>
      <c r="Z4" s="115" t="n"/>
      <c r="AA4" s="114">
        <f>W4+X4+Y4+Z4</f>
        <v/>
      </c>
      <c r="AB4" s="115" t="n"/>
      <c r="AC4" s="115" t="n"/>
      <c r="AD4" s="115" t="n"/>
      <c r="AE4" s="115" t="n"/>
      <c r="AF4" s="115" t="n"/>
      <c r="AG4" s="114">
        <f>AB4+AC4+AD4+AE4+AF4</f>
        <v/>
      </c>
      <c r="AH4" s="115" t="n"/>
      <c r="AI4" s="115" t="n"/>
      <c r="AJ4" s="115" t="n"/>
      <c r="AK4" s="115" t="n"/>
      <c r="AL4" s="114">
        <f>AH4+AI4+AJ4+AK4</f>
        <v/>
      </c>
      <c r="AM4" s="115" t="n"/>
      <c r="AN4" s="115" t="n"/>
      <c r="AO4" s="115" t="n"/>
      <c r="AP4" s="115" t="n"/>
      <c r="AQ4" s="115" t="n"/>
      <c r="AR4" s="114">
        <f>AM4+AN4+AO4+AP4+AQ4</f>
        <v/>
      </c>
      <c r="AS4" s="115" t="n"/>
      <c r="AT4" s="115" t="n"/>
      <c r="AU4" s="115" t="n"/>
      <c r="AV4" s="115" t="n"/>
      <c r="AW4" s="114">
        <f>AS4+AT4+AU4+AV4</f>
        <v/>
      </c>
      <c r="AX4" s="115" t="n"/>
      <c r="AY4" s="115" t="n"/>
      <c r="AZ4" s="115" t="n"/>
      <c r="BA4" s="115" t="n"/>
      <c r="BB4" s="114">
        <f>AX4+AY4+AZ4+BA4</f>
        <v/>
      </c>
      <c r="BC4" s="115" t="n"/>
      <c r="BD4" s="115" t="n"/>
      <c r="BE4" s="115" t="n"/>
      <c r="BF4" s="115" t="n"/>
      <c r="BG4" s="115" t="n"/>
      <c r="BH4" s="114">
        <f>BC4+BD4+BE4+BF4+BG4</f>
        <v/>
      </c>
      <c r="BI4" s="115" t="n"/>
      <c r="BJ4" s="115" t="n"/>
      <c r="BK4" s="115" t="n"/>
      <c r="BL4" s="115" t="n"/>
      <c r="BM4" s="114">
        <f>BI4+BJ4+BK4+BL4</f>
        <v/>
      </c>
    </row>
    <row r="5" ht="15.75" customHeight="1">
      <c r="A5" s="118" t="inlineStr">
        <is>
          <t>SACOLA P VERDE</t>
        </is>
      </c>
      <c r="B5" s="115" t="n">
        <v>575</v>
      </c>
      <c r="C5" s="115" t="n">
        <v>100</v>
      </c>
      <c r="D5" s="115" t="n">
        <v>100</v>
      </c>
      <c r="E5" s="115" t="n">
        <v>200</v>
      </c>
      <c r="F5" s="114">
        <f>B5+C5+D5+E5</f>
        <v/>
      </c>
      <c r="G5" s="115" t="n">
        <v>1000</v>
      </c>
      <c r="H5" s="115" t="n">
        <v>800</v>
      </c>
      <c r="I5" s="115" t="n">
        <v>0</v>
      </c>
      <c r="J5" s="115" t="n">
        <v>200</v>
      </c>
      <c r="K5" s="114">
        <f>G5+H5+I5+J5</f>
        <v/>
      </c>
      <c r="L5" s="115" t="n">
        <v>800</v>
      </c>
      <c r="M5" s="115" t="n">
        <v>400</v>
      </c>
      <c r="N5" s="115" t="n">
        <v>400</v>
      </c>
      <c r="O5" s="115" t="n">
        <v>200</v>
      </c>
      <c r="P5" s="115" t="n">
        <v>0</v>
      </c>
      <c r="Q5" s="114">
        <f>L5+M5+N5+O5+P5</f>
        <v/>
      </c>
      <c r="R5" s="115" t="n"/>
      <c r="S5" s="115" t="n"/>
      <c r="T5" s="115" t="n"/>
      <c r="U5" s="115" t="n"/>
      <c r="V5" s="114">
        <f>R5+S5+T5+U5</f>
        <v/>
      </c>
      <c r="W5" s="115" t="n">
        <v>0</v>
      </c>
      <c r="X5" s="115" t="n">
        <v>0</v>
      </c>
      <c r="Y5" s="115" t="n"/>
      <c r="Z5" s="115" t="n"/>
      <c r="AA5" s="114">
        <f>W5+X5+Y5+Z5</f>
        <v/>
      </c>
      <c r="AB5" s="115" t="n"/>
      <c r="AC5" s="115" t="n"/>
      <c r="AD5" s="115" t="n"/>
      <c r="AE5" s="115" t="n"/>
      <c r="AF5" s="115" t="n"/>
      <c r="AG5" s="114">
        <f>AB5+AC5+AD5+AE5+AF5</f>
        <v/>
      </c>
      <c r="AH5" s="115" t="n"/>
      <c r="AI5" s="115" t="n"/>
      <c r="AJ5" s="115" t="n"/>
      <c r="AK5" s="115" t="n"/>
      <c r="AL5" s="114">
        <f>AH5+AI5+AJ5+AK5</f>
        <v/>
      </c>
      <c r="AM5" s="115" t="n"/>
      <c r="AN5" s="115" t="n"/>
      <c r="AO5" s="115" t="n"/>
      <c r="AP5" s="115" t="n"/>
      <c r="AQ5" s="115" t="n"/>
      <c r="AR5" s="114">
        <f>AM5+AN5+AO5+AP5+AQ5</f>
        <v/>
      </c>
      <c r="AS5" s="115" t="n"/>
      <c r="AT5" s="115" t="n"/>
      <c r="AU5" s="115" t="n"/>
      <c r="AV5" s="115" t="n"/>
      <c r="AW5" s="114">
        <f>AS5+AT5+AU5+AV5</f>
        <v/>
      </c>
      <c r="AX5" s="115" t="n"/>
      <c r="AY5" s="115" t="n"/>
      <c r="AZ5" s="115" t="n"/>
      <c r="BA5" s="115" t="n"/>
      <c r="BB5" s="114">
        <f>AX5+AY5+AZ5+BA5</f>
        <v/>
      </c>
      <c r="BC5" s="115" t="n"/>
      <c r="BD5" s="115" t="n"/>
      <c r="BE5" s="115" t="n"/>
      <c r="BF5" s="115" t="n"/>
      <c r="BG5" s="115" t="n"/>
      <c r="BH5" s="114">
        <f>BC5+BD5+BE5+BF5+BG5</f>
        <v/>
      </c>
      <c r="BI5" s="115" t="n"/>
      <c r="BJ5" s="115" t="n"/>
      <c r="BK5" s="115" t="n"/>
      <c r="BL5" s="115" t="n"/>
      <c r="BM5" s="114">
        <f>BI5+BJ5+BK5+BL5</f>
        <v/>
      </c>
    </row>
    <row r="6" ht="15.75" customHeight="1">
      <c r="A6" s="118" t="inlineStr">
        <is>
          <t>SACOLA M VERDE</t>
        </is>
      </c>
      <c r="B6" s="115" t="n">
        <v>320</v>
      </c>
      <c r="C6" s="115" t="n">
        <v>0</v>
      </c>
      <c r="D6" s="115" t="n">
        <v>0</v>
      </c>
      <c r="E6" s="115" t="n">
        <v>400</v>
      </c>
      <c r="F6" s="114">
        <f>B6+C6+D6+E6</f>
        <v/>
      </c>
      <c r="G6" s="115" t="n">
        <v>0</v>
      </c>
      <c r="H6" s="115" t="n">
        <v>400</v>
      </c>
      <c r="I6" s="115" t="n">
        <v>200</v>
      </c>
      <c r="J6" s="115" t="n">
        <v>200</v>
      </c>
      <c r="K6" s="114">
        <f>G6+H6+I6+J6</f>
        <v/>
      </c>
      <c r="L6" s="115" t="n">
        <v>400</v>
      </c>
      <c r="M6" s="115" t="n">
        <v>200</v>
      </c>
      <c r="N6" s="115" t="n">
        <v>200</v>
      </c>
      <c r="O6" s="115" t="n">
        <v>0</v>
      </c>
      <c r="P6" s="115" t="n">
        <v>600</v>
      </c>
      <c r="Q6" s="114">
        <f>L6+M6+N6+O6+P6</f>
        <v/>
      </c>
      <c r="R6" s="115" t="n"/>
      <c r="S6" s="115" t="n"/>
      <c r="T6" s="115" t="n"/>
      <c r="U6" s="115" t="n"/>
      <c r="V6" s="114">
        <f>R6+S6+T6+U6</f>
        <v/>
      </c>
      <c r="W6" s="115" t="n">
        <v>0</v>
      </c>
      <c r="X6" s="115" t="n">
        <v>0</v>
      </c>
      <c r="Y6" s="115" t="n"/>
      <c r="Z6" s="115" t="n"/>
      <c r="AA6" s="114">
        <f>W6+X6+Y6+Z6</f>
        <v/>
      </c>
      <c r="AB6" s="115" t="n"/>
      <c r="AC6" s="115" t="n"/>
      <c r="AD6" s="115" t="n"/>
      <c r="AE6" s="115" t="n"/>
      <c r="AF6" s="115" t="n"/>
      <c r="AG6" s="114">
        <f>AB6+AC6+AD6+AE6+AF6</f>
        <v/>
      </c>
      <c r="AH6" s="115" t="n"/>
      <c r="AI6" s="115" t="n"/>
      <c r="AJ6" s="115" t="n"/>
      <c r="AK6" s="115" t="n"/>
      <c r="AL6" s="114">
        <f>AH6+AI6+AJ6+AK6</f>
        <v/>
      </c>
      <c r="AM6" s="115" t="n"/>
      <c r="AN6" s="115" t="n"/>
      <c r="AO6" s="115" t="n"/>
      <c r="AP6" s="115" t="n"/>
      <c r="AQ6" s="115" t="n"/>
      <c r="AR6" s="114">
        <f>AM6+AN6+AO6+AP6+AQ6</f>
        <v/>
      </c>
      <c r="AS6" s="115" t="n"/>
      <c r="AT6" s="115" t="n"/>
      <c r="AU6" s="115" t="n"/>
      <c r="AV6" s="115" t="n"/>
      <c r="AW6" s="114">
        <f>AS6+AT6+AU6+AV6</f>
        <v/>
      </c>
      <c r="AX6" s="115" t="n"/>
      <c r="AY6" s="115" t="n"/>
      <c r="AZ6" s="115" t="n"/>
      <c r="BA6" s="115" t="n"/>
      <c r="BB6" s="114">
        <f>AX6+AY6+AZ6+BA6</f>
        <v/>
      </c>
      <c r="BC6" s="115" t="n"/>
      <c r="BD6" s="115" t="n"/>
      <c r="BE6" s="115" t="n"/>
      <c r="BF6" s="115" t="n"/>
      <c r="BG6" s="115" t="n"/>
      <c r="BH6" s="114">
        <f>BC6+BD6+BE6+BF6+BG6</f>
        <v/>
      </c>
      <c r="BI6" s="115" t="n"/>
      <c r="BJ6" s="115" t="n"/>
      <c r="BK6" s="115" t="n"/>
      <c r="BL6" s="115" t="n"/>
      <c r="BM6" s="114">
        <f>BI6+BJ6+BK6+BL6</f>
        <v/>
      </c>
    </row>
    <row r="7" ht="15.75" customHeight="1">
      <c r="A7" s="117" t="inlineStr">
        <is>
          <t>SACOLA G VERDE</t>
        </is>
      </c>
      <c r="B7" s="115" t="n">
        <v>7</v>
      </c>
      <c r="C7" s="115" t="n">
        <v>0</v>
      </c>
      <c r="D7" s="115" t="n">
        <v>0</v>
      </c>
      <c r="E7" s="115" t="n">
        <v>0</v>
      </c>
      <c r="F7" s="114">
        <f>B7+C7+D7+E7</f>
        <v/>
      </c>
      <c r="G7" s="115" t="n">
        <v>20</v>
      </c>
      <c r="H7" s="115" t="n">
        <v>0</v>
      </c>
      <c r="I7" s="115" t="n">
        <v>10</v>
      </c>
      <c r="J7" s="115" t="n">
        <v>0</v>
      </c>
      <c r="K7" s="114">
        <f>G7+H7+I7+J7</f>
        <v/>
      </c>
      <c r="L7" s="115" t="n">
        <v>100</v>
      </c>
      <c r="M7" s="115" t="n">
        <v>0</v>
      </c>
      <c r="N7" s="115" t="n">
        <v>0</v>
      </c>
      <c r="O7" s="115" t="n">
        <v>30</v>
      </c>
      <c r="P7" s="115" t="n">
        <v>0</v>
      </c>
      <c r="Q7" s="114">
        <f>L7+M7+N7+O7+P7</f>
        <v/>
      </c>
      <c r="R7" s="115" t="n"/>
      <c r="S7" s="115" t="n"/>
      <c r="T7" s="115" t="n"/>
      <c r="U7" s="115" t="n"/>
      <c r="V7" s="114">
        <f>R7+S7+T7+U7</f>
        <v/>
      </c>
      <c r="W7" s="115" t="n">
        <v>0</v>
      </c>
      <c r="X7" s="115" t="n">
        <v>0</v>
      </c>
      <c r="Y7" s="115" t="n"/>
      <c r="Z7" s="115" t="n"/>
      <c r="AA7" s="114">
        <f>W7+X7+Y7+Z7</f>
        <v/>
      </c>
      <c r="AB7" s="115" t="n"/>
      <c r="AC7" s="115" t="n"/>
      <c r="AD7" s="115" t="n"/>
      <c r="AE7" s="115" t="n"/>
      <c r="AF7" s="115" t="n"/>
      <c r="AG7" s="114">
        <f>AB7+AC7+AD7+AE7+AF7</f>
        <v/>
      </c>
      <c r="AH7" s="115" t="n"/>
      <c r="AI7" s="115" t="n"/>
      <c r="AJ7" s="115" t="n"/>
      <c r="AK7" s="115" t="n"/>
      <c r="AL7" s="114">
        <f>AH7+AI7+AJ7+AK7</f>
        <v/>
      </c>
      <c r="AM7" s="115" t="n"/>
      <c r="AN7" s="115" t="n"/>
      <c r="AO7" s="115" t="n"/>
      <c r="AP7" s="115" t="n"/>
      <c r="AQ7" s="115" t="n"/>
      <c r="AR7" s="114">
        <f>AM7+AN7+AO7+AP7+AQ7</f>
        <v/>
      </c>
      <c r="AS7" s="115" t="n"/>
      <c r="AT7" s="115" t="n"/>
      <c r="AU7" s="115" t="n"/>
      <c r="AV7" s="115" t="n"/>
      <c r="AW7" s="114">
        <f>AS7+AT7+AU7+AV7</f>
        <v/>
      </c>
      <c r="AX7" s="115" t="n"/>
      <c r="AY7" s="115" t="n"/>
      <c r="AZ7" s="115" t="n"/>
      <c r="BA7" s="115" t="n"/>
      <c r="BB7" s="114">
        <f>AX7+AY7+AZ7+BA7</f>
        <v/>
      </c>
      <c r="BC7" s="115" t="n"/>
      <c r="BD7" s="115" t="n"/>
      <c r="BE7" s="115" t="n"/>
      <c r="BF7" s="115" t="n"/>
      <c r="BG7" s="115" t="n"/>
      <c r="BH7" s="114">
        <f>BC7+BD7+BE7+BF7+BG7</f>
        <v/>
      </c>
      <c r="BI7" s="115" t="n"/>
      <c r="BJ7" s="115" t="n"/>
      <c r="BK7" s="115" t="n"/>
      <c r="BL7" s="115" t="n"/>
      <c r="BM7" s="114">
        <f>BI7+BJ7+BK7+BL7</f>
        <v/>
      </c>
    </row>
    <row r="8" ht="15.75" customHeight="1">
      <c r="A8" s="116" t="inlineStr">
        <is>
          <t xml:space="preserve">PAPEL DE SEDA </t>
        </is>
      </c>
      <c r="B8" s="115" t="n">
        <v>0</v>
      </c>
      <c r="C8" s="115" t="n">
        <v>0</v>
      </c>
      <c r="D8" s="115" t="n">
        <v>2</v>
      </c>
      <c r="E8" s="115" t="n">
        <v>0</v>
      </c>
      <c r="F8" s="114">
        <f>B8+C8+D8+E8</f>
        <v/>
      </c>
      <c r="G8" s="115" t="n">
        <v>7</v>
      </c>
      <c r="H8" s="115" t="n">
        <v>0</v>
      </c>
      <c r="I8" s="115" t="n">
        <v>2</v>
      </c>
      <c r="J8" s="115" t="n">
        <v>1</v>
      </c>
      <c r="K8" s="114">
        <f>G8+H8+I8+J8</f>
        <v/>
      </c>
      <c r="L8" s="115" t="n">
        <v>3</v>
      </c>
      <c r="M8" s="115" t="n">
        <v>3</v>
      </c>
      <c r="N8" s="115" t="n">
        <v>2</v>
      </c>
      <c r="O8" s="115" t="n">
        <v>2</v>
      </c>
      <c r="P8" s="115" t="n">
        <v>2</v>
      </c>
      <c r="Q8" s="114">
        <f>L8+M8+N8+O8+P8</f>
        <v/>
      </c>
      <c r="R8" s="115" t="n"/>
      <c r="S8" s="115" t="n"/>
      <c r="T8" s="115" t="n"/>
      <c r="U8" s="115" t="n"/>
      <c r="V8" s="114">
        <f>R8+S8+T8+U8</f>
        <v/>
      </c>
      <c r="W8" s="115" t="n">
        <v>2</v>
      </c>
      <c r="X8" s="115" t="n">
        <v>9</v>
      </c>
      <c r="Y8" s="115" t="n"/>
      <c r="Z8" s="115" t="n"/>
      <c r="AA8" s="114">
        <f>W8+X8+Y8+Z8</f>
        <v/>
      </c>
      <c r="AB8" s="115" t="n"/>
      <c r="AC8" s="115" t="n"/>
      <c r="AD8" s="115" t="n"/>
      <c r="AE8" s="115" t="n"/>
      <c r="AF8" s="115" t="n"/>
      <c r="AG8" s="114">
        <f>AB8+AC8+AD8+AE8+AF8</f>
        <v/>
      </c>
      <c r="AH8" s="115" t="n"/>
      <c r="AI8" s="115" t="n"/>
      <c r="AJ8" s="115" t="n"/>
      <c r="AK8" s="115" t="n"/>
      <c r="AL8" s="114">
        <f>AH8+AI8+AJ8+AK8</f>
        <v/>
      </c>
      <c r="AM8" s="115" t="n"/>
      <c r="AN8" s="115" t="n"/>
      <c r="AO8" s="115" t="n"/>
      <c r="AP8" s="115" t="n"/>
      <c r="AQ8" s="115" t="n"/>
      <c r="AR8" s="114">
        <f>AM8+AN8+AO8+AP8+AQ8</f>
        <v/>
      </c>
      <c r="AS8" s="115" t="n"/>
      <c r="AT8" s="115" t="n"/>
      <c r="AU8" s="115" t="n"/>
      <c r="AV8" s="115" t="n"/>
      <c r="AW8" s="114">
        <f>AS8+AT8+AU8+AV8</f>
        <v/>
      </c>
      <c r="AX8" s="115" t="n"/>
      <c r="AY8" s="115" t="n"/>
      <c r="AZ8" s="115" t="n"/>
      <c r="BA8" s="115" t="n"/>
      <c r="BB8" s="114">
        <f>AX8+AY8+AZ8+BA8</f>
        <v/>
      </c>
      <c r="BC8" s="115" t="n"/>
      <c r="BD8" s="115" t="n"/>
      <c r="BE8" s="115" t="n"/>
      <c r="BF8" s="115" t="n"/>
      <c r="BG8" s="115" t="n"/>
      <c r="BH8" s="114">
        <f>BC8+BD8+BE8+BF8+BG8</f>
        <v/>
      </c>
      <c r="BI8" s="115" t="n"/>
      <c r="BJ8" s="115" t="n"/>
      <c r="BK8" s="115" t="n"/>
      <c r="BL8" s="115" t="n"/>
      <c r="BM8" s="114">
        <f>BI8+BJ8+BK8+BL8</f>
        <v/>
      </c>
    </row>
    <row r="9" ht="15.75" customHeight="1">
      <c r="A9" s="116" t="inlineStr">
        <is>
          <t>ETIQUETAS</t>
        </is>
      </c>
      <c r="B9" s="115" t="n">
        <v>0</v>
      </c>
      <c r="C9" s="115" t="n">
        <v>0</v>
      </c>
      <c r="D9" s="115" t="n">
        <v>0</v>
      </c>
      <c r="E9" s="115" t="n">
        <v>0</v>
      </c>
      <c r="F9" s="114">
        <f>B9+C9+D9+E9</f>
        <v/>
      </c>
      <c r="G9" s="115" t="n">
        <v>0</v>
      </c>
      <c r="H9" s="115" t="n">
        <v>1</v>
      </c>
      <c r="I9" s="115" t="n">
        <v>0</v>
      </c>
      <c r="J9" s="115" t="n">
        <v>0</v>
      </c>
      <c r="K9" s="114">
        <f>G9+H9+I9+J9</f>
        <v/>
      </c>
      <c r="L9" s="115" t="n">
        <v>0</v>
      </c>
      <c r="M9" s="115" t="n">
        <v>2</v>
      </c>
      <c r="N9" s="115" t="n">
        <v>0</v>
      </c>
      <c r="O9" s="115" t="n">
        <v>3</v>
      </c>
      <c r="P9" s="115" t="n">
        <v>0</v>
      </c>
      <c r="Q9" s="114">
        <f>L9+M9+N9+O9+P9</f>
        <v/>
      </c>
      <c r="R9" s="115" t="n"/>
      <c r="S9" s="115" t="n"/>
      <c r="T9" s="115" t="n"/>
      <c r="U9" s="115" t="n"/>
      <c r="V9" s="114">
        <f>R9+S9+T9+U9</f>
        <v/>
      </c>
      <c r="W9" s="115" t="n">
        <v>2</v>
      </c>
      <c r="X9" s="115" t="n">
        <v>0</v>
      </c>
      <c r="Y9" s="115" t="n"/>
      <c r="Z9" s="115" t="n"/>
      <c r="AA9" s="114">
        <f>W9+X9+Y9+Z9</f>
        <v/>
      </c>
      <c r="AB9" s="115" t="n"/>
      <c r="AC9" s="115" t="n"/>
      <c r="AD9" s="115" t="n"/>
      <c r="AE9" s="115" t="n"/>
      <c r="AF9" s="115" t="n"/>
      <c r="AG9" s="114">
        <f>AB9+AC9+AD9+AE9+AF9</f>
        <v/>
      </c>
      <c r="AH9" s="115" t="n"/>
      <c r="AI9" s="115" t="n"/>
      <c r="AJ9" s="115" t="n"/>
      <c r="AK9" s="115" t="n"/>
      <c r="AL9" s="114">
        <f>AH9+AI9+AJ9+AK9</f>
        <v/>
      </c>
      <c r="AM9" s="115" t="n"/>
      <c r="AN9" s="115" t="n"/>
      <c r="AO9" s="115" t="n"/>
      <c r="AP9" s="115" t="n"/>
      <c r="AQ9" s="115" t="n"/>
      <c r="AR9" s="114">
        <f>AM9+AN9+AO9+AP9+AQ9</f>
        <v/>
      </c>
      <c r="AS9" s="115" t="n"/>
      <c r="AT9" s="115" t="n"/>
      <c r="AU9" s="115" t="n"/>
      <c r="AV9" s="115" t="n"/>
      <c r="AW9" s="114">
        <f>AS9+AT9+AU9+AV9</f>
        <v/>
      </c>
      <c r="AX9" s="115" t="n"/>
      <c r="AY9" s="115" t="n"/>
      <c r="AZ9" s="115" t="n"/>
      <c r="BA9" s="115" t="n"/>
      <c r="BB9" s="114">
        <f>AX9+AY9+AZ9+BA9</f>
        <v/>
      </c>
      <c r="BC9" s="115" t="n"/>
      <c r="BD9" s="115" t="n"/>
      <c r="BE9" s="115" t="n"/>
      <c r="BF9" s="115" t="n"/>
      <c r="BG9" s="115" t="n"/>
      <c r="BH9" s="114">
        <f>BC9+BD9+BE9+BF9+BG9</f>
        <v/>
      </c>
      <c r="BI9" s="115" t="n"/>
      <c r="BJ9" s="115" t="n"/>
      <c r="BK9" s="115" t="n"/>
      <c r="BL9" s="115" t="n"/>
      <c r="BM9" s="114">
        <f>BI9+BJ9+BK9+BL9</f>
        <v/>
      </c>
    </row>
    <row r="10" ht="15.75" customHeight="1">
      <c r="A10" s="116" t="inlineStr">
        <is>
          <t xml:space="preserve">TAGS </t>
        </is>
      </c>
      <c r="B10" s="115" t="n">
        <v>1</v>
      </c>
      <c r="C10" s="115" t="n">
        <v>1</v>
      </c>
      <c r="D10" s="115" t="n">
        <v>1</v>
      </c>
      <c r="E10" s="115" t="n">
        <v>1</v>
      </c>
      <c r="F10" s="114">
        <f>B10+C10+D10+E10</f>
        <v/>
      </c>
      <c r="G10" s="115" t="n">
        <v>1</v>
      </c>
      <c r="H10" s="115" t="n">
        <v>2</v>
      </c>
      <c r="I10" s="115" t="n">
        <v>2</v>
      </c>
      <c r="J10" s="115" t="n">
        <v>1</v>
      </c>
      <c r="K10" s="114">
        <f>G10+H10+I10+J10</f>
        <v/>
      </c>
      <c r="L10" s="115" t="n">
        <v>1</v>
      </c>
      <c r="M10" s="115" t="n">
        <v>2</v>
      </c>
      <c r="N10" s="115" t="n">
        <v>1</v>
      </c>
      <c r="O10" s="115" t="n">
        <v>1</v>
      </c>
      <c r="P10" s="115" t="n">
        <v>1</v>
      </c>
      <c r="Q10" s="114">
        <f>L10+M10+N10+O10+P10</f>
        <v/>
      </c>
      <c r="R10" s="115" t="n"/>
      <c r="S10" s="115" t="n"/>
      <c r="T10" s="115" t="n"/>
      <c r="U10" s="115" t="n"/>
      <c r="V10" s="114">
        <f>R10+S10+T10+U10</f>
        <v/>
      </c>
      <c r="W10" s="115" t="n">
        <v>0</v>
      </c>
      <c r="X10" s="115" t="n">
        <v>1</v>
      </c>
      <c r="Y10" s="115" t="n"/>
      <c r="Z10" s="115" t="n"/>
      <c r="AA10" s="114">
        <f>W10+X10+Y10+Z10</f>
        <v/>
      </c>
      <c r="AB10" s="115" t="n"/>
      <c r="AC10" s="115" t="n"/>
      <c r="AD10" s="115" t="n"/>
      <c r="AE10" s="115" t="n"/>
      <c r="AF10" s="115" t="n"/>
      <c r="AG10" s="114">
        <f>AB10+AC10+AD10+AE10+AF10</f>
        <v/>
      </c>
      <c r="AH10" s="115" t="n"/>
      <c r="AI10" s="115" t="n"/>
      <c r="AJ10" s="115" t="n"/>
      <c r="AK10" s="115" t="n"/>
      <c r="AL10" s="114">
        <f>AH10+AI10+AJ10+AK10</f>
        <v/>
      </c>
      <c r="AM10" s="115" t="n"/>
      <c r="AN10" s="115" t="n"/>
      <c r="AO10" s="115" t="n"/>
      <c r="AP10" s="115" t="n"/>
      <c r="AQ10" s="115" t="n"/>
      <c r="AR10" s="114">
        <f>AM10+AN10+AO10+AP10+AQ10</f>
        <v/>
      </c>
      <c r="AS10" s="115" t="n"/>
      <c r="AT10" s="115" t="n"/>
      <c r="AU10" s="115" t="n"/>
      <c r="AV10" s="115" t="n"/>
      <c r="AW10" s="114">
        <f>AS10+AT10+AU10+AV10</f>
        <v/>
      </c>
      <c r="AX10" s="115" t="n"/>
      <c r="AY10" s="115" t="n"/>
      <c r="AZ10" s="115" t="n"/>
      <c r="BA10" s="115" t="n"/>
      <c r="BB10" s="114">
        <f>AX10+AY10+AZ10+BA10</f>
        <v/>
      </c>
      <c r="BC10" s="115" t="n"/>
      <c r="BD10" s="115" t="n"/>
      <c r="BE10" s="115" t="n"/>
      <c r="BF10" s="115" t="n"/>
      <c r="BG10" s="115" t="n"/>
      <c r="BH10" s="114">
        <f>BC10+BD10+BE10+BF10+BG10</f>
        <v/>
      </c>
      <c r="BI10" s="115" t="n"/>
      <c r="BJ10" s="115" t="n"/>
      <c r="BK10" s="115" t="n"/>
      <c r="BL10" s="115" t="n"/>
      <c r="BM10" s="114">
        <f>BI10+BJ10+BK10+BL10</f>
        <v/>
      </c>
    </row>
    <row r="11" ht="15.75" customHeight="1">
      <c r="A11" s="116" t="inlineStr">
        <is>
          <t>LÂMINA OLFATIVA</t>
        </is>
      </c>
      <c r="B11" s="115" t="n">
        <v>0</v>
      </c>
      <c r="C11" s="115" t="n">
        <v>1</v>
      </c>
      <c r="D11" s="115" t="n">
        <v>1</v>
      </c>
      <c r="E11" s="115" t="n">
        <v>1</v>
      </c>
      <c r="F11" s="114">
        <f>B11+C11+D11+E11</f>
        <v/>
      </c>
      <c r="G11" s="115" t="n">
        <v>1</v>
      </c>
      <c r="H11" s="115" t="n">
        <v>1</v>
      </c>
      <c r="I11" s="115" t="n">
        <v>1</v>
      </c>
      <c r="J11" s="115" t="n">
        <v>1</v>
      </c>
      <c r="K11" s="114">
        <f>G11+H11+I11+J11</f>
        <v/>
      </c>
      <c r="L11" s="115" t="n">
        <v>0</v>
      </c>
      <c r="M11" s="115" t="n">
        <v>0</v>
      </c>
      <c r="N11" s="115" t="n">
        <v>3</v>
      </c>
      <c r="O11" s="115" t="n">
        <v>0</v>
      </c>
      <c r="P11" s="115" t="n">
        <v>2</v>
      </c>
      <c r="Q11" s="114">
        <f>L11+M11+N11+O11+P11</f>
        <v/>
      </c>
      <c r="R11" s="115" t="n"/>
      <c r="S11" s="115" t="n"/>
      <c r="T11" s="115" t="n"/>
      <c r="U11" s="115" t="n"/>
      <c r="V11" s="114">
        <f>R11+S11+T11+U11</f>
        <v/>
      </c>
      <c r="W11" s="115" t="n">
        <v>0</v>
      </c>
      <c r="X11" s="115" t="n">
        <v>3</v>
      </c>
      <c r="Y11" s="115" t="n"/>
      <c r="Z11" s="115" t="n"/>
      <c r="AA11" s="114">
        <f>W11+X11+Y11+Z11</f>
        <v/>
      </c>
      <c r="AB11" s="115" t="n"/>
      <c r="AC11" s="115" t="n"/>
      <c r="AD11" s="115" t="n"/>
      <c r="AE11" s="115" t="n"/>
      <c r="AF11" s="115" t="n"/>
      <c r="AG11" s="114">
        <f>AB11+AC11+AD11+AE11+AF11</f>
        <v/>
      </c>
      <c r="AH11" s="115" t="n"/>
      <c r="AI11" s="115" t="n"/>
      <c r="AJ11" s="115" t="n"/>
      <c r="AK11" s="115" t="n"/>
      <c r="AL11" s="114">
        <f>AH11+AI11+AJ11+AK11</f>
        <v/>
      </c>
      <c r="AM11" s="115" t="n"/>
      <c r="AN11" s="115" t="n"/>
      <c r="AO11" s="115" t="n"/>
      <c r="AP11" s="115" t="n"/>
      <c r="AQ11" s="115" t="n"/>
      <c r="AR11" s="114">
        <f>AM11+AN11+AO11+AP11+AQ11</f>
        <v/>
      </c>
      <c r="AS11" s="115" t="n"/>
      <c r="AT11" s="115" t="n"/>
      <c r="AU11" s="115" t="n"/>
      <c r="AV11" s="115" t="n"/>
      <c r="AW11" s="114">
        <f>AS11+AT11+AU11+AV11</f>
        <v/>
      </c>
      <c r="AX11" s="115" t="n"/>
      <c r="AY11" s="115" t="n"/>
      <c r="AZ11" s="115" t="n"/>
      <c r="BA11" s="115" t="n"/>
      <c r="BB11" s="114">
        <f>AX11+AY11+AZ11+BA11</f>
        <v/>
      </c>
      <c r="BC11" s="115" t="n"/>
      <c r="BD11" s="115" t="n"/>
      <c r="BE11" s="115" t="n"/>
      <c r="BF11" s="115" t="n"/>
      <c r="BG11" s="115" t="n"/>
      <c r="BH11" s="114">
        <f>BC11+BD11+BE11+BF11+BG11</f>
        <v/>
      </c>
      <c r="BI11" s="115" t="n"/>
      <c r="BJ11" s="115" t="n"/>
      <c r="BK11" s="115" t="n"/>
      <c r="BL11" s="115" t="n"/>
      <c r="BM11" s="114">
        <f>BI11+BJ11+BK11+BL11</f>
        <v/>
      </c>
    </row>
    <row r="12" ht="15.75" customHeight="1">
      <c r="A12" s="113" t="inlineStr">
        <is>
          <t>TOTAL DE SACOLAS</t>
        </is>
      </c>
      <c r="B12" s="112">
        <f>SUM(B4:B7)</f>
        <v/>
      </c>
      <c r="C12" s="112">
        <f>SUM(C4:C7)</f>
        <v/>
      </c>
      <c r="D12" s="112">
        <f>SUM(D4:D7)</f>
        <v/>
      </c>
      <c r="E12" s="112">
        <f>SUM(E4:E7)</f>
        <v/>
      </c>
      <c r="F12" s="112">
        <f>SUM(F4:F7)</f>
        <v/>
      </c>
      <c r="G12" s="112">
        <f>SUM(G4:G7)</f>
        <v/>
      </c>
      <c r="H12" s="112">
        <f>SUM(H4:H7)</f>
        <v/>
      </c>
      <c r="I12" s="112">
        <f>SUM(I4:I7)</f>
        <v/>
      </c>
      <c r="J12" s="112">
        <f>SUM(J4:J7)</f>
        <v/>
      </c>
      <c r="K12" s="112">
        <f>SUM(K4:K7)</f>
        <v/>
      </c>
      <c r="L12" s="112">
        <f>SUM(L4:L7)</f>
        <v/>
      </c>
      <c r="M12" s="112">
        <f>SUM(M4:M7)</f>
        <v/>
      </c>
      <c r="N12" s="112">
        <f>SUM(N4:N7)</f>
        <v/>
      </c>
      <c r="O12" s="112">
        <f>SUM(O4:O7)</f>
        <v/>
      </c>
      <c r="P12" s="112">
        <f>SUM(P4:P7)</f>
        <v/>
      </c>
      <c r="Q12" s="112">
        <f>SUM(Q4:Q7)</f>
        <v/>
      </c>
      <c r="R12" s="112">
        <f>SUM(R4:R7)</f>
        <v/>
      </c>
      <c r="S12" s="112">
        <f>SUM(S4:S7)</f>
        <v/>
      </c>
      <c r="T12" s="112">
        <f>SUM(T4:T7)</f>
        <v/>
      </c>
      <c r="U12" s="112">
        <f>SUM(U4:U7)</f>
        <v/>
      </c>
      <c r="V12" s="112">
        <f>SUM(V4:V7)</f>
        <v/>
      </c>
      <c r="W12" s="112">
        <f>SUM(W4:W7)</f>
        <v/>
      </c>
      <c r="X12" s="112">
        <f>SUM(X4:X7)</f>
        <v/>
      </c>
      <c r="Y12" s="112">
        <f>SUM(Y4:Y7)</f>
        <v/>
      </c>
      <c r="Z12" s="112">
        <f>SUM(Z4:Z7)</f>
        <v/>
      </c>
      <c r="AA12" s="112">
        <f>SUM(AA4:AA7)</f>
        <v/>
      </c>
      <c r="AB12" s="112">
        <f>SUM(AB4:AB7)</f>
        <v/>
      </c>
      <c r="AC12" s="112">
        <f>SUM(AC4:AC7)</f>
        <v/>
      </c>
      <c r="AD12" s="112">
        <f>SUM(AD4:AD7)</f>
        <v/>
      </c>
      <c r="AE12" s="112">
        <f>SUM(AE4:AE7)</f>
        <v/>
      </c>
      <c r="AF12" s="112">
        <f>SUM(AF4:AF7)</f>
        <v/>
      </c>
      <c r="AG12" s="112">
        <f>SUM(AG4:AG7)</f>
        <v/>
      </c>
      <c r="AH12" s="112">
        <f>SUM(AH4:AH7)</f>
        <v/>
      </c>
      <c r="AI12" s="112">
        <f>SUM(AI4:AI7)</f>
        <v/>
      </c>
      <c r="AJ12" s="112">
        <f>SUM(AJ4:AJ7)</f>
        <v/>
      </c>
      <c r="AK12" s="112">
        <f>SUM(AK4:AK7)</f>
        <v/>
      </c>
      <c r="AL12" s="112">
        <f>SUM(AL4:AL7)</f>
        <v/>
      </c>
      <c r="AM12" s="112">
        <f>SUM(AM4:AM7)</f>
        <v/>
      </c>
      <c r="AN12" s="112">
        <f>SUM(AN4:AN7)</f>
        <v/>
      </c>
      <c r="AO12" s="112">
        <f>SUM(AO4:AO7)</f>
        <v/>
      </c>
      <c r="AP12" s="112">
        <f>SUM(AP4:AP7)</f>
        <v/>
      </c>
      <c r="AQ12" s="112">
        <f>SUM(AQ4:AQ7)</f>
        <v/>
      </c>
      <c r="AR12" s="112">
        <f>SUM(AR4:AR7)</f>
        <v/>
      </c>
      <c r="AS12" s="112">
        <f>SUM(AS4:AS7)</f>
        <v/>
      </c>
      <c r="AT12" s="112">
        <f>SUM(AT4:AT7)</f>
        <v/>
      </c>
      <c r="AU12" s="112">
        <f>SUM(AU4:AU7)</f>
        <v/>
      </c>
      <c r="AV12" s="112">
        <f>SUM(AV4:AV7)</f>
        <v/>
      </c>
      <c r="AW12" s="112">
        <f>SUM(AW4:AW7)</f>
        <v/>
      </c>
      <c r="AX12" s="112">
        <f>SUM(AX4:AX7)</f>
        <v/>
      </c>
      <c r="AY12" s="112">
        <f>SUM(AY4:AY7)</f>
        <v/>
      </c>
      <c r="AZ12" s="112">
        <f>SUM(AZ4:AZ7)</f>
        <v/>
      </c>
      <c r="BA12" s="112">
        <f>SUM(BA4:BA7)</f>
        <v/>
      </c>
      <c r="BB12" s="112">
        <f>SUM(BB4:BB7)</f>
        <v/>
      </c>
      <c r="BC12" s="112">
        <f>SUM(BC4:BC7)</f>
        <v/>
      </c>
      <c r="BD12" s="112">
        <f>SUM(BD4:BD7)</f>
        <v/>
      </c>
      <c r="BE12" s="112">
        <f>SUM(BE4:BE7)</f>
        <v/>
      </c>
      <c r="BF12" s="112">
        <f>SUM(BF4:BF7)</f>
        <v/>
      </c>
      <c r="BG12" s="112">
        <f>SUM(BG4:BG7)</f>
        <v/>
      </c>
      <c r="BH12" s="112">
        <f>SUM(BH4:BH7)</f>
        <v/>
      </c>
      <c r="BI12" s="112">
        <f>SUM(BI4:BI7)</f>
        <v/>
      </c>
      <c r="BJ12" s="112">
        <f>SUM(BJ4:BJ7)</f>
        <v/>
      </c>
      <c r="BK12" s="112">
        <f>SUM(BK4:BK7)</f>
        <v/>
      </c>
      <c r="BL12" s="112">
        <f>SUM(BL4:BL7)</f>
        <v/>
      </c>
      <c r="BM12" s="112">
        <f>SUM(BM4:BM7)</f>
        <v/>
      </c>
    </row>
    <row r="14" ht="18" customHeight="1">
      <c r="A14" s="577" t="inlineStr">
        <is>
          <t>GASTO DE SACOLAS E ITENS DOADOS 2026 - MENSAIS</t>
        </is>
      </c>
      <c r="B14" s="844" t="n"/>
      <c r="C14" s="844" t="n"/>
      <c r="D14" s="844" t="n"/>
      <c r="E14" s="844" t="n"/>
      <c r="F14" s="844" t="n"/>
      <c r="G14" s="844" t="n"/>
      <c r="H14" s="844" t="n"/>
      <c r="I14" s="844" t="n"/>
      <c r="J14" s="844" t="n"/>
      <c r="K14" s="844" t="n"/>
      <c r="L14" s="844" t="n"/>
      <c r="M14" s="844" t="n"/>
      <c r="N14" s="844" t="n"/>
      <c r="O14" s="844" t="n"/>
      <c r="P14" s="844" t="n"/>
      <c r="Q14" s="844" t="n"/>
      <c r="R14" s="844" t="n"/>
      <c r="S14" s="844" t="n"/>
      <c r="T14" s="844" t="n"/>
      <c r="U14" s="844" t="n"/>
      <c r="V14" s="844" t="n"/>
      <c r="W14" s="844" t="n"/>
      <c r="X14" s="844" t="n"/>
      <c r="Y14" s="844" t="n"/>
      <c r="Z14" s="844" t="n"/>
      <c r="AA14" s="844" t="n"/>
      <c r="AB14" s="844" t="n"/>
      <c r="AC14" s="844" t="n"/>
      <c r="AD14" s="844" t="n"/>
      <c r="AE14" s="844" t="n"/>
      <c r="AF14" s="844" t="n"/>
      <c r="AG14" s="844" t="n"/>
      <c r="AH14" s="844" t="n"/>
      <c r="AI14" s="844" t="n"/>
      <c r="AJ14" s="844" t="n"/>
      <c r="AK14" s="844" t="n"/>
      <c r="AL14" s="844" t="n"/>
      <c r="AM14" s="844" t="n"/>
      <c r="AN14" s="844" t="n"/>
      <c r="AO14" s="844" t="n"/>
      <c r="AP14" s="844" t="n"/>
      <c r="AQ14" s="844" t="n"/>
      <c r="AR14" s="844" t="n"/>
      <c r="AS14" s="844" t="n"/>
      <c r="AT14" s="844" t="n"/>
      <c r="AU14" s="844" t="n"/>
      <c r="AV14" s="844" t="n"/>
      <c r="AW14" s="844" t="n"/>
      <c r="AX14" s="844" t="n"/>
      <c r="AY14" s="844" t="n"/>
      <c r="AZ14" s="844" t="n"/>
      <c r="BA14" s="844" t="n"/>
      <c r="BB14" s="844" t="n"/>
      <c r="BC14" s="844" t="n"/>
      <c r="BD14" s="844" t="n"/>
      <c r="BE14" s="844" t="n"/>
      <c r="BF14" s="844" t="n"/>
      <c r="BG14" s="844" t="n"/>
      <c r="BH14" s="844" t="n"/>
      <c r="BI14" s="844" t="n"/>
      <c r="BJ14" s="844" t="n"/>
      <c r="BK14" s="844" t="n"/>
      <c r="BL14" s="844" t="n"/>
      <c r="BM14" s="844" t="n"/>
    </row>
    <row r="15" ht="18" customHeight="1">
      <c r="A15" s="845" t="inlineStr">
        <is>
          <t>BOULEVARD</t>
        </is>
      </c>
      <c r="B15" s="845" t="inlineStr">
        <is>
          <t>JANEIRO</t>
        </is>
      </c>
      <c r="C15" s="846" t="n"/>
      <c r="D15" s="846" t="n"/>
      <c r="E15" s="846" t="n"/>
      <c r="F15" s="847" t="n"/>
      <c r="G15" s="845" t="inlineStr">
        <is>
          <t>FEVEREIRO</t>
        </is>
      </c>
      <c r="H15" s="846" t="n"/>
      <c r="I15" s="846" t="n"/>
      <c r="J15" s="846" t="n"/>
      <c r="K15" s="847" t="n"/>
      <c r="L15" s="845" t="inlineStr">
        <is>
          <t>MARÇO</t>
        </is>
      </c>
      <c r="M15" s="846" t="n"/>
      <c r="N15" s="846" t="n"/>
      <c r="O15" s="846" t="n"/>
      <c r="P15" s="846" t="n"/>
      <c r="Q15" s="847" t="n"/>
      <c r="R15" s="845" t="inlineStr">
        <is>
          <t>ABRIL</t>
        </is>
      </c>
      <c r="S15" s="846" t="n"/>
      <c r="T15" s="846" t="n"/>
      <c r="U15" s="846" t="n"/>
      <c r="V15" s="847" t="n"/>
      <c r="W15" s="845" t="inlineStr">
        <is>
          <t>MAIO</t>
        </is>
      </c>
      <c r="X15" s="846" t="n"/>
      <c r="Y15" s="846" t="n"/>
      <c r="Z15" s="846" t="n"/>
      <c r="AA15" s="847" t="n"/>
      <c r="AB15" s="845" t="inlineStr">
        <is>
          <t>JUNHO</t>
        </is>
      </c>
      <c r="AC15" s="846" t="n"/>
      <c r="AD15" s="846" t="n"/>
      <c r="AE15" s="846" t="n"/>
      <c r="AF15" s="846" t="n"/>
      <c r="AG15" s="847" t="n"/>
      <c r="AH15" s="845" t="inlineStr">
        <is>
          <t>JULHO</t>
        </is>
      </c>
      <c r="AI15" s="846" t="n"/>
      <c r="AJ15" s="846" t="n"/>
      <c r="AK15" s="846" t="n"/>
      <c r="AL15" s="847" t="n"/>
      <c r="AM15" s="845" t="inlineStr">
        <is>
          <t>AGOSTO</t>
        </is>
      </c>
      <c r="AN15" s="846" t="n"/>
      <c r="AO15" s="846" t="n"/>
      <c r="AP15" s="846" t="n"/>
      <c r="AQ15" s="846" t="n"/>
      <c r="AR15" s="847" t="n"/>
      <c r="AS15" s="845" t="inlineStr">
        <is>
          <t>SETEMBRO</t>
        </is>
      </c>
      <c r="AT15" s="846" t="n"/>
      <c r="AU15" s="846" t="n"/>
      <c r="AV15" s="846" t="n"/>
      <c r="AW15" s="847" t="n"/>
      <c r="AX15" s="845" t="inlineStr">
        <is>
          <t>OUTUBRO</t>
        </is>
      </c>
      <c r="AY15" s="846" t="n"/>
      <c r="AZ15" s="846" t="n"/>
      <c r="BA15" s="846" t="n"/>
      <c r="BB15" s="847" t="n"/>
      <c r="BC15" s="845" t="inlineStr">
        <is>
          <t>NOVEMBRO</t>
        </is>
      </c>
      <c r="BD15" s="846" t="n"/>
      <c r="BE15" s="846" t="n"/>
      <c r="BF15" s="846" t="n"/>
      <c r="BG15" s="846" t="n"/>
      <c r="BH15" s="847" t="n"/>
      <c r="BI15" s="845" t="inlineStr">
        <is>
          <t>DEZEMBRO</t>
        </is>
      </c>
      <c r="BJ15" s="846" t="n"/>
      <c r="BK15" s="846" t="n"/>
      <c r="BL15" s="846" t="n"/>
      <c r="BM15" s="847" t="n"/>
    </row>
    <row r="16" ht="15.75" customHeight="1">
      <c r="A16" s="848" t="n"/>
      <c r="B16" s="121" t="n">
        <v>46027</v>
      </c>
      <c r="C16" s="121" t="n">
        <v>46034</v>
      </c>
      <c r="D16" s="121" t="n">
        <v>46041</v>
      </c>
      <c r="E16" s="121" t="n">
        <v>46048</v>
      </c>
      <c r="F16" s="120" t="inlineStr">
        <is>
          <t>USOU</t>
        </is>
      </c>
      <c r="G16" s="121" t="n">
        <v>46055</v>
      </c>
      <c r="H16" s="121" t="n">
        <v>46062</v>
      </c>
      <c r="I16" s="121" t="n">
        <v>46069</v>
      </c>
      <c r="J16" s="121" t="n">
        <v>46076</v>
      </c>
      <c r="K16" s="120" t="inlineStr">
        <is>
          <t>USOU</t>
        </is>
      </c>
      <c r="L16" s="121" t="n">
        <v>46083</v>
      </c>
      <c r="M16" s="121" t="n">
        <v>46090</v>
      </c>
      <c r="N16" s="121" t="n">
        <v>46097</v>
      </c>
      <c r="O16" s="121" t="n">
        <v>46104</v>
      </c>
      <c r="P16" s="121" t="n">
        <v>46111</v>
      </c>
      <c r="Q16" s="120" t="inlineStr">
        <is>
          <t>USOU</t>
        </is>
      </c>
      <c r="R16" s="121" t="n">
        <v>46118</v>
      </c>
      <c r="S16" s="121" t="n">
        <v>46125</v>
      </c>
      <c r="T16" s="121" t="n">
        <v>46132</v>
      </c>
      <c r="U16" s="121" t="n">
        <v>46139</v>
      </c>
      <c r="V16" s="120" t="inlineStr">
        <is>
          <t>USOU</t>
        </is>
      </c>
      <c r="W16" s="121" t="n">
        <v>46146</v>
      </c>
      <c r="X16" s="121" t="n">
        <v>46153</v>
      </c>
      <c r="Y16" s="121" t="n">
        <v>46160</v>
      </c>
      <c r="Z16" s="121" t="n">
        <v>46167</v>
      </c>
      <c r="AA16" s="120" t="inlineStr">
        <is>
          <t>USOU</t>
        </is>
      </c>
      <c r="AB16" s="121" t="n">
        <v>46174</v>
      </c>
      <c r="AC16" s="121" t="n">
        <v>46181</v>
      </c>
      <c r="AD16" s="121" t="n">
        <v>46188</v>
      </c>
      <c r="AE16" s="121" t="n">
        <v>46195</v>
      </c>
      <c r="AF16" s="121" t="n">
        <v>46202</v>
      </c>
      <c r="AG16" s="120" t="inlineStr">
        <is>
          <t>USOU</t>
        </is>
      </c>
      <c r="AH16" s="121" t="n">
        <v>46209</v>
      </c>
      <c r="AI16" s="121" t="n">
        <v>46216</v>
      </c>
      <c r="AJ16" s="121" t="n">
        <v>46223</v>
      </c>
      <c r="AK16" s="121" t="n">
        <v>46230</v>
      </c>
      <c r="AL16" s="120" t="inlineStr">
        <is>
          <t>USOU</t>
        </is>
      </c>
      <c r="AM16" s="121" t="n">
        <v>46237</v>
      </c>
      <c r="AN16" s="121" t="n">
        <v>46244</v>
      </c>
      <c r="AO16" s="121" t="n">
        <v>46251</v>
      </c>
      <c r="AP16" s="121" t="n">
        <v>46258</v>
      </c>
      <c r="AQ16" s="121" t="n">
        <v>46265</v>
      </c>
      <c r="AR16" s="120" t="inlineStr">
        <is>
          <t>USOU</t>
        </is>
      </c>
      <c r="AS16" s="121" t="n">
        <v>46272</v>
      </c>
      <c r="AT16" s="121" t="n">
        <v>46279</v>
      </c>
      <c r="AU16" s="121" t="n">
        <v>46286</v>
      </c>
      <c r="AV16" s="121" t="n">
        <v>46293</v>
      </c>
      <c r="AW16" s="120" t="inlineStr">
        <is>
          <t>USOU</t>
        </is>
      </c>
      <c r="AX16" s="121" t="n">
        <v>46300</v>
      </c>
      <c r="AY16" s="121" t="n">
        <v>46307</v>
      </c>
      <c r="AZ16" s="121" t="n">
        <v>46314</v>
      </c>
      <c r="BA16" s="121" t="n">
        <v>46321</v>
      </c>
      <c r="BB16" s="120" t="inlineStr">
        <is>
          <t>USOU</t>
        </is>
      </c>
      <c r="BC16" s="121" t="n">
        <v>46328</v>
      </c>
      <c r="BD16" s="121" t="n">
        <v>46335</v>
      </c>
      <c r="BE16" s="121" t="n">
        <v>46342</v>
      </c>
      <c r="BF16" s="121" t="n">
        <v>46349</v>
      </c>
      <c r="BG16" s="121" t="n">
        <v>46356</v>
      </c>
      <c r="BH16" s="120" t="inlineStr">
        <is>
          <t>USOU</t>
        </is>
      </c>
      <c r="BI16" s="121" t="n">
        <v>46363</v>
      </c>
      <c r="BJ16" s="121" t="n">
        <v>46370</v>
      </c>
      <c r="BK16" s="121" t="n">
        <v>46377</v>
      </c>
      <c r="BL16" s="121" t="n">
        <v>46384</v>
      </c>
      <c r="BM16" s="120" t="inlineStr">
        <is>
          <t>USOU</t>
        </is>
      </c>
    </row>
    <row r="17" ht="15.75" customHeight="1">
      <c r="A17" s="118" t="inlineStr">
        <is>
          <t>SACOLA PP VERDE</t>
        </is>
      </c>
      <c r="B17" s="115" t="n">
        <v>50</v>
      </c>
      <c r="C17" s="115" t="n">
        <v>130</v>
      </c>
      <c r="D17" s="115" t="n">
        <v>30</v>
      </c>
      <c r="E17" s="115" t="n">
        <v>130</v>
      </c>
      <c r="F17" s="114">
        <f>B17+C17+D17+E17</f>
        <v/>
      </c>
      <c r="G17" s="115" t="n">
        <v>100</v>
      </c>
      <c r="H17" s="115" t="n">
        <v>130</v>
      </c>
      <c r="I17" s="115" t="n">
        <v>80</v>
      </c>
      <c r="J17" s="115" t="n">
        <v>100</v>
      </c>
      <c r="K17" s="114">
        <f>G17+H17+I17+J17</f>
        <v/>
      </c>
      <c r="L17" s="115" t="n">
        <v>150</v>
      </c>
      <c r="M17" s="115" t="n">
        <v>130</v>
      </c>
      <c r="N17" s="115" t="n">
        <v>60</v>
      </c>
      <c r="O17" s="115" t="n">
        <v>140</v>
      </c>
      <c r="P17" s="115" t="n">
        <v>110</v>
      </c>
      <c r="Q17" s="114">
        <f>L17+M17+N17+O17+P17</f>
        <v/>
      </c>
      <c r="R17" s="115" t="n"/>
      <c r="S17" s="115" t="n"/>
      <c r="T17" s="115" t="n"/>
      <c r="U17" s="115" t="n"/>
      <c r="V17" s="114">
        <f>R17+S17+T17+U17</f>
        <v/>
      </c>
      <c r="W17" s="115" t="n">
        <v>150</v>
      </c>
      <c r="X17" s="115" t="n">
        <v>140</v>
      </c>
      <c r="Y17" s="115" t="n"/>
      <c r="Z17" s="115" t="n"/>
      <c r="AA17" s="114">
        <f>W17+X17+Y17+Z17</f>
        <v/>
      </c>
      <c r="AB17" s="115" t="n"/>
      <c r="AC17" s="115" t="n"/>
      <c r="AD17" s="115" t="n"/>
      <c r="AE17" s="115" t="n"/>
      <c r="AF17" s="115" t="n"/>
      <c r="AG17" s="114">
        <f>AB17+AC17+AD17+AE17+AF17</f>
        <v/>
      </c>
      <c r="AH17" s="115" t="n"/>
      <c r="AI17" s="115" t="n"/>
      <c r="AJ17" s="115" t="n"/>
      <c r="AK17" s="115" t="n"/>
      <c r="AL17" s="114">
        <f>AH17+AI17+AJ17+AK17</f>
        <v/>
      </c>
      <c r="AM17" s="115" t="n"/>
      <c r="AN17" s="115" t="n"/>
      <c r="AO17" s="115" t="n"/>
      <c r="AP17" s="115" t="n"/>
      <c r="AQ17" s="115" t="n"/>
      <c r="AR17" s="114">
        <f>AM17+AN17+AO17+AP17+AQ17</f>
        <v/>
      </c>
      <c r="AS17" s="115" t="n"/>
      <c r="AT17" s="115" t="n"/>
      <c r="AU17" s="115" t="n"/>
      <c r="AV17" s="115" t="n"/>
      <c r="AW17" s="114">
        <f>AS17+AT17+AU17+AV17</f>
        <v/>
      </c>
      <c r="AX17" s="115" t="n"/>
      <c r="AY17" s="115" t="n"/>
      <c r="AZ17" s="115" t="n"/>
      <c r="BA17" s="115" t="n"/>
      <c r="BB17" s="114">
        <f>AX17+AY17+AZ17+BA17</f>
        <v/>
      </c>
      <c r="BC17" s="115" t="n"/>
      <c r="BD17" s="115" t="n"/>
      <c r="BE17" s="115" t="n"/>
      <c r="BF17" s="115" t="n"/>
      <c r="BG17" s="115" t="n"/>
      <c r="BH17" s="114">
        <f>BC17+BD17+BE17+BF17+BG17</f>
        <v/>
      </c>
      <c r="BI17" s="115" t="n"/>
      <c r="BJ17" s="115" t="n"/>
      <c r="BK17" s="115" t="n"/>
      <c r="BL17" s="115" t="n"/>
      <c r="BM17" s="114">
        <f>BI17+BJ17+BK17+BL17</f>
        <v/>
      </c>
    </row>
    <row r="18" ht="15.75" customHeight="1">
      <c r="A18" s="118" t="inlineStr">
        <is>
          <t>SACOLA P VERDE</t>
        </is>
      </c>
      <c r="B18" s="115" t="n">
        <v>230</v>
      </c>
      <c r="C18" s="115" t="n">
        <v>440</v>
      </c>
      <c r="D18" s="115" t="n">
        <v>270</v>
      </c>
      <c r="E18" s="115" t="n">
        <v>260</v>
      </c>
      <c r="F18" s="114">
        <f>B18+C18+D18+E18</f>
        <v/>
      </c>
      <c r="G18" s="115" t="n">
        <v>360</v>
      </c>
      <c r="H18" s="115" t="n">
        <v>410</v>
      </c>
      <c r="I18" s="115" t="n">
        <v>300</v>
      </c>
      <c r="J18" s="115" t="n">
        <v>320</v>
      </c>
      <c r="K18" s="114">
        <f>G18+H18+I18+J18</f>
        <v/>
      </c>
      <c r="L18" s="115" t="n">
        <v>340</v>
      </c>
      <c r="M18" s="115" t="n">
        <v>560</v>
      </c>
      <c r="N18" s="115" t="n">
        <v>310</v>
      </c>
      <c r="O18" s="115" t="n">
        <v>260</v>
      </c>
      <c r="P18" s="115" t="n">
        <v>340</v>
      </c>
      <c r="Q18" s="114">
        <f>L18+M18+N18+O18+P18</f>
        <v/>
      </c>
      <c r="R18" s="115" t="n"/>
      <c r="S18" s="115" t="n"/>
      <c r="T18" s="115" t="n"/>
      <c r="U18" s="115" t="n"/>
      <c r="V18" s="114">
        <f>R18+S18+T18+U18</f>
        <v/>
      </c>
      <c r="W18" s="115" t="n">
        <v>0</v>
      </c>
      <c r="X18" s="115" t="n">
        <v>0</v>
      </c>
      <c r="Y18" s="115" t="n"/>
      <c r="Z18" s="115" t="n"/>
      <c r="AA18" s="114">
        <f>W18+X18+Y18+Z18</f>
        <v/>
      </c>
      <c r="AB18" s="115" t="n"/>
      <c r="AC18" s="115" t="n"/>
      <c r="AD18" s="115" t="n"/>
      <c r="AE18" s="115" t="n"/>
      <c r="AF18" s="115" t="n"/>
      <c r="AG18" s="114">
        <f>AB18+AC18+AD18+AE18+AF18</f>
        <v/>
      </c>
      <c r="AH18" s="115" t="n"/>
      <c r="AI18" s="115" t="n"/>
      <c r="AJ18" s="115" t="n"/>
      <c r="AK18" s="115" t="n"/>
      <c r="AL18" s="114">
        <f>AH18+AI18+AJ18+AK18</f>
        <v/>
      </c>
      <c r="AM18" s="115" t="n"/>
      <c r="AN18" s="115" t="n"/>
      <c r="AO18" s="115" t="n"/>
      <c r="AP18" s="115" t="n"/>
      <c r="AQ18" s="115" t="n"/>
      <c r="AR18" s="114">
        <f>AM18+AN18+AO18+AP18+AQ18</f>
        <v/>
      </c>
      <c r="AS18" s="115" t="n"/>
      <c r="AT18" s="115" t="n"/>
      <c r="AU18" s="115" t="n"/>
      <c r="AV18" s="115" t="n"/>
      <c r="AW18" s="114">
        <f>AS18+AT18+AU18+AV18</f>
        <v/>
      </c>
      <c r="AX18" s="115" t="n"/>
      <c r="AY18" s="115" t="n"/>
      <c r="AZ18" s="115" t="n"/>
      <c r="BA18" s="115" t="n"/>
      <c r="BB18" s="114">
        <f>AX18+AY18+AZ18+BA18</f>
        <v/>
      </c>
      <c r="BC18" s="115" t="n"/>
      <c r="BD18" s="115" t="n"/>
      <c r="BE18" s="115" t="n"/>
      <c r="BF18" s="115" t="n"/>
      <c r="BG18" s="115" t="n"/>
      <c r="BH18" s="114">
        <f>BC18+BD18+BE18+BF18+BG18</f>
        <v/>
      </c>
      <c r="BI18" s="115" t="n"/>
      <c r="BJ18" s="115" t="n"/>
      <c r="BK18" s="115" t="n"/>
      <c r="BL18" s="115" t="n"/>
      <c r="BM18" s="114">
        <f>BI18+BJ18+BK18+BL18</f>
        <v/>
      </c>
    </row>
    <row r="19" ht="15.75" customHeight="1">
      <c r="A19" s="118" t="inlineStr">
        <is>
          <t>SACOLA M VERDE</t>
        </is>
      </c>
      <c r="B19" s="115" t="n">
        <v>130</v>
      </c>
      <c r="C19" s="115" t="n">
        <v>170</v>
      </c>
      <c r="D19" s="115" t="n">
        <v>140</v>
      </c>
      <c r="E19" s="115" t="n">
        <v>30</v>
      </c>
      <c r="F19" s="114">
        <f>B19+C19+D19+E19</f>
        <v/>
      </c>
      <c r="G19" s="115" t="n">
        <v>230</v>
      </c>
      <c r="H19" s="115" t="n">
        <v>150</v>
      </c>
      <c r="I19" s="115" t="n">
        <v>90</v>
      </c>
      <c r="J19" s="115" t="n">
        <v>100</v>
      </c>
      <c r="K19" s="114">
        <f>G19+H19+I19+J19</f>
        <v/>
      </c>
      <c r="L19" s="115" t="n">
        <v>130</v>
      </c>
      <c r="M19" s="115" t="n">
        <v>250</v>
      </c>
      <c r="N19" s="115" t="n">
        <v>110</v>
      </c>
      <c r="O19" s="115" t="n">
        <v>140</v>
      </c>
      <c r="P19" s="115" t="n">
        <v>80</v>
      </c>
      <c r="Q19" s="114">
        <f>L19+M19+N19+O19+P19</f>
        <v/>
      </c>
      <c r="R19" s="115" t="n"/>
      <c r="S19" s="115" t="n"/>
      <c r="T19" s="115" t="n"/>
      <c r="U19" s="115" t="n"/>
      <c r="V19" s="114">
        <f>R19+S19+T19+U19</f>
        <v/>
      </c>
      <c r="W19" s="115" t="n">
        <v>0</v>
      </c>
      <c r="X19" s="115" t="n">
        <v>0</v>
      </c>
      <c r="Y19" s="115" t="n"/>
      <c r="Z19" s="115" t="n"/>
      <c r="AA19" s="114">
        <f>W19+X19+Y19+Z19</f>
        <v/>
      </c>
      <c r="AB19" s="115" t="n"/>
      <c r="AC19" s="115" t="n"/>
      <c r="AD19" s="115" t="n"/>
      <c r="AE19" s="115" t="n"/>
      <c r="AF19" s="115" t="n"/>
      <c r="AG19" s="114">
        <f>AB19+AC19+AD19+AE19+AF19</f>
        <v/>
      </c>
      <c r="AH19" s="115" t="n"/>
      <c r="AI19" s="115" t="n"/>
      <c r="AJ19" s="115" t="n"/>
      <c r="AK19" s="115" t="n"/>
      <c r="AL19" s="114">
        <f>AH19+AI19+AJ19+AK19</f>
        <v/>
      </c>
      <c r="AM19" s="115" t="n"/>
      <c r="AN19" s="115" t="n"/>
      <c r="AO19" s="115" t="n"/>
      <c r="AP19" s="115" t="n"/>
      <c r="AQ19" s="115" t="n"/>
      <c r="AR19" s="114">
        <f>AM19+AN19+AO19+AP19+AQ19</f>
        <v/>
      </c>
      <c r="AS19" s="115" t="n"/>
      <c r="AT19" s="115" t="n"/>
      <c r="AU19" s="115" t="n"/>
      <c r="AV19" s="115" t="n"/>
      <c r="AW19" s="114">
        <f>AS19+AT19+AU19+AV19</f>
        <v/>
      </c>
      <c r="AX19" s="115" t="n"/>
      <c r="AY19" s="115" t="n"/>
      <c r="AZ19" s="115" t="n"/>
      <c r="BA19" s="115" t="n"/>
      <c r="BB19" s="114">
        <f>AX19+AY19+AZ19+BA19</f>
        <v/>
      </c>
      <c r="BC19" s="115" t="n"/>
      <c r="BD19" s="115" t="n"/>
      <c r="BE19" s="115" t="n"/>
      <c r="BF19" s="115" t="n"/>
      <c r="BG19" s="115" t="n"/>
      <c r="BH19" s="114">
        <f>BC19+BD19+BE19+BF19+BG19</f>
        <v/>
      </c>
      <c r="BI19" s="115" t="n"/>
      <c r="BJ19" s="115" t="n"/>
      <c r="BK19" s="115" t="n"/>
      <c r="BL19" s="115" t="n"/>
      <c r="BM19" s="114">
        <f>BI19+BJ19+BK19+BL19</f>
        <v/>
      </c>
    </row>
    <row r="20" ht="15.75" customHeight="1">
      <c r="A20" s="117" t="inlineStr">
        <is>
          <t>SACOLA G VERDE</t>
        </is>
      </c>
      <c r="B20" s="115" t="n">
        <v>0</v>
      </c>
      <c r="C20" s="115" t="n">
        <v>10</v>
      </c>
      <c r="D20" s="115" t="n">
        <v>0</v>
      </c>
      <c r="E20" s="115" t="n">
        <v>20</v>
      </c>
      <c r="F20" s="114">
        <f>B20+C20+D20+E20</f>
        <v/>
      </c>
      <c r="G20" s="115" t="n">
        <v>0</v>
      </c>
      <c r="H20" s="115" t="n">
        <v>0</v>
      </c>
      <c r="I20" s="115" t="n">
        <v>10</v>
      </c>
      <c r="J20" s="115" t="n">
        <v>0</v>
      </c>
      <c r="K20" s="114">
        <f>G20+H20+I20+J20</f>
        <v/>
      </c>
      <c r="L20" s="115" t="n">
        <v>0</v>
      </c>
      <c r="M20" s="115" t="n">
        <v>40</v>
      </c>
      <c r="N20" s="115" t="n">
        <v>30</v>
      </c>
      <c r="O20" s="115" t="n">
        <v>0</v>
      </c>
      <c r="P20" s="115" t="n">
        <v>0</v>
      </c>
      <c r="Q20" s="114">
        <f>L20+M20+N20+O20+P20</f>
        <v/>
      </c>
      <c r="R20" s="115" t="n"/>
      <c r="S20" s="115" t="n"/>
      <c r="T20" s="115" t="n"/>
      <c r="U20" s="115" t="n"/>
      <c r="V20" s="114">
        <f>R20+S20+T20+U20</f>
        <v/>
      </c>
      <c r="W20" s="115" t="n">
        <v>0</v>
      </c>
      <c r="X20" s="115" t="n">
        <v>10</v>
      </c>
      <c r="Y20" s="115" t="n"/>
      <c r="Z20" s="115" t="n"/>
      <c r="AA20" s="114">
        <f>W20+X20+Y20+Z20</f>
        <v/>
      </c>
      <c r="AB20" s="115" t="n"/>
      <c r="AC20" s="115" t="n"/>
      <c r="AD20" s="115" t="n"/>
      <c r="AE20" s="115" t="n"/>
      <c r="AF20" s="115" t="n"/>
      <c r="AG20" s="114">
        <f>AB20+AC20+AD20+AE20+AF20</f>
        <v/>
      </c>
      <c r="AH20" s="115" t="n"/>
      <c r="AI20" s="115" t="n"/>
      <c r="AJ20" s="115" t="n"/>
      <c r="AK20" s="115" t="n"/>
      <c r="AL20" s="114">
        <f>AH20+AI20+AJ20+AK20</f>
        <v/>
      </c>
      <c r="AM20" s="115" t="n"/>
      <c r="AN20" s="115" t="n"/>
      <c r="AO20" s="115" t="n"/>
      <c r="AP20" s="115" t="n"/>
      <c r="AQ20" s="115" t="n"/>
      <c r="AR20" s="114">
        <f>AM20+AN20+AO20+AP20+AQ20</f>
        <v/>
      </c>
      <c r="AS20" s="115" t="n"/>
      <c r="AT20" s="115" t="n"/>
      <c r="AU20" s="115" t="n"/>
      <c r="AV20" s="115" t="n"/>
      <c r="AW20" s="114">
        <f>AS20+AT20+AU20+AV20</f>
        <v/>
      </c>
      <c r="AX20" s="115" t="n"/>
      <c r="AY20" s="115" t="n"/>
      <c r="AZ20" s="115" t="n"/>
      <c r="BA20" s="115" t="n"/>
      <c r="BB20" s="114">
        <f>AX20+AY20+AZ20+BA20</f>
        <v/>
      </c>
      <c r="BC20" s="115" t="n"/>
      <c r="BD20" s="115" t="n"/>
      <c r="BE20" s="115" t="n"/>
      <c r="BF20" s="115" t="n"/>
      <c r="BG20" s="115" t="n"/>
      <c r="BH20" s="114">
        <f>BC20+BD20+BE20+BF20+BG20</f>
        <v/>
      </c>
      <c r="BI20" s="115" t="n"/>
      <c r="BJ20" s="115" t="n"/>
      <c r="BK20" s="115" t="n"/>
      <c r="BL20" s="115" t="n"/>
      <c r="BM20" s="114">
        <f>BI20+BJ20+BK20+BL20</f>
        <v/>
      </c>
    </row>
    <row r="21" ht="15.75" customHeight="1">
      <c r="A21" s="116" t="inlineStr">
        <is>
          <t xml:space="preserve">PAPEL DE SEDA </t>
        </is>
      </c>
      <c r="B21" s="115" t="n">
        <v>2</v>
      </c>
      <c r="C21" s="115" t="n">
        <v>2</v>
      </c>
      <c r="D21" s="115" t="n">
        <v>2</v>
      </c>
      <c r="E21" s="115" t="n">
        <v>1</v>
      </c>
      <c r="F21" s="114">
        <f>B21+C21+D21+E21</f>
        <v/>
      </c>
      <c r="G21" s="115" t="n">
        <v>2</v>
      </c>
      <c r="H21" s="115" t="n">
        <v>2</v>
      </c>
      <c r="I21" s="115" t="n">
        <v>1</v>
      </c>
      <c r="J21" s="115" t="n">
        <v>2</v>
      </c>
      <c r="K21" s="114">
        <f>G21+H21+I21+J21</f>
        <v/>
      </c>
      <c r="L21" s="115" t="n">
        <v>1</v>
      </c>
      <c r="M21" s="115" t="n">
        <v>2</v>
      </c>
      <c r="N21" s="115" t="n">
        <v>2</v>
      </c>
      <c r="O21" s="115" t="n">
        <v>1</v>
      </c>
      <c r="P21" s="115" t="n">
        <v>1</v>
      </c>
      <c r="Q21" s="114">
        <f>L21+M21+N21+O21+P21</f>
        <v/>
      </c>
      <c r="R21" s="115" t="n"/>
      <c r="S21" s="115" t="n"/>
      <c r="T21" s="115" t="n"/>
      <c r="U21" s="115" t="n"/>
      <c r="V21" s="114">
        <f>R21+S21+T21+U21</f>
        <v/>
      </c>
      <c r="W21" s="115" t="n">
        <v>0</v>
      </c>
      <c r="X21" s="115" t="n">
        <v>8</v>
      </c>
      <c r="Y21" s="115" t="n"/>
      <c r="Z21" s="115" t="n"/>
      <c r="AA21" s="114">
        <f>W21+X21+Y21+Z21</f>
        <v/>
      </c>
      <c r="AB21" s="115" t="n"/>
      <c r="AC21" s="115" t="n"/>
      <c r="AD21" s="115" t="n"/>
      <c r="AE21" s="115" t="n"/>
      <c r="AF21" s="115" t="n"/>
      <c r="AG21" s="114">
        <f>AB21+AC21+AD21+AE21+AF21</f>
        <v/>
      </c>
      <c r="AH21" s="115" t="n"/>
      <c r="AI21" s="115" t="n"/>
      <c r="AJ21" s="115" t="n"/>
      <c r="AK21" s="115" t="n"/>
      <c r="AL21" s="114">
        <f>AH21+AI21+AJ21+AK21</f>
        <v/>
      </c>
      <c r="AM21" s="115" t="n"/>
      <c r="AN21" s="115" t="n"/>
      <c r="AO21" s="115" t="n"/>
      <c r="AP21" s="115" t="n"/>
      <c r="AQ21" s="115" t="n"/>
      <c r="AR21" s="114">
        <f>AM21+AN21+AO21+AP21+AQ21</f>
        <v/>
      </c>
      <c r="AS21" s="115" t="n"/>
      <c r="AT21" s="115" t="n"/>
      <c r="AU21" s="115" t="n"/>
      <c r="AV21" s="115" t="n"/>
      <c r="AW21" s="114">
        <f>AS21+AT21+AU21+AV21</f>
        <v/>
      </c>
      <c r="AX21" s="115" t="n"/>
      <c r="AY21" s="115" t="n"/>
      <c r="AZ21" s="115" t="n"/>
      <c r="BA21" s="115" t="n"/>
      <c r="BB21" s="114">
        <f>AX21+AY21+AZ21+BA21</f>
        <v/>
      </c>
      <c r="BC21" s="115" t="n"/>
      <c r="BD21" s="115" t="n"/>
      <c r="BE21" s="115" t="n"/>
      <c r="BF21" s="115" t="n"/>
      <c r="BG21" s="115" t="n"/>
      <c r="BH21" s="114">
        <f>BC21+BD21+BE21+BF21+BG21</f>
        <v/>
      </c>
      <c r="BI21" s="115" t="n"/>
      <c r="BJ21" s="115" t="n"/>
      <c r="BK21" s="115" t="n"/>
      <c r="BL21" s="115" t="n"/>
      <c r="BM21" s="114">
        <f>BI21+BJ21+BK21+BL21</f>
        <v/>
      </c>
    </row>
    <row r="22" ht="15.75" customHeight="1">
      <c r="A22" s="116" t="inlineStr">
        <is>
          <t>ETIQUETAS</t>
        </is>
      </c>
      <c r="B22" s="115" t="n">
        <v>1</v>
      </c>
      <c r="C22" s="115" t="n">
        <v>1</v>
      </c>
      <c r="D22" s="115" t="n">
        <v>1</v>
      </c>
      <c r="E22" s="115" t="n">
        <v>1</v>
      </c>
      <c r="F22" s="114">
        <f>B22+C22+D22+E22</f>
        <v/>
      </c>
      <c r="G22" s="115" t="n">
        <v>0</v>
      </c>
      <c r="H22" s="115" t="n">
        <v>0</v>
      </c>
      <c r="I22" s="115" t="n">
        <v>0</v>
      </c>
      <c r="J22" s="115" t="n">
        <v>0</v>
      </c>
      <c r="K22" s="114">
        <f>G22+H22+I22+J22</f>
        <v/>
      </c>
      <c r="L22" s="115" t="n">
        <v>0</v>
      </c>
      <c r="M22" s="115" t="n">
        <v>0</v>
      </c>
      <c r="N22" s="115" t="n">
        <v>1</v>
      </c>
      <c r="O22" s="115" t="n">
        <v>0</v>
      </c>
      <c r="P22" s="115" t="n">
        <v>0</v>
      </c>
      <c r="Q22" s="114">
        <f>L22+M22+N22+O22+P22</f>
        <v/>
      </c>
      <c r="R22" s="115" t="n"/>
      <c r="S22" s="115" t="n"/>
      <c r="T22" s="115" t="n"/>
      <c r="U22" s="115" t="n"/>
      <c r="V22" s="114">
        <f>R22+S22+T22+U22</f>
        <v/>
      </c>
      <c r="W22" s="115" t="n">
        <v>0</v>
      </c>
      <c r="X22" s="115" t="n">
        <v>3</v>
      </c>
      <c r="Y22" s="115" t="n"/>
      <c r="Z22" s="115" t="n"/>
      <c r="AA22" s="114">
        <f>W22+X22+Y22+Z22</f>
        <v/>
      </c>
      <c r="AB22" s="115" t="n"/>
      <c r="AC22" s="115" t="n"/>
      <c r="AD22" s="115" t="n"/>
      <c r="AE22" s="115" t="n"/>
      <c r="AF22" s="115" t="n"/>
      <c r="AG22" s="114">
        <f>AB22+AC22+AD22+AE22+AF22</f>
        <v/>
      </c>
      <c r="AH22" s="115" t="n"/>
      <c r="AI22" s="115" t="n"/>
      <c r="AJ22" s="115" t="n"/>
      <c r="AK22" s="115" t="n"/>
      <c r="AL22" s="114">
        <f>AH22+AI22+AJ22+AK22</f>
        <v/>
      </c>
      <c r="AM22" s="115" t="n"/>
      <c r="AN22" s="115" t="n"/>
      <c r="AO22" s="115" t="n"/>
      <c r="AP22" s="115" t="n"/>
      <c r="AQ22" s="115" t="n"/>
      <c r="AR22" s="114">
        <f>AM22+AN22+AO22+AP22+AQ22</f>
        <v/>
      </c>
      <c r="AS22" s="115" t="n"/>
      <c r="AT22" s="115" t="n"/>
      <c r="AU22" s="115" t="n"/>
      <c r="AV22" s="115" t="n"/>
      <c r="AW22" s="114">
        <f>AS22+AT22+AU22+AV22</f>
        <v/>
      </c>
      <c r="AX22" s="115" t="n"/>
      <c r="AY22" s="115" t="n"/>
      <c r="AZ22" s="115" t="n"/>
      <c r="BA22" s="115" t="n"/>
      <c r="BB22" s="114">
        <f>AX22+AY22+AZ22+BA22</f>
        <v/>
      </c>
      <c r="BC22" s="115" t="n"/>
      <c r="BD22" s="115" t="n"/>
      <c r="BE22" s="115" t="n"/>
      <c r="BF22" s="115" t="n"/>
      <c r="BG22" s="115" t="n"/>
      <c r="BH22" s="114">
        <f>BC22+BD22+BE22+BF22+BG22</f>
        <v/>
      </c>
      <c r="BI22" s="115" t="n"/>
      <c r="BJ22" s="115" t="n"/>
      <c r="BK22" s="115" t="n"/>
      <c r="BL22" s="115" t="n"/>
      <c r="BM22" s="114">
        <f>BI22+BJ22+BK22+BL22</f>
        <v/>
      </c>
    </row>
    <row r="23" ht="15.75" customHeight="1">
      <c r="A23" s="116" t="inlineStr">
        <is>
          <t xml:space="preserve">TAGS </t>
        </is>
      </c>
      <c r="B23" s="115" t="n">
        <v>1</v>
      </c>
      <c r="C23" s="115" t="n">
        <v>1</v>
      </c>
      <c r="D23" s="115" t="n">
        <v>1</v>
      </c>
      <c r="E23" s="115" t="n">
        <v>0</v>
      </c>
      <c r="F23" s="114">
        <f>B23+C23+D23+E23</f>
        <v/>
      </c>
      <c r="G23" s="115" t="n">
        <v>0</v>
      </c>
      <c r="H23" s="115" t="n">
        <v>1</v>
      </c>
      <c r="I23" s="115" t="n">
        <v>1</v>
      </c>
      <c r="J23" s="115" t="n">
        <v>1</v>
      </c>
      <c r="K23" s="114">
        <f>G23+H23+I23+J23</f>
        <v/>
      </c>
      <c r="L23" s="115" t="n">
        <v>0</v>
      </c>
      <c r="M23" s="115" t="n">
        <v>3</v>
      </c>
      <c r="N23" s="115" t="n">
        <v>0</v>
      </c>
      <c r="O23" s="115" t="n">
        <v>1</v>
      </c>
      <c r="P23" s="115" t="n">
        <v>1</v>
      </c>
      <c r="Q23" s="114">
        <f>L23+M23+N23+O23+P23</f>
        <v/>
      </c>
      <c r="R23" s="115" t="n"/>
      <c r="S23" s="115" t="n"/>
      <c r="T23" s="115" t="n"/>
      <c r="U23" s="115" t="n"/>
      <c r="V23" s="114">
        <f>R23+S23+T23+U23</f>
        <v/>
      </c>
      <c r="W23" s="115" t="n">
        <v>1</v>
      </c>
      <c r="X23" s="115" t="n">
        <v>1</v>
      </c>
      <c r="Y23" s="115" t="n"/>
      <c r="Z23" s="115" t="n"/>
      <c r="AA23" s="114">
        <f>W23+X23+Y23+Z23</f>
        <v/>
      </c>
      <c r="AB23" s="115" t="n"/>
      <c r="AC23" s="115" t="n"/>
      <c r="AD23" s="115" t="n"/>
      <c r="AE23" s="115" t="n"/>
      <c r="AF23" s="115" t="n"/>
      <c r="AG23" s="114">
        <f>AB23+AC23+AD23+AE23+AF23</f>
        <v/>
      </c>
      <c r="AH23" s="115" t="n"/>
      <c r="AI23" s="115" t="n"/>
      <c r="AJ23" s="115" t="n"/>
      <c r="AK23" s="115" t="n"/>
      <c r="AL23" s="114">
        <f>AH23+AI23+AJ23+AK23</f>
        <v/>
      </c>
      <c r="AM23" s="115" t="n"/>
      <c r="AN23" s="115" t="n"/>
      <c r="AO23" s="115" t="n"/>
      <c r="AP23" s="115" t="n"/>
      <c r="AQ23" s="115" t="n"/>
      <c r="AR23" s="114">
        <f>AM23+AN23+AO23+AP23+AQ23</f>
        <v/>
      </c>
      <c r="AS23" s="115" t="n"/>
      <c r="AT23" s="115" t="n"/>
      <c r="AU23" s="115" t="n"/>
      <c r="AV23" s="115" t="n"/>
      <c r="AW23" s="114">
        <f>AS23+AT23+AU23+AV23</f>
        <v/>
      </c>
      <c r="AX23" s="115" t="n"/>
      <c r="AY23" s="115" t="n"/>
      <c r="AZ23" s="115" t="n"/>
      <c r="BA23" s="115" t="n"/>
      <c r="BB23" s="114">
        <f>AX23+AY23+AZ23+BA23</f>
        <v/>
      </c>
      <c r="BC23" s="115" t="n"/>
      <c r="BD23" s="115" t="n"/>
      <c r="BE23" s="115" t="n"/>
      <c r="BF23" s="115" t="n"/>
      <c r="BG23" s="115" t="n"/>
      <c r="BH23" s="114">
        <f>BC23+BD23+BE23+BF23+BG23</f>
        <v/>
      </c>
      <c r="BI23" s="115" t="n"/>
      <c r="BJ23" s="115" t="n"/>
      <c r="BK23" s="115" t="n"/>
      <c r="BL23" s="115" t="n"/>
      <c r="BM23" s="114">
        <f>BI23+BJ23+BK23+BL23</f>
        <v/>
      </c>
    </row>
    <row r="24" ht="15.75" customHeight="1">
      <c r="A24" s="116" t="inlineStr">
        <is>
          <t>LÂMINA OLFATIVA</t>
        </is>
      </c>
      <c r="B24" s="115" t="n">
        <v>1</v>
      </c>
      <c r="C24" s="115" t="n">
        <v>1</v>
      </c>
      <c r="D24" s="115" t="n">
        <v>0</v>
      </c>
      <c r="E24" s="115" t="n">
        <v>1</v>
      </c>
      <c r="F24" s="114">
        <f>B24+C24+D24+E24</f>
        <v/>
      </c>
      <c r="G24" s="115" t="n">
        <v>0</v>
      </c>
      <c r="H24" s="115" t="n">
        <v>1</v>
      </c>
      <c r="I24" s="115" t="n">
        <v>0</v>
      </c>
      <c r="J24" s="115" t="n">
        <v>1</v>
      </c>
      <c r="K24" s="114">
        <f>G24+H24+I24+J24</f>
        <v/>
      </c>
      <c r="L24" s="115" t="n">
        <v>1</v>
      </c>
      <c r="M24" s="115" t="n">
        <v>0</v>
      </c>
      <c r="N24" s="115" t="n">
        <v>1</v>
      </c>
      <c r="O24" s="115" t="n">
        <v>0</v>
      </c>
      <c r="P24" s="115" t="n">
        <v>1</v>
      </c>
      <c r="Q24" s="114">
        <f>L24+M24+N24+O24+P24</f>
        <v/>
      </c>
      <c r="R24" s="115" t="n"/>
      <c r="S24" s="115" t="n"/>
      <c r="T24" s="115" t="n"/>
      <c r="U24" s="115" t="n"/>
      <c r="V24" s="114">
        <f>R24+S24+T24+U24</f>
        <v/>
      </c>
      <c r="W24" s="115" t="n">
        <v>1</v>
      </c>
      <c r="X24" s="115" t="n">
        <v>2</v>
      </c>
      <c r="Y24" s="115" t="n"/>
      <c r="Z24" s="115" t="n"/>
      <c r="AA24" s="114">
        <f>W24+X24+Y24+Z24</f>
        <v/>
      </c>
      <c r="AB24" s="115" t="n"/>
      <c r="AC24" s="115" t="n"/>
      <c r="AD24" s="115" t="n"/>
      <c r="AE24" s="115" t="n"/>
      <c r="AF24" s="115" t="n"/>
      <c r="AG24" s="114">
        <f>AB24+AC24+AD24+AE24+AF24</f>
        <v/>
      </c>
      <c r="AH24" s="115" t="n"/>
      <c r="AI24" s="115" t="n"/>
      <c r="AJ24" s="115" t="n"/>
      <c r="AK24" s="115" t="n"/>
      <c r="AL24" s="114">
        <f>AH24+AI24+AJ24+AK24</f>
        <v/>
      </c>
      <c r="AM24" s="115" t="n"/>
      <c r="AN24" s="115" t="n"/>
      <c r="AO24" s="115" t="n"/>
      <c r="AP24" s="115" t="n"/>
      <c r="AQ24" s="115" t="n"/>
      <c r="AR24" s="114">
        <f>AM24+AN24+AO24+AP24+AQ24</f>
        <v/>
      </c>
      <c r="AS24" s="115" t="n"/>
      <c r="AT24" s="115" t="n"/>
      <c r="AU24" s="115" t="n"/>
      <c r="AV24" s="115" t="n"/>
      <c r="AW24" s="114">
        <f>AS24+AT24+AU24+AV24</f>
        <v/>
      </c>
      <c r="AX24" s="115" t="n"/>
      <c r="AY24" s="115" t="n"/>
      <c r="AZ24" s="115" t="n"/>
      <c r="BA24" s="115" t="n"/>
      <c r="BB24" s="114">
        <f>AX24+AY24+AZ24+BA24</f>
        <v/>
      </c>
      <c r="BC24" s="115" t="n"/>
      <c r="BD24" s="115" t="n"/>
      <c r="BE24" s="115" t="n"/>
      <c r="BF24" s="115" t="n"/>
      <c r="BG24" s="115" t="n"/>
      <c r="BH24" s="114">
        <f>BC24+BD24+BE24+BF24+BG24</f>
        <v/>
      </c>
      <c r="BI24" s="115" t="n"/>
      <c r="BJ24" s="115" t="n"/>
      <c r="BK24" s="115" t="n"/>
      <c r="BL24" s="115" t="n"/>
      <c r="BM24" s="114">
        <f>BI24+BJ24+BK24+BL24</f>
        <v/>
      </c>
    </row>
    <row r="25" ht="15.75" customHeight="1">
      <c r="A25" s="113" t="inlineStr">
        <is>
          <t>TOTAL DE SACOLAS</t>
        </is>
      </c>
      <c r="B25" s="112">
        <f>SUM(B17:B20)</f>
        <v/>
      </c>
      <c r="C25" s="112">
        <f>SUM(C17:C20)</f>
        <v/>
      </c>
      <c r="D25" s="112">
        <f>SUM(D17:D20)</f>
        <v/>
      </c>
      <c r="E25" s="112">
        <f>SUM(E17:E20)</f>
        <v/>
      </c>
      <c r="F25" s="112">
        <f>SUM(F17:F20)</f>
        <v/>
      </c>
      <c r="G25" s="112">
        <f>SUM(G17:G20)</f>
        <v/>
      </c>
      <c r="H25" s="112">
        <f>SUM(H17:H20)</f>
        <v/>
      </c>
      <c r="I25" s="112">
        <f>SUM(I17:I20)</f>
        <v/>
      </c>
      <c r="J25" s="112">
        <f>SUM(J17:J20)</f>
        <v/>
      </c>
      <c r="K25" s="112">
        <f>SUM(K17:K20)</f>
        <v/>
      </c>
      <c r="L25" s="112">
        <f>SUM(L17:L20)</f>
        <v/>
      </c>
      <c r="M25" s="112">
        <f>SUM(M17:M20)</f>
        <v/>
      </c>
      <c r="N25" s="112">
        <f>SUM(N17:N20)</f>
        <v/>
      </c>
      <c r="O25" s="112">
        <f>SUM(O17:O20)</f>
        <v/>
      </c>
      <c r="P25" s="112">
        <f>SUM(P17:P20)</f>
        <v/>
      </c>
      <c r="Q25" s="112">
        <f>SUM(Q17:Q20)</f>
        <v/>
      </c>
      <c r="R25" s="112">
        <f>SUM(R17:R20)</f>
        <v/>
      </c>
      <c r="S25" s="112">
        <f>SUM(S17:S20)</f>
        <v/>
      </c>
      <c r="T25" s="112">
        <f>SUM(T17:T20)</f>
        <v/>
      </c>
      <c r="U25" s="112">
        <f>SUM(U17:U20)</f>
        <v/>
      </c>
      <c r="V25" s="112">
        <f>SUM(V17:V20)</f>
        <v/>
      </c>
      <c r="W25" s="112">
        <f>SUM(W17:W20)</f>
        <v/>
      </c>
      <c r="X25" s="112">
        <f>SUM(X17:X20)</f>
        <v/>
      </c>
      <c r="Y25" s="112">
        <f>SUM(Y17:Y20)</f>
        <v/>
      </c>
      <c r="Z25" s="112">
        <f>SUM(Z17:Z20)</f>
        <v/>
      </c>
      <c r="AA25" s="112">
        <f>SUM(AA17:AA20)</f>
        <v/>
      </c>
      <c r="AB25" s="112">
        <f>SUM(AB17:AB20)</f>
        <v/>
      </c>
      <c r="AC25" s="112">
        <f>SUM(AC17:AC20)</f>
        <v/>
      </c>
      <c r="AD25" s="112">
        <f>SUM(AD17:AD20)</f>
        <v/>
      </c>
      <c r="AE25" s="112">
        <f>SUM(AE17:AE20)</f>
        <v/>
      </c>
      <c r="AF25" s="112">
        <f>SUM(AF17:AF20)</f>
        <v/>
      </c>
      <c r="AG25" s="112">
        <f>SUM(AG17:AG20)</f>
        <v/>
      </c>
      <c r="AH25" s="112">
        <f>SUM(AH17:AH20)</f>
        <v/>
      </c>
      <c r="AI25" s="112">
        <f>SUM(AI17:AI20)</f>
        <v/>
      </c>
      <c r="AJ25" s="112">
        <f>SUM(AJ17:AJ20)</f>
        <v/>
      </c>
      <c r="AK25" s="112">
        <f>SUM(AK17:AK20)</f>
        <v/>
      </c>
      <c r="AL25" s="112">
        <f>SUM(AL17:AL20)</f>
        <v/>
      </c>
      <c r="AM25" s="112">
        <f>SUM(AM17:AM20)</f>
        <v/>
      </c>
      <c r="AN25" s="112">
        <f>SUM(AN17:AN20)</f>
        <v/>
      </c>
      <c r="AO25" s="112">
        <f>SUM(AO17:AO20)</f>
        <v/>
      </c>
      <c r="AP25" s="112">
        <f>SUM(AP17:AP20)</f>
        <v/>
      </c>
      <c r="AQ25" s="112">
        <f>SUM(AQ17:AQ20)</f>
        <v/>
      </c>
      <c r="AR25" s="112">
        <f>SUM(AR17:AR20)</f>
        <v/>
      </c>
      <c r="AS25" s="112">
        <f>SUM(AS17:AS20)</f>
        <v/>
      </c>
      <c r="AT25" s="112">
        <f>SUM(AT17:AT20)</f>
        <v/>
      </c>
      <c r="AU25" s="112">
        <f>SUM(AU17:AU20)</f>
        <v/>
      </c>
      <c r="AV25" s="112">
        <f>SUM(AV17:AV20)</f>
        <v/>
      </c>
      <c r="AW25" s="112">
        <f>SUM(AW17:AW20)</f>
        <v/>
      </c>
      <c r="AX25" s="112">
        <f>SUM(AX17:AX20)</f>
        <v/>
      </c>
      <c r="AY25" s="112">
        <f>SUM(AY17:AY20)</f>
        <v/>
      </c>
      <c r="AZ25" s="112">
        <f>SUM(AZ17:AZ20)</f>
        <v/>
      </c>
      <c r="BA25" s="112">
        <f>SUM(BA17:BA20)</f>
        <v/>
      </c>
      <c r="BB25" s="112">
        <f>SUM(BB17:BB20)</f>
        <v/>
      </c>
      <c r="BC25" s="112">
        <f>SUM(BC17:BC20)</f>
        <v/>
      </c>
      <c r="BD25" s="112">
        <f>SUM(BD17:BD20)</f>
        <v/>
      </c>
      <c r="BE25" s="112">
        <f>SUM(BE17:BE20)</f>
        <v/>
      </c>
      <c r="BF25" s="112">
        <f>SUM(BF17:BF20)</f>
        <v/>
      </c>
      <c r="BG25" s="112">
        <f>SUM(BG17:BG20)</f>
        <v/>
      </c>
      <c r="BH25" s="112">
        <f>SUM(BH17:BH20)</f>
        <v/>
      </c>
      <c r="BI25" s="112">
        <f>SUM(BI17:BI20)</f>
        <v/>
      </c>
      <c r="BJ25" s="112">
        <f>SUM(BJ17:BJ20)</f>
        <v/>
      </c>
      <c r="BK25" s="112">
        <f>SUM(BK17:BK20)</f>
        <v/>
      </c>
      <c r="BL25" s="112">
        <f>SUM(BL17:BL20)</f>
        <v/>
      </c>
      <c r="BM25" s="112">
        <f>SUM(BM17:BM20)</f>
        <v/>
      </c>
    </row>
    <row r="27" ht="18" customHeight="1">
      <c r="A27" s="577" t="inlineStr">
        <is>
          <t>GASTO DE SACOLAS E ITENS DOADOS 2026 - MENSAIS</t>
        </is>
      </c>
      <c r="B27" s="844" t="n"/>
      <c r="C27" s="844" t="n"/>
      <c r="D27" s="844" t="n"/>
      <c r="E27" s="844" t="n"/>
      <c r="F27" s="844" t="n"/>
      <c r="G27" s="844" t="n"/>
      <c r="H27" s="844" t="n"/>
      <c r="I27" s="844" t="n"/>
      <c r="J27" s="844" t="n"/>
      <c r="K27" s="844" t="n"/>
      <c r="L27" s="844" t="n"/>
      <c r="M27" s="844" t="n"/>
      <c r="N27" s="844" t="n"/>
      <c r="O27" s="844" t="n"/>
      <c r="P27" s="844" t="n"/>
      <c r="Q27" s="844" t="n"/>
      <c r="R27" s="844" t="n"/>
      <c r="S27" s="844" t="n"/>
      <c r="T27" s="844" t="n"/>
      <c r="U27" s="844" t="n"/>
      <c r="V27" s="844" t="n"/>
      <c r="W27" s="844" t="n"/>
      <c r="X27" s="844" t="n"/>
      <c r="Y27" s="844" t="n"/>
      <c r="Z27" s="844" t="n"/>
      <c r="AA27" s="844" t="n"/>
      <c r="AB27" s="844" t="n"/>
      <c r="AC27" s="844" t="n"/>
      <c r="AD27" s="844" t="n"/>
      <c r="AE27" s="844" t="n"/>
      <c r="AF27" s="844" t="n"/>
      <c r="AG27" s="844" t="n"/>
      <c r="AH27" s="844" t="n"/>
      <c r="AI27" s="844" t="n"/>
      <c r="AJ27" s="844" t="n"/>
      <c r="AK27" s="844" t="n"/>
      <c r="AL27" s="844" t="n"/>
      <c r="AM27" s="844" t="n"/>
      <c r="AN27" s="844" t="n"/>
      <c r="AO27" s="844" t="n"/>
      <c r="AP27" s="844" t="n"/>
      <c r="AQ27" s="844" t="n"/>
      <c r="AR27" s="844" t="n"/>
      <c r="AS27" s="844" t="n"/>
      <c r="AT27" s="844" t="n"/>
      <c r="AU27" s="844" t="n"/>
      <c r="AV27" s="844" t="n"/>
      <c r="AW27" s="844" t="n"/>
      <c r="AX27" s="844" t="n"/>
      <c r="AY27" s="844" t="n"/>
      <c r="AZ27" s="844" t="n"/>
      <c r="BA27" s="844" t="n"/>
      <c r="BB27" s="844" t="n"/>
      <c r="BC27" s="844" t="n"/>
      <c r="BD27" s="844" t="n"/>
      <c r="BE27" s="844" t="n"/>
      <c r="BF27" s="844" t="n"/>
      <c r="BG27" s="844" t="n"/>
      <c r="BH27" s="844" t="n"/>
      <c r="BI27" s="844" t="n"/>
      <c r="BJ27" s="844" t="n"/>
      <c r="BK27" s="844" t="n"/>
      <c r="BL27" s="844" t="n"/>
      <c r="BM27" s="844" t="n"/>
    </row>
    <row r="28" ht="18" customHeight="1">
      <c r="A28" s="845" t="inlineStr">
        <is>
          <t>TAUSTE RIO</t>
        </is>
      </c>
      <c r="B28" s="845" t="inlineStr">
        <is>
          <t>JANEIRO</t>
        </is>
      </c>
      <c r="C28" s="846" t="n"/>
      <c r="D28" s="846" t="n"/>
      <c r="E28" s="846" t="n"/>
      <c r="F28" s="847" t="n"/>
      <c r="G28" s="845" t="inlineStr">
        <is>
          <t>FEVEREIRO</t>
        </is>
      </c>
      <c r="H28" s="846" t="n"/>
      <c r="I28" s="846" t="n"/>
      <c r="J28" s="846" t="n"/>
      <c r="K28" s="847" t="n"/>
      <c r="L28" s="845" t="inlineStr">
        <is>
          <t>MARÇO</t>
        </is>
      </c>
      <c r="M28" s="846" t="n"/>
      <c r="N28" s="846" t="n"/>
      <c r="O28" s="846" t="n"/>
      <c r="P28" s="846" t="n"/>
      <c r="Q28" s="847" t="n"/>
      <c r="R28" s="845" t="inlineStr">
        <is>
          <t>ABRIL</t>
        </is>
      </c>
      <c r="S28" s="846" t="n"/>
      <c r="T28" s="846" t="n"/>
      <c r="U28" s="846" t="n"/>
      <c r="V28" s="847" t="n"/>
      <c r="W28" s="845" t="inlineStr">
        <is>
          <t>MAIO</t>
        </is>
      </c>
      <c r="X28" s="846" t="n"/>
      <c r="Y28" s="846" t="n"/>
      <c r="Z28" s="846" t="n"/>
      <c r="AA28" s="847" t="n"/>
      <c r="AB28" s="845" t="inlineStr">
        <is>
          <t>JUNHO</t>
        </is>
      </c>
      <c r="AC28" s="846" t="n"/>
      <c r="AD28" s="846" t="n"/>
      <c r="AE28" s="846" t="n"/>
      <c r="AF28" s="846" t="n"/>
      <c r="AG28" s="847" t="n"/>
      <c r="AH28" s="845" t="inlineStr">
        <is>
          <t>JULHO</t>
        </is>
      </c>
      <c r="AI28" s="846" t="n"/>
      <c r="AJ28" s="846" t="n"/>
      <c r="AK28" s="846" t="n"/>
      <c r="AL28" s="847" t="n"/>
      <c r="AM28" s="845" t="inlineStr">
        <is>
          <t>AGOSTO</t>
        </is>
      </c>
      <c r="AN28" s="846" t="n"/>
      <c r="AO28" s="846" t="n"/>
      <c r="AP28" s="846" t="n"/>
      <c r="AQ28" s="846" t="n"/>
      <c r="AR28" s="847" t="n"/>
      <c r="AS28" s="845" t="inlineStr">
        <is>
          <t>SETEMBRO</t>
        </is>
      </c>
      <c r="AT28" s="846" t="n"/>
      <c r="AU28" s="846" t="n"/>
      <c r="AV28" s="846" t="n"/>
      <c r="AW28" s="847" t="n"/>
      <c r="AX28" s="845" t="inlineStr">
        <is>
          <t>OUTUBRO</t>
        </is>
      </c>
      <c r="AY28" s="846" t="n"/>
      <c r="AZ28" s="846" t="n"/>
      <c r="BA28" s="846" t="n"/>
      <c r="BB28" s="847" t="n"/>
      <c r="BC28" s="845" t="inlineStr">
        <is>
          <t>NOVEMBRO</t>
        </is>
      </c>
      <c r="BD28" s="846" t="n"/>
      <c r="BE28" s="846" t="n"/>
      <c r="BF28" s="846" t="n"/>
      <c r="BG28" s="846" t="n"/>
      <c r="BH28" s="847" t="n"/>
      <c r="BI28" s="845" t="inlineStr">
        <is>
          <t>DEZEMBRO</t>
        </is>
      </c>
      <c r="BJ28" s="846" t="n"/>
      <c r="BK28" s="846" t="n"/>
      <c r="BL28" s="846" t="n"/>
      <c r="BM28" s="847" t="n"/>
    </row>
    <row r="29" ht="15.75" customHeight="1">
      <c r="A29" s="848" t="n"/>
      <c r="B29" s="121" t="n">
        <v>46027</v>
      </c>
      <c r="C29" s="121" t="n">
        <v>46034</v>
      </c>
      <c r="D29" s="121" t="n">
        <v>46041</v>
      </c>
      <c r="E29" s="121" t="n">
        <v>46048</v>
      </c>
      <c r="F29" s="120" t="inlineStr">
        <is>
          <t>USOU</t>
        </is>
      </c>
      <c r="G29" s="121" t="n">
        <v>46055</v>
      </c>
      <c r="H29" s="121" t="n">
        <v>46062</v>
      </c>
      <c r="I29" s="121" t="n">
        <v>46069</v>
      </c>
      <c r="J29" s="121" t="n">
        <v>46076</v>
      </c>
      <c r="K29" s="120" t="inlineStr">
        <is>
          <t>USOU</t>
        </is>
      </c>
      <c r="L29" s="121" t="n">
        <v>46083</v>
      </c>
      <c r="M29" s="121" t="n">
        <v>46090</v>
      </c>
      <c r="N29" s="121" t="n">
        <v>46097</v>
      </c>
      <c r="O29" s="121" t="n">
        <v>46104</v>
      </c>
      <c r="P29" s="121" t="n">
        <v>46111</v>
      </c>
      <c r="Q29" s="120" t="inlineStr">
        <is>
          <t>USOU</t>
        </is>
      </c>
      <c r="R29" s="121" t="n">
        <v>46118</v>
      </c>
      <c r="S29" s="121" t="n">
        <v>46125</v>
      </c>
      <c r="T29" s="121" t="n">
        <v>46132</v>
      </c>
      <c r="U29" s="121" t="n">
        <v>46139</v>
      </c>
      <c r="V29" s="120" t="inlineStr">
        <is>
          <t>USOU</t>
        </is>
      </c>
      <c r="W29" s="121" t="n">
        <v>46146</v>
      </c>
      <c r="X29" s="121" t="n">
        <v>46153</v>
      </c>
      <c r="Y29" s="121" t="n">
        <v>46160</v>
      </c>
      <c r="Z29" s="121" t="n">
        <v>46167</v>
      </c>
      <c r="AA29" s="120" t="inlineStr">
        <is>
          <t>USOU</t>
        </is>
      </c>
      <c r="AB29" s="121" t="n">
        <v>46174</v>
      </c>
      <c r="AC29" s="121" t="n">
        <v>46181</v>
      </c>
      <c r="AD29" s="121" t="n">
        <v>46188</v>
      </c>
      <c r="AE29" s="121" t="n">
        <v>46195</v>
      </c>
      <c r="AF29" s="121" t="n">
        <v>46202</v>
      </c>
      <c r="AG29" s="120" t="inlineStr">
        <is>
          <t>USOU</t>
        </is>
      </c>
      <c r="AH29" s="121" t="n">
        <v>46209</v>
      </c>
      <c r="AI29" s="121" t="n">
        <v>46216</v>
      </c>
      <c r="AJ29" s="121" t="n">
        <v>46223</v>
      </c>
      <c r="AK29" s="121" t="n">
        <v>46230</v>
      </c>
      <c r="AL29" s="120" t="inlineStr">
        <is>
          <t>USOU</t>
        </is>
      </c>
      <c r="AM29" s="121" t="n">
        <v>46237</v>
      </c>
      <c r="AN29" s="121" t="n">
        <v>46244</v>
      </c>
      <c r="AO29" s="121" t="n">
        <v>46251</v>
      </c>
      <c r="AP29" s="121" t="n">
        <v>46258</v>
      </c>
      <c r="AQ29" s="121" t="n">
        <v>46265</v>
      </c>
      <c r="AR29" s="120" t="inlineStr">
        <is>
          <t>USOU</t>
        </is>
      </c>
      <c r="AS29" s="121" t="n">
        <v>46272</v>
      </c>
      <c r="AT29" s="121" t="n">
        <v>46279</v>
      </c>
      <c r="AU29" s="121" t="n">
        <v>46286</v>
      </c>
      <c r="AV29" s="121" t="n">
        <v>46293</v>
      </c>
      <c r="AW29" s="120" t="inlineStr">
        <is>
          <t>USOU</t>
        </is>
      </c>
      <c r="AX29" s="121" t="n">
        <v>46300</v>
      </c>
      <c r="AY29" s="121" t="n">
        <v>46307</v>
      </c>
      <c r="AZ29" s="121" t="n">
        <v>46314</v>
      </c>
      <c r="BA29" s="121" t="n">
        <v>46321</v>
      </c>
      <c r="BB29" s="120" t="inlineStr">
        <is>
          <t>USOU</t>
        </is>
      </c>
      <c r="BC29" s="121" t="n">
        <v>46328</v>
      </c>
      <c r="BD29" s="121" t="n">
        <v>46335</v>
      </c>
      <c r="BE29" s="121" t="n">
        <v>46342</v>
      </c>
      <c r="BF29" s="121" t="n">
        <v>46349</v>
      </c>
      <c r="BG29" s="121" t="n">
        <v>46356</v>
      </c>
      <c r="BH29" s="120" t="inlineStr">
        <is>
          <t>USOU</t>
        </is>
      </c>
      <c r="BI29" s="121" t="n">
        <v>46363</v>
      </c>
      <c r="BJ29" s="121" t="n">
        <v>46370</v>
      </c>
      <c r="BK29" s="121" t="n">
        <v>46377</v>
      </c>
      <c r="BL29" s="121" t="n">
        <v>46384</v>
      </c>
      <c r="BM29" s="120" t="inlineStr">
        <is>
          <t>USOU</t>
        </is>
      </c>
    </row>
    <row r="30" ht="15.75" customHeight="1">
      <c r="A30" s="118" t="inlineStr">
        <is>
          <t>SACOLA PP VERDE</t>
        </is>
      </c>
      <c r="B30" s="115" t="n">
        <v>30</v>
      </c>
      <c r="C30" s="115" t="n">
        <v>0</v>
      </c>
      <c r="D30" s="115" t="n">
        <v>200</v>
      </c>
      <c r="E30" s="115" t="n">
        <v>240</v>
      </c>
      <c r="F30" s="114">
        <f>B30+C30+D30+E30</f>
        <v/>
      </c>
      <c r="G30" s="115" t="n">
        <v>0</v>
      </c>
      <c r="H30" s="115" t="n">
        <v>0</v>
      </c>
      <c r="I30" s="115" t="n">
        <v>160</v>
      </c>
      <c r="J30" s="115" t="n">
        <v>60</v>
      </c>
      <c r="K30" s="114">
        <f>G30+H30+I30+J30</f>
        <v/>
      </c>
      <c r="L30" s="115" t="n">
        <v>120</v>
      </c>
      <c r="M30" s="115" t="n">
        <v>160</v>
      </c>
      <c r="N30" s="115" t="n">
        <v>40</v>
      </c>
      <c r="O30" s="115" t="n">
        <v>420</v>
      </c>
      <c r="P30" s="115" t="n">
        <v>0</v>
      </c>
      <c r="Q30" s="114">
        <f>L30+M30+N30+O30+P30</f>
        <v/>
      </c>
      <c r="R30" s="115" t="n"/>
      <c r="S30" s="115" t="n"/>
      <c r="T30" s="115" t="n"/>
      <c r="U30" s="115" t="n"/>
      <c r="V30" s="114">
        <f>R30+S30+T30+U30</f>
        <v/>
      </c>
      <c r="W30" s="115" t="n">
        <v>0</v>
      </c>
      <c r="X30" s="115" t="n">
        <v>700</v>
      </c>
      <c r="Y30" s="115" t="n"/>
      <c r="Z30" s="115" t="n"/>
      <c r="AA30" s="114">
        <f>W30+X30+Y30+Z30</f>
        <v/>
      </c>
      <c r="AB30" s="115" t="n"/>
      <c r="AC30" s="115" t="n"/>
      <c r="AD30" s="115" t="n"/>
      <c r="AE30" s="115" t="n"/>
      <c r="AF30" s="115" t="n"/>
      <c r="AG30" s="114">
        <f>AB30+AC30+AD30+AE30+AF30</f>
        <v/>
      </c>
      <c r="AH30" s="115" t="n"/>
      <c r="AI30" s="115" t="n"/>
      <c r="AJ30" s="115" t="n"/>
      <c r="AK30" s="115" t="n"/>
      <c r="AL30" s="114">
        <f>AH30+AI30+AJ30+AK30</f>
        <v/>
      </c>
      <c r="AM30" s="115" t="n"/>
      <c r="AN30" s="115" t="n"/>
      <c r="AO30" s="115" t="n"/>
      <c r="AP30" s="115" t="n"/>
      <c r="AQ30" s="115" t="n"/>
      <c r="AR30" s="114">
        <f>AM30+AN30+AO30+AP30+AQ30</f>
        <v/>
      </c>
      <c r="AS30" s="115" t="n"/>
      <c r="AT30" s="115" t="n"/>
      <c r="AU30" s="115" t="n"/>
      <c r="AV30" s="115" t="n"/>
      <c r="AW30" s="114">
        <f>AS30+AT30+AU30+AV30</f>
        <v/>
      </c>
      <c r="AX30" s="115" t="n"/>
      <c r="AY30" s="115" t="n"/>
      <c r="AZ30" s="115" t="n"/>
      <c r="BA30" s="115" t="n"/>
      <c r="BB30" s="114">
        <f>AX30+AY30+AZ30+BA30</f>
        <v/>
      </c>
      <c r="BC30" s="115" t="n"/>
      <c r="BD30" s="115" t="n"/>
      <c r="BE30" s="115" t="n"/>
      <c r="BF30" s="115" t="n"/>
      <c r="BG30" s="115" t="n"/>
      <c r="BH30" s="114">
        <f>BC30+BD30+BE30+BF30+BG30</f>
        <v/>
      </c>
      <c r="BI30" s="115" t="n"/>
      <c r="BJ30" s="115" t="n"/>
      <c r="BK30" s="115" t="n"/>
      <c r="BL30" s="115" t="n"/>
      <c r="BM30" s="114">
        <f>BI30+BJ30+BK30+BL30</f>
        <v/>
      </c>
    </row>
    <row r="31" ht="15.75" customHeight="1">
      <c r="A31" s="118" t="inlineStr">
        <is>
          <t>SACOLA P VERDE</t>
        </is>
      </c>
      <c r="B31" s="115" t="n">
        <v>0</v>
      </c>
      <c r="C31" s="115" t="n">
        <v>720</v>
      </c>
      <c r="D31" s="115" t="n">
        <v>400</v>
      </c>
      <c r="E31" s="115" t="n">
        <v>200</v>
      </c>
      <c r="F31" s="114">
        <f>B31+C31+D31+E31</f>
        <v/>
      </c>
      <c r="G31" s="115" t="n">
        <v>380</v>
      </c>
      <c r="H31" s="115" t="n">
        <v>220</v>
      </c>
      <c r="I31" s="115" t="n">
        <v>500</v>
      </c>
      <c r="J31" s="115" t="n">
        <v>280</v>
      </c>
      <c r="K31" s="114">
        <f>G31+H31+I31+J31</f>
        <v/>
      </c>
      <c r="L31" s="115" t="n">
        <v>400</v>
      </c>
      <c r="M31" s="115" t="n">
        <v>400</v>
      </c>
      <c r="N31" s="115" t="n">
        <v>360</v>
      </c>
      <c r="O31" s="115" t="n">
        <v>300</v>
      </c>
      <c r="P31" s="115" t="n">
        <v>400</v>
      </c>
      <c r="Q31" s="114">
        <f>L31+M31+N31+O31+P31</f>
        <v/>
      </c>
      <c r="R31" s="115" t="n"/>
      <c r="S31" s="115" t="n"/>
      <c r="T31" s="115" t="n"/>
      <c r="U31" s="115" t="n"/>
      <c r="V31" s="114">
        <f>R31+S31+T31+U31</f>
        <v/>
      </c>
      <c r="W31" s="115" t="n">
        <v>0</v>
      </c>
      <c r="X31" s="115" t="n">
        <v>1194</v>
      </c>
      <c r="Y31" s="115" t="n"/>
      <c r="Z31" s="115" t="n"/>
      <c r="AA31" s="114">
        <f>W31+X31+Y31+Z31</f>
        <v/>
      </c>
      <c r="AB31" s="115" t="n"/>
      <c r="AC31" s="115" t="n"/>
      <c r="AD31" s="115" t="n"/>
      <c r="AE31" s="115" t="n"/>
      <c r="AF31" s="115" t="n"/>
      <c r="AG31" s="114">
        <f>AB31+AC31+AD31+AE31+AF31</f>
        <v/>
      </c>
      <c r="AH31" s="115" t="n"/>
      <c r="AI31" s="115" t="n"/>
      <c r="AJ31" s="115" t="n"/>
      <c r="AK31" s="115" t="n"/>
      <c r="AL31" s="114">
        <f>AH31+AI31+AJ31+AK31</f>
        <v/>
      </c>
      <c r="AM31" s="115" t="n"/>
      <c r="AN31" s="115" t="n"/>
      <c r="AO31" s="115" t="n"/>
      <c r="AP31" s="115" t="n"/>
      <c r="AQ31" s="115" t="n"/>
      <c r="AR31" s="114">
        <f>AM31+AN31+AO31+AP31+AQ31</f>
        <v/>
      </c>
      <c r="AS31" s="115" t="n"/>
      <c r="AT31" s="115" t="n"/>
      <c r="AU31" s="115" t="n"/>
      <c r="AV31" s="115" t="n"/>
      <c r="AW31" s="114">
        <f>AS31+AT31+AU31+AV31</f>
        <v/>
      </c>
      <c r="AX31" s="115" t="n"/>
      <c r="AY31" s="115" t="n"/>
      <c r="AZ31" s="115" t="n"/>
      <c r="BA31" s="115" t="n"/>
      <c r="BB31" s="114">
        <f>AX31+AY31+AZ31+BA31</f>
        <v/>
      </c>
      <c r="BC31" s="115" t="n"/>
      <c r="BD31" s="115" t="n"/>
      <c r="BE31" s="115" t="n"/>
      <c r="BF31" s="115" t="n"/>
      <c r="BG31" s="115" t="n"/>
      <c r="BH31" s="114">
        <f>BC31+BD31+BE31+BF31+BG31</f>
        <v/>
      </c>
      <c r="BI31" s="115" t="n"/>
      <c r="BJ31" s="115" t="n"/>
      <c r="BK31" s="115" t="n"/>
      <c r="BL31" s="115" t="n"/>
      <c r="BM31" s="114">
        <f>BI31+BJ31+BK31+BL31</f>
        <v/>
      </c>
    </row>
    <row r="32" ht="15.75" customHeight="1">
      <c r="A32" s="118" t="inlineStr">
        <is>
          <t>SACOLA M VERDE</t>
        </is>
      </c>
      <c r="B32" s="115" t="n">
        <v>40</v>
      </c>
      <c r="C32" s="115" t="n">
        <v>200</v>
      </c>
      <c r="D32" s="115" t="n">
        <v>0</v>
      </c>
      <c r="E32" s="115" t="n">
        <v>0</v>
      </c>
      <c r="F32" s="114">
        <f>B32+C32+D32+E32</f>
        <v/>
      </c>
      <c r="G32" s="115" t="n">
        <v>0</v>
      </c>
      <c r="H32" s="115" t="n">
        <v>0</v>
      </c>
      <c r="I32" s="115" t="n">
        <v>220</v>
      </c>
      <c r="J32" s="115" t="n">
        <v>80</v>
      </c>
      <c r="K32" s="114">
        <f>G32+H32+I32+J32</f>
        <v/>
      </c>
      <c r="L32" s="115" t="n">
        <v>40</v>
      </c>
      <c r="M32" s="115" t="n">
        <v>20</v>
      </c>
      <c r="N32" s="115" t="n">
        <v>320</v>
      </c>
      <c r="O32" s="115" t="n">
        <v>80</v>
      </c>
      <c r="P32" s="115" t="n">
        <v>100</v>
      </c>
      <c r="Q32" s="114">
        <f>L32+M32+N32+O32+P32</f>
        <v/>
      </c>
      <c r="R32" s="115" t="n"/>
      <c r="S32" s="115" t="n"/>
      <c r="T32" s="115" t="n"/>
      <c r="U32" s="115" t="n"/>
      <c r="V32" s="114">
        <f>R32+S32+T32+U32</f>
        <v/>
      </c>
      <c r="W32" s="115" t="n">
        <v>0</v>
      </c>
      <c r="X32" s="115" t="n">
        <v>722</v>
      </c>
      <c r="Y32" s="115" t="n"/>
      <c r="Z32" s="115" t="n"/>
      <c r="AA32" s="114">
        <f>W32+X32+Y32+Z32</f>
        <v/>
      </c>
      <c r="AB32" s="115" t="n"/>
      <c r="AC32" s="115" t="n"/>
      <c r="AD32" s="115" t="n"/>
      <c r="AE32" s="115" t="n"/>
      <c r="AF32" s="115" t="n"/>
      <c r="AG32" s="114">
        <f>AB32+AC32+AD32+AE32+AF32</f>
        <v/>
      </c>
      <c r="AH32" s="115" t="n"/>
      <c r="AI32" s="115" t="n"/>
      <c r="AJ32" s="115" t="n"/>
      <c r="AK32" s="115" t="n"/>
      <c r="AL32" s="114">
        <f>AH32+AI32+AJ32+AK32</f>
        <v/>
      </c>
      <c r="AM32" s="115" t="n"/>
      <c r="AN32" s="115" t="n"/>
      <c r="AO32" s="115" t="n"/>
      <c r="AP32" s="115" t="n"/>
      <c r="AQ32" s="115" t="n"/>
      <c r="AR32" s="114">
        <f>AM32+AN32+AO32+AP32+AQ32</f>
        <v/>
      </c>
      <c r="AS32" s="115" t="n"/>
      <c r="AT32" s="115" t="n"/>
      <c r="AU32" s="115" t="n"/>
      <c r="AV32" s="115" t="n"/>
      <c r="AW32" s="114">
        <f>AS32+AT32+AU32+AV32</f>
        <v/>
      </c>
      <c r="AX32" s="115" t="n"/>
      <c r="AY32" s="115" t="n"/>
      <c r="AZ32" s="115" t="n"/>
      <c r="BA32" s="115" t="n"/>
      <c r="BB32" s="114">
        <f>AX32+AY32+AZ32+BA32</f>
        <v/>
      </c>
      <c r="BC32" s="115" t="n"/>
      <c r="BD32" s="115" t="n"/>
      <c r="BE32" s="115" t="n"/>
      <c r="BF32" s="115" t="n"/>
      <c r="BG32" s="115" t="n"/>
      <c r="BH32" s="114">
        <f>BC32+BD32+BE32+BF32+BG32</f>
        <v/>
      </c>
      <c r="BI32" s="115" t="n"/>
      <c r="BJ32" s="115" t="n"/>
      <c r="BK32" s="115" t="n"/>
      <c r="BL32" s="115" t="n"/>
      <c r="BM32" s="114">
        <f>BI32+BJ32+BK32+BL32</f>
        <v/>
      </c>
    </row>
    <row r="33" ht="15.75" customHeight="1">
      <c r="A33" s="117" t="inlineStr">
        <is>
          <t>SACOLA G VERDE</t>
        </is>
      </c>
      <c r="B33" s="115" t="n">
        <v>0</v>
      </c>
      <c r="C33" s="115" t="n">
        <v>0</v>
      </c>
      <c r="D33" s="115" t="n">
        <v>0</v>
      </c>
      <c r="E33" s="115" t="n">
        <v>0</v>
      </c>
      <c r="F33" s="114">
        <f>B33+C33+D33+E33</f>
        <v/>
      </c>
      <c r="G33" s="115" t="n">
        <v>72</v>
      </c>
      <c r="H33" s="115" t="n">
        <v>20</v>
      </c>
      <c r="I33" s="115" t="n">
        <v>8</v>
      </c>
      <c r="J33" s="115" t="n">
        <v>0</v>
      </c>
      <c r="K33" s="114">
        <f>G33+H33+I33+J33</f>
        <v/>
      </c>
      <c r="L33" s="115" t="n">
        <v>0</v>
      </c>
      <c r="M33" s="115" t="n">
        <v>0</v>
      </c>
      <c r="N33" s="115" t="n">
        <v>0</v>
      </c>
      <c r="O33" s="115" t="n">
        <v>0</v>
      </c>
      <c r="P33" s="115" t="n">
        <v>0</v>
      </c>
      <c r="Q33" s="114">
        <f>L33+M33+N33+O33+P33</f>
        <v/>
      </c>
      <c r="R33" s="115" t="n"/>
      <c r="S33" s="115" t="n"/>
      <c r="T33" s="115" t="n"/>
      <c r="U33" s="115" t="n"/>
      <c r="V33" s="114">
        <f>R33+S33+T33+U33</f>
        <v/>
      </c>
      <c r="W33" s="115" t="n">
        <v>7</v>
      </c>
      <c r="X33" s="115" t="n">
        <v>0</v>
      </c>
      <c r="Y33" s="115" t="n"/>
      <c r="Z33" s="115" t="n"/>
      <c r="AA33" s="114">
        <f>W33+X33+Y33+Z33</f>
        <v/>
      </c>
      <c r="AB33" s="115" t="n"/>
      <c r="AC33" s="115" t="n"/>
      <c r="AD33" s="115" t="n"/>
      <c r="AE33" s="115" t="n"/>
      <c r="AF33" s="115" t="n"/>
      <c r="AG33" s="114">
        <f>AB33+AC33+AD33+AE33+AF33</f>
        <v/>
      </c>
      <c r="AH33" s="115" t="n"/>
      <c r="AI33" s="115" t="n"/>
      <c r="AJ33" s="115" t="n"/>
      <c r="AK33" s="115" t="n"/>
      <c r="AL33" s="114">
        <f>AH33+AI33+AJ33+AK33</f>
        <v/>
      </c>
      <c r="AM33" s="115" t="n"/>
      <c r="AN33" s="115" t="n"/>
      <c r="AO33" s="115" t="n"/>
      <c r="AP33" s="115" t="n"/>
      <c r="AQ33" s="115" t="n"/>
      <c r="AR33" s="114">
        <f>AM33+AN33+AO33+AP33+AQ33</f>
        <v/>
      </c>
      <c r="AS33" s="115" t="n"/>
      <c r="AT33" s="115" t="n"/>
      <c r="AU33" s="115" t="n"/>
      <c r="AV33" s="115" t="n"/>
      <c r="AW33" s="114">
        <f>AS33+AT33+AU33+AV33</f>
        <v/>
      </c>
      <c r="AX33" s="115" t="n"/>
      <c r="AY33" s="115" t="n"/>
      <c r="AZ33" s="115" t="n"/>
      <c r="BA33" s="115" t="n"/>
      <c r="BB33" s="114">
        <f>AX33+AY33+AZ33+BA33</f>
        <v/>
      </c>
      <c r="BC33" s="115" t="n"/>
      <c r="BD33" s="115" t="n"/>
      <c r="BE33" s="115" t="n"/>
      <c r="BF33" s="115" t="n"/>
      <c r="BG33" s="115" t="n"/>
      <c r="BH33" s="114">
        <f>BC33+BD33+BE33+BF33+BG33</f>
        <v/>
      </c>
      <c r="BI33" s="115" t="n"/>
      <c r="BJ33" s="115" t="n"/>
      <c r="BK33" s="115" t="n"/>
      <c r="BL33" s="115" t="n"/>
      <c r="BM33" s="114">
        <f>BI33+BJ33+BK33+BL33</f>
        <v/>
      </c>
    </row>
    <row r="34" ht="15.75" customHeight="1">
      <c r="A34" s="116" t="inlineStr">
        <is>
          <t xml:space="preserve">PAPEL DE SEDA </t>
        </is>
      </c>
      <c r="B34" s="115" t="n">
        <v>0</v>
      </c>
      <c r="C34" s="115" t="n">
        <v>0</v>
      </c>
      <c r="D34" s="115" t="n">
        <v>3</v>
      </c>
      <c r="E34" s="115" t="n">
        <v>1</v>
      </c>
      <c r="F34" s="114">
        <f>B34+C34+D34+E34</f>
        <v/>
      </c>
      <c r="G34" s="115" t="n">
        <v>2</v>
      </c>
      <c r="H34" s="115" t="n">
        <v>2</v>
      </c>
      <c r="I34" s="115" t="n">
        <v>2</v>
      </c>
      <c r="J34" s="115" t="n">
        <v>1</v>
      </c>
      <c r="K34" s="114">
        <f>G34+H34+I34+J34</f>
        <v/>
      </c>
      <c r="L34" s="115" t="n">
        <v>2</v>
      </c>
      <c r="M34" s="115" t="n">
        <v>3</v>
      </c>
      <c r="N34" s="115" t="n">
        <v>1</v>
      </c>
      <c r="O34" s="115" t="n">
        <v>2</v>
      </c>
      <c r="P34" s="115" t="n">
        <v>1</v>
      </c>
      <c r="Q34" s="114">
        <f>L34+M34+N34+O34+P34</f>
        <v/>
      </c>
      <c r="R34" s="115" t="n"/>
      <c r="S34" s="115" t="n"/>
      <c r="T34" s="115" t="n"/>
      <c r="U34" s="115" t="n"/>
      <c r="V34" s="114">
        <f>R34+S34+T34+U34</f>
        <v/>
      </c>
      <c r="W34" s="115" t="n">
        <v>0</v>
      </c>
      <c r="X34" s="115" t="n">
        <v>6</v>
      </c>
      <c r="Y34" s="115" t="n"/>
      <c r="Z34" s="115" t="n"/>
      <c r="AA34" s="114">
        <f>W34+X34+Y34+Z34</f>
        <v/>
      </c>
      <c r="AB34" s="115" t="n"/>
      <c r="AC34" s="115" t="n"/>
      <c r="AD34" s="115" t="n"/>
      <c r="AE34" s="115" t="n"/>
      <c r="AF34" s="115" t="n"/>
      <c r="AG34" s="114">
        <f>AB34+AC34+AD34+AE34+AF34</f>
        <v/>
      </c>
      <c r="AH34" s="115" t="n"/>
      <c r="AI34" s="115" t="n"/>
      <c r="AJ34" s="115" t="n"/>
      <c r="AK34" s="115" t="n"/>
      <c r="AL34" s="114">
        <f>AH34+AI34+AJ34+AK34</f>
        <v/>
      </c>
      <c r="AM34" s="115" t="n"/>
      <c r="AN34" s="115" t="n"/>
      <c r="AO34" s="115" t="n"/>
      <c r="AP34" s="115" t="n"/>
      <c r="AQ34" s="115" t="n"/>
      <c r="AR34" s="114">
        <f>AM34+AN34+AO34+AP34+AQ34</f>
        <v/>
      </c>
      <c r="AS34" s="115" t="n"/>
      <c r="AT34" s="115" t="n"/>
      <c r="AU34" s="115" t="n"/>
      <c r="AV34" s="115" t="n"/>
      <c r="AW34" s="114">
        <f>AS34+AT34+AU34+AV34</f>
        <v/>
      </c>
      <c r="AX34" s="115" t="n"/>
      <c r="AY34" s="115" t="n"/>
      <c r="AZ34" s="115" t="n"/>
      <c r="BA34" s="115" t="n"/>
      <c r="BB34" s="114">
        <f>AX34+AY34+AZ34+BA34</f>
        <v/>
      </c>
      <c r="BC34" s="115" t="n"/>
      <c r="BD34" s="115" t="n"/>
      <c r="BE34" s="115" t="n"/>
      <c r="BF34" s="115" t="n"/>
      <c r="BG34" s="115" t="n"/>
      <c r="BH34" s="114">
        <f>BC34+BD34+BE34+BF34+BG34</f>
        <v/>
      </c>
      <c r="BI34" s="115" t="n"/>
      <c r="BJ34" s="115" t="n"/>
      <c r="BK34" s="115" t="n"/>
      <c r="BL34" s="115" t="n"/>
      <c r="BM34" s="114">
        <f>BI34+BJ34+BK34+BL34</f>
        <v/>
      </c>
    </row>
    <row r="35" ht="15.75" customHeight="1">
      <c r="A35" s="116" t="inlineStr">
        <is>
          <t>ETIQUETAS</t>
        </is>
      </c>
      <c r="B35" s="115" t="n">
        <v>0</v>
      </c>
      <c r="C35" s="115" t="n">
        <v>1</v>
      </c>
      <c r="D35" s="115" t="n">
        <v>0</v>
      </c>
      <c r="E35" s="115" t="n">
        <v>0</v>
      </c>
      <c r="F35" s="114">
        <f>B35+C35+D35+E35</f>
        <v/>
      </c>
      <c r="G35" s="115" t="n">
        <v>0</v>
      </c>
      <c r="H35" s="115" t="n">
        <v>1</v>
      </c>
      <c r="I35" s="115" t="n">
        <v>0</v>
      </c>
      <c r="J35" s="115" t="n">
        <v>0</v>
      </c>
      <c r="K35" s="114">
        <f>G35+H35+I35+J35</f>
        <v/>
      </c>
      <c r="L35" s="115" t="n">
        <v>0</v>
      </c>
      <c r="M35" s="115" t="n">
        <v>0</v>
      </c>
      <c r="N35" s="115" t="n">
        <v>1</v>
      </c>
      <c r="O35" s="115" t="n">
        <v>0</v>
      </c>
      <c r="P35" s="115" t="n">
        <v>1</v>
      </c>
      <c r="Q35" s="114">
        <f>L35+M35+N35+O35+P35</f>
        <v/>
      </c>
      <c r="R35" s="115" t="n"/>
      <c r="S35" s="115" t="n"/>
      <c r="T35" s="115" t="n"/>
      <c r="U35" s="115" t="n"/>
      <c r="V35" s="114">
        <f>R35+S35+T35+U35</f>
        <v/>
      </c>
      <c r="W35" s="115" t="n">
        <v>0</v>
      </c>
      <c r="X35" s="115" t="n">
        <v>1</v>
      </c>
      <c r="Y35" s="115" t="n"/>
      <c r="Z35" s="115" t="n"/>
      <c r="AA35" s="114">
        <f>W35+X35+Y35+Z35</f>
        <v/>
      </c>
      <c r="AB35" s="115" t="n"/>
      <c r="AC35" s="115" t="n"/>
      <c r="AD35" s="115" t="n"/>
      <c r="AE35" s="115" t="n"/>
      <c r="AF35" s="115" t="n"/>
      <c r="AG35" s="114">
        <f>AB35+AC35+AD35+AE35+AF35</f>
        <v/>
      </c>
      <c r="AH35" s="115" t="n"/>
      <c r="AI35" s="115" t="n"/>
      <c r="AJ35" s="115" t="n"/>
      <c r="AK35" s="115" t="n"/>
      <c r="AL35" s="114">
        <f>AH35+AI35+AJ35+AK35</f>
        <v/>
      </c>
      <c r="AM35" s="115" t="n"/>
      <c r="AN35" s="115" t="n"/>
      <c r="AO35" s="115" t="n"/>
      <c r="AP35" s="115" t="n"/>
      <c r="AQ35" s="115" t="n"/>
      <c r="AR35" s="114">
        <f>AM35+AN35+AO35+AP35+AQ35</f>
        <v/>
      </c>
      <c r="AS35" s="115" t="n"/>
      <c r="AT35" s="115" t="n"/>
      <c r="AU35" s="115" t="n"/>
      <c r="AV35" s="115" t="n"/>
      <c r="AW35" s="114">
        <f>AS35+AT35+AU35+AV35</f>
        <v/>
      </c>
      <c r="AX35" s="115" t="n"/>
      <c r="AY35" s="115" t="n"/>
      <c r="AZ35" s="115" t="n"/>
      <c r="BA35" s="115" t="n"/>
      <c r="BB35" s="114">
        <f>AX35+AY35+AZ35+BA35</f>
        <v/>
      </c>
      <c r="BC35" s="115" t="n"/>
      <c r="BD35" s="115" t="n"/>
      <c r="BE35" s="115" t="n"/>
      <c r="BF35" s="115" t="n"/>
      <c r="BG35" s="115" t="n"/>
      <c r="BH35" s="114">
        <f>BC35+BD35+BE35+BF35+BG35</f>
        <v/>
      </c>
      <c r="BI35" s="115" t="n"/>
      <c r="BJ35" s="115" t="n"/>
      <c r="BK35" s="115" t="n"/>
      <c r="BL35" s="115" t="n"/>
      <c r="BM35" s="114">
        <f>BI35+BJ35+BK35+BL35</f>
        <v/>
      </c>
    </row>
    <row r="36" ht="15.75" customHeight="1">
      <c r="A36" s="116" t="inlineStr">
        <is>
          <t xml:space="preserve">TAGS </t>
        </is>
      </c>
      <c r="B36" s="115" t="n">
        <v>0</v>
      </c>
      <c r="C36" s="115" t="n">
        <v>2</v>
      </c>
      <c r="D36" s="115" t="n">
        <v>0</v>
      </c>
      <c r="E36" s="115" t="n">
        <v>2</v>
      </c>
      <c r="F36" s="114">
        <f>B36+C36+D36+E36</f>
        <v/>
      </c>
      <c r="G36" s="115" t="n">
        <v>2</v>
      </c>
      <c r="H36" s="115" t="n">
        <v>1</v>
      </c>
      <c r="I36" s="115" t="n">
        <v>0</v>
      </c>
      <c r="J36" s="115" t="n">
        <v>2</v>
      </c>
      <c r="K36" s="114">
        <f>G36+H36+I36+J36</f>
        <v/>
      </c>
      <c r="L36" s="115" t="n">
        <v>2</v>
      </c>
      <c r="M36" s="115" t="n">
        <v>3</v>
      </c>
      <c r="N36" s="115" t="n">
        <v>1</v>
      </c>
      <c r="O36" s="115" t="n">
        <v>1</v>
      </c>
      <c r="P36" s="115" t="n">
        <v>0</v>
      </c>
      <c r="Q36" s="114">
        <f>L36+M36+N36+O36+P36</f>
        <v/>
      </c>
      <c r="R36" s="115" t="n"/>
      <c r="S36" s="115" t="n"/>
      <c r="T36" s="115" t="n"/>
      <c r="U36" s="115" t="n"/>
      <c r="V36" s="114">
        <f>R36+S36+T36+U36</f>
        <v/>
      </c>
      <c r="W36" s="115" t="n">
        <v>0</v>
      </c>
      <c r="X36" s="115" t="n">
        <v>2</v>
      </c>
      <c r="Y36" s="115" t="n"/>
      <c r="Z36" s="115" t="n"/>
      <c r="AA36" s="114">
        <f>W36+X36+Y36+Z36</f>
        <v/>
      </c>
      <c r="AB36" s="115" t="n"/>
      <c r="AC36" s="115" t="n"/>
      <c r="AD36" s="115" t="n"/>
      <c r="AE36" s="115" t="n"/>
      <c r="AF36" s="115" t="n"/>
      <c r="AG36" s="114">
        <f>AB36+AC36+AD36+AE36+AF36</f>
        <v/>
      </c>
      <c r="AH36" s="115" t="n"/>
      <c r="AI36" s="115" t="n"/>
      <c r="AJ36" s="115" t="n"/>
      <c r="AK36" s="115" t="n"/>
      <c r="AL36" s="114">
        <f>AH36+AI36+AJ36+AK36</f>
        <v/>
      </c>
      <c r="AM36" s="115" t="n"/>
      <c r="AN36" s="115" t="n"/>
      <c r="AO36" s="115" t="n"/>
      <c r="AP36" s="115" t="n"/>
      <c r="AQ36" s="115" t="n"/>
      <c r="AR36" s="114">
        <f>AM36+AN36+AO36+AP36+AQ36</f>
        <v/>
      </c>
      <c r="AS36" s="115" t="n"/>
      <c r="AT36" s="115" t="n"/>
      <c r="AU36" s="115" t="n"/>
      <c r="AV36" s="115" t="n"/>
      <c r="AW36" s="114">
        <f>AS36+AT36+AU36+AV36</f>
        <v/>
      </c>
      <c r="AX36" s="115" t="n"/>
      <c r="AY36" s="115" t="n"/>
      <c r="AZ36" s="115" t="n"/>
      <c r="BA36" s="115" t="n"/>
      <c r="BB36" s="114">
        <f>AX36+AY36+AZ36+BA36</f>
        <v/>
      </c>
      <c r="BC36" s="115" t="n"/>
      <c r="BD36" s="115" t="n"/>
      <c r="BE36" s="115" t="n"/>
      <c r="BF36" s="115" t="n"/>
      <c r="BG36" s="115" t="n"/>
      <c r="BH36" s="114">
        <f>BC36+BD36+BE36+BF36+BG36</f>
        <v/>
      </c>
      <c r="BI36" s="115" t="n"/>
      <c r="BJ36" s="115" t="n"/>
      <c r="BK36" s="115" t="n"/>
      <c r="BL36" s="115" t="n"/>
      <c r="BM36" s="114">
        <f>BI36+BJ36+BK36+BL36</f>
        <v/>
      </c>
    </row>
    <row r="37" ht="15.75" customHeight="1">
      <c r="A37" s="116" t="inlineStr">
        <is>
          <t>LÂMINA OLFATIVA</t>
        </is>
      </c>
      <c r="B37" s="115" t="n">
        <v>0</v>
      </c>
      <c r="C37" s="115" t="n">
        <v>0</v>
      </c>
      <c r="D37" s="115" t="n">
        <v>0</v>
      </c>
      <c r="E37" s="115" t="n">
        <v>0</v>
      </c>
      <c r="F37" s="114">
        <f>B37+C37+D37+E37</f>
        <v/>
      </c>
      <c r="G37" s="115" t="n">
        <v>2</v>
      </c>
      <c r="H37" s="115" t="n">
        <v>0</v>
      </c>
      <c r="I37" s="115" t="n">
        <v>0</v>
      </c>
      <c r="J37" s="115" t="n">
        <v>1</v>
      </c>
      <c r="K37" s="114">
        <f>G37+H37+I37+J37</f>
        <v/>
      </c>
      <c r="L37" s="115" t="n">
        <v>1</v>
      </c>
      <c r="M37" s="115" t="n">
        <v>0</v>
      </c>
      <c r="N37" s="115" t="n">
        <v>0</v>
      </c>
      <c r="O37" s="115" t="n">
        <v>0</v>
      </c>
      <c r="P37" s="115" t="n">
        <v>1</v>
      </c>
      <c r="Q37" s="114">
        <f>L37+M37+N37+O37+P37</f>
        <v/>
      </c>
      <c r="R37" s="115" t="n"/>
      <c r="S37" s="115" t="n"/>
      <c r="T37" s="115" t="n"/>
      <c r="U37" s="115" t="n"/>
      <c r="V37" s="114">
        <f>R37+S37+T37+U37</f>
        <v/>
      </c>
      <c r="W37" s="115" t="n">
        <v>1</v>
      </c>
      <c r="X37" s="115" t="n">
        <v>0</v>
      </c>
      <c r="Y37" s="115" t="n"/>
      <c r="Z37" s="115" t="n"/>
      <c r="AA37" s="114">
        <f>W37+X37+Y37+Z37</f>
        <v/>
      </c>
      <c r="AB37" s="115" t="n"/>
      <c r="AC37" s="115" t="n"/>
      <c r="AD37" s="115" t="n"/>
      <c r="AE37" s="115" t="n"/>
      <c r="AF37" s="115" t="n"/>
      <c r="AG37" s="114">
        <f>AB37+AC37+AD37+AE37+AF37</f>
        <v/>
      </c>
      <c r="AH37" s="115" t="n"/>
      <c r="AI37" s="115" t="n"/>
      <c r="AJ37" s="115" t="n"/>
      <c r="AK37" s="115" t="n"/>
      <c r="AL37" s="114">
        <f>AH37+AI37+AJ37+AK37</f>
        <v/>
      </c>
      <c r="AM37" s="115" t="n"/>
      <c r="AN37" s="115" t="n"/>
      <c r="AO37" s="115" t="n"/>
      <c r="AP37" s="115" t="n"/>
      <c r="AQ37" s="115" t="n"/>
      <c r="AR37" s="114">
        <f>AM37+AN37+AO37+AP37+AQ37</f>
        <v/>
      </c>
      <c r="AS37" s="115" t="n"/>
      <c r="AT37" s="115" t="n"/>
      <c r="AU37" s="115" t="n"/>
      <c r="AV37" s="115" t="n"/>
      <c r="AW37" s="114">
        <f>AS37+AT37+AU37+AV37</f>
        <v/>
      </c>
      <c r="AX37" s="115" t="n"/>
      <c r="AY37" s="115" t="n"/>
      <c r="AZ37" s="115" t="n"/>
      <c r="BA37" s="115" t="n"/>
      <c r="BB37" s="114">
        <f>AX37+AY37+AZ37+BA37</f>
        <v/>
      </c>
      <c r="BC37" s="115" t="n"/>
      <c r="BD37" s="115" t="n"/>
      <c r="BE37" s="115" t="n"/>
      <c r="BF37" s="115" t="n"/>
      <c r="BG37" s="115" t="n"/>
      <c r="BH37" s="114">
        <f>BC37+BD37+BE37+BF37+BG37</f>
        <v/>
      </c>
      <c r="BI37" s="115" t="n"/>
      <c r="BJ37" s="115" t="n"/>
      <c r="BK37" s="115" t="n"/>
      <c r="BL37" s="115" t="n"/>
      <c r="BM37" s="114">
        <f>BI37+BJ37+BK37+BL37</f>
        <v/>
      </c>
    </row>
    <row r="38" ht="15.75" customHeight="1">
      <c r="A38" s="113" t="inlineStr">
        <is>
          <t>TOTAL DE SACOLAS</t>
        </is>
      </c>
      <c r="B38" s="112">
        <f>SUM(B30:B33)</f>
        <v/>
      </c>
      <c r="C38" s="112">
        <f>SUM(C30:C33)</f>
        <v/>
      </c>
      <c r="D38" s="112">
        <f>SUM(D30:D33)</f>
        <v/>
      </c>
      <c r="E38" s="112">
        <f>SUM(E30:E33)</f>
        <v/>
      </c>
      <c r="F38" s="112">
        <f>SUM(F30:F33)</f>
        <v/>
      </c>
      <c r="G38" s="112">
        <f>SUM(G30:G33)</f>
        <v/>
      </c>
      <c r="H38" s="112">
        <f>SUM(H30:H33)</f>
        <v/>
      </c>
      <c r="I38" s="112">
        <f>SUM(I30:I33)</f>
        <v/>
      </c>
      <c r="J38" s="112">
        <f>SUM(J30:J33)</f>
        <v/>
      </c>
      <c r="K38" s="112">
        <f>SUM(K30:K33)</f>
        <v/>
      </c>
      <c r="L38" s="112">
        <f>SUM(L30:L33)</f>
        <v/>
      </c>
      <c r="M38" s="112">
        <f>SUM(M30:M33)</f>
        <v/>
      </c>
      <c r="N38" s="112">
        <f>SUM(N30:N33)</f>
        <v/>
      </c>
      <c r="O38" s="112">
        <f>SUM(O30:O33)</f>
        <v/>
      </c>
      <c r="P38" s="112">
        <f>SUM(P30:P33)</f>
        <v/>
      </c>
      <c r="Q38" s="112">
        <f>SUM(Q30:Q33)</f>
        <v/>
      </c>
      <c r="R38" s="112">
        <f>SUM(R30:R33)</f>
        <v/>
      </c>
      <c r="S38" s="112">
        <f>SUM(S30:S33)</f>
        <v/>
      </c>
      <c r="T38" s="112">
        <f>SUM(T30:T33)</f>
        <v/>
      </c>
      <c r="U38" s="112">
        <f>SUM(U30:U33)</f>
        <v/>
      </c>
      <c r="V38" s="112">
        <f>SUM(V30:V33)</f>
        <v/>
      </c>
      <c r="W38" s="112">
        <f>SUM(W30:W33)</f>
        <v/>
      </c>
      <c r="X38" s="112">
        <f>SUM(X30:X33)</f>
        <v/>
      </c>
      <c r="Y38" s="112">
        <f>SUM(Y30:Y33)</f>
        <v/>
      </c>
      <c r="Z38" s="112">
        <f>SUM(Z30:Z33)</f>
        <v/>
      </c>
      <c r="AA38" s="112">
        <f>SUM(AA30:AA33)</f>
        <v/>
      </c>
      <c r="AB38" s="112">
        <f>SUM(AB30:AB33)</f>
        <v/>
      </c>
      <c r="AC38" s="112">
        <f>SUM(AC30:AC33)</f>
        <v/>
      </c>
      <c r="AD38" s="112">
        <f>SUM(AD30:AD33)</f>
        <v/>
      </c>
      <c r="AE38" s="112">
        <f>SUM(AE30:AE33)</f>
        <v/>
      </c>
      <c r="AF38" s="112">
        <f>SUM(AF30:AF33)</f>
        <v/>
      </c>
      <c r="AG38" s="112">
        <f>SUM(AG30:AG33)</f>
        <v/>
      </c>
      <c r="AH38" s="112">
        <f>SUM(AH30:AH33)</f>
        <v/>
      </c>
      <c r="AI38" s="112">
        <f>SUM(AI30:AI33)</f>
        <v/>
      </c>
      <c r="AJ38" s="112">
        <f>SUM(AJ30:AJ33)</f>
        <v/>
      </c>
      <c r="AK38" s="112">
        <f>SUM(AK30:AK33)</f>
        <v/>
      </c>
      <c r="AL38" s="112">
        <f>SUM(AL30:AL33)</f>
        <v/>
      </c>
      <c r="AM38" s="112">
        <f>SUM(AM30:AM33)</f>
        <v/>
      </c>
      <c r="AN38" s="112">
        <f>SUM(AN30:AN33)</f>
        <v/>
      </c>
      <c r="AO38" s="112">
        <f>SUM(AO30:AO33)</f>
        <v/>
      </c>
      <c r="AP38" s="112">
        <f>SUM(AP30:AP33)</f>
        <v/>
      </c>
      <c r="AQ38" s="112">
        <f>SUM(AQ30:AQ33)</f>
        <v/>
      </c>
      <c r="AR38" s="112">
        <f>SUM(AR30:AR33)</f>
        <v/>
      </c>
      <c r="AS38" s="112">
        <f>SUM(AS30:AS33)</f>
        <v/>
      </c>
      <c r="AT38" s="112">
        <f>SUM(AT30:AT33)</f>
        <v/>
      </c>
      <c r="AU38" s="112">
        <f>SUM(AU30:AU33)</f>
        <v/>
      </c>
      <c r="AV38" s="112">
        <f>SUM(AV30:AV33)</f>
        <v/>
      </c>
      <c r="AW38" s="112">
        <f>SUM(AW30:AW33)</f>
        <v/>
      </c>
      <c r="AX38" s="112">
        <f>SUM(AX30:AX33)</f>
        <v/>
      </c>
      <c r="AY38" s="112">
        <f>SUM(AY30:AY33)</f>
        <v/>
      </c>
      <c r="AZ38" s="112">
        <f>SUM(AZ30:AZ33)</f>
        <v/>
      </c>
      <c r="BA38" s="112">
        <f>SUM(BA30:BA33)</f>
        <v/>
      </c>
      <c r="BB38" s="112">
        <f>SUM(BB30:BB33)</f>
        <v/>
      </c>
      <c r="BC38" s="112">
        <f>SUM(BC30:BC33)</f>
        <v/>
      </c>
      <c r="BD38" s="112">
        <f>SUM(BD30:BD33)</f>
        <v/>
      </c>
      <c r="BE38" s="112">
        <f>SUM(BE30:BE33)</f>
        <v/>
      </c>
      <c r="BF38" s="112">
        <f>SUM(BF30:BF33)</f>
        <v/>
      </c>
      <c r="BG38" s="112">
        <f>SUM(BG30:BG33)</f>
        <v/>
      </c>
      <c r="BH38" s="112">
        <f>SUM(BH30:BH33)</f>
        <v/>
      </c>
      <c r="BI38" s="112">
        <f>SUM(BI30:BI33)</f>
        <v/>
      </c>
      <c r="BJ38" s="112">
        <f>SUM(BJ30:BJ33)</f>
        <v/>
      </c>
      <c r="BK38" s="112">
        <f>SUM(BK30:BK33)</f>
        <v/>
      </c>
      <c r="BL38" s="112">
        <f>SUM(BL30:BL33)</f>
        <v/>
      </c>
      <c r="BM38" s="112">
        <f>SUM(BM30:BM33)</f>
        <v/>
      </c>
    </row>
    <row r="40" ht="18" customHeight="1">
      <c r="A40" s="577" t="inlineStr">
        <is>
          <t>GASTO DE SACOLAS E ITENS DOADOS 2026 - MENSAIS</t>
        </is>
      </c>
      <c r="B40" s="844" t="n"/>
      <c r="C40" s="844" t="n"/>
      <c r="D40" s="844" t="n"/>
      <c r="E40" s="844" t="n"/>
      <c r="F40" s="844" t="n"/>
      <c r="G40" s="844" t="n"/>
      <c r="H40" s="844" t="n"/>
      <c r="I40" s="844" t="n"/>
      <c r="J40" s="844" t="n"/>
      <c r="K40" s="844" t="n"/>
      <c r="L40" s="844" t="n"/>
      <c r="M40" s="844" t="n"/>
      <c r="N40" s="844" t="n"/>
      <c r="O40" s="844" t="n"/>
      <c r="P40" s="844" t="n"/>
      <c r="Q40" s="844" t="n"/>
      <c r="R40" s="844" t="n"/>
      <c r="S40" s="844" t="n"/>
      <c r="T40" s="844" t="n"/>
      <c r="U40" s="844" t="n"/>
      <c r="V40" s="844" t="n"/>
      <c r="W40" s="844" t="n"/>
      <c r="X40" s="844" t="n"/>
      <c r="Y40" s="844" t="n"/>
      <c r="Z40" s="844" t="n"/>
      <c r="AA40" s="844" t="n"/>
      <c r="AB40" s="844" t="n"/>
      <c r="AC40" s="844" t="n"/>
      <c r="AD40" s="844" t="n"/>
      <c r="AE40" s="844" t="n"/>
      <c r="AF40" s="844" t="n"/>
      <c r="AG40" s="844" t="n"/>
      <c r="AH40" s="844" t="n"/>
      <c r="AI40" s="844" t="n"/>
      <c r="AJ40" s="844" t="n"/>
      <c r="AK40" s="844" t="n"/>
      <c r="AL40" s="844" t="n"/>
      <c r="AM40" s="844" t="n"/>
      <c r="AN40" s="844" t="n"/>
      <c r="AO40" s="844" t="n"/>
      <c r="AP40" s="844" t="n"/>
      <c r="AQ40" s="844" t="n"/>
      <c r="AR40" s="844" t="n"/>
      <c r="AS40" s="844" t="n"/>
      <c r="AT40" s="844" t="n"/>
      <c r="AU40" s="844" t="n"/>
      <c r="AV40" s="844" t="n"/>
      <c r="AW40" s="844" t="n"/>
      <c r="AX40" s="844" t="n"/>
      <c r="AY40" s="844" t="n"/>
      <c r="AZ40" s="844" t="n"/>
      <c r="BA40" s="844" t="n"/>
      <c r="BB40" s="844" t="n"/>
      <c r="BC40" s="844" t="n"/>
      <c r="BD40" s="844" t="n"/>
      <c r="BE40" s="844" t="n"/>
      <c r="BF40" s="844" t="n"/>
      <c r="BG40" s="844" t="n"/>
      <c r="BH40" s="844" t="n"/>
      <c r="BI40" s="844" t="n"/>
      <c r="BJ40" s="844" t="n"/>
      <c r="BK40" s="844" t="n"/>
      <c r="BL40" s="844" t="n"/>
      <c r="BM40" s="844" t="n"/>
    </row>
    <row r="41" ht="18" customHeight="1">
      <c r="A41" s="845" t="inlineStr">
        <is>
          <t>TAUSTE DUQUE</t>
        </is>
      </c>
      <c r="B41" s="845" t="inlineStr">
        <is>
          <t>JANEIRO</t>
        </is>
      </c>
      <c r="C41" s="846" t="n"/>
      <c r="D41" s="846" t="n"/>
      <c r="E41" s="846" t="n"/>
      <c r="F41" s="847" t="n"/>
      <c r="G41" s="845" t="inlineStr">
        <is>
          <t>FEVEREIRO</t>
        </is>
      </c>
      <c r="H41" s="846" t="n"/>
      <c r="I41" s="846" t="n"/>
      <c r="J41" s="846" t="n"/>
      <c r="K41" s="847" t="n"/>
      <c r="L41" s="845" t="inlineStr">
        <is>
          <t>MARÇO</t>
        </is>
      </c>
      <c r="M41" s="846" t="n"/>
      <c r="N41" s="846" t="n"/>
      <c r="O41" s="846" t="n"/>
      <c r="P41" s="846" t="n"/>
      <c r="Q41" s="847" t="n"/>
      <c r="R41" s="845" t="inlineStr">
        <is>
          <t>ABRIL</t>
        </is>
      </c>
      <c r="S41" s="846" t="n"/>
      <c r="T41" s="846" t="n"/>
      <c r="U41" s="846" t="n"/>
      <c r="V41" s="847" t="n"/>
      <c r="W41" s="845" t="inlineStr">
        <is>
          <t>MAIO</t>
        </is>
      </c>
      <c r="X41" s="846" t="n"/>
      <c r="Y41" s="846" t="n"/>
      <c r="Z41" s="846" t="n"/>
      <c r="AA41" s="847" t="n"/>
      <c r="AB41" s="845" t="inlineStr">
        <is>
          <t>JUNHO</t>
        </is>
      </c>
      <c r="AC41" s="846" t="n"/>
      <c r="AD41" s="846" t="n"/>
      <c r="AE41" s="846" t="n"/>
      <c r="AF41" s="846" t="n"/>
      <c r="AG41" s="847" t="n"/>
      <c r="AH41" s="845" t="inlineStr">
        <is>
          <t>JULHO</t>
        </is>
      </c>
      <c r="AI41" s="846" t="n"/>
      <c r="AJ41" s="846" t="n"/>
      <c r="AK41" s="846" t="n"/>
      <c r="AL41" s="847" t="n"/>
      <c r="AM41" s="845" t="inlineStr">
        <is>
          <t>AGOSTO</t>
        </is>
      </c>
      <c r="AN41" s="846" t="n"/>
      <c r="AO41" s="846" t="n"/>
      <c r="AP41" s="846" t="n"/>
      <c r="AQ41" s="846" t="n"/>
      <c r="AR41" s="847" t="n"/>
      <c r="AS41" s="845" t="inlineStr">
        <is>
          <t>SETEMBRO</t>
        </is>
      </c>
      <c r="AT41" s="846" t="n"/>
      <c r="AU41" s="846" t="n"/>
      <c r="AV41" s="846" t="n"/>
      <c r="AW41" s="847" t="n"/>
      <c r="AX41" s="845" t="inlineStr">
        <is>
          <t>OUTUBRO</t>
        </is>
      </c>
      <c r="AY41" s="846" t="n"/>
      <c r="AZ41" s="846" t="n"/>
      <c r="BA41" s="846" t="n"/>
      <c r="BB41" s="847" t="n"/>
      <c r="BC41" s="845" t="inlineStr">
        <is>
          <t>NOVEMBRO</t>
        </is>
      </c>
      <c r="BD41" s="846" t="n"/>
      <c r="BE41" s="846" t="n"/>
      <c r="BF41" s="846" t="n"/>
      <c r="BG41" s="846" t="n"/>
      <c r="BH41" s="847" t="n"/>
      <c r="BI41" s="845" t="inlineStr">
        <is>
          <t>DEZEMBRO</t>
        </is>
      </c>
      <c r="BJ41" s="846" t="n"/>
      <c r="BK41" s="846" t="n"/>
      <c r="BL41" s="846" t="n"/>
      <c r="BM41" s="847" t="n"/>
    </row>
    <row r="42" ht="15.75" customHeight="1">
      <c r="A42" s="848" t="n"/>
      <c r="B42" s="121" t="n">
        <v>46027</v>
      </c>
      <c r="C42" s="121" t="n">
        <v>46034</v>
      </c>
      <c r="D42" s="121" t="n">
        <v>46041</v>
      </c>
      <c r="E42" s="121" t="n">
        <v>46048</v>
      </c>
      <c r="F42" s="120" t="inlineStr">
        <is>
          <t>USOU</t>
        </is>
      </c>
      <c r="G42" s="121" t="n">
        <v>46055</v>
      </c>
      <c r="H42" s="121" t="n">
        <v>46062</v>
      </c>
      <c r="I42" s="121" t="n">
        <v>46069</v>
      </c>
      <c r="J42" s="121" t="n">
        <v>46076</v>
      </c>
      <c r="K42" s="120" t="inlineStr">
        <is>
          <t>USOU</t>
        </is>
      </c>
      <c r="L42" s="121" t="n">
        <v>46083</v>
      </c>
      <c r="M42" s="121" t="n">
        <v>46090</v>
      </c>
      <c r="N42" s="121" t="n">
        <v>46097</v>
      </c>
      <c r="O42" s="121" t="n">
        <v>46104</v>
      </c>
      <c r="P42" s="121" t="n">
        <v>46111</v>
      </c>
      <c r="Q42" s="120" t="inlineStr">
        <is>
          <t>USOU</t>
        </is>
      </c>
      <c r="R42" s="121" t="n">
        <v>46118</v>
      </c>
      <c r="S42" s="121" t="n">
        <v>46125</v>
      </c>
      <c r="T42" s="121" t="n">
        <v>46132</v>
      </c>
      <c r="U42" s="121" t="n">
        <v>46139</v>
      </c>
      <c r="V42" s="120" t="inlineStr">
        <is>
          <t>USOU</t>
        </is>
      </c>
      <c r="W42" s="121" t="n">
        <v>46146</v>
      </c>
      <c r="X42" s="121" t="n">
        <v>46153</v>
      </c>
      <c r="Y42" s="121" t="n">
        <v>46160</v>
      </c>
      <c r="Z42" s="121" t="n">
        <v>46167</v>
      </c>
      <c r="AA42" s="120" t="inlineStr">
        <is>
          <t>USOU</t>
        </is>
      </c>
      <c r="AB42" s="121" t="n">
        <v>46174</v>
      </c>
      <c r="AC42" s="121" t="n">
        <v>46181</v>
      </c>
      <c r="AD42" s="121" t="n">
        <v>46188</v>
      </c>
      <c r="AE42" s="121" t="n">
        <v>46195</v>
      </c>
      <c r="AF42" s="121" t="n">
        <v>46202</v>
      </c>
      <c r="AG42" s="120" t="inlineStr">
        <is>
          <t>USOU</t>
        </is>
      </c>
      <c r="AH42" s="121" t="n">
        <v>46209</v>
      </c>
      <c r="AI42" s="121" t="n">
        <v>46216</v>
      </c>
      <c r="AJ42" s="121" t="n">
        <v>46223</v>
      </c>
      <c r="AK42" s="121" t="n">
        <v>46230</v>
      </c>
      <c r="AL42" s="120" t="inlineStr">
        <is>
          <t>USOU</t>
        </is>
      </c>
      <c r="AM42" s="121" t="n">
        <v>46237</v>
      </c>
      <c r="AN42" s="121" t="n">
        <v>46244</v>
      </c>
      <c r="AO42" s="121" t="n">
        <v>46251</v>
      </c>
      <c r="AP42" s="121" t="n">
        <v>46258</v>
      </c>
      <c r="AQ42" s="121" t="n">
        <v>46265</v>
      </c>
      <c r="AR42" s="120" t="inlineStr">
        <is>
          <t>USOU</t>
        </is>
      </c>
      <c r="AS42" s="121" t="n">
        <v>46272</v>
      </c>
      <c r="AT42" s="121" t="n">
        <v>46279</v>
      </c>
      <c r="AU42" s="121" t="n">
        <v>46286</v>
      </c>
      <c r="AV42" s="121" t="n">
        <v>46293</v>
      </c>
      <c r="AW42" s="120" t="inlineStr">
        <is>
          <t>USOU</t>
        </is>
      </c>
      <c r="AX42" s="121" t="n">
        <v>46300</v>
      </c>
      <c r="AY42" s="121" t="n">
        <v>46307</v>
      </c>
      <c r="AZ42" s="121" t="n">
        <v>46314</v>
      </c>
      <c r="BA42" s="121" t="n">
        <v>46321</v>
      </c>
      <c r="BB42" s="120" t="inlineStr">
        <is>
          <t>USOU</t>
        </is>
      </c>
      <c r="BC42" s="121" t="n">
        <v>46328</v>
      </c>
      <c r="BD42" s="121" t="n">
        <v>46335</v>
      </c>
      <c r="BE42" s="121" t="n">
        <v>46342</v>
      </c>
      <c r="BF42" s="121" t="n">
        <v>46349</v>
      </c>
      <c r="BG42" s="121" t="n">
        <v>46356</v>
      </c>
      <c r="BH42" s="120" t="inlineStr">
        <is>
          <t>USOU</t>
        </is>
      </c>
      <c r="BI42" s="121" t="n">
        <v>46363</v>
      </c>
      <c r="BJ42" s="121" t="n">
        <v>46370</v>
      </c>
      <c r="BK42" s="121" t="n">
        <v>46377</v>
      </c>
      <c r="BL42" s="121" t="n">
        <v>46384</v>
      </c>
      <c r="BM42" s="120" t="inlineStr">
        <is>
          <t>USOU</t>
        </is>
      </c>
    </row>
    <row r="43" ht="15.75" customHeight="1">
      <c r="A43" s="118" t="inlineStr">
        <is>
          <t>SACOLA PP VERDE</t>
        </is>
      </c>
      <c r="B43" s="115" t="n">
        <v>70</v>
      </c>
      <c r="C43" s="115" t="n">
        <v>200</v>
      </c>
      <c r="D43" s="115" t="n">
        <v>60</v>
      </c>
      <c r="E43" s="115" t="n">
        <v>120</v>
      </c>
      <c r="F43" s="114">
        <f>B43+C43+D43+E43</f>
        <v/>
      </c>
      <c r="G43" s="115" t="n">
        <v>140</v>
      </c>
      <c r="H43" s="115" t="n">
        <v>120</v>
      </c>
      <c r="I43" s="115" t="n">
        <v>180</v>
      </c>
      <c r="J43" s="115" t="n">
        <v>60</v>
      </c>
      <c r="K43" s="114">
        <f>G43+H43+I43+J43</f>
        <v/>
      </c>
      <c r="L43" s="115" t="n">
        <v>220</v>
      </c>
      <c r="M43" s="115" t="n">
        <v>80</v>
      </c>
      <c r="N43" s="115" t="n">
        <v>140</v>
      </c>
      <c r="O43" s="115" t="n">
        <v>180</v>
      </c>
      <c r="P43" s="115" t="n">
        <v>80</v>
      </c>
      <c r="Q43" s="114">
        <f>L43+M43+N43+O43+P43</f>
        <v/>
      </c>
      <c r="R43" s="115" t="n"/>
      <c r="S43" s="115" t="n"/>
      <c r="T43" s="115" t="n"/>
      <c r="U43" s="115" t="n"/>
      <c r="V43" s="114">
        <f>R43+S43+T43+U43</f>
        <v/>
      </c>
      <c r="W43" s="115" t="n">
        <v>60</v>
      </c>
      <c r="X43" s="115" t="n">
        <v>180</v>
      </c>
      <c r="Y43" s="115" t="n"/>
      <c r="Z43" s="115" t="n"/>
      <c r="AA43" s="114">
        <f>W43+X43+Y43+Z43</f>
        <v/>
      </c>
      <c r="AB43" s="115" t="n"/>
      <c r="AC43" s="115" t="n"/>
      <c r="AD43" s="115" t="n"/>
      <c r="AE43" s="115" t="n"/>
      <c r="AF43" s="115" t="n"/>
      <c r="AG43" s="114">
        <f>AB43+AC43+AD43+AE43+AF43</f>
        <v/>
      </c>
      <c r="AH43" s="115" t="n"/>
      <c r="AI43" s="115" t="n"/>
      <c r="AJ43" s="115" t="n"/>
      <c r="AK43" s="115" t="n"/>
      <c r="AL43" s="114">
        <f>AH43+AI43+AJ43+AK43</f>
        <v/>
      </c>
      <c r="AM43" s="115" t="n"/>
      <c r="AN43" s="115" t="n"/>
      <c r="AO43" s="115" t="n"/>
      <c r="AP43" s="115" t="n"/>
      <c r="AQ43" s="115" t="n"/>
      <c r="AR43" s="114">
        <f>AM43+AN43+AO43+AP43+AQ43</f>
        <v/>
      </c>
      <c r="AS43" s="115" t="n"/>
      <c r="AT43" s="115" t="n"/>
      <c r="AU43" s="115" t="n"/>
      <c r="AV43" s="115" t="n"/>
      <c r="AW43" s="114">
        <f>AS43+AT43+AU43+AV43</f>
        <v/>
      </c>
      <c r="AX43" s="115" t="n"/>
      <c r="AY43" s="115" t="n"/>
      <c r="AZ43" s="115" t="n"/>
      <c r="BA43" s="115" t="n"/>
      <c r="BB43" s="114">
        <f>AX43+AY43+AZ43+BA43</f>
        <v/>
      </c>
      <c r="BC43" s="115" t="n"/>
      <c r="BD43" s="115" t="n"/>
      <c r="BE43" s="115" t="n"/>
      <c r="BF43" s="115" t="n"/>
      <c r="BG43" s="115" t="n"/>
      <c r="BH43" s="114">
        <f>BC43+BD43+BE43+BF43+BG43</f>
        <v/>
      </c>
      <c r="BI43" s="115" t="n"/>
      <c r="BJ43" s="115" t="n"/>
      <c r="BK43" s="115" t="n"/>
      <c r="BL43" s="115" t="n"/>
      <c r="BM43" s="114">
        <f>BI43+BJ43+BK43+BL43</f>
        <v/>
      </c>
    </row>
    <row r="44" ht="15.75" customHeight="1">
      <c r="A44" s="118" t="inlineStr">
        <is>
          <t>SACOLA P VERDE</t>
        </is>
      </c>
      <c r="B44" s="115" t="n">
        <v>80</v>
      </c>
      <c r="C44" s="115" t="n">
        <v>140</v>
      </c>
      <c r="D44" s="115" t="n">
        <v>260</v>
      </c>
      <c r="E44" s="115" t="n">
        <v>400</v>
      </c>
      <c r="F44" s="114">
        <f>B44+C44+D44+E44</f>
        <v/>
      </c>
      <c r="G44" s="115" t="n">
        <v>200</v>
      </c>
      <c r="H44" s="115" t="n">
        <v>360</v>
      </c>
      <c r="I44" s="115" t="n">
        <v>320</v>
      </c>
      <c r="J44" s="115" t="n">
        <v>320</v>
      </c>
      <c r="K44" s="114">
        <f>G44+H44+I44+J44</f>
        <v/>
      </c>
      <c r="L44" s="115" t="n">
        <v>160</v>
      </c>
      <c r="M44" s="115" t="n">
        <v>380</v>
      </c>
      <c r="N44" s="115" t="n">
        <v>360</v>
      </c>
      <c r="O44" s="115" t="n">
        <v>300</v>
      </c>
      <c r="P44" s="115" t="n">
        <v>240</v>
      </c>
      <c r="Q44" s="114">
        <f>L44+M44+N44+O44+P44</f>
        <v/>
      </c>
      <c r="R44" s="115" t="n"/>
      <c r="S44" s="115" t="n"/>
      <c r="T44" s="115" t="n"/>
      <c r="U44" s="115" t="n"/>
      <c r="V44" s="114">
        <f>R44+S44+T44+U44</f>
        <v/>
      </c>
      <c r="W44" s="115" t="n">
        <v>0</v>
      </c>
      <c r="X44" s="115" t="n">
        <v>120</v>
      </c>
      <c r="Y44" s="115" t="n"/>
      <c r="Z44" s="115" t="n"/>
      <c r="AA44" s="114">
        <f>W44+X44+Y44+Z44</f>
        <v/>
      </c>
      <c r="AB44" s="115" t="n"/>
      <c r="AC44" s="115" t="n"/>
      <c r="AD44" s="115" t="n"/>
      <c r="AE44" s="115" t="n"/>
      <c r="AF44" s="115" t="n"/>
      <c r="AG44" s="114">
        <f>AB44+AC44+AD44+AE44+AF44</f>
        <v/>
      </c>
      <c r="AH44" s="115" t="n"/>
      <c r="AI44" s="115" t="n"/>
      <c r="AJ44" s="115" t="n"/>
      <c r="AK44" s="115" t="n"/>
      <c r="AL44" s="114">
        <f>AH44+AI44+AJ44+AK44</f>
        <v/>
      </c>
      <c r="AM44" s="115" t="n"/>
      <c r="AN44" s="115" t="n"/>
      <c r="AO44" s="115" t="n"/>
      <c r="AP44" s="115" t="n"/>
      <c r="AQ44" s="115" t="n"/>
      <c r="AR44" s="114">
        <f>AM44+AN44+AO44+AP44+AQ44</f>
        <v/>
      </c>
      <c r="AS44" s="115" t="n"/>
      <c r="AT44" s="115" t="n"/>
      <c r="AU44" s="115" t="n"/>
      <c r="AV44" s="115" t="n"/>
      <c r="AW44" s="114">
        <f>AS44+AT44+AU44+AV44</f>
        <v/>
      </c>
      <c r="AX44" s="115" t="n"/>
      <c r="AY44" s="115" t="n"/>
      <c r="AZ44" s="115" t="n"/>
      <c r="BA44" s="115" t="n"/>
      <c r="BB44" s="114">
        <f>AX44+AY44+AZ44+BA44</f>
        <v/>
      </c>
      <c r="BC44" s="115" t="n"/>
      <c r="BD44" s="115" t="n"/>
      <c r="BE44" s="115" t="n"/>
      <c r="BF44" s="115" t="n"/>
      <c r="BG44" s="115" t="n"/>
      <c r="BH44" s="114">
        <f>BC44+BD44+BE44+BF44+BG44</f>
        <v/>
      </c>
      <c r="BI44" s="115" t="n"/>
      <c r="BJ44" s="115" t="n"/>
      <c r="BK44" s="115" t="n"/>
      <c r="BL44" s="115" t="n"/>
      <c r="BM44" s="114">
        <f>BI44+BJ44+BK44+BL44</f>
        <v/>
      </c>
    </row>
    <row r="45" ht="15.75" customHeight="1">
      <c r="A45" s="118" t="inlineStr">
        <is>
          <t>SACOLA M VERDE</t>
        </is>
      </c>
      <c r="B45" s="115" t="n">
        <v>100</v>
      </c>
      <c r="C45" s="115" t="n">
        <v>200</v>
      </c>
      <c r="D45" s="115" t="n">
        <v>0</v>
      </c>
      <c r="E45" s="115" t="n">
        <v>200</v>
      </c>
      <c r="F45" s="114">
        <f>B45+C45+D45+E45</f>
        <v/>
      </c>
      <c r="G45" s="115" t="n">
        <v>20</v>
      </c>
      <c r="H45" s="115" t="n">
        <v>80</v>
      </c>
      <c r="I45" s="115" t="n">
        <v>60</v>
      </c>
      <c r="J45" s="115" t="n">
        <v>80</v>
      </c>
      <c r="K45" s="114">
        <f>G45+H45+I45+J45</f>
        <v/>
      </c>
      <c r="L45" s="115" t="n">
        <v>20</v>
      </c>
      <c r="M45" s="115" t="n">
        <v>0</v>
      </c>
      <c r="N45" s="115" t="n">
        <v>380</v>
      </c>
      <c r="O45" s="115" t="n">
        <v>160</v>
      </c>
      <c r="P45" s="115" t="n">
        <v>60</v>
      </c>
      <c r="Q45" s="114">
        <f>L45+M45+N45+O45+P45</f>
        <v/>
      </c>
      <c r="R45" s="115" t="n"/>
      <c r="S45" s="115" t="n"/>
      <c r="T45" s="115" t="n"/>
      <c r="U45" s="115" t="n"/>
      <c r="V45" s="114">
        <f>R45+S45+T45+U45</f>
        <v/>
      </c>
      <c r="W45" s="115" t="n">
        <v>0</v>
      </c>
      <c r="X45" s="115" t="n">
        <v>140</v>
      </c>
      <c r="Y45" s="115" t="n"/>
      <c r="Z45" s="115" t="n"/>
      <c r="AA45" s="114">
        <f>W45+X45+Y45+Z45</f>
        <v/>
      </c>
      <c r="AB45" s="115" t="n"/>
      <c r="AC45" s="115" t="n"/>
      <c r="AD45" s="115" t="n"/>
      <c r="AE45" s="115" t="n"/>
      <c r="AF45" s="115" t="n"/>
      <c r="AG45" s="114">
        <f>AB45+AC45+AD45+AE45+AF45</f>
        <v/>
      </c>
      <c r="AH45" s="115" t="n"/>
      <c r="AI45" s="115" t="n"/>
      <c r="AJ45" s="115" t="n"/>
      <c r="AK45" s="115" t="n"/>
      <c r="AL45" s="114">
        <f>AH45+AI45+AJ45+AK45</f>
        <v/>
      </c>
      <c r="AM45" s="115" t="n"/>
      <c r="AN45" s="115" t="n"/>
      <c r="AO45" s="115" t="n"/>
      <c r="AP45" s="115" t="n"/>
      <c r="AQ45" s="115" t="n"/>
      <c r="AR45" s="114">
        <f>AM45+AN45+AO45+AP45+AQ45</f>
        <v/>
      </c>
      <c r="AS45" s="115" t="n"/>
      <c r="AT45" s="115" t="n"/>
      <c r="AU45" s="115" t="n"/>
      <c r="AV45" s="115" t="n"/>
      <c r="AW45" s="114">
        <f>AS45+AT45+AU45+AV45</f>
        <v/>
      </c>
      <c r="AX45" s="115" t="n"/>
      <c r="AY45" s="115" t="n"/>
      <c r="AZ45" s="115" t="n"/>
      <c r="BA45" s="115" t="n"/>
      <c r="BB45" s="114">
        <f>AX45+AY45+AZ45+BA45</f>
        <v/>
      </c>
      <c r="BC45" s="115" t="n"/>
      <c r="BD45" s="115" t="n"/>
      <c r="BE45" s="115" t="n"/>
      <c r="BF45" s="115" t="n"/>
      <c r="BG45" s="115" t="n"/>
      <c r="BH45" s="114">
        <f>BC45+BD45+BE45+BF45+BG45</f>
        <v/>
      </c>
      <c r="BI45" s="115" t="n"/>
      <c r="BJ45" s="115" t="n"/>
      <c r="BK45" s="115" t="n"/>
      <c r="BL45" s="115" t="n"/>
      <c r="BM45" s="114">
        <f>BI45+BJ45+BK45+BL45</f>
        <v/>
      </c>
    </row>
    <row r="46" ht="15.75" customHeight="1">
      <c r="A46" s="117" t="inlineStr">
        <is>
          <t>SACOLA G VERDE</t>
        </is>
      </c>
      <c r="B46" s="115" t="n">
        <v>0</v>
      </c>
      <c r="C46" s="115" t="n">
        <v>20</v>
      </c>
      <c r="D46" s="115" t="n">
        <v>0</v>
      </c>
      <c r="E46" s="115" t="n">
        <v>0</v>
      </c>
      <c r="F46" s="114">
        <f>B46+C46+D46+E46</f>
        <v/>
      </c>
      <c r="G46" s="115" t="n">
        <v>0</v>
      </c>
      <c r="H46" s="115" t="n">
        <v>20</v>
      </c>
      <c r="I46" s="115" t="n">
        <v>20</v>
      </c>
      <c r="J46" s="115" t="n">
        <v>0</v>
      </c>
      <c r="K46" s="114">
        <f>G46+H46+I46+J46</f>
        <v/>
      </c>
      <c r="L46" s="115" t="n">
        <v>0</v>
      </c>
      <c r="M46" s="115" t="n">
        <v>0</v>
      </c>
      <c r="N46" s="115" t="n">
        <v>40</v>
      </c>
      <c r="O46" s="115" t="n">
        <v>0</v>
      </c>
      <c r="P46" s="115" t="n">
        <v>0</v>
      </c>
      <c r="Q46" s="114">
        <f>L46+M46+N46+O46+P46</f>
        <v/>
      </c>
      <c r="R46" s="115" t="n"/>
      <c r="S46" s="115" t="n"/>
      <c r="T46" s="115" t="n"/>
      <c r="U46" s="115" t="n"/>
      <c r="V46" s="114">
        <f>R46+S46+T46+U46</f>
        <v/>
      </c>
      <c r="W46" s="115" t="n">
        <v>0</v>
      </c>
      <c r="X46" s="115" t="n">
        <v>0</v>
      </c>
      <c r="Y46" s="115" t="n"/>
      <c r="Z46" s="115" t="n"/>
      <c r="AA46" s="114">
        <f>W46+X46+Y46+Z46</f>
        <v/>
      </c>
      <c r="AB46" s="115" t="n"/>
      <c r="AC46" s="115" t="n"/>
      <c r="AD46" s="115" t="n"/>
      <c r="AE46" s="115" t="n"/>
      <c r="AF46" s="115" t="n"/>
      <c r="AG46" s="114">
        <f>AB46+AC46+AD46+AE46+AF46</f>
        <v/>
      </c>
      <c r="AH46" s="115" t="n"/>
      <c r="AI46" s="115" t="n"/>
      <c r="AJ46" s="115" t="n"/>
      <c r="AK46" s="115" t="n"/>
      <c r="AL46" s="114">
        <f>AH46+AI46+AJ46+AK46</f>
        <v/>
      </c>
      <c r="AM46" s="115" t="n"/>
      <c r="AN46" s="115" t="n"/>
      <c r="AO46" s="115" t="n"/>
      <c r="AP46" s="115" t="n"/>
      <c r="AQ46" s="115" t="n"/>
      <c r="AR46" s="114">
        <f>AM46+AN46+AO46+AP46+AQ46</f>
        <v/>
      </c>
      <c r="AS46" s="115" t="n"/>
      <c r="AT46" s="115" t="n"/>
      <c r="AU46" s="115" t="n"/>
      <c r="AV46" s="115" t="n"/>
      <c r="AW46" s="114">
        <f>AS46+AT46+AU46+AV46</f>
        <v/>
      </c>
      <c r="AX46" s="115" t="n"/>
      <c r="AY46" s="115" t="n"/>
      <c r="AZ46" s="115" t="n"/>
      <c r="BA46" s="115" t="n"/>
      <c r="BB46" s="114">
        <f>AX46+AY46+AZ46+BA46</f>
        <v/>
      </c>
      <c r="BC46" s="115" t="n"/>
      <c r="BD46" s="115" t="n"/>
      <c r="BE46" s="115" t="n"/>
      <c r="BF46" s="115" t="n"/>
      <c r="BG46" s="115" t="n"/>
      <c r="BH46" s="114">
        <f>BC46+BD46+BE46+BF46+BG46</f>
        <v/>
      </c>
      <c r="BI46" s="115" t="n"/>
      <c r="BJ46" s="115" t="n"/>
      <c r="BK46" s="115" t="n"/>
      <c r="BL46" s="115" t="n"/>
      <c r="BM46" s="114">
        <f>BI46+BJ46+BK46+BL46</f>
        <v/>
      </c>
    </row>
    <row r="47" ht="15.75" customHeight="1">
      <c r="A47" s="116" t="inlineStr">
        <is>
          <t xml:space="preserve">PAPEL DE SEDA </t>
        </is>
      </c>
      <c r="B47" s="115" t="n">
        <v>1</v>
      </c>
      <c r="C47" s="115" t="n">
        <v>1</v>
      </c>
      <c r="D47" s="115" t="n">
        <v>1</v>
      </c>
      <c r="E47" s="115" t="n">
        <v>5</v>
      </c>
      <c r="F47" s="114">
        <f>B47+C47+D47+E47</f>
        <v/>
      </c>
      <c r="G47" s="115" t="n">
        <v>0</v>
      </c>
      <c r="H47" s="115" t="n">
        <v>1</v>
      </c>
      <c r="I47" s="115" t="n">
        <v>3</v>
      </c>
      <c r="J47" s="115" t="n">
        <v>2</v>
      </c>
      <c r="K47" s="114">
        <f>G47+H47+I47+J47</f>
        <v/>
      </c>
      <c r="L47" s="115" t="n">
        <v>0</v>
      </c>
      <c r="M47" s="115" t="n">
        <v>2</v>
      </c>
      <c r="N47" s="115" t="n">
        <v>2</v>
      </c>
      <c r="O47" s="115" t="n">
        <v>0</v>
      </c>
      <c r="P47" s="115" t="n">
        <v>3</v>
      </c>
      <c r="Q47" s="114">
        <f>L47+M47+N47+O47+P47</f>
        <v/>
      </c>
      <c r="R47" s="115" t="n"/>
      <c r="S47" s="115" t="n"/>
      <c r="T47" s="115" t="n"/>
      <c r="U47" s="115" t="n"/>
      <c r="V47" s="114">
        <f>R47+S47+T47+U47</f>
        <v/>
      </c>
      <c r="W47" s="115" t="n">
        <v>0</v>
      </c>
      <c r="X47" s="115" t="n">
        <v>6</v>
      </c>
      <c r="Y47" s="115" t="n"/>
      <c r="Z47" s="115" t="n"/>
      <c r="AA47" s="114">
        <f>W47+X47+Y47+Z47</f>
        <v/>
      </c>
      <c r="AB47" s="115" t="n"/>
      <c r="AC47" s="115" t="n"/>
      <c r="AD47" s="115" t="n"/>
      <c r="AE47" s="115" t="n"/>
      <c r="AF47" s="115" t="n"/>
      <c r="AG47" s="114">
        <f>AB47+AC47+AD47+AE47+AF47</f>
        <v/>
      </c>
      <c r="AH47" s="115" t="n"/>
      <c r="AI47" s="115" t="n"/>
      <c r="AJ47" s="115" t="n"/>
      <c r="AK47" s="115" t="n"/>
      <c r="AL47" s="114">
        <f>AH47+AI47+AJ47+AK47</f>
        <v/>
      </c>
      <c r="AM47" s="115" t="n"/>
      <c r="AN47" s="115" t="n"/>
      <c r="AO47" s="115" t="n"/>
      <c r="AP47" s="115" t="n"/>
      <c r="AQ47" s="115" t="n"/>
      <c r="AR47" s="114">
        <f>AM47+AN47+AO47+AP47+AQ47</f>
        <v/>
      </c>
      <c r="AS47" s="115" t="n"/>
      <c r="AT47" s="115" t="n"/>
      <c r="AU47" s="115" t="n"/>
      <c r="AV47" s="115" t="n"/>
      <c r="AW47" s="114">
        <f>AS47+AT47+AU47+AV47</f>
        <v/>
      </c>
      <c r="AX47" s="115" t="n"/>
      <c r="AY47" s="115" t="n"/>
      <c r="AZ47" s="115" t="n"/>
      <c r="BA47" s="115" t="n"/>
      <c r="BB47" s="114">
        <f>AX47+AY47+AZ47+BA47</f>
        <v/>
      </c>
      <c r="BC47" s="115" t="n"/>
      <c r="BD47" s="115" t="n"/>
      <c r="BE47" s="115" t="n"/>
      <c r="BF47" s="115" t="n"/>
      <c r="BG47" s="115" t="n"/>
      <c r="BH47" s="114">
        <f>BC47+BD47+BE47+BF47+BG47</f>
        <v/>
      </c>
      <c r="BI47" s="115" t="n"/>
      <c r="BJ47" s="115" t="n"/>
      <c r="BK47" s="115" t="n"/>
      <c r="BL47" s="115" t="n"/>
      <c r="BM47" s="114">
        <f>BI47+BJ47+BK47+BL47</f>
        <v/>
      </c>
    </row>
    <row r="48" ht="15.75" customHeight="1">
      <c r="A48" s="116" t="inlineStr">
        <is>
          <t>ETIQUETAS</t>
        </is>
      </c>
      <c r="B48" s="115" t="n">
        <v>0</v>
      </c>
      <c r="C48" s="115" t="n">
        <v>2</v>
      </c>
      <c r="D48" s="115" t="n">
        <v>0</v>
      </c>
      <c r="E48" s="115" t="n">
        <v>0</v>
      </c>
      <c r="F48" s="114">
        <f>B48+C48+D48+E48</f>
        <v/>
      </c>
      <c r="G48" s="115" t="n">
        <v>0</v>
      </c>
      <c r="H48" s="115" t="n">
        <v>0</v>
      </c>
      <c r="I48" s="115" t="n">
        <v>0</v>
      </c>
      <c r="J48" s="115" t="n">
        <v>0</v>
      </c>
      <c r="K48" s="114">
        <f>G48+H48+I48+J48</f>
        <v/>
      </c>
      <c r="L48" s="115" t="n">
        <v>0</v>
      </c>
      <c r="M48" s="115" t="n">
        <v>1</v>
      </c>
      <c r="N48" s="115" t="n">
        <v>0</v>
      </c>
      <c r="O48" s="115" t="n">
        <v>0</v>
      </c>
      <c r="P48" s="115" t="n">
        <v>1</v>
      </c>
      <c r="Q48" s="114">
        <f>L48+M48+N48+O48+P48</f>
        <v/>
      </c>
      <c r="R48" s="115" t="n"/>
      <c r="S48" s="115" t="n"/>
      <c r="T48" s="115" t="n"/>
      <c r="U48" s="115" t="n"/>
      <c r="V48" s="114">
        <f>R48+S48+T48+U48</f>
        <v/>
      </c>
      <c r="W48" s="115" t="n">
        <v>0</v>
      </c>
      <c r="X48" s="115" t="n">
        <v>1</v>
      </c>
      <c r="Y48" s="115" t="n"/>
      <c r="Z48" s="115" t="n"/>
      <c r="AA48" s="114">
        <f>W48+X48+Y48+Z48</f>
        <v/>
      </c>
      <c r="AB48" s="115" t="n"/>
      <c r="AC48" s="115" t="n"/>
      <c r="AD48" s="115" t="n"/>
      <c r="AE48" s="115" t="n"/>
      <c r="AF48" s="115" t="n"/>
      <c r="AG48" s="114">
        <f>AB48+AC48+AD48+AE48+AF48</f>
        <v/>
      </c>
      <c r="AH48" s="115" t="n"/>
      <c r="AI48" s="115" t="n"/>
      <c r="AJ48" s="115" t="n"/>
      <c r="AK48" s="115" t="n"/>
      <c r="AL48" s="114">
        <f>AH48+AI48+AJ48+AK48</f>
        <v/>
      </c>
      <c r="AM48" s="115" t="n"/>
      <c r="AN48" s="115" t="n"/>
      <c r="AO48" s="115" t="n"/>
      <c r="AP48" s="115" t="n"/>
      <c r="AQ48" s="115" t="n"/>
      <c r="AR48" s="114">
        <f>AM48+AN48+AO48+AP48+AQ48</f>
        <v/>
      </c>
      <c r="AS48" s="115" t="n"/>
      <c r="AT48" s="115" t="n"/>
      <c r="AU48" s="115" t="n"/>
      <c r="AV48" s="115" t="n"/>
      <c r="AW48" s="114">
        <f>AS48+AT48+AU48+AV48</f>
        <v/>
      </c>
      <c r="AX48" s="115" t="n"/>
      <c r="AY48" s="115" t="n"/>
      <c r="AZ48" s="115" t="n"/>
      <c r="BA48" s="115" t="n"/>
      <c r="BB48" s="114">
        <f>AX48+AY48+AZ48+BA48</f>
        <v/>
      </c>
      <c r="BC48" s="115" t="n"/>
      <c r="BD48" s="115" t="n"/>
      <c r="BE48" s="115" t="n"/>
      <c r="BF48" s="115" t="n"/>
      <c r="BG48" s="115" t="n"/>
      <c r="BH48" s="114">
        <f>BC48+BD48+BE48+BF48+BG48</f>
        <v/>
      </c>
      <c r="BI48" s="115" t="n"/>
      <c r="BJ48" s="115" t="n"/>
      <c r="BK48" s="115" t="n"/>
      <c r="BL48" s="115" t="n"/>
      <c r="BM48" s="114">
        <f>BI48+BJ48+BK48+BL48</f>
        <v/>
      </c>
    </row>
    <row r="49" ht="15.75" customHeight="1">
      <c r="A49" s="116" t="inlineStr">
        <is>
          <t xml:space="preserve">TAGS </t>
        </is>
      </c>
      <c r="B49" s="115" t="n">
        <v>1</v>
      </c>
      <c r="C49" s="115" t="n">
        <v>1</v>
      </c>
      <c r="D49" s="115" t="n">
        <v>1</v>
      </c>
      <c r="E49" s="115" t="n">
        <v>3</v>
      </c>
      <c r="F49" s="114">
        <f>B49+C49+D49+E49</f>
        <v/>
      </c>
      <c r="G49" s="115" t="n">
        <v>0</v>
      </c>
      <c r="H49" s="115" t="n">
        <v>1</v>
      </c>
      <c r="I49" s="115" t="n">
        <v>1</v>
      </c>
      <c r="J49" s="115" t="n">
        <v>1</v>
      </c>
      <c r="K49" s="114">
        <f>G49+H49+I49+J49</f>
        <v/>
      </c>
      <c r="L49" s="115" t="n">
        <v>1</v>
      </c>
      <c r="M49" s="115" t="n">
        <v>2</v>
      </c>
      <c r="N49" s="115" t="n">
        <v>1</v>
      </c>
      <c r="O49" s="115" t="n">
        <v>1</v>
      </c>
      <c r="P49" s="115" t="n">
        <v>2</v>
      </c>
      <c r="Q49" s="114">
        <f>L49+M49+N49+O49+P49</f>
        <v/>
      </c>
      <c r="R49" s="115" t="n"/>
      <c r="S49" s="115" t="n"/>
      <c r="T49" s="115" t="n"/>
      <c r="U49" s="115" t="n"/>
      <c r="V49" s="114">
        <f>R49+S49+T49+U49</f>
        <v/>
      </c>
      <c r="W49" s="115" t="n">
        <v>0</v>
      </c>
      <c r="X49" s="115" t="n">
        <v>5</v>
      </c>
      <c r="Y49" s="115" t="n"/>
      <c r="Z49" s="115" t="n"/>
      <c r="AA49" s="114">
        <f>W49+X49+Y49+Z49</f>
        <v/>
      </c>
      <c r="AB49" s="115" t="n"/>
      <c r="AC49" s="115" t="n"/>
      <c r="AD49" s="115" t="n"/>
      <c r="AE49" s="115" t="n"/>
      <c r="AF49" s="115" t="n"/>
      <c r="AG49" s="114">
        <f>AB49+AC49+AD49+AE49+AF49</f>
        <v/>
      </c>
      <c r="AH49" s="115" t="n"/>
      <c r="AI49" s="115" t="n"/>
      <c r="AJ49" s="115" t="n"/>
      <c r="AK49" s="115" t="n"/>
      <c r="AL49" s="114">
        <f>AH49+AI49+AJ49+AK49</f>
        <v/>
      </c>
      <c r="AM49" s="115" t="n"/>
      <c r="AN49" s="115" t="n"/>
      <c r="AO49" s="115" t="n"/>
      <c r="AP49" s="115" t="n"/>
      <c r="AQ49" s="115" t="n"/>
      <c r="AR49" s="114">
        <f>AM49+AN49+AO49+AP49+AQ49</f>
        <v/>
      </c>
      <c r="AS49" s="115" t="n"/>
      <c r="AT49" s="115" t="n"/>
      <c r="AU49" s="115" t="n"/>
      <c r="AV49" s="115" t="n"/>
      <c r="AW49" s="114">
        <f>AS49+AT49+AU49+AV49</f>
        <v/>
      </c>
      <c r="AX49" s="115" t="n"/>
      <c r="AY49" s="115" t="n"/>
      <c r="AZ49" s="115" t="n"/>
      <c r="BA49" s="115" t="n"/>
      <c r="BB49" s="114">
        <f>AX49+AY49+AZ49+BA49</f>
        <v/>
      </c>
      <c r="BC49" s="115" t="n"/>
      <c r="BD49" s="115" t="n"/>
      <c r="BE49" s="115" t="n"/>
      <c r="BF49" s="115" t="n"/>
      <c r="BG49" s="115" t="n"/>
      <c r="BH49" s="114">
        <f>BC49+BD49+BE49+BF49+BG49</f>
        <v/>
      </c>
      <c r="BI49" s="115" t="n"/>
      <c r="BJ49" s="115" t="n"/>
      <c r="BK49" s="115" t="n"/>
      <c r="BL49" s="115" t="n"/>
      <c r="BM49" s="114">
        <f>BI49+BJ49+BK49+BL49</f>
        <v/>
      </c>
    </row>
    <row r="50" ht="15.75" customHeight="1">
      <c r="A50" s="116" t="inlineStr">
        <is>
          <t>LÂMINA OLFATIVA</t>
        </is>
      </c>
      <c r="B50" s="115" t="n">
        <v>0</v>
      </c>
      <c r="C50" s="115" t="n">
        <v>0</v>
      </c>
      <c r="D50" s="115" t="n">
        <v>1</v>
      </c>
      <c r="E50" s="115" t="n">
        <v>0</v>
      </c>
      <c r="F50" s="114">
        <f>B50+C50+D50+E50</f>
        <v/>
      </c>
      <c r="G50" s="115" t="n">
        <v>0</v>
      </c>
      <c r="H50" s="115" t="n">
        <v>1</v>
      </c>
      <c r="I50" s="115" t="n">
        <v>0</v>
      </c>
      <c r="J50" s="115" t="n">
        <v>0</v>
      </c>
      <c r="K50" s="114">
        <f>G50+H50+I50+J50</f>
        <v/>
      </c>
      <c r="L50" s="115" t="n">
        <v>1</v>
      </c>
      <c r="M50" s="115" t="n">
        <v>0</v>
      </c>
      <c r="N50" s="115" t="n">
        <v>0</v>
      </c>
      <c r="O50" s="115" t="n">
        <v>1</v>
      </c>
      <c r="P50" s="115" t="n">
        <v>0</v>
      </c>
      <c r="Q50" s="114">
        <f>L50+M50+N50+O50+P50</f>
        <v/>
      </c>
      <c r="R50" s="115" t="n"/>
      <c r="S50" s="115" t="n"/>
      <c r="T50" s="115" t="n"/>
      <c r="U50" s="115" t="n"/>
      <c r="V50" s="114">
        <f>R50+S50+T50+U50</f>
        <v/>
      </c>
      <c r="W50" s="115" t="n">
        <v>1</v>
      </c>
      <c r="X50" s="115" t="n">
        <v>1</v>
      </c>
      <c r="Y50" s="115" t="n"/>
      <c r="Z50" s="115" t="n"/>
      <c r="AA50" s="114">
        <f>W50+X50+Y50+Z50</f>
        <v/>
      </c>
      <c r="AB50" s="115" t="n"/>
      <c r="AC50" s="115" t="n"/>
      <c r="AD50" s="115" t="n"/>
      <c r="AE50" s="115" t="n"/>
      <c r="AF50" s="115" t="n"/>
      <c r="AG50" s="114">
        <f>AB50+AC50+AD50+AE50+AF50</f>
        <v/>
      </c>
      <c r="AH50" s="115" t="n"/>
      <c r="AI50" s="115" t="n"/>
      <c r="AJ50" s="115" t="n"/>
      <c r="AK50" s="115" t="n"/>
      <c r="AL50" s="114">
        <f>AH50+AI50+AJ50+AK50</f>
        <v/>
      </c>
      <c r="AM50" s="115" t="n"/>
      <c r="AN50" s="115" t="n"/>
      <c r="AO50" s="115" t="n"/>
      <c r="AP50" s="115" t="n"/>
      <c r="AQ50" s="115" t="n"/>
      <c r="AR50" s="114">
        <f>AM50+AN50+AO50+AP50+AQ50</f>
        <v/>
      </c>
      <c r="AS50" s="115" t="n"/>
      <c r="AT50" s="115" t="n"/>
      <c r="AU50" s="115" t="n"/>
      <c r="AV50" s="115" t="n"/>
      <c r="AW50" s="114">
        <f>AS50+AT50+AU50+AV50</f>
        <v/>
      </c>
      <c r="AX50" s="115" t="n"/>
      <c r="AY50" s="115" t="n"/>
      <c r="AZ50" s="115" t="n"/>
      <c r="BA50" s="115" t="n"/>
      <c r="BB50" s="114">
        <f>AX50+AY50+AZ50+BA50</f>
        <v/>
      </c>
      <c r="BC50" s="115" t="n"/>
      <c r="BD50" s="115" t="n"/>
      <c r="BE50" s="115" t="n"/>
      <c r="BF50" s="115" t="n"/>
      <c r="BG50" s="115" t="n"/>
      <c r="BH50" s="114">
        <f>BC50+BD50+BE50+BF50+BG50</f>
        <v/>
      </c>
      <c r="BI50" s="115" t="n"/>
      <c r="BJ50" s="115" t="n"/>
      <c r="BK50" s="115" t="n"/>
      <c r="BL50" s="115" t="n"/>
      <c r="BM50" s="114">
        <f>BI50+BJ50+BK50+BL50</f>
        <v/>
      </c>
    </row>
    <row r="51" ht="15.75" customHeight="1">
      <c r="A51" s="113" t="inlineStr">
        <is>
          <t>TOTAL DE SACOLAS</t>
        </is>
      </c>
      <c r="B51" s="112">
        <f>SUM(B43:B46)</f>
        <v/>
      </c>
      <c r="C51" s="112">
        <f>SUM(C43:C46)</f>
        <v/>
      </c>
      <c r="D51" s="112">
        <f>SUM(D43:D46)</f>
        <v/>
      </c>
      <c r="E51" s="112">
        <f>SUM(E43:E46)</f>
        <v/>
      </c>
      <c r="F51" s="112">
        <f>SUM(F43:F46)</f>
        <v/>
      </c>
      <c r="G51" s="112">
        <f>SUM(G43:G46)</f>
        <v/>
      </c>
      <c r="H51" s="112">
        <f>SUM(H43:H46)</f>
        <v/>
      </c>
      <c r="I51" s="112">
        <f>SUM(I43:I46)</f>
        <v/>
      </c>
      <c r="J51" s="112">
        <f>SUM(J43:J46)</f>
        <v/>
      </c>
      <c r="K51" s="112">
        <f>SUM(K43:K46)</f>
        <v/>
      </c>
      <c r="L51" s="112">
        <f>SUM(L43:L46)</f>
        <v/>
      </c>
      <c r="M51" s="112">
        <f>SUM(M43:M46)</f>
        <v/>
      </c>
      <c r="N51" s="112">
        <f>SUM(N43:N46)</f>
        <v/>
      </c>
      <c r="O51" s="112">
        <f>SUM(O43:O46)</f>
        <v/>
      </c>
      <c r="P51" s="112">
        <f>SUM(P43:P46)</f>
        <v/>
      </c>
      <c r="Q51" s="112">
        <f>SUM(Q43:Q46)</f>
        <v/>
      </c>
      <c r="R51" s="112">
        <f>SUM(R43:R46)</f>
        <v/>
      </c>
      <c r="S51" s="112">
        <f>SUM(S43:S46)</f>
        <v/>
      </c>
      <c r="T51" s="112">
        <f>SUM(T43:T46)</f>
        <v/>
      </c>
      <c r="U51" s="112">
        <f>SUM(U43:U46)</f>
        <v/>
      </c>
      <c r="V51" s="112">
        <f>SUM(V43:V46)</f>
        <v/>
      </c>
      <c r="W51" s="112">
        <f>SUM(W43:W46)</f>
        <v/>
      </c>
      <c r="X51" s="112">
        <f>SUM(X43:X46)</f>
        <v/>
      </c>
      <c r="Y51" s="112">
        <f>SUM(Y43:Y46)</f>
        <v/>
      </c>
      <c r="Z51" s="112">
        <f>SUM(Z43:Z46)</f>
        <v/>
      </c>
      <c r="AA51" s="112">
        <f>SUM(AA43:AA46)</f>
        <v/>
      </c>
      <c r="AB51" s="112">
        <f>SUM(AB43:AB46)</f>
        <v/>
      </c>
      <c r="AC51" s="112">
        <f>SUM(AC43:AC46)</f>
        <v/>
      </c>
      <c r="AD51" s="112">
        <f>SUM(AD43:AD46)</f>
        <v/>
      </c>
      <c r="AE51" s="112">
        <f>SUM(AE43:AE46)</f>
        <v/>
      </c>
      <c r="AF51" s="112">
        <f>SUM(AF43:AF46)</f>
        <v/>
      </c>
      <c r="AG51" s="112">
        <f>SUM(AG43:AG46)</f>
        <v/>
      </c>
      <c r="AH51" s="112">
        <f>SUM(AH43:AH46)</f>
        <v/>
      </c>
      <c r="AI51" s="112">
        <f>SUM(AI43:AI46)</f>
        <v/>
      </c>
      <c r="AJ51" s="112">
        <f>SUM(AJ43:AJ46)</f>
        <v/>
      </c>
      <c r="AK51" s="112">
        <f>SUM(AK43:AK46)</f>
        <v/>
      </c>
      <c r="AL51" s="112">
        <f>SUM(AL43:AL46)</f>
        <v/>
      </c>
      <c r="AM51" s="112">
        <f>SUM(AM43:AM46)</f>
        <v/>
      </c>
      <c r="AN51" s="112">
        <f>SUM(AN43:AN46)</f>
        <v/>
      </c>
      <c r="AO51" s="112">
        <f>SUM(AO43:AO46)</f>
        <v/>
      </c>
      <c r="AP51" s="112">
        <f>SUM(AP43:AP46)</f>
        <v/>
      </c>
      <c r="AQ51" s="112">
        <f>SUM(AQ43:AQ46)</f>
        <v/>
      </c>
      <c r="AR51" s="112">
        <f>SUM(AR43:AR46)</f>
        <v/>
      </c>
      <c r="AS51" s="112">
        <f>SUM(AS43:AS46)</f>
        <v/>
      </c>
      <c r="AT51" s="112">
        <f>SUM(AT43:AT46)</f>
        <v/>
      </c>
      <c r="AU51" s="112">
        <f>SUM(AU43:AU46)</f>
        <v/>
      </c>
      <c r="AV51" s="112">
        <f>SUM(AV43:AV46)</f>
        <v/>
      </c>
      <c r="AW51" s="112">
        <f>SUM(AW43:AW46)</f>
        <v/>
      </c>
      <c r="AX51" s="112">
        <f>SUM(AX43:AX46)</f>
        <v/>
      </c>
      <c r="AY51" s="112">
        <f>SUM(AY43:AY46)</f>
        <v/>
      </c>
      <c r="AZ51" s="112">
        <f>SUM(AZ43:AZ46)</f>
        <v/>
      </c>
      <c r="BA51" s="112">
        <f>SUM(BA43:BA46)</f>
        <v/>
      </c>
      <c r="BB51" s="112">
        <f>SUM(BB43:BB46)</f>
        <v/>
      </c>
      <c r="BC51" s="112">
        <f>SUM(BC43:BC46)</f>
        <v/>
      </c>
      <c r="BD51" s="112">
        <f>SUM(BD43:BD46)</f>
        <v/>
      </c>
      <c r="BE51" s="112">
        <f>SUM(BE43:BE46)</f>
        <v/>
      </c>
      <c r="BF51" s="112">
        <f>SUM(BF43:BF46)</f>
        <v/>
      </c>
      <c r="BG51" s="112">
        <f>SUM(BG43:BG46)</f>
        <v/>
      </c>
      <c r="BH51" s="112">
        <f>SUM(BH43:BH46)</f>
        <v/>
      </c>
      <c r="BI51" s="112">
        <f>SUM(BI43:BI46)</f>
        <v/>
      </c>
      <c r="BJ51" s="112">
        <f>SUM(BJ43:BJ46)</f>
        <v/>
      </c>
      <c r="BK51" s="112">
        <f>SUM(BK43:BK46)</f>
        <v/>
      </c>
      <c r="BL51" s="112">
        <f>SUM(BL43:BL46)</f>
        <v/>
      </c>
      <c r="BM51" s="112">
        <f>SUM(BM43:BM46)</f>
        <v/>
      </c>
    </row>
    <row r="53" ht="18" customHeight="1">
      <c r="A53" s="577" t="inlineStr">
        <is>
          <t>GASTO DE SACOLAS E ITENS DOADOS 2026 - MENSAIS</t>
        </is>
      </c>
      <c r="B53" s="844" t="n"/>
      <c r="C53" s="844" t="n"/>
      <c r="D53" s="844" t="n"/>
      <c r="E53" s="844" t="n"/>
      <c r="F53" s="844" t="n"/>
      <c r="G53" s="844" t="n"/>
      <c r="H53" s="844" t="n"/>
      <c r="I53" s="844" t="n"/>
      <c r="J53" s="844" t="n"/>
      <c r="K53" s="844" t="n"/>
      <c r="L53" s="844" t="n"/>
      <c r="M53" s="844" t="n"/>
      <c r="N53" s="844" t="n"/>
      <c r="O53" s="844" t="n"/>
      <c r="P53" s="844" t="n"/>
      <c r="Q53" s="844" t="n"/>
      <c r="R53" s="844" t="n"/>
      <c r="S53" s="844" t="n"/>
      <c r="T53" s="844" t="n"/>
      <c r="U53" s="844" t="n"/>
      <c r="V53" s="844" t="n"/>
      <c r="W53" s="844" t="n"/>
      <c r="X53" s="844" t="n"/>
      <c r="Y53" s="844" t="n"/>
      <c r="Z53" s="844" t="n"/>
      <c r="AA53" s="844" t="n"/>
      <c r="AB53" s="844" t="n"/>
      <c r="AC53" s="844" t="n"/>
      <c r="AD53" s="844" t="n"/>
      <c r="AE53" s="844" t="n"/>
      <c r="AF53" s="844" t="n"/>
      <c r="AG53" s="844" t="n"/>
      <c r="AH53" s="844" t="n"/>
      <c r="AI53" s="844" t="n"/>
      <c r="AJ53" s="844" t="n"/>
      <c r="AK53" s="844" t="n"/>
      <c r="AL53" s="844" t="n"/>
      <c r="AM53" s="844" t="n"/>
      <c r="AN53" s="844" t="n"/>
      <c r="AO53" s="844" t="n"/>
      <c r="AP53" s="844" t="n"/>
      <c r="AQ53" s="844" t="n"/>
      <c r="AR53" s="844" t="n"/>
      <c r="AS53" s="844" t="n"/>
      <c r="AT53" s="844" t="n"/>
      <c r="AU53" s="844" t="n"/>
      <c r="AV53" s="844" t="n"/>
      <c r="AW53" s="844" t="n"/>
      <c r="AX53" s="844" t="n"/>
      <c r="AY53" s="844" t="n"/>
      <c r="AZ53" s="844" t="n"/>
      <c r="BA53" s="844" t="n"/>
      <c r="BB53" s="844" t="n"/>
      <c r="BC53" s="844" t="n"/>
      <c r="BD53" s="844" t="n"/>
      <c r="BE53" s="844" t="n"/>
      <c r="BF53" s="844" t="n"/>
      <c r="BG53" s="844" t="n"/>
      <c r="BH53" s="844" t="n"/>
      <c r="BI53" s="844" t="n"/>
      <c r="BJ53" s="844" t="n"/>
      <c r="BK53" s="844" t="n"/>
      <c r="BL53" s="844" t="n"/>
      <c r="BM53" s="844" t="n"/>
    </row>
    <row r="54" ht="18" customHeight="1">
      <c r="A54" s="845" t="inlineStr">
        <is>
          <t>GETÚLIO</t>
        </is>
      </c>
      <c r="B54" s="845" t="inlineStr">
        <is>
          <t>JANEIRO</t>
        </is>
      </c>
      <c r="C54" s="846" t="n"/>
      <c r="D54" s="846" t="n"/>
      <c r="E54" s="846" t="n"/>
      <c r="F54" s="847" t="n"/>
      <c r="G54" s="845" t="inlineStr">
        <is>
          <t>FEVEREIRO</t>
        </is>
      </c>
      <c r="H54" s="846" t="n"/>
      <c r="I54" s="846" t="n"/>
      <c r="J54" s="846" t="n"/>
      <c r="K54" s="847" t="n"/>
      <c r="L54" s="845" t="inlineStr">
        <is>
          <t>MARÇO</t>
        </is>
      </c>
      <c r="M54" s="846" t="n"/>
      <c r="N54" s="846" t="n"/>
      <c r="O54" s="846" t="n"/>
      <c r="P54" s="846" t="n"/>
      <c r="Q54" s="847" t="n"/>
      <c r="R54" s="845" t="inlineStr">
        <is>
          <t>ABRIL</t>
        </is>
      </c>
      <c r="S54" s="846" t="n"/>
      <c r="T54" s="846" t="n"/>
      <c r="U54" s="846" t="n"/>
      <c r="V54" s="847" t="n"/>
      <c r="W54" s="845" t="inlineStr">
        <is>
          <t>MAIO</t>
        </is>
      </c>
      <c r="X54" s="846" t="n"/>
      <c r="Y54" s="846" t="n"/>
      <c r="Z54" s="846" t="n"/>
      <c r="AA54" s="847" t="n"/>
      <c r="AB54" s="845" t="inlineStr">
        <is>
          <t>JUNHO</t>
        </is>
      </c>
      <c r="AC54" s="846" t="n"/>
      <c r="AD54" s="846" t="n"/>
      <c r="AE54" s="846" t="n"/>
      <c r="AF54" s="846" t="n"/>
      <c r="AG54" s="847" t="n"/>
      <c r="AH54" s="845" t="inlineStr">
        <is>
          <t>JULHO</t>
        </is>
      </c>
      <c r="AI54" s="846" t="n"/>
      <c r="AJ54" s="846" t="n"/>
      <c r="AK54" s="846" t="n"/>
      <c r="AL54" s="847" t="n"/>
      <c r="AM54" s="845" t="inlineStr">
        <is>
          <t>AGOSTO</t>
        </is>
      </c>
      <c r="AN54" s="846" t="n"/>
      <c r="AO54" s="846" t="n"/>
      <c r="AP54" s="846" t="n"/>
      <c r="AQ54" s="846" t="n"/>
      <c r="AR54" s="847" t="n"/>
      <c r="AS54" s="845" t="inlineStr">
        <is>
          <t>SETEMBRO</t>
        </is>
      </c>
      <c r="AT54" s="846" t="n"/>
      <c r="AU54" s="846" t="n"/>
      <c r="AV54" s="846" t="n"/>
      <c r="AW54" s="847" t="n"/>
      <c r="AX54" s="845" t="inlineStr">
        <is>
          <t>OUTUBRO</t>
        </is>
      </c>
      <c r="AY54" s="846" t="n"/>
      <c r="AZ54" s="846" t="n"/>
      <c r="BA54" s="846" t="n"/>
      <c r="BB54" s="847" t="n"/>
      <c r="BC54" s="845" t="inlineStr">
        <is>
          <t>NOVEMBRO</t>
        </is>
      </c>
      <c r="BD54" s="846" t="n"/>
      <c r="BE54" s="846" t="n"/>
      <c r="BF54" s="846" t="n"/>
      <c r="BG54" s="846" t="n"/>
      <c r="BH54" s="847" t="n"/>
      <c r="BI54" s="845" t="inlineStr">
        <is>
          <t>DEZEMBRO</t>
        </is>
      </c>
      <c r="BJ54" s="846" t="n"/>
      <c r="BK54" s="846" t="n"/>
      <c r="BL54" s="846" t="n"/>
      <c r="BM54" s="847" t="n"/>
    </row>
    <row r="55" ht="15.75" customHeight="1">
      <c r="A55" s="848" t="n"/>
      <c r="B55" s="121" t="n">
        <v>46027</v>
      </c>
      <c r="C55" s="121" t="n">
        <v>46034</v>
      </c>
      <c r="D55" s="121" t="n">
        <v>46041</v>
      </c>
      <c r="E55" s="121" t="n">
        <v>46048</v>
      </c>
      <c r="F55" s="120" t="inlineStr">
        <is>
          <t>USOU</t>
        </is>
      </c>
      <c r="G55" s="121" t="n">
        <v>46055</v>
      </c>
      <c r="H55" s="121" t="n">
        <v>46062</v>
      </c>
      <c r="I55" s="121" t="n">
        <v>46069</v>
      </c>
      <c r="J55" s="121" t="n">
        <v>46076</v>
      </c>
      <c r="K55" s="120" t="inlineStr">
        <is>
          <t>USOU</t>
        </is>
      </c>
      <c r="L55" s="121" t="n">
        <v>46083</v>
      </c>
      <c r="M55" s="121" t="n">
        <v>46090</v>
      </c>
      <c r="N55" s="121" t="n">
        <v>46097</v>
      </c>
      <c r="O55" s="121" t="n">
        <v>46104</v>
      </c>
      <c r="P55" s="121" t="n">
        <v>46111</v>
      </c>
      <c r="Q55" s="120" t="inlineStr">
        <is>
          <t>USOU</t>
        </is>
      </c>
      <c r="R55" s="121" t="n">
        <v>46118</v>
      </c>
      <c r="S55" s="121" t="n">
        <v>46125</v>
      </c>
      <c r="T55" s="121" t="n">
        <v>46132</v>
      </c>
      <c r="U55" s="121" t="n">
        <v>46139</v>
      </c>
      <c r="V55" s="120" t="inlineStr">
        <is>
          <t>USOU</t>
        </is>
      </c>
      <c r="W55" s="121" t="n">
        <v>46146</v>
      </c>
      <c r="X55" s="121" t="n">
        <v>46153</v>
      </c>
      <c r="Y55" s="121" t="n">
        <v>46160</v>
      </c>
      <c r="Z55" s="121" t="n">
        <v>46167</v>
      </c>
      <c r="AA55" s="120" t="inlineStr">
        <is>
          <t>USOU</t>
        </is>
      </c>
      <c r="AB55" s="121" t="n">
        <v>46174</v>
      </c>
      <c r="AC55" s="121" t="n">
        <v>46181</v>
      </c>
      <c r="AD55" s="121" t="n">
        <v>46188</v>
      </c>
      <c r="AE55" s="121" t="n">
        <v>46195</v>
      </c>
      <c r="AF55" s="121" t="n">
        <v>46202</v>
      </c>
      <c r="AG55" s="120" t="inlineStr">
        <is>
          <t>USOU</t>
        </is>
      </c>
      <c r="AH55" s="121" t="n">
        <v>46209</v>
      </c>
      <c r="AI55" s="121" t="n">
        <v>46216</v>
      </c>
      <c r="AJ55" s="121" t="n">
        <v>46223</v>
      </c>
      <c r="AK55" s="121" t="n">
        <v>46230</v>
      </c>
      <c r="AL55" s="120" t="inlineStr">
        <is>
          <t>USOU</t>
        </is>
      </c>
      <c r="AM55" s="121" t="n">
        <v>46237</v>
      </c>
      <c r="AN55" s="121" t="n">
        <v>46244</v>
      </c>
      <c r="AO55" s="121" t="n">
        <v>46251</v>
      </c>
      <c r="AP55" s="121" t="n">
        <v>46258</v>
      </c>
      <c r="AQ55" s="121" t="n">
        <v>46265</v>
      </c>
      <c r="AR55" s="120" t="inlineStr">
        <is>
          <t>USOU</t>
        </is>
      </c>
      <c r="AS55" s="121" t="n">
        <v>46272</v>
      </c>
      <c r="AT55" s="121" t="n">
        <v>46279</v>
      </c>
      <c r="AU55" s="121" t="n">
        <v>46286</v>
      </c>
      <c r="AV55" s="121" t="n">
        <v>46293</v>
      </c>
      <c r="AW55" s="120" t="inlineStr">
        <is>
          <t>USOU</t>
        </is>
      </c>
      <c r="AX55" s="121" t="n">
        <v>46300</v>
      </c>
      <c r="AY55" s="121" t="n">
        <v>46307</v>
      </c>
      <c r="AZ55" s="121" t="n">
        <v>46314</v>
      </c>
      <c r="BA55" s="121" t="n">
        <v>46321</v>
      </c>
      <c r="BB55" s="120" t="inlineStr">
        <is>
          <t>USOU</t>
        </is>
      </c>
      <c r="BC55" s="121" t="n">
        <v>46328</v>
      </c>
      <c r="BD55" s="121" t="n">
        <v>46335</v>
      </c>
      <c r="BE55" s="121" t="n">
        <v>46342</v>
      </c>
      <c r="BF55" s="121" t="n">
        <v>46349</v>
      </c>
      <c r="BG55" s="121" t="n">
        <v>46356</v>
      </c>
      <c r="BH55" s="120" t="inlineStr">
        <is>
          <t>USOU</t>
        </is>
      </c>
      <c r="BI55" s="121" t="n">
        <v>46363</v>
      </c>
      <c r="BJ55" s="121" t="n">
        <v>46370</v>
      </c>
      <c r="BK55" s="121" t="n">
        <v>46377</v>
      </c>
      <c r="BL55" s="121" t="n">
        <v>46384</v>
      </c>
      <c r="BM55" s="120" t="inlineStr">
        <is>
          <t>USOU</t>
        </is>
      </c>
    </row>
    <row r="56" ht="15.75" customHeight="1">
      <c r="A56" s="118" t="inlineStr">
        <is>
          <t>SACOLA PP VERDE</t>
        </is>
      </c>
      <c r="B56" s="115" t="n">
        <v>20</v>
      </c>
      <c r="C56" s="115" t="n">
        <v>0</v>
      </c>
      <c r="D56" s="115" t="n">
        <v>40</v>
      </c>
      <c r="E56" s="115" t="n">
        <v>60</v>
      </c>
      <c r="F56" s="114">
        <f>B56+C56+D56+E56</f>
        <v/>
      </c>
      <c r="G56" s="115" t="n">
        <v>20</v>
      </c>
      <c r="H56" s="115" t="n">
        <v>80</v>
      </c>
      <c r="I56" s="115" t="n">
        <v>60</v>
      </c>
      <c r="J56" s="115" t="n">
        <v>60</v>
      </c>
      <c r="K56" s="114">
        <f>G56+H56+I56+J56</f>
        <v/>
      </c>
      <c r="L56" s="115" t="n">
        <v>80</v>
      </c>
      <c r="M56" s="115" t="n">
        <v>120</v>
      </c>
      <c r="N56" s="115" t="n">
        <v>80</v>
      </c>
      <c r="O56" s="115" t="n">
        <v>60</v>
      </c>
      <c r="P56" s="115" t="n">
        <v>80</v>
      </c>
      <c r="Q56" s="114">
        <f>L56+M56+N56+O56+P56</f>
        <v/>
      </c>
      <c r="R56" s="115" t="n"/>
      <c r="S56" s="115" t="n"/>
      <c r="T56" s="115" t="n"/>
      <c r="U56" s="115" t="n"/>
      <c r="V56" s="114">
        <f>R56+S56+T56+U56</f>
        <v/>
      </c>
      <c r="W56" s="115" t="n">
        <v>80</v>
      </c>
      <c r="X56" s="115" t="n">
        <v>200</v>
      </c>
      <c r="Y56" s="115" t="n"/>
      <c r="Z56" s="115" t="n"/>
      <c r="AA56" s="114">
        <f>W56+X56+Y56+Z56</f>
        <v/>
      </c>
      <c r="AB56" s="115" t="n"/>
      <c r="AC56" s="115" t="n"/>
      <c r="AD56" s="115" t="n"/>
      <c r="AE56" s="115" t="n"/>
      <c r="AF56" s="115" t="n"/>
      <c r="AG56" s="114">
        <f>AB56+AC56+AD56+AE56+AF56</f>
        <v/>
      </c>
      <c r="AH56" s="115" t="n"/>
      <c r="AI56" s="115" t="n"/>
      <c r="AJ56" s="115" t="n"/>
      <c r="AK56" s="115" t="n"/>
      <c r="AL56" s="114">
        <f>AH56+AI56+AJ56+AK56</f>
        <v/>
      </c>
      <c r="AM56" s="115" t="n"/>
      <c r="AN56" s="115" t="n"/>
      <c r="AO56" s="115" t="n"/>
      <c r="AP56" s="115" t="n"/>
      <c r="AQ56" s="115" t="n"/>
      <c r="AR56" s="114">
        <f>AM56+AN56+AO56+AP56+AQ56</f>
        <v/>
      </c>
      <c r="AS56" s="115" t="n"/>
      <c r="AT56" s="115" t="n"/>
      <c r="AU56" s="115" t="n"/>
      <c r="AV56" s="115" t="n"/>
      <c r="AW56" s="114">
        <f>AS56+AT56+AU56+AV56</f>
        <v/>
      </c>
      <c r="AX56" s="115" t="n"/>
      <c r="AY56" s="115" t="n"/>
      <c r="AZ56" s="115" t="n"/>
      <c r="BA56" s="115" t="n"/>
      <c r="BB56" s="114">
        <f>AX56+AY56+AZ56+BA56</f>
        <v/>
      </c>
      <c r="BC56" s="115" t="n"/>
      <c r="BD56" s="115" t="n"/>
      <c r="BE56" s="115" t="n"/>
      <c r="BF56" s="115" t="n"/>
      <c r="BG56" s="115" t="n"/>
      <c r="BH56" s="114">
        <f>BC56+BD56+BE56+BF56+BG56</f>
        <v/>
      </c>
      <c r="BI56" s="115" t="n"/>
      <c r="BJ56" s="115" t="n"/>
      <c r="BK56" s="115" t="n"/>
      <c r="BL56" s="115" t="n"/>
      <c r="BM56" s="114">
        <f>BI56+BJ56+BK56+BL56</f>
        <v/>
      </c>
    </row>
    <row r="57" ht="15.75" customHeight="1">
      <c r="A57" s="118" t="inlineStr">
        <is>
          <t>SACOLA P VERDE</t>
        </is>
      </c>
      <c r="B57" s="115" t="n">
        <v>160</v>
      </c>
      <c r="C57" s="115" t="n">
        <v>280</v>
      </c>
      <c r="D57" s="115" t="n">
        <v>160</v>
      </c>
      <c r="E57" s="115" t="n">
        <v>200</v>
      </c>
      <c r="F57" s="114">
        <f>B57+C57+D57+E57</f>
        <v/>
      </c>
      <c r="G57" s="115" t="n">
        <v>140</v>
      </c>
      <c r="H57" s="115" t="n">
        <v>180</v>
      </c>
      <c r="I57" s="115" t="n">
        <v>180</v>
      </c>
      <c r="J57" s="115" t="n">
        <v>140</v>
      </c>
      <c r="K57" s="114">
        <f>G57+H57+I57+J57</f>
        <v/>
      </c>
      <c r="L57" s="115" t="n">
        <v>400</v>
      </c>
      <c r="M57" s="115" t="n">
        <v>80</v>
      </c>
      <c r="N57" s="115" t="n">
        <v>280</v>
      </c>
      <c r="O57" s="115" t="n">
        <v>0</v>
      </c>
      <c r="P57" s="115" t="n">
        <v>200</v>
      </c>
      <c r="Q57" s="114">
        <f>L57+M57+N57+O57+P57</f>
        <v/>
      </c>
      <c r="R57" s="115" t="n"/>
      <c r="S57" s="115" t="n"/>
      <c r="T57" s="115" t="n"/>
      <c r="U57" s="115" t="n"/>
      <c r="V57" s="114">
        <f>R57+S57+T57+U57</f>
        <v/>
      </c>
      <c r="W57" s="115" t="n">
        <v>0</v>
      </c>
      <c r="X57" s="115" t="n">
        <v>0</v>
      </c>
      <c r="Y57" s="115" t="n"/>
      <c r="Z57" s="115" t="n"/>
      <c r="AA57" s="114">
        <f>W57+X57+Y57+Z57</f>
        <v/>
      </c>
      <c r="AB57" s="115" t="n"/>
      <c r="AC57" s="115" t="n"/>
      <c r="AD57" s="115" t="n"/>
      <c r="AE57" s="115" t="n"/>
      <c r="AF57" s="115" t="n"/>
      <c r="AG57" s="114">
        <f>AB57+AC57+AD57+AE57+AF57</f>
        <v/>
      </c>
      <c r="AH57" s="115" t="n"/>
      <c r="AI57" s="115" t="n"/>
      <c r="AJ57" s="115" t="n"/>
      <c r="AK57" s="115" t="n"/>
      <c r="AL57" s="114">
        <f>AH57+AI57+AJ57+AK57</f>
        <v/>
      </c>
      <c r="AM57" s="115" t="n"/>
      <c r="AN57" s="115" t="n"/>
      <c r="AO57" s="115" t="n"/>
      <c r="AP57" s="115" t="n"/>
      <c r="AQ57" s="115" t="n"/>
      <c r="AR57" s="114">
        <f>AM57+AN57+AO57+AP57+AQ57</f>
        <v/>
      </c>
      <c r="AS57" s="115" t="n"/>
      <c r="AT57" s="115" t="n"/>
      <c r="AU57" s="115" t="n"/>
      <c r="AV57" s="115" t="n"/>
      <c r="AW57" s="114">
        <f>AS57+AT57+AU57+AV57</f>
        <v/>
      </c>
      <c r="AX57" s="115" t="n"/>
      <c r="AY57" s="115" t="n"/>
      <c r="AZ57" s="115" t="n"/>
      <c r="BA57" s="115" t="n"/>
      <c r="BB57" s="114">
        <f>AX57+AY57+AZ57+BA57</f>
        <v/>
      </c>
      <c r="BC57" s="115" t="n"/>
      <c r="BD57" s="115" t="n"/>
      <c r="BE57" s="115" t="n"/>
      <c r="BF57" s="115" t="n"/>
      <c r="BG57" s="115" t="n"/>
      <c r="BH57" s="114">
        <f>BC57+BD57+BE57+BF57+BG57</f>
        <v/>
      </c>
      <c r="BI57" s="115" t="n"/>
      <c r="BJ57" s="115" t="n"/>
      <c r="BK57" s="115" t="n"/>
      <c r="BL57" s="115" t="n"/>
      <c r="BM57" s="114">
        <f>BI57+BJ57+BK57+BL57</f>
        <v/>
      </c>
    </row>
    <row r="58" ht="15.75" customHeight="1">
      <c r="A58" s="118" t="inlineStr">
        <is>
          <t>SACOLA M VERDE</t>
        </is>
      </c>
      <c r="B58" s="115" t="n">
        <v>180</v>
      </c>
      <c r="C58" s="115" t="n">
        <v>100</v>
      </c>
      <c r="D58" s="115" t="n">
        <v>20</v>
      </c>
      <c r="E58" s="115" t="n">
        <v>80</v>
      </c>
      <c r="F58" s="114">
        <f>B58+C58+D58+E58</f>
        <v/>
      </c>
      <c r="G58" s="115" t="n">
        <v>60</v>
      </c>
      <c r="H58" s="115" t="n">
        <v>60</v>
      </c>
      <c r="I58" s="115" t="n">
        <v>60</v>
      </c>
      <c r="J58" s="115" t="n">
        <v>20</v>
      </c>
      <c r="K58" s="114">
        <f>G58+H58+I58+J58</f>
        <v/>
      </c>
      <c r="L58" s="115" t="n">
        <v>60</v>
      </c>
      <c r="M58" s="115" t="n">
        <v>180</v>
      </c>
      <c r="N58" s="115" t="n">
        <v>60</v>
      </c>
      <c r="O58" s="115" t="n">
        <v>60</v>
      </c>
      <c r="P58" s="115" t="n">
        <v>100</v>
      </c>
      <c r="Q58" s="114">
        <f>L58+M58+N58+O58+P58</f>
        <v/>
      </c>
      <c r="R58" s="115" t="n"/>
      <c r="S58" s="115" t="n"/>
      <c r="T58" s="115" t="n"/>
      <c r="U58" s="115" t="n"/>
      <c r="V58" s="114">
        <f>R58+S58+T58+U58</f>
        <v/>
      </c>
      <c r="W58" s="115" t="n">
        <v>0</v>
      </c>
      <c r="X58" s="115" t="n">
        <v>0</v>
      </c>
      <c r="Y58" s="115" t="n"/>
      <c r="Z58" s="115" t="n"/>
      <c r="AA58" s="114">
        <f>W58+X58+Y58+Z58</f>
        <v/>
      </c>
      <c r="AB58" s="115" t="n"/>
      <c r="AC58" s="115" t="n"/>
      <c r="AD58" s="115" t="n"/>
      <c r="AE58" s="115" t="n"/>
      <c r="AF58" s="115" t="n"/>
      <c r="AG58" s="114">
        <f>AB58+AC58+AD58+AE58+AF58</f>
        <v/>
      </c>
      <c r="AH58" s="115" t="n"/>
      <c r="AI58" s="115" t="n"/>
      <c r="AJ58" s="115" t="n"/>
      <c r="AK58" s="115" t="n"/>
      <c r="AL58" s="114">
        <f>AH58+AI58+AJ58+AK58</f>
        <v/>
      </c>
      <c r="AM58" s="115" t="n"/>
      <c r="AN58" s="115" t="n"/>
      <c r="AO58" s="115" t="n"/>
      <c r="AP58" s="115" t="n"/>
      <c r="AQ58" s="115" t="n"/>
      <c r="AR58" s="114">
        <f>AM58+AN58+AO58+AP58+AQ58</f>
        <v/>
      </c>
      <c r="AS58" s="115" t="n"/>
      <c r="AT58" s="115" t="n"/>
      <c r="AU58" s="115" t="n"/>
      <c r="AV58" s="115" t="n"/>
      <c r="AW58" s="114">
        <f>AS58+AT58+AU58+AV58</f>
        <v/>
      </c>
      <c r="AX58" s="115" t="n"/>
      <c r="AY58" s="115" t="n"/>
      <c r="AZ58" s="115" t="n"/>
      <c r="BA58" s="115" t="n"/>
      <c r="BB58" s="114">
        <f>AX58+AY58+AZ58+BA58</f>
        <v/>
      </c>
      <c r="BC58" s="115" t="n"/>
      <c r="BD58" s="115" t="n"/>
      <c r="BE58" s="115" t="n"/>
      <c r="BF58" s="115" t="n"/>
      <c r="BG58" s="115" t="n"/>
      <c r="BH58" s="114">
        <f>BC58+BD58+BE58+BF58+BG58</f>
        <v/>
      </c>
      <c r="BI58" s="115" t="n"/>
      <c r="BJ58" s="115" t="n"/>
      <c r="BK58" s="115" t="n"/>
      <c r="BL58" s="115" t="n"/>
      <c r="BM58" s="114">
        <f>BI58+BJ58+BK58+BL58</f>
        <v/>
      </c>
    </row>
    <row r="59" ht="15.75" customHeight="1">
      <c r="A59" s="117" t="inlineStr">
        <is>
          <t>SACOLA G VERDE</t>
        </is>
      </c>
      <c r="B59" s="115" t="n">
        <v>0</v>
      </c>
      <c r="C59" s="115" t="n">
        <v>20</v>
      </c>
      <c r="D59" s="115" t="n">
        <v>0</v>
      </c>
      <c r="E59" s="115" t="n">
        <v>40</v>
      </c>
      <c r="F59" s="114">
        <f>B59+C59+D59+E59</f>
        <v/>
      </c>
      <c r="G59" s="115" t="n">
        <v>0</v>
      </c>
      <c r="H59" s="115" t="n">
        <v>0</v>
      </c>
      <c r="I59" s="115" t="n">
        <v>0</v>
      </c>
      <c r="J59" s="115" t="n">
        <v>0</v>
      </c>
      <c r="K59" s="114">
        <f>G59+H59+I59+J59</f>
        <v/>
      </c>
      <c r="L59" s="115" t="n">
        <v>0</v>
      </c>
      <c r="M59" s="115" t="n">
        <v>0</v>
      </c>
      <c r="N59" s="115" t="n">
        <v>0</v>
      </c>
      <c r="O59" s="115" t="n">
        <v>0</v>
      </c>
      <c r="P59" s="115" t="n">
        <v>0</v>
      </c>
      <c r="Q59" s="114">
        <f>L59+M59+N59+O59+P59</f>
        <v/>
      </c>
      <c r="R59" s="115" t="n"/>
      <c r="S59" s="115" t="n"/>
      <c r="T59" s="115" t="n"/>
      <c r="U59" s="115" t="n"/>
      <c r="V59" s="114">
        <f>R59+S59+T59+U59</f>
        <v/>
      </c>
      <c r="W59" s="115" t="n">
        <v>0</v>
      </c>
      <c r="X59" s="115" t="n">
        <v>0</v>
      </c>
      <c r="Y59" s="115" t="n"/>
      <c r="Z59" s="115" t="n"/>
      <c r="AA59" s="114">
        <f>W59+X59+Y59+Z59</f>
        <v/>
      </c>
      <c r="AB59" s="115" t="n"/>
      <c r="AC59" s="115" t="n"/>
      <c r="AD59" s="115" t="n"/>
      <c r="AE59" s="115" t="n"/>
      <c r="AF59" s="115" t="n"/>
      <c r="AG59" s="114">
        <f>AB59+AC59+AD59+AE59+AF59</f>
        <v/>
      </c>
      <c r="AH59" s="115" t="n"/>
      <c r="AI59" s="115" t="n"/>
      <c r="AJ59" s="115" t="n"/>
      <c r="AK59" s="115" t="n"/>
      <c r="AL59" s="114">
        <f>AH59+AI59+AJ59+AK59</f>
        <v/>
      </c>
      <c r="AM59" s="115" t="n"/>
      <c r="AN59" s="115" t="n"/>
      <c r="AO59" s="115" t="n"/>
      <c r="AP59" s="115" t="n"/>
      <c r="AQ59" s="115" t="n"/>
      <c r="AR59" s="114">
        <f>AM59+AN59+AO59+AP59+AQ59</f>
        <v/>
      </c>
      <c r="AS59" s="115" t="n"/>
      <c r="AT59" s="115" t="n"/>
      <c r="AU59" s="115" t="n"/>
      <c r="AV59" s="115" t="n"/>
      <c r="AW59" s="114">
        <f>AS59+AT59+AU59+AV59</f>
        <v/>
      </c>
      <c r="AX59" s="115" t="n"/>
      <c r="AY59" s="115" t="n"/>
      <c r="AZ59" s="115" t="n"/>
      <c r="BA59" s="115" t="n"/>
      <c r="BB59" s="114">
        <f>AX59+AY59+AZ59+BA59</f>
        <v/>
      </c>
      <c r="BC59" s="115" t="n"/>
      <c r="BD59" s="115" t="n"/>
      <c r="BE59" s="115" t="n"/>
      <c r="BF59" s="115" t="n"/>
      <c r="BG59" s="115" t="n"/>
      <c r="BH59" s="114">
        <f>BC59+BD59+BE59+BF59+BG59</f>
        <v/>
      </c>
      <c r="BI59" s="115" t="n"/>
      <c r="BJ59" s="115" t="n"/>
      <c r="BK59" s="115" t="n"/>
      <c r="BL59" s="115" t="n"/>
      <c r="BM59" s="114">
        <f>BI59+BJ59+BK59+BL59</f>
        <v/>
      </c>
    </row>
    <row r="60" ht="15.75" customHeight="1">
      <c r="A60" s="116" t="inlineStr">
        <is>
          <t xml:space="preserve">PAPEL DE SEDA </t>
        </is>
      </c>
      <c r="B60" s="115" t="n">
        <v>0</v>
      </c>
      <c r="C60" s="115" t="n">
        <v>2</v>
      </c>
      <c r="D60" s="115" t="n">
        <v>1</v>
      </c>
      <c r="E60" s="115" t="n">
        <v>1</v>
      </c>
      <c r="F60" s="114">
        <f>B60+C60+D60+E60</f>
        <v/>
      </c>
      <c r="G60" s="115" t="n">
        <v>1</v>
      </c>
      <c r="H60" s="115" t="n">
        <v>1</v>
      </c>
      <c r="I60" s="115" t="n">
        <v>1</v>
      </c>
      <c r="J60" s="115" t="n">
        <v>1</v>
      </c>
      <c r="K60" s="114">
        <f>G60+H60+I60+J60</f>
        <v/>
      </c>
      <c r="L60" s="115" t="n">
        <v>1</v>
      </c>
      <c r="M60" s="115" t="n">
        <v>2</v>
      </c>
      <c r="N60" s="115" t="n">
        <v>1</v>
      </c>
      <c r="O60" s="115" t="n">
        <v>1</v>
      </c>
      <c r="P60" s="115" t="n">
        <v>0</v>
      </c>
      <c r="Q60" s="114">
        <f>L60+M60+N60+O60+P60</f>
        <v/>
      </c>
      <c r="R60" s="115" t="n"/>
      <c r="S60" s="115" t="n"/>
      <c r="T60" s="115" t="n"/>
      <c r="U60" s="115" t="n"/>
      <c r="V60" s="114">
        <f>R60+S60+T60+U60</f>
        <v/>
      </c>
      <c r="W60" s="115" t="n">
        <v>0</v>
      </c>
      <c r="X60" s="115" t="n">
        <v>3</v>
      </c>
      <c r="Y60" s="115" t="n"/>
      <c r="Z60" s="115" t="n"/>
      <c r="AA60" s="114">
        <f>W60+X60+Y60+Z60</f>
        <v/>
      </c>
      <c r="AB60" s="115" t="n"/>
      <c r="AC60" s="115" t="n"/>
      <c r="AD60" s="115" t="n"/>
      <c r="AE60" s="115" t="n"/>
      <c r="AF60" s="115" t="n"/>
      <c r="AG60" s="114">
        <f>AB60+AC60+AD60+AE60+AF60</f>
        <v/>
      </c>
      <c r="AH60" s="115" t="n"/>
      <c r="AI60" s="115" t="n"/>
      <c r="AJ60" s="115" t="n"/>
      <c r="AK60" s="115" t="n"/>
      <c r="AL60" s="114">
        <f>AH60+AI60+AJ60+AK60</f>
        <v/>
      </c>
      <c r="AM60" s="115" t="n"/>
      <c r="AN60" s="115" t="n"/>
      <c r="AO60" s="115" t="n"/>
      <c r="AP60" s="115" t="n"/>
      <c r="AQ60" s="115" t="n"/>
      <c r="AR60" s="114">
        <f>AM60+AN60+AO60+AP60+AQ60</f>
        <v/>
      </c>
      <c r="AS60" s="115" t="n"/>
      <c r="AT60" s="115" t="n"/>
      <c r="AU60" s="115" t="n"/>
      <c r="AV60" s="115" t="n"/>
      <c r="AW60" s="114">
        <f>AS60+AT60+AU60+AV60</f>
        <v/>
      </c>
      <c r="AX60" s="115" t="n"/>
      <c r="AY60" s="115" t="n"/>
      <c r="AZ60" s="115" t="n"/>
      <c r="BA60" s="115" t="n"/>
      <c r="BB60" s="114">
        <f>AX60+AY60+AZ60+BA60</f>
        <v/>
      </c>
      <c r="BC60" s="115" t="n"/>
      <c r="BD60" s="115" t="n"/>
      <c r="BE60" s="115" t="n"/>
      <c r="BF60" s="115" t="n"/>
      <c r="BG60" s="115" t="n"/>
      <c r="BH60" s="114">
        <f>BC60+BD60+BE60+BF60+BG60</f>
        <v/>
      </c>
      <c r="BI60" s="115" t="n"/>
      <c r="BJ60" s="115" t="n"/>
      <c r="BK60" s="115" t="n"/>
      <c r="BL60" s="115" t="n"/>
      <c r="BM60" s="114">
        <f>BI60+BJ60+BK60+BL60</f>
        <v/>
      </c>
    </row>
    <row r="61" ht="15.75" customHeight="1">
      <c r="A61" s="116" t="inlineStr">
        <is>
          <t>ETIQUETAS</t>
        </is>
      </c>
      <c r="B61" s="115" t="n">
        <v>0</v>
      </c>
      <c r="C61" s="115" t="n">
        <v>0</v>
      </c>
      <c r="D61" s="115" t="n">
        <v>0</v>
      </c>
      <c r="E61" s="115" t="n">
        <v>0</v>
      </c>
      <c r="F61" s="114">
        <f>B61+C61+D61+E61</f>
        <v/>
      </c>
      <c r="G61" s="115" t="n">
        <v>0</v>
      </c>
      <c r="H61" s="115" t="n">
        <v>1</v>
      </c>
      <c r="I61" s="115" t="n">
        <v>0</v>
      </c>
      <c r="J61" s="115" t="n">
        <v>0</v>
      </c>
      <c r="K61" s="114">
        <f>G61+H61+I61+J61</f>
        <v/>
      </c>
      <c r="L61" s="115" t="n">
        <v>0</v>
      </c>
      <c r="M61" s="115" t="n">
        <v>0</v>
      </c>
      <c r="N61" s="115" t="n">
        <v>0</v>
      </c>
      <c r="O61" s="115" t="n">
        <v>0</v>
      </c>
      <c r="P61" s="115" t="n">
        <v>1</v>
      </c>
      <c r="Q61" s="114">
        <f>L61+M61+N61+O61+P61</f>
        <v/>
      </c>
      <c r="R61" s="115" t="n"/>
      <c r="S61" s="115" t="n"/>
      <c r="T61" s="115" t="n"/>
      <c r="U61" s="115" t="n"/>
      <c r="V61" s="114">
        <f>R61+S61+T61+U61</f>
        <v/>
      </c>
      <c r="W61" s="115" t="n">
        <v>0</v>
      </c>
      <c r="X61" s="115" t="n">
        <v>0</v>
      </c>
      <c r="Y61" s="115" t="n"/>
      <c r="Z61" s="115" t="n"/>
      <c r="AA61" s="114">
        <f>W61+X61+Y61+Z61</f>
        <v/>
      </c>
      <c r="AB61" s="115" t="n"/>
      <c r="AC61" s="115" t="n"/>
      <c r="AD61" s="115" t="n"/>
      <c r="AE61" s="115" t="n"/>
      <c r="AF61" s="115" t="n"/>
      <c r="AG61" s="114">
        <f>AB61+AC61+AD61+AE61+AF61</f>
        <v/>
      </c>
      <c r="AH61" s="115" t="n"/>
      <c r="AI61" s="115" t="n"/>
      <c r="AJ61" s="115" t="n"/>
      <c r="AK61" s="115" t="n"/>
      <c r="AL61" s="114">
        <f>AH61+AI61+AJ61+AK61</f>
        <v/>
      </c>
      <c r="AM61" s="115" t="n"/>
      <c r="AN61" s="115" t="n"/>
      <c r="AO61" s="115" t="n"/>
      <c r="AP61" s="115" t="n"/>
      <c r="AQ61" s="115" t="n"/>
      <c r="AR61" s="114">
        <f>AM61+AN61+AO61+AP61+AQ61</f>
        <v/>
      </c>
      <c r="AS61" s="115" t="n"/>
      <c r="AT61" s="115" t="n"/>
      <c r="AU61" s="115" t="n"/>
      <c r="AV61" s="115" t="n"/>
      <c r="AW61" s="114">
        <f>AS61+AT61+AU61+AV61</f>
        <v/>
      </c>
      <c r="AX61" s="115" t="n"/>
      <c r="AY61" s="115" t="n"/>
      <c r="AZ61" s="115" t="n"/>
      <c r="BA61" s="115" t="n"/>
      <c r="BB61" s="114">
        <f>AX61+AY61+AZ61+BA61</f>
        <v/>
      </c>
      <c r="BC61" s="115" t="n"/>
      <c r="BD61" s="115" t="n"/>
      <c r="BE61" s="115" t="n"/>
      <c r="BF61" s="115" t="n"/>
      <c r="BG61" s="115" t="n"/>
      <c r="BH61" s="114">
        <f>BC61+BD61+BE61+BF61+BG61</f>
        <v/>
      </c>
      <c r="BI61" s="115" t="n"/>
      <c r="BJ61" s="115" t="n"/>
      <c r="BK61" s="115" t="n"/>
      <c r="BL61" s="115" t="n"/>
      <c r="BM61" s="114">
        <f>BI61+BJ61+BK61+BL61</f>
        <v/>
      </c>
    </row>
    <row r="62" ht="15.75" customHeight="1">
      <c r="A62" s="116" t="inlineStr">
        <is>
          <t xml:space="preserve">TAGS </t>
        </is>
      </c>
      <c r="B62" s="115" t="n">
        <v>1</v>
      </c>
      <c r="C62" s="115" t="n">
        <v>1</v>
      </c>
      <c r="D62" s="115" t="n">
        <v>1</v>
      </c>
      <c r="E62" s="115" t="n">
        <v>1</v>
      </c>
      <c r="F62" s="114">
        <f>B62+C62+D62+E62</f>
        <v/>
      </c>
      <c r="G62" s="115" t="n">
        <v>0</v>
      </c>
      <c r="H62" s="115" t="n">
        <v>1</v>
      </c>
      <c r="I62" s="115" t="n">
        <v>0</v>
      </c>
      <c r="J62" s="115" t="n">
        <v>2</v>
      </c>
      <c r="K62" s="114">
        <f>G62+H62+I62+J62</f>
        <v/>
      </c>
      <c r="L62" s="115" t="n">
        <v>0</v>
      </c>
      <c r="M62" s="115" t="n">
        <v>1</v>
      </c>
      <c r="N62" s="115" t="n">
        <v>1</v>
      </c>
      <c r="O62" s="115" t="n">
        <v>1</v>
      </c>
      <c r="P62" s="115" t="n">
        <v>1</v>
      </c>
      <c r="Q62" s="114">
        <f>L62+M62+N62+O62+P62</f>
        <v/>
      </c>
      <c r="R62" s="115" t="n"/>
      <c r="S62" s="115" t="n"/>
      <c r="T62" s="115" t="n"/>
      <c r="U62" s="115" t="n"/>
      <c r="V62" s="114">
        <f>R62+S62+T62+U62</f>
        <v/>
      </c>
      <c r="W62" s="115" t="n">
        <v>0</v>
      </c>
      <c r="X62" s="115" t="n">
        <v>2</v>
      </c>
      <c r="Y62" s="115" t="n"/>
      <c r="Z62" s="115" t="n"/>
      <c r="AA62" s="114">
        <f>W62+X62+Y62+Z62</f>
        <v/>
      </c>
      <c r="AB62" s="115" t="n"/>
      <c r="AC62" s="115" t="n"/>
      <c r="AD62" s="115" t="n"/>
      <c r="AE62" s="115" t="n"/>
      <c r="AF62" s="115" t="n"/>
      <c r="AG62" s="114">
        <f>AB62+AC62+AD62+AE62+AF62</f>
        <v/>
      </c>
      <c r="AH62" s="115" t="n"/>
      <c r="AI62" s="115" t="n"/>
      <c r="AJ62" s="115" t="n"/>
      <c r="AK62" s="115" t="n"/>
      <c r="AL62" s="114">
        <f>AH62+AI62+AJ62+AK62</f>
        <v/>
      </c>
      <c r="AM62" s="115" t="n"/>
      <c r="AN62" s="115" t="n"/>
      <c r="AO62" s="115" t="n"/>
      <c r="AP62" s="115" t="n"/>
      <c r="AQ62" s="115" t="n"/>
      <c r="AR62" s="114">
        <f>AM62+AN62+AO62+AP62+AQ62</f>
        <v/>
      </c>
      <c r="AS62" s="115" t="n"/>
      <c r="AT62" s="115" t="n"/>
      <c r="AU62" s="115" t="n"/>
      <c r="AV62" s="115" t="n"/>
      <c r="AW62" s="114">
        <f>AS62+AT62+AU62+AV62</f>
        <v/>
      </c>
      <c r="AX62" s="115" t="n"/>
      <c r="AY62" s="115" t="n"/>
      <c r="AZ62" s="115" t="n"/>
      <c r="BA62" s="115" t="n"/>
      <c r="BB62" s="114">
        <f>AX62+AY62+AZ62+BA62</f>
        <v/>
      </c>
      <c r="BC62" s="115" t="n"/>
      <c r="BD62" s="115" t="n"/>
      <c r="BE62" s="115" t="n"/>
      <c r="BF62" s="115" t="n"/>
      <c r="BG62" s="115" t="n"/>
      <c r="BH62" s="114">
        <f>BC62+BD62+BE62+BF62+BG62</f>
        <v/>
      </c>
      <c r="BI62" s="115" t="n"/>
      <c r="BJ62" s="115" t="n"/>
      <c r="BK62" s="115" t="n"/>
      <c r="BL62" s="115" t="n"/>
      <c r="BM62" s="114">
        <f>BI62+BJ62+BK62+BL62</f>
        <v/>
      </c>
    </row>
    <row r="63" ht="15.75" customHeight="1">
      <c r="A63" s="116" t="inlineStr">
        <is>
          <t>LÂMINA OLFATIVA</t>
        </is>
      </c>
      <c r="B63" s="115" t="n">
        <v>0</v>
      </c>
      <c r="C63" s="115" t="n">
        <v>1</v>
      </c>
      <c r="D63" s="115" t="n">
        <v>0</v>
      </c>
      <c r="E63" s="115" t="n">
        <v>0</v>
      </c>
      <c r="F63" s="114">
        <f>B63+C63+D63+E63</f>
        <v/>
      </c>
      <c r="G63" s="115" t="n">
        <v>0</v>
      </c>
      <c r="H63" s="115" t="n">
        <v>0</v>
      </c>
      <c r="I63" s="115" t="n">
        <v>0</v>
      </c>
      <c r="J63" s="115" t="n">
        <v>0</v>
      </c>
      <c r="K63" s="114">
        <f>G63+H63+I63+J63</f>
        <v/>
      </c>
      <c r="L63" s="115" t="n">
        <v>1</v>
      </c>
      <c r="M63" s="115" t="n">
        <v>0</v>
      </c>
      <c r="N63" s="115" t="n">
        <v>0</v>
      </c>
      <c r="O63" s="115" t="n">
        <v>0</v>
      </c>
      <c r="P63" s="115" t="n">
        <v>1</v>
      </c>
      <c r="Q63" s="114">
        <f>L63+M63+N63+O63+P63</f>
        <v/>
      </c>
      <c r="R63" s="115" t="n"/>
      <c r="S63" s="115" t="n"/>
      <c r="T63" s="115" t="n"/>
      <c r="U63" s="115" t="n"/>
      <c r="V63" s="114">
        <f>R63+S63+T63+U63</f>
        <v/>
      </c>
      <c r="W63" s="115" t="n">
        <v>0</v>
      </c>
      <c r="X63" s="115" t="n">
        <v>1</v>
      </c>
      <c r="Y63" s="115" t="n"/>
      <c r="Z63" s="115" t="n"/>
      <c r="AA63" s="114">
        <f>W63+X63+Y63+Z63</f>
        <v/>
      </c>
      <c r="AB63" s="115" t="n"/>
      <c r="AC63" s="115" t="n"/>
      <c r="AD63" s="115" t="n"/>
      <c r="AE63" s="115" t="n"/>
      <c r="AF63" s="115" t="n"/>
      <c r="AG63" s="114">
        <f>AB63+AC63+AD63+AE63+AF63</f>
        <v/>
      </c>
      <c r="AH63" s="115" t="n"/>
      <c r="AI63" s="115" t="n"/>
      <c r="AJ63" s="115" t="n"/>
      <c r="AK63" s="115" t="n"/>
      <c r="AL63" s="114">
        <f>AH63+AI63+AJ63+AK63</f>
        <v/>
      </c>
      <c r="AM63" s="115" t="n"/>
      <c r="AN63" s="115" t="n"/>
      <c r="AO63" s="115" t="n"/>
      <c r="AP63" s="115" t="n"/>
      <c r="AQ63" s="115" t="n"/>
      <c r="AR63" s="114">
        <f>AM63+AN63+AO63+AP63+AQ63</f>
        <v/>
      </c>
      <c r="AS63" s="115" t="n"/>
      <c r="AT63" s="115" t="n"/>
      <c r="AU63" s="115" t="n"/>
      <c r="AV63" s="115" t="n"/>
      <c r="AW63" s="114">
        <f>AS63+AT63+AU63+AV63</f>
        <v/>
      </c>
      <c r="AX63" s="115" t="n"/>
      <c r="AY63" s="115" t="n"/>
      <c r="AZ63" s="115" t="n"/>
      <c r="BA63" s="115" t="n"/>
      <c r="BB63" s="114">
        <f>AX63+AY63+AZ63+BA63</f>
        <v/>
      </c>
      <c r="BC63" s="115" t="n"/>
      <c r="BD63" s="115" t="n"/>
      <c r="BE63" s="115" t="n"/>
      <c r="BF63" s="115" t="n"/>
      <c r="BG63" s="115" t="n"/>
      <c r="BH63" s="114">
        <f>BC63+BD63+BE63+BF63+BG63</f>
        <v/>
      </c>
      <c r="BI63" s="115" t="n"/>
      <c r="BJ63" s="115" t="n"/>
      <c r="BK63" s="115" t="n"/>
      <c r="BL63" s="115" t="n"/>
      <c r="BM63" s="114">
        <f>BI63+BJ63+BK63+BL63</f>
        <v/>
      </c>
    </row>
    <row r="64" ht="15.75" customHeight="1">
      <c r="A64" s="113" t="inlineStr">
        <is>
          <t>TOTAL DE SACOLAS</t>
        </is>
      </c>
      <c r="B64" s="112">
        <f>SUM(B56:B59)</f>
        <v/>
      </c>
      <c r="C64" s="112">
        <f>SUM(C56:C59)</f>
        <v/>
      </c>
      <c r="D64" s="112">
        <f>SUM(D56:D59)</f>
        <v/>
      </c>
      <c r="E64" s="112">
        <f>SUM(E56:E59)</f>
        <v/>
      </c>
      <c r="F64" s="112">
        <f>SUM(F56:F59)</f>
        <v/>
      </c>
      <c r="G64" s="112">
        <f>SUM(G56:G59)</f>
        <v/>
      </c>
      <c r="H64" s="112">
        <f>SUM(H56:H59)</f>
        <v/>
      </c>
      <c r="I64" s="112">
        <f>SUM(I56:I59)</f>
        <v/>
      </c>
      <c r="J64" s="112">
        <f>SUM(J56:J59)</f>
        <v/>
      </c>
      <c r="K64" s="112">
        <f>SUM(K56:K59)</f>
        <v/>
      </c>
      <c r="L64" s="112">
        <f>SUM(L56:L59)</f>
        <v/>
      </c>
      <c r="M64" s="112">
        <f>SUM(M56:M59)</f>
        <v/>
      </c>
      <c r="N64" s="112">
        <f>SUM(N56:N59)</f>
        <v/>
      </c>
      <c r="O64" s="112">
        <f>SUM(O56:O59)</f>
        <v/>
      </c>
      <c r="P64" s="112">
        <f>SUM(P56:P59)</f>
        <v/>
      </c>
      <c r="Q64" s="112">
        <f>SUM(Q56:Q59)</f>
        <v/>
      </c>
      <c r="R64" s="112">
        <f>SUM(R56:R59)</f>
        <v/>
      </c>
      <c r="S64" s="112">
        <f>SUM(S56:S59)</f>
        <v/>
      </c>
      <c r="T64" s="112">
        <f>SUM(T56:T59)</f>
        <v/>
      </c>
      <c r="U64" s="112">
        <f>SUM(U56:U59)</f>
        <v/>
      </c>
      <c r="V64" s="112">
        <f>SUM(V56:V59)</f>
        <v/>
      </c>
      <c r="W64" s="112">
        <f>SUM(W56:W59)</f>
        <v/>
      </c>
      <c r="X64" s="112">
        <f>SUM(X56:X59)</f>
        <v/>
      </c>
      <c r="Y64" s="112">
        <f>SUM(Y56:Y59)</f>
        <v/>
      </c>
      <c r="Z64" s="112">
        <f>SUM(Z56:Z59)</f>
        <v/>
      </c>
      <c r="AA64" s="112">
        <f>SUM(AA56:AA59)</f>
        <v/>
      </c>
      <c r="AB64" s="112">
        <f>SUM(AB56:AB59)</f>
        <v/>
      </c>
      <c r="AC64" s="112">
        <f>SUM(AC56:AC59)</f>
        <v/>
      </c>
      <c r="AD64" s="112">
        <f>SUM(AD56:AD59)</f>
        <v/>
      </c>
      <c r="AE64" s="112">
        <f>SUM(AE56:AE59)</f>
        <v/>
      </c>
      <c r="AF64" s="112">
        <f>SUM(AF56:AF59)</f>
        <v/>
      </c>
      <c r="AG64" s="112">
        <f>SUM(AG56:AG59)</f>
        <v/>
      </c>
      <c r="AH64" s="112">
        <f>SUM(AH56:AH59)</f>
        <v/>
      </c>
      <c r="AI64" s="112">
        <f>SUM(AI56:AI59)</f>
        <v/>
      </c>
      <c r="AJ64" s="112">
        <f>SUM(AJ56:AJ59)</f>
        <v/>
      </c>
      <c r="AK64" s="112">
        <f>SUM(AK56:AK59)</f>
        <v/>
      </c>
      <c r="AL64" s="112">
        <f>SUM(AL56:AL59)</f>
        <v/>
      </c>
      <c r="AM64" s="112">
        <f>SUM(AM56:AM59)</f>
        <v/>
      </c>
      <c r="AN64" s="112">
        <f>SUM(AN56:AN59)</f>
        <v/>
      </c>
      <c r="AO64" s="112">
        <f>SUM(AO56:AO59)</f>
        <v/>
      </c>
      <c r="AP64" s="112">
        <f>SUM(AP56:AP59)</f>
        <v/>
      </c>
      <c r="AQ64" s="112">
        <f>SUM(AQ56:AQ59)</f>
        <v/>
      </c>
      <c r="AR64" s="112">
        <f>SUM(AR56:AR59)</f>
        <v/>
      </c>
      <c r="AS64" s="112">
        <f>SUM(AS56:AS59)</f>
        <v/>
      </c>
      <c r="AT64" s="112">
        <f>SUM(AT56:AT59)</f>
        <v/>
      </c>
      <c r="AU64" s="112">
        <f>SUM(AU56:AU59)</f>
        <v/>
      </c>
      <c r="AV64" s="112">
        <f>SUM(AV56:AV59)</f>
        <v/>
      </c>
      <c r="AW64" s="112">
        <f>SUM(AW56:AW59)</f>
        <v/>
      </c>
      <c r="AX64" s="112">
        <f>SUM(AX56:AX59)</f>
        <v/>
      </c>
      <c r="AY64" s="112">
        <f>SUM(AY56:AY59)</f>
        <v/>
      </c>
      <c r="AZ64" s="112">
        <f>SUM(AZ56:AZ59)</f>
        <v/>
      </c>
      <c r="BA64" s="112">
        <f>SUM(BA56:BA59)</f>
        <v/>
      </c>
      <c r="BB64" s="112">
        <f>SUM(BB56:BB59)</f>
        <v/>
      </c>
      <c r="BC64" s="112">
        <f>SUM(BC56:BC59)</f>
        <v/>
      </c>
      <c r="BD64" s="112">
        <f>SUM(BD56:BD59)</f>
        <v/>
      </c>
      <c r="BE64" s="112">
        <f>SUM(BE56:BE59)</f>
        <v/>
      </c>
      <c r="BF64" s="112">
        <f>SUM(BF56:BF59)</f>
        <v/>
      </c>
      <c r="BG64" s="112">
        <f>SUM(BG56:BG59)</f>
        <v/>
      </c>
      <c r="BH64" s="112">
        <f>SUM(BH56:BH59)</f>
        <v/>
      </c>
      <c r="BI64" s="112">
        <f>SUM(BI56:BI59)</f>
        <v/>
      </c>
      <c r="BJ64" s="112">
        <f>SUM(BJ56:BJ59)</f>
        <v/>
      </c>
      <c r="BK64" s="112">
        <f>SUM(BK56:BK59)</f>
        <v/>
      </c>
      <c r="BL64" s="112">
        <f>SUM(BL56:BL59)</f>
        <v/>
      </c>
      <c r="BM64" s="112">
        <f>SUM(BM56:BM59)</f>
        <v/>
      </c>
    </row>
    <row r="66" ht="18" customHeight="1">
      <c r="A66" s="577" t="inlineStr">
        <is>
          <t>GASTO DE SACOLAS E ITENS DOADOS 2026 - MENSAIS</t>
        </is>
      </c>
      <c r="B66" s="844" t="n"/>
      <c r="C66" s="844" t="n"/>
      <c r="D66" s="844" t="n"/>
      <c r="E66" s="844" t="n"/>
      <c r="F66" s="844" t="n"/>
      <c r="G66" s="844" t="n"/>
      <c r="H66" s="844" t="n"/>
      <c r="I66" s="844" t="n"/>
      <c r="J66" s="844" t="n"/>
      <c r="K66" s="844" t="n"/>
      <c r="L66" s="844" t="n"/>
      <c r="M66" s="844" t="n"/>
      <c r="N66" s="844" t="n"/>
      <c r="O66" s="844" t="n"/>
      <c r="P66" s="844" t="n"/>
      <c r="Q66" s="844" t="n"/>
      <c r="R66" s="844" t="n"/>
      <c r="S66" s="844" t="n"/>
      <c r="T66" s="844" t="n"/>
      <c r="U66" s="844" t="n"/>
      <c r="V66" s="844" t="n"/>
      <c r="W66" s="844" t="n"/>
      <c r="X66" s="844" t="n"/>
      <c r="Y66" s="844" t="n"/>
      <c r="Z66" s="844" t="n"/>
      <c r="AA66" s="844" t="n"/>
      <c r="AB66" s="844" t="n"/>
      <c r="AC66" s="844" t="n"/>
      <c r="AD66" s="844" t="n"/>
      <c r="AE66" s="844" t="n"/>
      <c r="AF66" s="844" t="n"/>
      <c r="AG66" s="844" t="n"/>
      <c r="AH66" s="844" t="n"/>
      <c r="AI66" s="844" t="n"/>
      <c r="AJ66" s="844" t="n"/>
      <c r="AK66" s="844" t="n"/>
      <c r="AL66" s="844" t="n"/>
      <c r="AM66" s="844" t="n"/>
      <c r="AN66" s="844" t="n"/>
      <c r="AO66" s="844" t="n"/>
      <c r="AP66" s="844" t="n"/>
      <c r="AQ66" s="844" t="n"/>
      <c r="AR66" s="844" t="n"/>
      <c r="AS66" s="844" t="n"/>
      <c r="AT66" s="844" t="n"/>
      <c r="AU66" s="844" t="n"/>
      <c r="AV66" s="844" t="n"/>
      <c r="AW66" s="844" t="n"/>
      <c r="AX66" s="844" t="n"/>
      <c r="AY66" s="844" t="n"/>
      <c r="AZ66" s="844" t="n"/>
      <c r="BA66" s="844" t="n"/>
      <c r="BB66" s="844" t="n"/>
      <c r="BC66" s="844" t="n"/>
      <c r="BD66" s="844" t="n"/>
      <c r="BE66" s="844" t="n"/>
      <c r="BF66" s="844" t="n"/>
      <c r="BG66" s="844" t="n"/>
      <c r="BH66" s="844" t="n"/>
      <c r="BI66" s="844" t="n"/>
      <c r="BJ66" s="844" t="n"/>
      <c r="BK66" s="844" t="n"/>
      <c r="BL66" s="844" t="n"/>
      <c r="BM66" s="844" t="n"/>
    </row>
    <row r="67" ht="18" customHeight="1">
      <c r="A67" s="845" t="inlineStr">
        <is>
          <t>QUADRA 7</t>
        </is>
      </c>
      <c r="B67" s="845" t="inlineStr">
        <is>
          <t>JANEIRO</t>
        </is>
      </c>
      <c r="C67" s="846" t="n"/>
      <c r="D67" s="846" t="n"/>
      <c r="E67" s="846" t="n"/>
      <c r="F67" s="847" t="n"/>
      <c r="G67" s="845" t="inlineStr">
        <is>
          <t>FEVEREIRO</t>
        </is>
      </c>
      <c r="H67" s="846" t="n"/>
      <c r="I67" s="846" t="n"/>
      <c r="J67" s="846" t="n"/>
      <c r="K67" s="847" t="n"/>
      <c r="L67" s="845" t="inlineStr">
        <is>
          <t>MARÇO</t>
        </is>
      </c>
      <c r="M67" s="846" t="n"/>
      <c r="N67" s="846" t="n"/>
      <c r="O67" s="846" t="n"/>
      <c r="P67" s="846" t="n"/>
      <c r="Q67" s="847" t="n"/>
      <c r="R67" s="845" t="inlineStr">
        <is>
          <t>ABRIL</t>
        </is>
      </c>
      <c r="S67" s="846" t="n"/>
      <c r="T67" s="846" t="n"/>
      <c r="U67" s="846" t="n"/>
      <c r="V67" s="847" t="n"/>
      <c r="W67" s="845" t="inlineStr">
        <is>
          <t>MAIO</t>
        </is>
      </c>
      <c r="X67" s="846" t="n"/>
      <c r="Y67" s="846" t="n"/>
      <c r="Z67" s="846" t="n"/>
      <c r="AA67" s="847" t="n"/>
      <c r="AB67" s="845" t="inlineStr">
        <is>
          <t>JUNHO</t>
        </is>
      </c>
      <c r="AC67" s="846" t="n"/>
      <c r="AD67" s="846" t="n"/>
      <c r="AE67" s="846" t="n"/>
      <c r="AF67" s="846" t="n"/>
      <c r="AG67" s="847" t="n"/>
      <c r="AH67" s="845" t="inlineStr">
        <is>
          <t>JULHO</t>
        </is>
      </c>
      <c r="AI67" s="846" t="n"/>
      <c r="AJ67" s="846" t="n"/>
      <c r="AK67" s="846" t="n"/>
      <c r="AL67" s="847" t="n"/>
      <c r="AM67" s="845" t="inlineStr">
        <is>
          <t>AGOSTO</t>
        </is>
      </c>
      <c r="AN67" s="846" t="n"/>
      <c r="AO67" s="846" t="n"/>
      <c r="AP67" s="846" t="n"/>
      <c r="AQ67" s="846" t="n"/>
      <c r="AR67" s="847" t="n"/>
      <c r="AS67" s="845" t="inlineStr">
        <is>
          <t>SETEMBRO</t>
        </is>
      </c>
      <c r="AT67" s="846" t="n"/>
      <c r="AU67" s="846" t="n"/>
      <c r="AV67" s="846" t="n"/>
      <c r="AW67" s="847" t="n"/>
      <c r="AX67" s="845" t="inlineStr">
        <is>
          <t>OUTUBRO</t>
        </is>
      </c>
      <c r="AY67" s="846" t="n"/>
      <c r="AZ67" s="846" t="n"/>
      <c r="BA67" s="846" t="n"/>
      <c r="BB67" s="847" t="n"/>
      <c r="BC67" s="845" t="inlineStr">
        <is>
          <t>NOVEMBRO</t>
        </is>
      </c>
      <c r="BD67" s="846" t="n"/>
      <c r="BE67" s="846" t="n"/>
      <c r="BF67" s="846" t="n"/>
      <c r="BG67" s="846" t="n"/>
      <c r="BH67" s="847" t="n"/>
      <c r="BI67" s="845" t="inlineStr">
        <is>
          <t>DEZEMBRO</t>
        </is>
      </c>
      <c r="BJ67" s="846" t="n"/>
      <c r="BK67" s="846" t="n"/>
      <c r="BL67" s="846" t="n"/>
      <c r="BM67" s="847" t="n"/>
    </row>
    <row r="68" ht="15.75" customHeight="1">
      <c r="A68" s="848" t="n"/>
      <c r="B68" s="121" t="n">
        <v>46027</v>
      </c>
      <c r="C68" s="121" t="n">
        <v>46034</v>
      </c>
      <c r="D68" s="121" t="n">
        <v>46041</v>
      </c>
      <c r="E68" s="121" t="n">
        <v>46048</v>
      </c>
      <c r="F68" s="120" t="inlineStr">
        <is>
          <t>USOU</t>
        </is>
      </c>
      <c r="G68" s="121" t="n">
        <v>46055</v>
      </c>
      <c r="H68" s="121" t="n">
        <v>46062</v>
      </c>
      <c r="I68" s="121" t="n">
        <v>46069</v>
      </c>
      <c r="J68" s="121" t="n">
        <v>46076</v>
      </c>
      <c r="K68" s="120" t="inlineStr">
        <is>
          <t>USOU</t>
        </is>
      </c>
      <c r="L68" s="121" t="n">
        <v>46083</v>
      </c>
      <c r="M68" s="121" t="n">
        <v>46090</v>
      </c>
      <c r="N68" s="121" t="n">
        <v>46097</v>
      </c>
      <c r="O68" s="121" t="n">
        <v>46104</v>
      </c>
      <c r="P68" s="121" t="n">
        <v>46111</v>
      </c>
      <c r="Q68" s="120" t="inlineStr">
        <is>
          <t>USOU</t>
        </is>
      </c>
      <c r="R68" s="121" t="n">
        <v>46118</v>
      </c>
      <c r="S68" s="121" t="n">
        <v>46125</v>
      </c>
      <c r="T68" s="121" t="n">
        <v>46132</v>
      </c>
      <c r="U68" s="121" t="n">
        <v>46139</v>
      </c>
      <c r="V68" s="120" t="inlineStr">
        <is>
          <t>USOU</t>
        </is>
      </c>
      <c r="W68" s="121" t="n">
        <v>46146</v>
      </c>
      <c r="X68" s="121" t="n">
        <v>46153</v>
      </c>
      <c r="Y68" s="121" t="n">
        <v>46160</v>
      </c>
      <c r="Z68" s="121" t="n">
        <v>46167</v>
      </c>
      <c r="AA68" s="120" t="inlineStr">
        <is>
          <t>USOU</t>
        </is>
      </c>
      <c r="AB68" s="121" t="n">
        <v>46174</v>
      </c>
      <c r="AC68" s="121" t="n">
        <v>46181</v>
      </c>
      <c r="AD68" s="121" t="n">
        <v>46188</v>
      </c>
      <c r="AE68" s="121" t="n">
        <v>46195</v>
      </c>
      <c r="AF68" s="121" t="n">
        <v>46202</v>
      </c>
      <c r="AG68" s="120" t="inlineStr">
        <is>
          <t>USOU</t>
        </is>
      </c>
      <c r="AH68" s="121" t="n">
        <v>46209</v>
      </c>
      <c r="AI68" s="121" t="n">
        <v>46216</v>
      </c>
      <c r="AJ68" s="121" t="n">
        <v>46223</v>
      </c>
      <c r="AK68" s="121" t="n">
        <v>46230</v>
      </c>
      <c r="AL68" s="120" t="inlineStr">
        <is>
          <t>USOU</t>
        </is>
      </c>
      <c r="AM68" s="121" t="n">
        <v>46237</v>
      </c>
      <c r="AN68" s="121" t="n">
        <v>46244</v>
      </c>
      <c r="AO68" s="121" t="n">
        <v>46251</v>
      </c>
      <c r="AP68" s="121" t="n">
        <v>46258</v>
      </c>
      <c r="AQ68" s="121" t="n">
        <v>46265</v>
      </c>
      <c r="AR68" s="120" t="inlineStr">
        <is>
          <t>USOU</t>
        </is>
      </c>
      <c r="AS68" s="121" t="n">
        <v>46272</v>
      </c>
      <c r="AT68" s="121" t="n">
        <v>46279</v>
      </c>
      <c r="AU68" s="121" t="n">
        <v>46286</v>
      </c>
      <c r="AV68" s="121" t="n">
        <v>46293</v>
      </c>
      <c r="AW68" s="120" t="inlineStr">
        <is>
          <t>USOU</t>
        </is>
      </c>
      <c r="AX68" s="121" t="n">
        <v>46300</v>
      </c>
      <c r="AY68" s="121" t="n">
        <v>46307</v>
      </c>
      <c r="AZ68" s="121" t="n">
        <v>46314</v>
      </c>
      <c r="BA68" s="121" t="n">
        <v>46321</v>
      </c>
      <c r="BB68" s="120" t="inlineStr">
        <is>
          <t>USOU</t>
        </is>
      </c>
      <c r="BC68" s="121" t="n">
        <v>46328</v>
      </c>
      <c r="BD68" s="121" t="n">
        <v>46335</v>
      </c>
      <c r="BE68" s="121" t="n">
        <v>46342</v>
      </c>
      <c r="BF68" s="121" t="n">
        <v>46349</v>
      </c>
      <c r="BG68" s="121" t="n">
        <v>46356</v>
      </c>
      <c r="BH68" s="120" t="inlineStr">
        <is>
          <t>USOU</t>
        </is>
      </c>
      <c r="BI68" s="121" t="n">
        <v>46363</v>
      </c>
      <c r="BJ68" s="121" t="n">
        <v>46370</v>
      </c>
      <c r="BK68" s="121" t="n">
        <v>46377</v>
      </c>
      <c r="BL68" s="121" t="n">
        <v>46384</v>
      </c>
      <c r="BM68" s="120" t="inlineStr">
        <is>
          <t>USOU</t>
        </is>
      </c>
    </row>
    <row r="69" ht="15.75" customHeight="1">
      <c r="A69" s="118" t="inlineStr">
        <is>
          <t>SACOLA PP VERDE</t>
        </is>
      </c>
      <c r="B69" s="115" t="n">
        <v>90</v>
      </c>
      <c r="C69" s="115" t="n"/>
      <c r="D69" s="115" t="n">
        <v>20</v>
      </c>
      <c r="E69" s="115" t="n">
        <v>60</v>
      </c>
      <c r="F69" s="114">
        <f>B69+C69+D69+E69</f>
        <v/>
      </c>
      <c r="G69" s="115" t="n">
        <v>40</v>
      </c>
      <c r="H69" s="115" t="n">
        <v>100</v>
      </c>
      <c r="I69" s="115" t="n">
        <v>20</v>
      </c>
      <c r="J69" s="115" t="n">
        <v>60</v>
      </c>
      <c r="K69" s="114">
        <f>G69+H69+I69+J69</f>
        <v/>
      </c>
      <c r="L69" s="115" t="n">
        <v>0</v>
      </c>
      <c r="M69" s="115" t="n">
        <v>120</v>
      </c>
      <c r="N69" s="115" t="n">
        <v>80</v>
      </c>
      <c r="O69" s="115" t="n">
        <v>0</v>
      </c>
      <c r="P69" s="115" t="n">
        <v>100</v>
      </c>
      <c r="Q69" s="114">
        <f>L69+M69+N69+O69+P69</f>
        <v/>
      </c>
      <c r="R69" s="115" t="n"/>
      <c r="S69" s="115" t="n"/>
      <c r="T69" s="115" t="n"/>
      <c r="U69" s="115" t="n"/>
      <c r="V69" s="114">
        <f>R69+S69+T69+U69</f>
        <v/>
      </c>
      <c r="W69" s="115" t="n">
        <v>0</v>
      </c>
      <c r="X69" s="115" t="n">
        <v>0</v>
      </c>
      <c r="Y69" s="115" t="n"/>
      <c r="Z69" s="115" t="n"/>
      <c r="AA69" s="114">
        <f>W69+X69+Y69+Z69</f>
        <v/>
      </c>
      <c r="AB69" s="115" t="n"/>
      <c r="AC69" s="115" t="n"/>
      <c r="AD69" s="115" t="n"/>
      <c r="AE69" s="115" t="n"/>
      <c r="AF69" s="115" t="n"/>
      <c r="AG69" s="114">
        <f>AB69+AC69+AD69+AE69+AF69</f>
        <v/>
      </c>
      <c r="AH69" s="115" t="n"/>
      <c r="AI69" s="115" t="n"/>
      <c r="AJ69" s="115" t="n"/>
      <c r="AK69" s="115" t="n"/>
      <c r="AL69" s="114">
        <f>AH69+AI69+AJ69+AK69</f>
        <v/>
      </c>
      <c r="AM69" s="115" t="n"/>
      <c r="AN69" s="115" t="n"/>
      <c r="AO69" s="115" t="n"/>
      <c r="AP69" s="115" t="n"/>
      <c r="AQ69" s="115" t="n"/>
      <c r="AR69" s="114">
        <f>AM69+AN69+AO69+AP69+AQ69</f>
        <v/>
      </c>
      <c r="AS69" s="115" t="n"/>
      <c r="AT69" s="115" t="n"/>
      <c r="AU69" s="115" t="n"/>
      <c r="AV69" s="115" t="n"/>
      <c r="AW69" s="114">
        <f>AS69+AT69+AU69+AV69</f>
        <v/>
      </c>
      <c r="AX69" s="115" t="n"/>
      <c r="AY69" s="115" t="n"/>
      <c r="AZ69" s="115" t="n"/>
      <c r="BA69" s="115" t="n"/>
      <c r="BB69" s="114">
        <f>AX69+AY69+AZ69+BA69</f>
        <v/>
      </c>
      <c r="BC69" s="115" t="n"/>
      <c r="BD69" s="115" t="n"/>
      <c r="BE69" s="115" t="n"/>
      <c r="BF69" s="115" t="n"/>
      <c r="BG69" s="115" t="n"/>
      <c r="BH69" s="114">
        <f>BC69+BD69+BE69+BF69+BG69</f>
        <v/>
      </c>
      <c r="BI69" s="115" t="n"/>
      <c r="BJ69" s="115" t="n"/>
      <c r="BK69" s="115" t="n"/>
      <c r="BL69" s="115" t="n"/>
      <c r="BM69" s="114">
        <f>BI69+BJ69+BK69+BL69</f>
        <v/>
      </c>
    </row>
    <row r="70" ht="15.75" customHeight="1">
      <c r="A70" s="118" t="inlineStr">
        <is>
          <t>SACOLA P VERDE</t>
        </is>
      </c>
      <c r="B70" s="115" t="n">
        <v>0</v>
      </c>
      <c r="C70" s="115" t="n"/>
      <c r="D70" s="115" t="n">
        <v>460</v>
      </c>
      <c r="E70" s="115" t="n">
        <v>180</v>
      </c>
      <c r="F70" s="114">
        <f>B70+C70+D70+E70</f>
        <v/>
      </c>
      <c r="G70" s="115" t="n">
        <v>200</v>
      </c>
      <c r="H70" s="115" t="n">
        <v>200</v>
      </c>
      <c r="I70" s="115" t="n">
        <v>240</v>
      </c>
      <c r="J70" s="115" t="n">
        <v>120</v>
      </c>
      <c r="K70" s="114">
        <f>G70+H70+I70+J70</f>
        <v/>
      </c>
      <c r="L70" s="115" t="n">
        <v>140</v>
      </c>
      <c r="M70" s="115" t="n">
        <v>260</v>
      </c>
      <c r="N70" s="115" t="n">
        <v>200</v>
      </c>
      <c r="O70" s="115" t="n">
        <v>250</v>
      </c>
      <c r="P70" s="115" t="n">
        <v>170</v>
      </c>
      <c r="Q70" s="114">
        <f>L70+M70+N70+O70+P70</f>
        <v/>
      </c>
      <c r="R70" s="115" t="n"/>
      <c r="S70" s="115" t="n"/>
      <c r="T70" s="115" t="n"/>
      <c r="U70" s="115" t="n"/>
      <c r="V70" s="114">
        <f>R70+S70+T70+U70</f>
        <v/>
      </c>
      <c r="W70" s="115" t="n">
        <v>0</v>
      </c>
      <c r="X70" s="115" t="n">
        <v>0</v>
      </c>
      <c r="Y70" s="115" t="n"/>
      <c r="Z70" s="115" t="n"/>
      <c r="AA70" s="114">
        <f>W70+X70+Y70+Z70</f>
        <v/>
      </c>
      <c r="AB70" s="115" t="n"/>
      <c r="AC70" s="115" t="n"/>
      <c r="AD70" s="115" t="n"/>
      <c r="AE70" s="115" t="n"/>
      <c r="AF70" s="115" t="n"/>
      <c r="AG70" s="114">
        <f>AB70+AC70+AD70+AE70+AF70</f>
        <v/>
      </c>
      <c r="AH70" s="115" t="n"/>
      <c r="AI70" s="115" t="n"/>
      <c r="AJ70" s="115" t="n"/>
      <c r="AK70" s="115" t="n"/>
      <c r="AL70" s="114">
        <f>AH70+AI70+AJ70+AK70</f>
        <v/>
      </c>
      <c r="AM70" s="115" t="n"/>
      <c r="AN70" s="115" t="n"/>
      <c r="AO70" s="115" t="n"/>
      <c r="AP70" s="115" t="n"/>
      <c r="AQ70" s="115" t="n"/>
      <c r="AR70" s="114">
        <f>AM70+AN70+AO70+AP70+AQ70</f>
        <v/>
      </c>
      <c r="AS70" s="115" t="n"/>
      <c r="AT70" s="115" t="n"/>
      <c r="AU70" s="115" t="n"/>
      <c r="AV70" s="115" t="n"/>
      <c r="AW70" s="114">
        <f>AS70+AT70+AU70+AV70</f>
        <v/>
      </c>
      <c r="AX70" s="115" t="n"/>
      <c r="AY70" s="115" t="n"/>
      <c r="AZ70" s="115" t="n"/>
      <c r="BA70" s="115" t="n"/>
      <c r="BB70" s="114">
        <f>AX70+AY70+AZ70+BA70</f>
        <v/>
      </c>
      <c r="BC70" s="115" t="n"/>
      <c r="BD70" s="115" t="n"/>
      <c r="BE70" s="115" t="n"/>
      <c r="BF70" s="115" t="n"/>
      <c r="BG70" s="115" t="n"/>
      <c r="BH70" s="114">
        <f>BC70+BD70+BE70+BF70+BG70</f>
        <v/>
      </c>
      <c r="BI70" s="115" t="n"/>
      <c r="BJ70" s="115" t="n"/>
      <c r="BK70" s="115" t="n"/>
      <c r="BL70" s="115" t="n"/>
      <c r="BM70" s="114">
        <f>BI70+BJ70+BK70+BL70</f>
        <v/>
      </c>
    </row>
    <row r="71" ht="15.75" customHeight="1">
      <c r="A71" s="118" t="inlineStr">
        <is>
          <t>SACOLA M VERDE</t>
        </is>
      </c>
      <c r="B71" s="115" t="n">
        <v>0</v>
      </c>
      <c r="C71" s="115" t="n"/>
      <c r="D71" s="115" t="n">
        <v>220</v>
      </c>
      <c r="E71" s="115" t="n">
        <v>140</v>
      </c>
      <c r="F71" s="114">
        <f>B71+C71+D71+E71</f>
        <v/>
      </c>
      <c r="G71" s="115" t="n">
        <v>40</v>
      </c>
      <c r="H71" s="115" t="n">
        <v>60</v>
      </c>
      <c r="I71" s="115" t="n">
        <v>100</v>
      </c>
      <c r="J71" s="115" t="n">
        <v>40</v>
      </c>
      <c r="K71" s="114">
        <f>G71+H71+I71+J71</f>
        <v/>
      </c>
      <c r="L71" s="115" t="n">
        <v>100</v>
      </c>
      <c r="M71" s="115" t="n">
        <v>160</v>
      </c>
      <c r="N71" s="115" t="n">
        <v>40</v>
      </c>
      <c r="O71" s="115" t="n">
        <v>160</v>
      </c>
      <c r="P71" s="115" t="n">
        <v>100</v>
      </c>
      <c r="Q71" s="114">
        <f>L71+M71+N71+O71+P71</f>
        <v/>
      </c>
      <c r="R71" s="115" t="n"/>
      <c r="S71" s="115" t="n"/>
      <c r="T71" s="115" t="n"/>
      <c r="U71" s="115" t="n"/>
      <c r="V71" s="114">
        <f>R71+S71+T71+U71</f>
        <v/>
      </c>
      <c r="W71" s="115" t="n">
        <v>0</v>
      </c>
      <c r="X71" s="115" t="n">
        <v>0</v>
      </c>
      <c r="Y71" s="115" t="n"/>
      <c r="Z71" s="115" t="n"/>
      <c r="AA71" s="114">
        <f>W71+X71+Y71+Z71</f>
        <v/>
      </c>
      <c r="AB71" s="115" t="n"/>
      <c r="AC71" s="115" t="n"/>
      <c r="AD71" s="115" t="n"/>
      <c r="AE71" s="115" t="n"/>
      <c r="AF71" s="115" t="n"/>
      <c r="AG71" s="114">
        <f>AB71+AC71+AD71+AE71+AF71</f>
        <v/>
      </c>
      <c r="AH71" s="115" t="n"/>
      <c r="AI71" s="115" t="n"/>
      <c r="AJ71" s="115" t="n"/>
      <c r="AK71" s="115" t="n"/>
      <c r="AL71" s="114">
        <f>AH71+AI71+AJ71+AK71</f>
        <v/>
      </c>
      <c r="AM71" s="115" t="n"/>
      <c r="AN71" s="115" t="n"/>
      <c r="AO71" s="115" t="n"/>
      <c r="AP71" s="115" t="n"/>
      <c r="AQ71" s="115" t="n"/>
      <c r="AR71" s="114">
        <f>AM71+AN71+AO71+AP71+AQ71</f>
        <v/>
      </c>
      <c r="AS71" s="115" t="n"/>
      <c r="AT71" s="115" t="n"/>
      <c r="AU71" s="115" t="n"/>
      <c r="AV71" s="115" t="n"/>
      <c r="AW71" s="114">
        <f>AS71+AT71+AU71+AV71</f>
        <v/>
      </c>
      <c r="AX71" s="115" t="n"/>
      <c r="AY71" s="115" t="n"/>
      <c r="AZ71" s="115" t="n"/>
      <c r="BA71" s="115" t="n"/>
      <c r="BB71" s="114">
        <f>AX71+AY71+AZ71+BA71</f>
        <v/>
      </c>
      <c r="BC71" s="115" t="n"/>
      <c r="BD71" s="115" t="n"/>
      <c r="BE71" s="115" t="n"/>
      <c r="BF71" s="115" t="n"/>
      <c r="BG71" s="115" t="n"/>
      <c r="BH71" s="114">
        <f>BC71+BD71+BE71+BF71+BG71</f>
        <v/>
      </c>
      <c r="BI71" s="115" t="n"/>
      <c r="BJ71" s="115" t="n"/>
      <c r="BK71" s="115" t="n"/>
      <c r="BL71" s="115" t="n"/>
      <c r="BM71" s="114">
        <f>BI71+BJ71+BK71+BL71</f>
        <v/>
      </c>
    </row>
    <row r="72" ht="15.75" customHeight="1">
      <c r="A72" s="117" t="inlineStr">
        <is>
          <t>SACOLA G VERDE</t>
        </is>
      </c>
      <c r="B72" s="115" t="n">
        <v>0</v>
      </c>
      <c r="C72" s="115" t="n"/>
      <c r="D72" s="115" t="n">
        <v>0</v>
      </c>
      <c r="E72" s="115" t="n">
        <v>0</v>
      </c>
      <c r="F72" s="114">
        <f>B72+C72+D72+E72</f>
        <v/>
      </c>
      <c r="G72" s="115" t="n">
        <v>20</v>
      </c>
      <c r="H72" s="115" t="n">
        <v>0</v>
      </c>
      <c r="I72" s="115" t="n">
        <v>0</v>
      </c>
      <c r="J72" s="115" t="n">
        <v>0</v>
      </c>
      <c r="K72" s="114">
        <f>G72+H72+I72+J72</f>
        <v/>
      </c>
      <c r="L72" s="115" t="n">
        <v>0</v>
      </c>
      <c r="M72" s="115" t="n">
        <v>40</v>
      </c>
      <c r="N72" s="115" t="n">
        <v>0</v>
      </c>
      <c r="O72" s="115" t="n">
        <v>0</v>
      </c>
      <c r="P72" s="115" t="n">
        <v>0</v>
      </c>
      <c r="Q72" s="114">
        <f>L72+M72+N72+O72+P72</f>
        <v/>
      </c>
      <c r="R72" s="115" t="n"/>
      <c r="S72" s="115" t="n"/>
      <c r="T72" s="115" t="n"/>
      <c r="U72" s="115" t="n"/>
      <c r="V72" s="114">
        <f>R72+S72+T72+U72</f>
        <v/>
      </c>
      <c r="W72" s="115" t="n">
        <v>0</v>
      </c>
      <c r="X72" s="115" t="n">
        <v>0</v>
      </c>
      <c r="Y72" s="115" t="n"/>
      <c r="Z72" s="115" t="n"/>
      <c r="AA72" s="114">
        <f>W72+X72+Y72+Z72</f>
        <v/>
      </c>
      <c r="AB72" s="115" t="n"/>
      <c r="AC72" s="115" t="n"/>
      <c r="AD72" s="115" t="n"/>
      <c r="AE72" s="115" t="n"/>
      <c r="AF72" s="115" t="n"/>
      <c r="AG72" s="114">
        <f>AB72+AC72+AD72+AE72+AF72</f>
        <v/>
      </c>
      <c r="AH72" s="115" t="n"/>
      <c r="AI72" s="115" t="n"/>
      <c r="AJ72" s="115" t="n"/>
      <c r="AK72" s="115" t="n"/>
      <c r="AL72" s="114">
        <f>AH72+AI72+AJ72+AK72</f>
        <v/>
      </c>
      <c r="AM72" s="115" t="n"/>
      <c r="AN72" s="115" t="n"/>
      <c r="AO72" s="115" t="n"/>
      <c r="AP72" s="115" t="n"/>
      <c r="AQ72" s="115" t="n"/>
      <c r="AR72" s="114">
        <f>AM72+AN72+AO72+AP72+AQ72</f>
        <v/>
      </c>
      <c r="AS72" s="115" t="n"/>
      <c r="AT72" s="115" t="n"/>
      <c r="AU72" s="115" t="n"/>
      <c r="AV72" s="115" t="n"/>
      <c r="AW72" s="114">
        <f>AS72+AT72+AU72+AV72</f>
        <v/>
      </c>
      <c r="AX72" s="115" t="n"/>
      <c r="AY72" s="115" t="n"/>
      <c r="AZ72" s="115" t="n"/>
      <c r="BA72" s="115" t="n"/>
      <c r="BB72" s="114">
        <f>AX72+AY72+AZ72+BA72</f>
        <v/>
      </c>
      <c r="BC72" s="115" t="n"/>
      <c r="BD72" s="115" t="n"/>
      <c r="BE72" s="115" t="n"/>
      <c r="BF72" s="115" t="n"/>
      <c r="BG72" s="115" t="n"/>
      <c r="BH72" s="114">
        <f>BC72+BD72+BE72+BF72+BG72</f>
        <v/>
      </c>
      <c r="BI72" s="115" t="n"/>
      <c r="BJ72" s="115" t="n"/>
      <c r="BK72" s="115" t="n"/>
      <c r="BL72" s="115" t="n"/>
      <c r="BM72" s="114">
        <f>BI72+BJ72+BK72+BL72</f>
        <v/>
      </c>
    </row>
    <row r="73" ht="15.75" customHeight="1">
      <c r="A73" s="116" t="inlineStr">
        <is>
          <t xml:space="preserve">PAPEL DE SEDA </t>
        </is>
      </c>
      <c r="B73" s="115" t="n">
        <v>0</v>
      </c>
      <c r="C73" s="115" t="n"/>
      <c r="D73" s="115" t="n">
        <v>2</v>
      </c>
      <c r="E73" s="115" t="n">
        <v>0</v>
      </c>
      <c r="F73" s="114">
        <f>B73+C73+D73+E73</f>
        <v/>
      </c>
      <c r="G73" s="115" t="n">
        <v>1</v>
      </c>
      <c r="H73" s="115" t="n">
        <v>1</v>
      </c>
      <c r="I73" s="115" t="n">
        <v>1</v>
      </c>
      <c r="J73" s="115" t="n">
        <v>0</v>
      </c>
      <c r="K73" s="114">
        <f>G73+H73+I73+J73</f>
        <v/>
      </c>
      <c r="L73" s="115" t="n">
        <v>1</v>
      </c>
      <c r="M73" s="115" t="n">
        <v>1</v>
      </c>
      <c r="N73" s="115" t="n">
        <v>2</v>
      </c>
      <c r="O73" s="115" t="n">
        <v>1</v>
      </c>
      <c r="P73" s="115" t="n">
        <v>1</v>
      </c>
      <c r="Q73" s="114">
        <f>L73+M73+N73+O73+P73</f>
        <v/>
      </c>
      <c r="R73" s="115" t="n"/>
      <c r="S73" s="115" t="n"/>
      <c r="T73" s="115" t="n"/>
      <c r="U73" s="115" t="n"/>
      <c r="V73" s="114">
        <f>R73+S73+T73+U73</f>
        <v/>
      </c>
      <c r="W73" s="115" t="n">
        <v>0</v>
      </c>
      <c r="X73" s="115" t="n">
        <v>1</v>
      </c>
      <c r="Y73" s="115" t="n"/>
      <c r="Z73" s="115" t="n"/>
      <c r="AA73" s="114">
        <f>W73+X73+Y73+Z73</f>
        <v/>
      </c>
      <c r="AB73" s="115" t="n"/>
      <c r="AC73" s="115" t="n"/>
      <c r="AD73" s="115" t="n"/>
      <c r="AE73" s="115" t="n"/>
      <c r="AF73" s="115" t="n"/>
      <c r="AG73" s="114">
        <f>AB73+AC73+AD73+AE73+AF73</f>
        <v/>
      </c>
      <c r="AH73" s="115" t="n"/>
      <c r="AI73" s="115" t="n"/>
      <c r="AJ73" s="115" t="n"/>
      <c r="AK73" s="115" t="n"/>
      <c r="AL73" s="114">
        <f>AH73+AI73+AJ73+AK73</f>
        <v/>
      </c>
      <c r="AM73" s="115" t="n"/>
      <c r="AN73" s="115" t="n"/>
      <c r="AO73" s="115" t="n"/>
      <c r="AP73" s="115" t="n"/>
      <c r="AQ73" s="115" t="n"/>
      <c r="AR73" s="114">
        <f>AM73+AN73+AO73+AP73+AQ73</f>
        <v/>
      </c>
      <c r="AS73" s="115" t="n"/>
      <c r="AT73" s="115" t="n"/>
      <c r="AU73" s="115" t="n"/>
      <c r="AV73" s="115" t="n"/>
      <c r="AW73" s="114">
        <f>AS73+AT73+AU73+AV73</f>
        <v/>
      </c>
      <c r="AX73" s="115" t="n"/>
      <c r="AY73" s="115" t="n"/>
      <c r="AZ73" s="115" t="n"/>
      <c r="BA73" s="115" t="n"/>
      <c r="BB73" s="114">
        <f>AX73+AY73+AZ73+BA73</f>
        <v/>
      </c>
      <c r="BC73" s="115" t="n"/>
      <c r="BD73" s="115" t="n"/>
      <c r="BE73" s="115" t="n"/>
      <c r="BF73" s="115" t="n"/>
      <c r="BG73" s="115" t="n"/>
      <c r="BH73" s="114">
        <f>BC73+BD73+BE73+BF73+BG73</f>
        <v/>
      </c>
      <c r="BI73" s="115" t="n"/>
      <c r="BJ73" s="115" t="n"/>
      <c r="BK73" s="115" t="n"/>
      <c r="BL73" s="115" t="n"/>
      <c r="BM73" s="114">
        <f>BI73+BJ73+BK73+BL73</f>
        <v/>
      </c>
    </row>
    <row r="74" ht="15.75" customHeight="1">
      <c r="A74" s="116" t="inlineStr">
        <is>
          <t>ETIQUETAS</t>
        </is>
      </c>
      <c r="B74" s="115" t="n">
        <v>0</v>
      </c>
      <c r="C74" s="115" t="n"/>
      <c r="D74" s="115" t="n">
        <v>0</v>
      </c>
      <c r="E74" s="115" t="n">
        <v>0</v>
      </c>
      <c r="F74" s="114">
        <f>B74+C74+D74+E74</f>
        <v/>
      </c>
      <c r="G74" s="115" t="n">
        <v>0</v>
      </c>
      <c r="H74" s="115" t="n">
        <v>0</v>
      </c>
      <c r="I74" s="115" t="n">
        <v>1</v>
      </c>
      <c r="J74" s="115" t="n">
        <v>1</v>
      </c>
      <c r="K74" s="114">
        <f>G74+H74+I74+J74</f>
        <v/>
      </c>
      <c r="L74" s="115" t="n">
        <v>0</v>
      </c>
      <c r="M74" s="115" t="n">
        <v>0</v>
      </c>
      <c r="N74" s="115" t="n">
        <v>1</v>
      </c>
      <c r="O74" s="115" t="n">
        <v>0</v>
      </c>
      <c r="P74" s="115" t="n">
        <v>1</v>
      </c>
      <c r="Q74" s="114">
        <f>L74+M74+N74+O74+P74</f>
        <v/>
      </c>
      <c r="R74" s="115" t="n"/>
      <c r="S74" s="115" t="n"/>
      <c r="T74" s="115" t="n"/>
      <c r="U74" s="115" t="n"/>
      <c r="V74" s="114">
        <f>R74+S74+T74+U74</f>
        <v/>
      </c>
      <c r="W74" s="115" t="n">
        <v>0</v>
      </c>
      <c r="X74" s="115" t="n">
        <v>1</v>
      </c>
      <c r="Y74" s="115" t="n"/>
      <c r="Z74" s="115" t="n"/>
      <c r="AA74" s="114">
        <f>W74+X74+Y74+Z74</f>
        <v/>
      </c>
      <c r="AB74" s="115" t="n"/>
      <c r="AC74" s="115" t="n"/>
      <c r="AD74" s="115" t="n"/>
      <c r="AE74" s="115" t="n"/>
      <c r="AF74" s="115" t="n"/>
      <c r="AG74" s="114">
        <f>AB74+AC74+AD74+AE74+AF74</f>
        <v/>
      </c>
      <c r="AH74" s="115" t="n"/>
      <c r="AI74" s="115" t="n"/>
      <c r="AJ74" s="115" t="n"/>
      <c r="AK74" s="115" t="n"/>
      <c r="AL74" s="114">
        <f>AH74+AI74+AJ74+AK74</f>
        <v/>
      </c>
      <c r="AM74" s="115" t="n"/>
      <c r="AN74" s="115" t="n"/>
      <c r="AO74" s="115" t="n"/>
      <c r="AP74" s="115" t="n"/>
      <c r="AQ74" s="115" t="n"/>
      <c r="AR74" s="114">
        <f>AM74+AN74+AO74+AP74+AQ74</f>
        <v/>
      </c>
      <c r="AS74" s="115" t="n"/>
      <c r="AT74" s="115" t="n"/>
      <c r="AU74" s="115" t="n"/>
      <c r="AV74" s="115" t="n"/>
      <c r="AW74" s="114">
        <f>AS74+AT74+AU74+AV74</f>
        <v/>
      </c>
      <c r="AX74" s="115" t="n"/>
      <c r="AY74" s="115" t="n"/>
      <c r="AZ74" s="115" t="n"/>
      <c r="BA74" s="115" t="n"/>
      <c r="BB74" s="114">
        <f>AX74+AY74+AZ74+BA74</f>
        <v/>
      </c>
      <c r="BC74" s="115" t="n"/>
      <c r="BD74" s="115" t="n"/>
      <c r="BE74" s="115" t="n"/>
      <c r="BF74" s="115" t="n"/>
      <c r="BG74" s="115" t="n"/>
      <c r="BH74" s="114">
        <f>BC74+BD74+BE74+BF74+BG74</f>
        <v/>
      </c>
      <c r="BI74" s="115" t="n"/>
      <c r="BJ74" s="115" t="n"/>
      <c r="BK74" s="115" t="n"/>
      <c r="BL74" s="115" t="n"/>
      <c r="BM74" s="114">
        <f>BI74+BJ74+BK74+BL74</f>
        <v/>
      </c>
    </row>
    <row r="75" ht="15.75" customHeight="1">
      <c r="A75" s="116" t="inlineStr">
        <is>
          <t xml:space="preserve">TAGS </t>
        </is>
      </c>
      <c r="B75" s="115" t="n">
        <v>0</v>
      </c>
      <c r="C75" s="115" t="n"/>
      <c r="D75" s="115" t="n">
        <v>1</v>
      </c>
      <c r="E75" s="115" t="n">
        <v>0</v>
      </c>
      <c r="F75" s="114">
        <f>B75+C75+D75+E75</f>
        <v/>
      </c>
      <c r="G75" s="115" t="n">
        <v>1</v>
      </c>
      <c r="H75" s="115" t="n">
        <v>1</v>
      </c>
      <c r="I75" s="115" t="n">
        <v>0</v>
      </c>
      <c r="J75" s="115" t="n">
        <v>1</v>
      </c>
      <c r="K75" s="114">
        <f>G75+H75+I75+J75</f>
        <v/>
      </c>
      <c r="L75" s="115" t="n">
        <v>0</v>
      </c>
      <c r="M75" s="115" t="n">
        <v>1</v>
      </c>
      <c r="N75" s="115" t="n">
        <v>0</v>
      </c>
      <c r="O75" s="115" t="n">
        <v>1</v>
      </c>
      <c r="P75" s="115" t="n">
        <v>1</v>
      </c>
      <c r="Q75" s="114">
        <f>L75+M75+N75+O75+P75</f>
        <v/>
      </c>
      <c r="R75" s="115" t="n"/>
      <c r="S75" s="115" t="n"/>
      <c r="T75" s="115" t="n"/>
      <c r="U75" s="115" t="n"/>
      <c r="V75" s="114">
        <f>R75+S75+T75+U75</f>
        <v/>
      </c>
      <c r="W75" s="115" t="n">
        <v>0</v>
      </c>
      <c r="X75" s="115" t="n">
        <v>3</v>
      </c>
      <c r="Y75" s="115" t="n"/>
      <c r="Z75" s="115" t="n"/>
      <c r="AA75" s="114">
        <f>W75+X75+Y75+Z75</f>
        <v/>
      </c>
      <c r="AB75" s="115" t="n"/>
      <c r="AC75" s="115" t="n"/>
      <c r="AD75" s="115" t="n"/>
      <c r="AE75" s="115" t="n"/>
      <c r="AF75" s="115" t="n"/>
      <c r="AG75" s="114">
        <f>AB75+AC75+AD75+AE75+AF75</f>
        <v/>
      </c>
      <c r="AH75" s="115" t="n"/>
      <c r="AI75" s="115" t="n"/>
      <c r="AJ75" s="115" t="n"/>
      <c r="AK75" s="115" t="n"/>
      <c r="AL75" s="114">
        <f>AH75+AI75+AJ75+AK75</f>
        <v/>
      </c>
      <c r="AM75" s="115" t="n"/>
      <c r="AN75" s="115" t="n"/>
      <c r="AO75" s="115" t="n"/>
      <c r="AP75" s="115" t="n"/>
      <c r="AQ75" s="115" t="n"/>
      <c r="AR75" s="114">
        <f>AM75+AN75+AO75+AP75+AQ75</f>
        <v/>
      </c>
      <c r="AS75" s="115" t="n"/>
      <c r="AT75" s="115" t="n"/>
      <c r="AU75" s="115" t="n"/>
      <c r="AV75" s="115" t="n"/>
      <c r="AW75" s="114">
        <f>AS75+AT75+AU75+AV75</f>
        <v/>
      </c>
      <c r="AX75" s="115" t="n"/>
      <c r="AY75" s="115" t="n"/>
      <c r="AZ75" s="115" t="n"/>
      <c r="BA75" s="115" t="n"/>
      <c r="BB75" s="114">
        <f>AX75+AY75+AZ75+BA75</f>
        <v/>
      </c>
      <c r="BC75" s="115" t="n"/>
      <c r="BD75" s="115" t="n"/>
      <c r="BE75" s="115" t="n"/>
      <c r="BF75" s="115" t="n"/>
      <c r="BG75" s="115" t="n"/>
      <c r="BH75" s="114">
        <f>BC75+BD75+BE75+BF75+BG75</f>
        <v/>
      </c>
      <c r="BI75" s="115" t="n"/>
      <c r="BJ75" s="115" t="n"/>
      <c r="BK75" s="115" t="n"/>
      <c r="BL75" s="115" t="n"/>
      <c r="BM75" s="114">
        <f>BI75+BJ75+BK75+BL75</f>
        <v/>
      </c>
    </row>
    <row r="76" ht="15.75" customHeight="1">
      <c r="A76" s="116" t="inlineStr">
        <is>
          <t>LÂMINA OLFATIVA</t>
        </is>
      </c>
      <c r="B76" s="115" t="n">
        <v>1</v>
      </c>
      <c r="C76" s="115" t="n"/>
      <c r="D76" s="115" t="n">
        <v>0</v>
      </c>
      <c r="E76" s="115" t="n">
        <v>1</v>
      </c>
      <c r="F76" s="114">
        <f>B76+C76+D76+E76</f>
        <v/>
      </c>
      <c r="G76" s="115" t="n">
        <v>0</v>
      </c>
      <c r="H76" s="115" t="n">
        <v>1</v>
      </c>
      <c r="I76" s="115" t="n">
        <v>0</v>
      </c>
      <c r="J76" s="115" t="n">
        <v>1</v>
      </c>
      <c r="K76" s="114">
        <f>G76+H76+I76+J76</f>
        <v/>
      </c>
      <c r="L76" s="115" t="n">
        <v>0</v>
      </c>
      <c r="M76" s="115" t="n">
        <v>0</v>
      </c>
      <c r="N76" s="115" t="n">
        <v>1</v>
      </c>
      <c r="O76" s="115" t="n">
        <v>1</v>
      </c>
      <c r="P76" s="115" t="n">
        <v>0</v>
      </c>
      <c r="Q76" s="114">
        <f>L76+M76+N76+O76+P76</f>
        <v/>
      </c>
      <c r="R76" s="115" t="n"/>
      <c r="S76" s="115" t="n"/>
      <c r="T76" s="115" t="n"/>
      <c r="U76" s="115" t="n"/>
      <c r="V76" s="114">
        <f>R76+S76+T76+U76</f>
        <v/>
      </c>
      <c r="W76" s="115" t="n">
        <v>0</v>
      </c>
      <c r="X76" s="115" t="n">
        <v>1</v>
      </c>
      <c r="Y76" s="115" t="n"/>
      <c r="Z76" s="115" t="n"/>
      <c r="AA76" s="114">
        <f>W76+X76+Y76+Z76</f>
        <v/>
      </c>
      <c r="AB76" s="115" t="n"/>
      <c r="AC76" s="115" t="n"/>
      <c r="AD76" s="115" t="n"/>
      <c r="AE76" s="115" t="n"/>
      <c r="AF76" s="115" t="n"/>
      <c r="AG76" s="114">
        <f>AB76+AC76+AD76+AE76+AF76</f>
        <v/>
      </c>
      <c r="AH76" s="115" t="n"/>
      <c r="AI76" s="115" t="n"/>
      <c r="AJ76" s="115" t="n"/>
      <c r="AK76" s="115" t="n"/>
      <c r="AL76" s="114">
        <f>AH76+AI76+AJ76+AK76</f>
        <v/>
      </c>
      <c r="AM76" s="115" t="n"/>
      <c r="AN76" s="115" t="n"/>
      <c r="AO76" s="115" t="n"/>
      <c r="AP76" s="115" t="n"/>
      <c r="AQ76" s="115" t="n"/>
      <c r="AR76" s="114">
        <f>AM76+AN76+AO76+AP76+AQ76</f>
        <v/>
      </c>
      <c r="AS76" s="115" t="n"/>
      <c r="AT76" s="115" t="n"/>
      <c r="AU76" s="115" t="n"/>
      <c r="AV76" s="115" t="n"/>
      <c r="AW76" s="114">
        <f>AS76+AT76+AU76+AV76</f>
        <v/>
      </c>
      <c r="AX76" s="115" t="n"/>
      <c r="AY76" s="115" t="n"/>
      <c r="AZ76" s="115" t="n"/>
      <c r="BA76" s="115" t="n"/>
      <c r="BB76" s="114">
        <f>AX76+AY76+AZ76+BA76</f>
        <v/>
      </c>
      <c r="BC76" s="115" t="n"/>
      <c r="BD76" s="115" t="n"/>
      <c r="BE76" s="115" t="n"/>
      <c r="BF76" s="115" t="n"/>
      <c r="BG76" s="115" t="n"/>
      <c r="BH76" s="114">
        <f>BC76+BD76+BE76+BF76+BG76</f>
        <v/>
      </c>
      <c r="BI76" s="115" t="n"/>
      <c r="BJ76" s="115" t="n"/>
      <c r="BK76" s="115" t="n"/>
      <c r="BL76" s="115" t="n"/>
      <c r="BM76" s="114">
        <f>BI76+BJ76+BK76+BL76</f>
        <v/>
      </c>
    </row>
    <row r="77" ht="15.75" customHeight="1">
      <c r="A77" s="113" t="inlineStr">
        <is>
          <t>TOTAL DE SACOLAS</t>
        </is>
      </c>
      <c r="B77" s="112">
        <f>SUM(B69:B72)</f>
        <v/>
      </c>
      <c r="C77" s="112">
        <f>SUM(C69:C72)</f>
        <v/>
      </c>
      <c r="D77" s="112">
        <f>SUM(D69:D72)</f>
        <v/>
      </c>
      <c r="E77" s="112">
        <f>SUM(E69:E72)</f>
        <v/>
      </c>
      <c r="F77" s="112">
        <f>SUM(F69:F72)</f>
        <v/>
      </c>
      <c r="G77" s="112">
        <f>SUM(G69:G72)</f>
        <v/>
      </c>
      <c r="H77" s="112">
        <f>SUM(H69:H72)</f>
        <v/>
      </c>
      <c r="I77" s="112">
        <f>SUM(I69:I72)</f>
        <v/>
      </c>
      <c r="J77" s="112">
        <f>SUM(J69:J72)</f>
        <v/>
      </c>
      <c r="K77" s="112">
        <f>SUM(K69:K72)</f>
        <v/>
      </c>
      <c r="L77" s="112">
        <f>SUM(L69:L72)</f>
        <v/>
      </c>
      <c r="M77" s="112">
        <f>SUM(M69:M72)</f>
        <v/>
      </c>
      <c r="N77" s="112">
        <f>SUM(N69:N72)</f>
        <v/>
      </c>
      <c r="O77" s="112">
        <f>SUM(O69:O72)</f>
        <v/>
      </c>
      <c r="P77" s="112">
        <f>SUM(P69:P72)</f>
        <v/>
      </c>
      <c r="Q77" s="112">
        <f>SUM(Q69:Q72)</f>
        <v/>
      </c>
      <c r="R77" s="112">
        <f>SUM(R69:R72)</f>
        <v/>
      </c>
      <c r="S77" s="112">
        <f>SUM(S69:S72)</f>
        <v/>
      </c>
      <c r="T77" s="112">
        <f>SUM(T69:T72)</f>
        <v/>
      </c>
      <c r="U77" s="112">
        <f>SUM(U69:U72)</f>
        <v/>
      </c>
      <c r="V77" s="112">
        <f>SUM(V69:V72)</f>
        <v/>
      </c>
      <c r="W77" s="112">
        <f>SUM(W69:W72)</f>
        <v/>
      </c>
      <c r="X77" s="112">
        <f>SUM(X69:X72)</f>
        <v/>
      </c>
      <c r="Y77" s="112">
        <f>SUM(Y69:Y72)</f>
        <v/>
      </c>
      <c r="Z77" s="112">
        <f>SUM(Z69:Z72)</f>
        <v/>
      </c>
      <c r="AA77" s="112">
        <f>SUM(AA69:AA72)</f>
        <v/>
      </c>
      <c r="AB77" s="112">
        <f>SUM(AB69:AB72)</f>
        <v/>
      </c>
      <c r="AC77" s="112">
        <f>SUM(AC69:AC72)</f>
        <v/>
      </c>
      <c r="AD77" s="112">
        <f>SUM(AD69:AD72)</f>
        <v/>
      </c>
      <c r="AE77" s="112">
        <f>SUM(AE69:AE72)</f>
        <v/>
      </c>
      <c r="AF77" s="112">
        <f>SUM(AF69:AF72)</f>
        <v/>
      </c>
      <c r="AG77" s="112">
        <f>SUM(AG69:AG72)</f>
        <v/>
      </c>
      <c r="AH77" s="112">
        <f>SUM(AH69:AH72)</f>
        <v/>
      </c>
      <c r="AI77" s="112">
        <f>SUM(AI69:AI72)</f>
        <v/>
      </c>
      <c r="AJ77" s="112">
        <f>SUM(AJ69:AJ72)</f>
        <v/>
      </c>
      <c r="AK77" s="112">
        <f>SUM(AK69:AK72)</f>
        <v/>
      </c>
      <c r="AL77" s="112">
        <f>SUM(AL69:AL72)</f>
        <v/>
      </c>
      <c r="AM77" s="112">
        <f>SUM(AM69:AM72)</f>
        <v/>
      </c>
      <c r="AN77" s="112">
        <f>SUM(AN69:AN72)</f>
        <v/>
      </c>
      <c r="AO77" s="112">
        <f>SUM(AO69:AO72)</f>
        <v/>
      </c>
      <c r="AP77" s="112">
        <f>SUM(AP69:AP72)</f>
        <v/>
      </c>
      <c r="AQ77" s="112">
        <f>SUM(AQ69:AQ72)</f>
        <v/>
      </c>
      <c r="AR77" s="112">
        <f>SUM(AR69:AR72)</f>
        <v/>
      </c>
      <c r="AS77" s="112">
        <f>SUM(AS69:AS72)</f>
        <v/>
      </c>
      <c r="AT77" s="112">
        <f>SUM(AT69:AT72)</f>
        <v/>
      </c>
      <c r="AU77" s="112">
        <f>SUM(AU69:AU72)</f>
        <v/>
      </c>
      <c r="AV77" s="112">
        <f>SUM(AV69:AV72)</f>
        <v/>
      </c>
      <c r="AW77" s="112">
        <f>SUM(AW69:AW72)</f>
        <v/>
      </c>
      <c r="AX77" s="112">
        <f>SUM(AX69:AX72)</f>
        <v/>
      </c>
      <c r="AY77" s="112">
        <f>SUM(AY69:AY72)</f>
        <v/>
      </c>
      <c r="AZ77" s="112">
        <f>SUM(AZ69:AZ72)</f>
        <v/>
      </c>
      <c r="BA77" s="112">
        <f>SUM(BA69:BA72)</f>
        <v/>
      </c>
      <c r="BB77" s="112">
        <f>SUM(BB69:BB72)</f>
        <v/>
      </c>
      <c r="BC77" s="112">
        <f>SUM(BC69:BC72)</f>
        <v/>
      </c>
      <c r="BD77" s="112">
        <f>SUM(BD69:BD72)</f>
        <v/>
      </c>
      <c r="BE77" s="112">
        <f>SUM(BE69:BE72)</f>
        <v/>
      </c>
      <c r="BF77" s="112">
        <f>SUM(BF69:BF72)</f>
        <v/>
      </c>
      <c r="BG77" s="112">
        <f>SUM(BG69:BG72)</f>
        <v/>
      </c>
      <c r="BH77" s="112">
        <f>SUM(BH69:BH72)</f>
        <v/>
      </c>
      <c r="BI77" s="112">
        <f>SUM(BI69:BI72)</f>
        <v/>
      </c>
      <c r="BJ77" s="112">
        <f>SUM(BJ69:BJ72)</f>
        <v/>
      </c>
      <c r="BK77" s="112">
        <f>SUM(BK69:BK72)</f>
        <v/>
      </c>
      <c r="BL77" s="112">
        <f>SUM(BL69:BL72)</f>
        <v/>
      </c>
      <c r="BM77" s="112">
        <f>SUM(BM69:BM72)</f>
        <v/>
      </c>
    </row>
    <row r="79" ht="18" customHeight="1">
      <c r="A79" s="577" t="inlineStr">
        <is>
          <t>GASTO DE SACOLAS E ITENS DOADOS 2026 - MENSAIS</t>
        </is>
      </c>
      <c r="B79" s="844" t="n"/>
      <c r="C79" s="844" t="n"/>
      <c r="D79" s="844" t="n"/>
      <c r="E79" s="844" t="n"/>
      <c r="F79" s="844" t="n"/>
      <c r="G79" s="844" t="n"/>
      <c r="H79" s="844" t="n"/>
      <c r="I79" s="844" t="n"/>
      <c r="J79" s="844" t="n"/>
      <c r="K79" s="844" t="n"/>
      <c r="L79" s="844" t="n"/>
      <c r="M79" s="844" t="n"/>
      <c r="N79" s="844" t="n"/>
      <c r="O79" s="844" t="n"/>
      <c r="P79" s="844" t="n"/>
      <c r="Q79" s="844" t="n"/>
      <c r="R79" s="844" t="n"/>
      <c r="S79" s="844" t="n"/>
      <c r="T79" s="844" t="n"/>
      <c r="U79" s="844" t="n"/>
      <c r="V79" s="844" t="n"/>
      <c r="W79" s="844" t="n"/>
      <c r="X79" s="844" t="n"/>
      <c r="Y79" s="844" t="n"/>
      <c r="Z79" s="844" t="n"/>
      <c r="AA79" s="844" t="n"/>
      <c r="AB79" s="844" t="n"/>
      <c r="AC79" s="844" t="n"/>
      <c r="AD79" s="844" t="n"/>
      <c r="AE79" s="844" t="n"/>
      <c r="AF79" s="844" t="n"/>
      <c r="AG79" s="844" t="n"/>
      <c r="AH79" s="844" t="n"/>
      <c r="AI79" s="844" t="n"/>
      <c r="AJ79" s="844" t="n"/>
      <c r="AK79" s="844" t="n"/>
      <c r="AL79" s="844" t="n"/>
      <c r="AM79" s="844" t="n"/>
      <c r="AN79" s="844" t="n"/>
      <c r="AO79" s="844" t="n"/>
      <c r="AP79" s="844" t="n"/>
      <c r="AQ79" s="844" t="n"/>
      <c r="AR79" s="844" t="n"/>
      <c r="AS79" s="844" t="n"/>
      <c r="AT79" s="844" t="n"/>
      <c r="AU79" s="844" t="n"/>
      <c r="AV79" s="844" t="n"/>
      <c r="AW79" s="844" t="n"/>
      <c r="AX79" s="844" t="n"/>
      <c r="AY79" s="844" t="n"/>
      <c r="AZ79" s="844" t="n"/>
      <c r="BA79" s="844" t="n"/>
      <c r="BB79" s="844" t="n"/>
      <c r="BC79" s="844" t="n"/>
      <c r="BD79" s="844" t="n"/>
      <c r="BE79" s="844" t="n"/>
      <c r="BF79" s="844" t="n"/>
      <c r="BG79" s="844" t="n"/>
      <c r="BH79" s="844" t="n"/>
      <c r="BI79" s="844" t="n"/>
      <c r="BJ79" s="844" t="n"/>
      <c r="BK79" s="844" t="n"/>
      <c r="BL79" s="844" t="n"/>
      <c r="BM79" s="844" t="n"/>
    </row>
    <row r="80" ht="18" customHeight="1">
      <c r="A80" s="845" t="inlineStr">
        <is>
          <t>QUADRA 2</t>
        </is>
      </c>
      <c r="B80" s="845" t="inlineStr">
        <is>
          <t>JANEIRO</t>
        </is>
      </c>
      <c r="C80" s="846" t="n"/>
      <c r="D80" s="846" t="n"/>
      <c r="E80" s="846" t="n"/>
      <c r="F80" s="847" t="n"/>
      <c r="G80" s="845" t="inlineStr">
        <is>
          <t>FEVEREIRO</t>
        </is>
      </c>
      <c r="H80" s="846" t="n"/>
      <c r="I80" s="846" t="n"/>
      <c r="J80" s="846" t="n"/>
      <c r="K80" s="847" t="n"/>
      <c r="L80" s="845" t="inlineStr">
        <is>
          <t>MARÇO</t>
        </is>
      </c>
      <c r="M80" s="846" t="n"/>
      <c r="N80" s="846" t="n"/>
      <c r="O80" s="846" t="n"/>
      <c r="P80" s="846" t="n"/>
      <c r="Q80" s="847" t="n"/>
      <c r="R80" s="845" t="inlineStr">
        <is>
          <t>ABRIL</t>
        </is>
      </c>
      <c r="S80" s="846" t="n"/>
      <c r="T80" s="846" t="n"/>
      <c r="U80" s="846" t="n"/>
      <c r="V80" s="847" t="n"/>
      <c r="W80" s="845" t="inlineStr">
        <is>
          <t>MAIO</t>
        </is>
      </c>
      <c r="X80" s="846" t="n"/>
      <c r="Y80" s="846" t="n"/>
      <c r="Z80" s="846" t="n"/>
      <c r="AA80" s="847" t="n"/>
      <c r="AB80" s="845" t="inlineStr">
        <is>
          <t>JUNHO</t>
        </is>
      </c>
      <c r="AC80" s="846" t="n"/>
      <c r="AD80" s="846" t="n"/>
      <c r="AE80" s="846" t="n"/>
      <c r="AF80" s="846" t="n"/>
      <c r="AG80" s="847" t="n"/>
      <c r="AH80" s="845" t="inlineStr">
        <is>
          <t>JULHO</t>
        </is>
      </c>
      <c r="AI80" s="846" t="n"/>
      <c r="AJ80" s="846" t="n"/>
      <c r="AK80" s="846" t="n"/>
      <c r="AL80" s="847" t="n"/>
      <c r="AM80" s="845" t="inlineStr">
        <is>
          <t>AGOSTO</t>
        </is>
      </c>
      <c r="AN80" s="846" t="n"/>
      <c r="AO80" s="846" t="n"/>
      <c r="AP80" s="846" t="n"/>
      <c r="AQ80" s="846" t="n"/>
      <c r="AR80" s="847" t="n"/>
      <c r="AS80" s="845" t="inlineStr">
        <is>
          <t>SETEMBRO</t>
        </is>
      </c>
      <c r="AT80" s="846" t="n"/>
      <c r="AU80" s="846" t="n"/>
      <c r="AV80" s="846" t="n"/>
      <c r="AW80" s="847" t="n"/>
      <c r="AX80" s="845" t="inlineStr">
        <is>
          <t>OUTUBRO</t>
        </is>
      </c>
      <c r="AY80" s="846" t="n"/>
      <c r="AZ80" s="846" t="n"/>
      <c r="BA80" s="846" t="n"/>
      <c r="BB80" s="847" t="n"/>
      <c r="BC80" s="845" t="inlineStr">
        <is>
          <t>NOVEMBRO</t>
        </is>
      </c>
      <c r="BD80" s="846" t="n"/>
      <c r="BE80" s="846" t="n"/>
      <c r="BF80" s="846" t="n"/>
      <c r="BG80" s="846" t="n"/>
      <c r="BH80" s="847" t="n"/>
      <c r="BI80" s="845" t="inlineStr">
        <is>
          <t>DEZEMBRO</t>
        </is>
      </c>
      <c r="BJ80" s="846" t="n"/>
      <c r="BK80" s="846" t="n"/>
      <c r="BL80" s="846" t="n"/>
      <c r="BM80" s="847" t="n"/>
    </row>
    <row r="81" ht="15.75" customHeight="1">
      <c r="A81" s="848" t="n"/>
      <c r="B81" s="121" t="n">
        <v>46027</v>
      </c>
      <c r="C81" s="121" t="n">
        <v>46034</v>
      </c>
      <c r="D81" s="121" t="n">
        <v>46041</v>
      </c>
      <c r="E81" s="121" t="n">
        <v>46048</v>
      </c>
      <c r="F81" s="120" t="inlineStr">
        <is>
          <t>USOU</t>
        </is>
      </c>
      <c r="G81" s="121" t="n">
        <v>46055</v>
      </c>
      <c r="H81" s="121" t="n">
        <v>46062</v>
      </c>
      <c r="I81" s="121" t="n">
        <v>46069</v>
      </c>
      <c r="J81" s="121" t="n">
        <v>46076</v>
      </c>
      <c r="K81" s="120" t="inlineStr">
        <is>
          <t>USOU</t>
        </is>
      </c>
      <c r="L81" s="121" t="n">
        <v>46083</v>
      </c>
      <c r="M81" s="121" t="n">
        <v>46090</v>
      </c>
      <c r="N81" s="121" t="n">
        <v>46097</v>
      </c>
      <c r="O81" s="121" t="n">
        <v>46104</v>
      </c>
      <c r="P81" s="121" t="n">
        <v>46111</v>
      </c>
      <c r="Q81" s="120" t="inlineStr">
        <is>
          <t>USOU</t>
        </is>
      </c>
      <c r="R81" s="121" t="n">
        <v>46118</v>
      </c>
      <c r="S81" s="121" t="n">
        <v>46125</v>
      </c>
      <c r="T81" s="121" t="n">
        <v>46132</v>
      </c>
      <c r="U81" s="121" t="n">
        <v>46139</v>
      </c>
      <c r="V81" s="120" t="inlineStr">
        <is>
          <t>USOU</t>
        </is>
      </c>
      <c r="W81" s="121" t="n">
        <v>46146</v>
      </c>
      <c r="X81" s="121" t="n">
        <v>46153</v>
      </c>
      <c r="Y81" s="121" t="n">
        <v>46160</v>
      </c>
      <c r="Z81" s="121" t="n">
        <v>46167</v>
      </c>
      <c r="AA81" s="120" t="inlineStr">
        <is>
          <t>USOU</t>
        </is>
      </c>
      <c r="AB81" s="121" t="n">
        <v>46174</v>
      </c>
      <c r="AC81" s="121" t="n">
        <v>46181</v>
      </c>
      <c r="AD81" s="121" t="n">
        <v>46188</v>
      </c>
      <c r="AE81" s="121" t="n">
        <v>46195</v>
      </c>
      <c r="AF81" s="121" t="n">
        <v>46202</v>
      </c>
      <c r="AG81" s="120" t="inlineStr">
        <is>
          <t>USOU</t>
        </is>
      </c>
      <c r="AH81" s="121" t="n">
        <v>46209</v>
      </c>
      <c r="AI81" s="121" t="n">
        <v>46216</v>
      </c>
      <c r="AJ81" s="121" t="n">
        <v>46223</v>
      </c>
      <c r="AK81" s="121" t="n">
        <v>46230</v>
      </c>
      <c r="AL81" s="120" t="inlineStr">
        <is>
          <t>USOU</t>
        </is>
      </c>
      <c r="AM81" s="121" t="n">
        <v>46237</v>
      </c>
      <c r="AN81" s="121" t="n">
        <v>46244</v>
      </c>
      <c r="AO81" s="121" t="n">
        <v>46251</v>
      </c>
      <c r="AP81" s="121" t="n">
        <v>46258</v>
      </c>
      <c r="AQ81" s="121" t="n">
        <v>46265</v>
      </c>
      <c r="AR81" s="120" t="inlineStr">
        <is>
          <t>USOU</t>
        </is>
      </c>
      <c r="AS81" s="121" t="n">
        <v>46272</v>
      </c>
      <c r="AT81" s="121" t="n">
        <v>46279</v>
      </c>
      <c r="AU81" s="121" t="n">
        <v>46286</v>
      </c>
      <c r="AV81" s="121" t="n">
        <v>46293</v>
      </c>
      <c r="AW81" s="120" t="inlineStr">
        <is>
          <t>USOU</t>
        </is>
      </c>
      <c r="AX81" s="121" t="n">
        <v>46300</v>
      </c>
      <c r="AY81" s="121" t="n">
        <v>46307</v>
      </c>
      <c r="AZ81" s="121" t="n">
        <v>46314</v>
      </c>
      <c r="BA81" s="121" t="n">
        <v>46321</v>
      </c>
      <c r="BB81" s="120" t="inlineStr">
        <is>
          <t>USOU</t>
        </is>
      </c>
      <c r="BC81" s="121" t="n">
        <v>46328</v>
      </c>
      <c r="BD81" s="121" t="n">
        <v>46335</v>
      </c>
      <c r="BE81" s="121" t="n">
        <v>46342</v>
      </c>
      <c r="BF81" s="121" t="n">
        <v>46349</v>
      </c>
      <c r="BG81" s="121" t="n">
        <v>46356</v>
      </c>
      <c r="BH81" s="120" t="inlineStr">
        <is>
          <t>USOU</t>
        </is>
      </c>
      <c r="BI81" s="121" t="n">
        <v>46363</v>
      </c>
      <c r="BJ81" s="121" t="n">
        <v>46370</v>
      </c>
      <c r="BK81" s="121" t="n">
        <v>46377</v>
      </c>
      <c r="BL81" s="121" t="n">
        <v>46384</v>
      </c>
      <c r="BM81" s="120" t="inlineStr">
        <is>
          <t>USOU</t>
        </is>
      </c>
    </row>
    <row r="82" ht="15.75" customHeight="1">
      <c r="A82" s="118" t="inlineStr">
        <is>
          <t>SACOLA PP VERDE</t>
        </is>
      </c>
      <c r="B82" s="115" t="n">
        <v>0</v>
      </c>
      <c r="C82" s="115" t="n">
        <v>20</v>
      </c>
      <c r="D82" s="115" t="n">
        <v>40</v>
      </c>
      <c r="E82" s="115" t="n">
        <v>40</v>
      </c>
      <c r="F82" s="114">
        <f>B82+C82+D82+E82</f>
        <v/>
      </c>
      <c r="G82" s="115" t="n">
        <v>60</v>
      </c>
      <c r="H82" s="115" t="n">
        <v>80</v>
      </c>
      <c r="I82" s="115" t="n">
        <v>0</v>
      </c>
      <c r="J82" s="115" t="n">
        <v>20</v>
      </c>
      <c r="K82" s="114">
        <f>G82+H82+I82+J82</f>
        <v/>
      </c>
      <c r="L82" s="115" t="n">
        <v>60</v>
      </c>
      <c r="M82" s="115" t="n">
        <v>40</v>
      </c>
      <c r="N82" s="115" t="n">
        <v>40</v>
      </c>
      <c r="O82" s="115" t="n">
        <v>20</v>
      </c>
      <c r="P82" s="115" t="n">
        <v>60</v>
      </c>
      <c r="Q82" s="114">
        <f>L82+M82+N82+O82+P82</f>
        <v/>
      </c>
      <c r="R82" s="115" t="n"/>
      <c r="S82" s="115" t="n"/>
      <c r="T82" s="115" t="n"/>
      <c r="U82" s="115" t="n"/>
      <c r="V82" s="114">
        <f>R82+S82+T82+U82</f>
        <v/>
      </c>
      <c r="W82" s="115" t="n">
        <v>60</v>
      </c>
      <c r="X82" s="115" t="n">
        <v>40</v>
      </c>
      <c r="Y82" s="115" t="n"/>
      <c r="Z82" s="115" t="n"/>
      <c r="AA82" s="114">
        <f>W82+X82+Y82+Z82</f>
        <v/>
      </c>
      <c r="AB82" s="115" t="n"/>
      <c r="AC82" s="115" t="n"/>
      <c r="AD82" s="115" t="n"/>
      <c r="AE82" s="115" t="n"/>
      <c r="AF82" s="115" t="n"/>
      <c r="AG82" s="114">
        <f>AB82+AC82+AD82+AE82+AF82</f>
        <v/>
      </c>
      <c r="AH82" s="115" t="n"/>
      <c r="AI82" s="115" t="n"/>
      <c r="AJ82" s="115" t="n"/>
      <c r="AK82" s="115" t="n"/>
      <c r="AL82" s="114">
        <f>AH82+AI82+AJ82+AK82</f>
        <v/>
      </c>
      <c r="AM82" s="115" t="n"/>
      <c r="AN82" s="115" t="n"/>
      <c r="AO82" s="115" t="n"/>
      <c r="AP82" s="115" t="n"/>
      <c r="AQ82" s="115" t="n"/>
      <c r="AR82" s="114">
        <f>AM82+AN82+AO82+AP82+AQ82</f>
        <v/>
      </c>
      <c r="AS82" s="115" t="n"/>
      <c r="AT82" s="115" t="n"/>
      <c r="AU82" s="115" t="n"/>
      <c r="AV82" s="115" t="n"/>
      <c r="AW82" s="114">
        <f>AS82+AT82+AU82+AV82</f>
        <v/>
      </c>
      <c r="AX82" s="115" t="n"/>
      <c r="AY82" s="115" t="n"/>
      <c r="AZ82" s="115" t="n"/>
      <c r="BA82" s="115" t="n"/>
      <c r="BB82" s="114">
        <f>AX82+AY82+AZ82+BA82</f>
        <v/>
      </c>
      <c r="BC82" s="115" t="n"/>
      <c r="BD82" s="115" t="n"/>
      <c r="BE82" s="115" t="n"/>
      <c r="BF82" s="115" t="n"/>
      <c r="BG82" s="115" t="n"/>
      <c r="BH82" s="114">
        <f>BC82+BD82+BE82+BF82+BG82</f>
        <v/>
      </c>
      <c r="BI82" s="115" t="n"/>
      <c r="BJ82" s="115" t="n"/>
      <c r="BK82" s="115" t="n"/>
      <c r="BL82" s="115" t="n"/>
      <c r="BM82" s="114">
        <f>BI82+BJ82+BK82+BL82</f>
        <v/>
      </c>
    </row>
    <row r="83" ht="15.75" customHeight="1">
      <c r="A83" s="118" t="inlineStr">
        <is>
          <t>SACOLA P VERDE</t>
        </is>
      </c>
      <c r="B83" s="115" t="n">
        <v>80</v>
      </c>
      <c r="C83" s="115" t="n">
        <v>200</v>
      </c>
      <c r="D83" s="115" t="n">
        <v>100</v>
      </c>
      <c r="E83" s="115" t="n">
        <v>120</v>
      </c>
      <c r="F83" s="114">
        <f>B83+C83+D83+E83</f>
        <v/>
      </c>
      <c r="G83" s="115" t="n">
        <v>80</v>
      </c>
      <c r="H83" s="115" t="n">
        <v>100</v>
      </c>
      <c r="I83" s="115" t="n">
        <v>160</v>
      </c>
      <c r="J83" s="115" t="n">
        <v>120</v>
      </c>
      <c r="K83" s="114">
        <f>G83+H83+I83+J83</f>
        <v/>
      </c>
      <c r="L83" s="115" t="n">
        <v>120</v>
      </c>
      <c r="M83" s="115" t="n">
        <v>160</v>
      </c>
      <c r="N83" s="115" t="n">
        <v>100</v>
      </c>
      <c r="O83" s="115" t="n">
        <v>140</v>
      </c>
      <c r="P83" s="115" t="n">
        <v>120</v>
      </c>
      <c r="Q83" s="114">
        <f>L83+M83+N83+O83+P83</f>
        <v/>
      </c>
      <c r="R83" s="115" t="n"/>
      <c r="S83" s="115" t="n"/>
      <c r="T83" s="115" t="n"/>
      <c r="U83" s="115" t="n"/>
      <c r="V83" s="114">
        <f>R83+S83+T83+U83</f>
        <v/>
      </c>
      <c r="W83" s="115" t="n">
        <v>20</v>
      </c>
      <c r="X83" s="115" t="n">
        <v>0</v>
      </c>
      <c r="Y83" s="115" t="n"/>
      <c r="Z83" s="115" t="n"/>
      <c r="AA83" s="114">
        <f>W83+X83+Y83+Z83</f>
        <v/>
      </c>
      <c r="AB83" s="115" t="n"/>
      <c r="AC83" s="115" t="n"/>
      <c r="AD83" s="115" t="n"/>
      <c r="AE83" s="115" t="n"/>
      <c r="AF83" s="115" t="n"/>
      <c r="AG83" s="114">
        <f>AB83+AC83+AD83+AE83+AF83</f>
        <v/>
      </c>
      <c r="AH83" s="115" t="n"/>
      <c r="AI83" s="115" t="n"/>
      <c r="AJ83" s="115" t="n"/>
      <c r="AK83" s="115" t="n"/>
      <c r="AL83" s="114">
        <f>AH83+AI83+AJ83+AK83</f>
        <v/>
      </c>
      <c r="AM83" s="115" t="n"/>
      <c r="AN83" s="115" t="n"/>
      <c r="AO83" s="115" t="n"/>
      <c r="AP83" s="115" t="n"/>
      <c r="AQ83" s="115" t="n"/>
      <c r="AR83" s="114">
        <f>AM83+AN83+AO83+AP83+AQ83</f>
        <v/>
      </c>
      <c r="AS83" s="115" t="n"/>
      <c r="AT83" s="115" t="n"/>
      <c r="AU83" s="115" t="n"/>
      <c r="AV83" s="115" t="n"/>
      <c r="AW83" s="114">
        <f>AS83+AT83+AU83+AV83</f>
        <v/>
      </c>
      <c r="AX83" s="115" t="n"/>
      <c r="AY83" s="115" t="n"/>
      <c r="AZ83" s="115" t="n"/>
      <c r="BA83" s="115" t="n"/>
      <c r="BB83" s="114">
        <f>AX83+AY83+AZ83+BA83</f>
        <v/>
      </c>
      <c r="BC83" s="115" t="n"/>
      <c r="BD83" s="115" t="n"/>
      <c r="BE83" s="115" t="n"/>
      <c r="BF83" s="115" t="n"/>
      <c r="BG83" s="115" t="n"/>
      <c r="BH83" s="114">
        <f>BC83+BD83+BE83+BF83+BG83</f>
        <v/>
      </c>
      <c r="BI83" s="115" t="n"/>
      <c r="BJ83" s="115" t="n"/>
      <c r="BK83" s="115" t="n"/>
      <c r="BL83" s="115" t="n"/>
      <c r="BM83" s="114">
        <f>BI83+BJ83+BK83+BL83</f>
        <v/>
      </c>
    </row>
    <row r="84" ht="15.75" customHeight="1">
      <c r="A84" s="118" t="inlineStr">
        <is>
          <t>SACOLA M VERDE</t>
        </is>
      </c>
      <c r="B84" s="115" t="n">
        <v>120</v>
      </c>
      <c r="C84" s="115" t="n">
        <v>80</v>
      </c>
      <c r="D84" s="115" t="n">
        <v>0</v>
      </c>
      <c r="E84" s="115" t="n">
        <v>40</v>
      </c>
      <c r="F84" s="114">
        <f>B84+C84+D84+E84</f>
        <v/>
      </c>
      <c r="G84" s="115" t="n">
        <v>20</v>
      </c>
      <c r="H84" s="115" t="n">
        <v>60</v>
      </c>
      <c r="I84" s="115" t="n">
        <v>20</v>
      </c>
      <c r="J84" s="115" t="n">
        <v>40</v>
      </c>
      <c r="K84" s="114">
        <f>G84+H84+I84+J84</f>
        <v/>
      </c>
      <c r="L84" s="115" t="n">
        <v>40</v>
      </c>
      <c r="M84" s="115" t="n">
        <v>100</v>
      </c>
      <c r="N84" s="115" t="n">
        <v>40</v>
      </c>
      <c r="O84" s="115" t="n">
        <v>20</v>
      </c>
      <c r="P84" s="115" t="n">
        <v>80</v>
      </c>
      <c r="Q84" s="114">
        <f>L84+M84+N84+O84+P84</f>
        <v/>
      </c>
      <c r="R84" s="115" t="n"/>
      <c r="S84" s="115" t="n"/>
      <c r="T84" s="115" t="n"/>
      <c r="U84" s="115" t="n"/>
      <c r="V84" s="114">
        <f>R84+S84+T84+U84</f>
        <v/>
      </c>
      <c r="W84" s="115" t="n">
        <v>0</v>
      </c>
      <c r="X84" s="115" t="n">
        <v>3</v>
      </c>
      <c r="Y84" s="115" t="n"/>
      <c r="Z84" s="115" t="n"/>
      <c r="AA84" s="114">
        <f>W84+X84+Y84+Z84</f>
        <v/>
      </c>
      <c r="AB84" s="115" t="n"/>
      <c r="AC84" s="115" t="n"/>
      <c r="AD84" s="115" t="n"/>
      <c r="AE84" s="115" t="n"/>
      <c r="AF84" s="115" t="n"/>
      <c r="AG84" s="114">
        <f>AB84+AC84+AD84+AE84+AF84</f>
        <v/>
      </c>
      <c r="AH84" s="115" t="n"/>
      <c r="AI84" s="115" t="n"/>
      <c r="AJ84" s="115" t="n"/>
      <c r="AK84" s="115" t="n"/>
      <c r="AL84" s="114">
        <f>AH84+AI84+AJ84+AK84</f>
        <v/>
      </c>
      <c r="AM84" s="115" t="n"/>
      <c r="AN84" s="115" t="n"/>
      <c r="AO84" s="115" t="n"/>
      <c r="AP84" s="115" t="n"/>
      <c r="AQ84" s="115" t="n"/>
      <c r="AR84" s="114">
        <f>AM84+AN84+AO84+AP84+AQ84</f>
        <v/>
      </c>
      <c r="AS84" s="115" t="n"/>
      <c r="AT84" s="115" t="n"/>
      <c r="AU84" s="115" t="n"/>
      <c r="AV84" s="115" t="n"/>
      <c r="AW84" s="114">
        <f>AS84+AT84+AU84+AV84</f>
        <v/>
      </c>
      <c r="AX84" s="115" t="n"/>
      <c r="AY84" s="115" t="n"/>
      <c r="AZ84" s="115" t="n"/>
      <c r="BA84" s="115" t="n"/>
      <c r="BB84" s="114">
        <f>AX84+AY84+AZ84+BA84</f>
        <v/>
      </c>
      <c r="BC84" s="115" t="n"/>
      <c r="BD84" s="115" t="n"/>
      <c r="BE84" s="115" t="n"/>
      <c r="BF84" s="115" t="n"/>
      <c r="BG84" s="115" t="n"/>
      <c r="BH84" s="114">
        <f>BC84+BD84+BE84+BF84+BG84</f>
        <v/>
      </c>
      <c r="BI84" s="115" t="n"/>
      <c r="BJ84" s="115" t="n"/>
      <c r="BK84" s="115" t="n"/>
      <c r="BL84" s="115" t="n"/>
      <c r="BM84" s="114">
        <f>BI84+BJ84+BK84+BL84</f>
        <v/>
      </c>
    </row>
    <row r="85" ht="15.75" customHeight="1">
      <c r="A85" s="117" t="inlineStr">
        <is>
          <t>SACOLA G VERDE</t>
        </is>
      </c>
      <c r="B85" s="115" t="n">
        <v>0</v>
      </c>
      <c r="C85" s="115" t="n">
        <v>50</v>
      </c>
      <c r="D85" s="115" t="n">
        <v>10</v>
      </c>
      <c r="E85" s="115" t="n">
        <v>0</v>
      </c>
      <c r="F85" s="114">
        <f>B85+C85+D85+E85</f>
        <v/>
      </c>
      <c r="G85" s="115" t="n">
        <v>0</v>
      </c>
      <c r="H85" s="115" t="n">
        <v>0</v>
      </c>
      <c r="I85" s="115" t="n">
        <v>0</v>
      </c>
      <c r="J85" s="115" t="n">
        <v>0</v>
      </c>
      <c r="K85" s="114">
        <f>G85+H85+I85+J85</f>
        <v/>
      </c>
      <c r="L85" s="115" t="n">
        <v>0</v>
      </c>
      <c r="M85" s="115" t="n">
        <v>0</v>
      </c>
      <c r="N85" s="115" t="n">
        <v>0</v>
      </c>
      <c r="O85" s="115" t="n">
        <v>0</v>
      </c>
      <c r="P85" s="115" t="n">
        <v>0</v>
      </c>
      <c r="Q85" s="114">
        <f>L85+M85+N85+O85+P85</f>
        <v/>
      </c>
      <c r="R85" s="115" t="n"/>
      <c r="S85" s="115" t="n"/>
      <c r="T85" s="115" t="n"/>
      <c r="U85" s="115" t="n"/>
      <c r="V85" s="114">
        <f>R85+S85+T85+U85</f>
        <v/>
      </c>
      <c r="W85" s="115" t="n">
        <v>0</v>
      </c>
      <c r="X85" s="115" t="n">
        <v>0</v>
      </c>
      <c r="Y85" s="115" t="n"/>
      <c r="Z85" s="115" t="n"/>
      <c r="AA85" s="114">
        <f>W85+X85+Y85+Z85</f>
        <v/>
      </c>
      <c r="AB85" s="115" t="n"/>
      <c r="AC85" s="115" t="n"/>
      <c r="AD85" s="115" t="n"/>
      <c r="AE85" s="115" t="n"/>
      <c r="AF85" s="115" t="n"/>
      <c r="AG85" s="114">
        <f>AB85+AC85+AD85+AE85+AF85</f>
        <v/>
      </c>
      <c r="AH85" s="115" t="n"/>
      <c r="AI85" s="115" t="n"/>
      <c r="AJ85" s="115" t="n"/>
      <c r="AK85" s="115" t="n"/>
      <c r="AL85" s="114">
        <f>AH85+AI85+AJ85+AK85</f>
        <v/>
      </c>
      <c r="AM85" s="115" t="n"/>
      <c r="AN85" s="115" t="n"/>
      <c r="AO85" s="115" t="n"/>
      <c r="AP85" s="115" t="n"/>
      <c r="AQ85" s="115" t="n"/>
      <c r="AR85" s="114">
        <f>AM85+AN85+AO85+AP85+AQ85</f>
        <v/>
      </c>
      <c r="AS85" s="115" t="n"/>
      <c r="AT85" s="115" t="n"/>
      <c r="AU85" s="115" t="n"/>
      <c r="AV85" s="115" t="n"/>
      <c r="AW85" s="114">
        <f>AS85+AT85+AU85+AV85</f>
        <v/>
      </c>
      <c r="AX85" s="115" t="n"/>
      <c r="AY85" s="115" t="n"/>
      <c r="AZ85" s="115" t="n"/>
      <c r="BA85" s="115" t="n"/>
      <c r="BB85" s="114">
        <f>AX85+AY85+AZ85+BA85</f>
        <v/>
      </c>
      <c r="BC85" s="115" t="n"/>
      <c r="BD85" s="115" t="n"/>
      <c r="BE85" s="115" t="n"/>
      <c r="BF85" s="115" t="n"/>
      <c r="BG85" s="115" t="n"/>
      <c r="BH85" s="114">
        <f>BC85+BD85+BE85+BF85+BG85</f>
        <v/>
      </c>
      <c r="BI85" s="115" t="n"/>
      <c r="BJ85" s="115" t="n"/>
      <c r="BK85" s="115" t="n"/>
      <c r="BL85" s="115" t="n"/>
      <c r="BM85" s="114">
        <f>BI85+BJ85+BK85+BL85</f>
        <v/>
      </c>
    </row>
    <row r="86" ht="15.75" customHeight="1">
      <c r="A86" s="116" t="inlineStr">
        <is>
          <t xml:space="preserve">PAPEL DE SEDA </t>
        </is>
      </c>
      <c r="B86" s="115" t="n">
        <v>1</v>
      </c>
      <c r="C86" s="115" t="n">
        <v>0</v>
      </c>
      <c r="D86" s="115" t="n">
        <v>0</v>
      </c>
      <c r="E86" s="115" t="n">
        <v>1</v>
      </c>
      <c r="F86" s="114">
        <f>B86+C86+D86+E86</f>
        <v/>
      </c>
      <c r="G86" s="115" t="n">
        <v>0</v>
      </c>
      <c r="H86" s="115" t="n">
        <v>0</v>
      </c>
      <c r="I86" s="115" t="n">
        <v>1</v>
      </c>
      <c r="J86" s="115" t="n">
        <v>0</v>
      </c>
      <c r="K86" s="114">
        <f>G86+H86+I86+J86</f>
        <v/>
      </c>
      <c r="L86" s="115" t="n">
        <v>1</v>
      </c>
      <c r="M86" s="115" t="n">
        <v>1</v>
      </c>
      <c r="N86" s="115" t="n">
        <v>1</v>
      </c>
      <c r="O86" s="115" t="n">
        <v>0</v>
      </c>
      <c r="P86" s="115" t="n">
        <v>1</v>
      </c>
      <c r="Q86" s="114">
        <f>L86+M86+N86+O86+P86</f>
        <v/>
      </c>
      <c r="R86" s="115" t="n"/>
      <c r="S86" s="115" t="n"/>
      <c r="T86" s="115" t="n"/>
      <c r="U86" s="115" t="n"/>
      <c r="V86" s="114">
        <f>R86+S86+T86+U86</f>
        <v/>
      </c>
      <c r="W86" s="115" t="n">
        <v>0</v>
      </c>
      <c r="X86" s="115" t="n">
        <v>0</v>
      </c>
      <c r="Y86" s="115" t="n"/>
      <c r="Z86" s="115" t="n"/>
      <c r="AA86" s="114">
        <f>W86+X86+Y86+Z86</f>
        <v/>
      </c>
      <c r="AB86" s="115" t="n"/>
      <c r="AC86" s="115" t="n"/>
      <c r="AD86" s="115" t="n"/>
      <c r="AE86" s="115" t="n"/>
      <c r="AF86" s="115" t="n"/>
      <c r="AG86" s="114">
        <f>AB86+AC86+AD86+AE86+AF86</f>
        <v/>
      </c>
      <c r="AH86" s="115" t="n"/>
      <c r="AI86" s="115" t="n"/>
      <c r="AJ86" s="115" t="n"/>
      <c r="AK86" s="115" t="n"/>
      <c r="AL86" s="114">
        <f>AH86+AI86+AJ86+AK86</f>
        <v/>
      </c>
      <c r="AM86" s="115" t="n"/>
      <c r="AN86" s="115" t="n"/>
      <c r="AO86" s="115" t="n"/>
      <c r="AP86" s="115" t="n"/>
      <c r="AQ86" s="115" t="n"/>
      <c r="AR86" s="114">
        <f>AM86+AN86+AO86+AP86+AQ86</f>
        <v/>
      </c>
      <c r="AS86" s="115" t="n"/>
      <c r="AT86" s="115" t="n"/>
      <c r="AU86" s="115" t="n"/>
      <c r="AV86" s="115" t="n"/>
      <c r="AW86" s="114">
        <f>AS86+AT86+AU86+AV86</f>
        <v/>
      </c>
      <c r="AX86" s="115" t="n"/>
      <c r="AY86" s="115" t="n"/>
      <c r="AZ86" s="115" t="n"/>
      <c r="BA86" s="115" t="n"/>
      <c r="BB86" s="114">
        <f>AX86+AY86+AZ86+BA86</f>
        <v/>
      </c>
      <c r="BC86" s="115" t="n"/>
      <c r="BD86" s="115" t="n"/>
      <c r="BE86" s="115" t="n"/>
      <c r="BF86" s="115" t="n"/>
      <c r="BG86" s="115" t="n"/>
      <c r="BH86" s="114">
        <f>BC86+BD86+BE86+BF86+BG86</f>
        <v/>
      </c>
      <c r="BI86" s="115" t="n"/>
      <c r="BJ86" s="115" t="n"/>
      <c r="BK86" s="115" t="n"/>
      <c r="BL86" s="115" t="n"/>
      <c r="BM86" s="114">
        <f>BI86+BJ86+BK86+BL86</f>
        <v/>
      </c>
    </row>
    <row r="87" ht="15.75" customHeight="1">
      <c r="A87" s="116" t="inlineStr">
        <is>
          <t>ETIQUETAS</t>
        </is>
      </c>
      <c r="B87" s="115" t="n">
        <v>0</v>
      </c>
      <c r="C87" s="115" t="n">
        <v>1</v>
      </c>
      <c r="D87" s="115" t="n">
        <v>0</v>
      </c>
      <c r="E87" s="115" t="n">
        <v>0</v>
      </c>
      <c r="F87" s="114">
        <f>B87+C87+D87+E87</f>
        <v/>
      </c>
      <c r="G87" s="115" t="n">
        <v>0</v>
      </c>
      <c r="H87" s="115" t="n">
        <v>1</v>
      </c>
      <c r="I87" s="115" t="n">
        <v>0</v>
      </c>
      <c r="J87" s="115" t="n">
        <v>0</v>
      </c>
      <c r="K87" s="114">
        <f>G87+H87+I87+J87</f>
        <v/>
      </c>
      <c r="L87" s="115" t="n">
        <v>0</v>
      </c>
      <c r="M87" s="115" t="n">
        <v>1</v>
      </c>
      <c r="N87" s="115" t="n">
        <v>0</v>
      </c>
      <c r="O87" s="115" t="n">
        <v>0</v>
      </c>
      <c r="P87" s="115" t="n">
        <v>0</v>
      </c>
      <c r="Q87" s="114">
        <f>L87+M87+N87+O87+P87</f>
        <v/>
      </c>
      <c r="R87" s="115" t="n"/>
      <c r="S87" s="115" t="n"/>
      <c r="T87" s="115" t="n"/>
      <c r="U87" s="115" t="n"/>
      <c r="V87" s="114">
        <f>R87+S87+T87+U87</f>
        <v/>
      </c>
      <c r="W87" s="115" t="n">
        <v>0</v>
      </c>
      <c r="X87" s="115" t="n">
        <v>0</v>
      </c>
      <c r="Y87" s="115" t="n"/>
      <c r="Z87" s="115" t="n"/>
      <c r="AA87" s="114">
        <f>W87+X87+Y87+Z87</f>
        <v/>
      </c>
      <c r="AB87" s="115" t="n"/>
      <c r="AC87" s="115" t="n"/>
      <c r="AD87" s="115" t="n"/>
      <c r="AE87" s="115" t="n"/>
      <c r="AF87" s="115" t="n"/>
      <c r="AG87" s="114">
        <f>AB87+AC87+AD87+AE87+AF87</f>
        <v/>
      </c>
      <c r="AH87" s="115" t="n"/>
      <c r="AI87" s="115" t="n"/>
      <c r="AJ87" s="115" t="n"/>
      <c r="AK87" s="115" t="n"/>
      <c r="AL87" s="114">
        <f>AH87+AI87+AJ87+AK87</f>
        <v/>
      </c>
      <c r="AM87" s="115" t="n"/>
      <c r="AN87" s="115" t="n"/>
      <c r="AO87" s="115" t="n"/>
      <c r="AP87" s="115" t="n"/>
      <c r="AQ87" s="115" t="n"/>
      <c r="AR87" s="114">
        <f>AM87+AN87+AO87+AP87+AQ87</f>
        <v/>
      </c>
      <c r="AS87" s="115" t="n"/>
      <c r="AT87" s="115" t="n"/>
      <c r="AU87" s="115" t="n"/>
      <c r="AV87" s="115" t="n"/>
      <c r="AW87" s="114">
        <f>AS87+AT87+AU87+AV87</f>
        <v/>
      </c>
      <c r="AX87" s="115" t="n"/>
      <c r="AY87" s="115" t="n"/>
      <c r="AZ87" s="115" t="n"/>
      <c r="BA87" s="115" t="n"/>
      <c r="BB87" s="114">
        <f>AX87+AY87+AZ87+BA87</f>
        <v/>
      </c>
      <c r="BC87" s="115" t="n"/>
      <c r="BD87" s="115" t="n"/>
      <c r="BE87" s="115" t="n"/>
      <c r="BF87" s="115" t="n"/>
      <c r="BG87" s="115" t="n"/>
      <c r="BH87" s="114">
        <f>BC87+BD87+BE87+BF87+BG87</f>
        <v/>
      </c>
      <c r="BI87" s="115" t="n"/>
      <c r="BJ87" s="115" t="n"/>
      <c r="BK87" s="115" t="n"/>
      <c r="BL87" s="115" t="n"/>
      <c r="BM87" s="114">
        <f>BI87+BJ87+BK87+BL87</f>
        <v/>
      </c>
    </row>
    <row r="88" ht="15.75" customHeight="1">
      <c r="A88" s="116" t="inlineStr">
        <is>
          <t xml:space="preserve">TAGS </t>
        </is>
      </c>
      <c r="B88" s="115" t="n">
        <v>1</v>
      </c>
      <c r="C88" s="115" t="n">
        <v>0</v>
      </c>
      <c r="D88" s="115" t="n">
        <v>1</v>
      </c>
      <c r="E88" s="115" t="n">
        <v>0</v>
      </c>
      <c r="F88" s="114">
        <f>B88+C88+D88+E88</f>
        <v/>
      </c>
      <c r="G88" s="115" t="n">
        <v>0</v>
      </c>
      <c r="H88" s="115" t="n">
        <v>1</v>
      </c>
      <c r="I88" s="115" t="n">
        <v>0</v>
      </c>
      <c r="J88" s="115" t="n">
        <v>0</v>
      </c>
      <c r="K88" s="114">
        <f>G88+H88+I88+J88</f>
        <v/>
      </c>
      <c r="L88" s="115" t="n">
        <v>0</v>
      </c>
      <c r="M88" s="115" t="n">
        <v>1</v>
      </c>
      <c r="N88" s="115" t="n">
        <v>0</v>
      </c>
      <c r="O88" s="115" t="n">
        <v>0</v>
      </c>
      <c r="P88" s="115" t="n">
        <v>0</v>
      </c>
      <c r="Q88" s="114">
        <f>L88+M88+N88+O88+P88</f>
        <v/>
      </c>
      <c r="R88" s="115" t="n"/>
      <c r="S88" s="115" t="n"/>
      <c r="T88" s="115" t="n"/>
      <c r="U88" s="115" t="n"/>
      <c r="V88" s="114">
        <f>R88+S88+T88+U88</f>
        <v/>
      </c>
      <c r="W88" s="115" t="n">
        <v>0</v>
      </c>
      <c r="X88" s="115" t="n">
        <v>0</v>
      </c>
      <c r="Y88" s="115" t="n"/>
      <c r="Z88" s="115" t="n"/>
      <c r="AA88" s="114">
        <f>W88+X88+Y88+Z88</f>
        <v/>
      </c>
      <c r="AB88" s="115" t="n"/>
      <c r="AC88" s="115" t="n"/>
      <c r="AD88" s="115" t="n"/>
      <c r="AE88" s="115" t="n"/>
      <c r="AF88" s="115" t="n"/>
      <c r="AG88" s="114">
        <f>AB88+AC88+AD88+AE88+AF88</f>
        <v/>
      </c>
      <c r="AH88" s="115" t="n"/>
      <c r="AI88" s="115" t="n"/>
      <c r="AJ88" s="115" t="n"/>
      <c r="AK88" s="115" t="n"/>
      <c r="AL88" s="114">
        <f>AH88+AI88+AJ88+AK88</f>
        <v/>
      </c>
      <c r="AM88" s="115" t="n"/>
      <c r="AN88" s="115" t="n"/>
      <c r="AO88" s="115" t="n"/>
      <c r="AP88" s="115" t="n"/>
      <c r="AQ88" s="115" t="n"/>
      <c r="AR88" s="114">
        <f>AM88+AN88+AO88+AP88+AQ88</f>
        <v/>
      </c>
      <c r="AS88" s="115" t="n"/>
      <c r="AT88" s="115" t="n"/>
      <c r="AU88" s="115" t="n"/>
      <c r="AV88" s="115" t="n"/>
      <c r="AW88" s="114">
        <f>AS88+AT88+AU88+AV88</f>
        <v/>
      </c>
      <c r="AX88" s="115" t="n"/>
      <c r="AY88" s="115" t="n"/>
      <c r="AZ88" s="115" t="n"/>
      <c r="BA88" s="115" t="n"/>
      <c r="BB88" s="114">
        <f>AX88+AY88+AZ88+BA88</f>
        <v/>
      </c>
      <c r="BC88" s="115" t="n"/>
      <c r="BD88" s="115" t="n"/>
      <c r="BE88" s="115" t="n"/>
      <c r="BF88" s="115" t="n"/>
      <c r="BG88" s="115" t="n"/>
      <c r="BH88" s="114">
        <f>BC88+BD88+BE88+BF88+BG88</f>
        <v/>
      </c>
      <c r="BI88" s="115" t="n"/>
      <c r="BJ88" s="115" t="n"/>
      <c r="BK88" s="115" t="n"/>
      <c r="BL88" s="115" t="n"/>
      <c r="BM88" s="114">
        <f>BI88+BJ88+BK88+BL88</f>
        <v/>
      </c>
    </row>
    <row r="89" ht="15.75" customHeight="1">
      <c r="A89" s="116" t="inlineStr">
        <is>
          <t>LÂMINA OLFATIVA</t>
        </is>
      </c>
      <c r="B89" s="115" t="n">
        <v>0</v>
      </c>
      <c r="C89" s="115" t="n">
        <v>1</v>
      </c>
      <c r="D89" s="115" t="n">
        <v>0</v>
      </c>
      <c r="E89" s="115" t="n">
        <v>0</v>
      </c>
      <c r="F89" s="114">
        <f>B89+C89+D89+E89</f>
        <v/>
      </c>
      <c r="G89" s="115" t="n">
        <v>0</v>
      </c>
      <c r="H89" s="115" t="n">
        <v>0</v>
      </c>
      <c r="I89" s="115" t="n">
        <v>0</v>
      </c>
      <c r="J89" s="115" t="n">
        <v>0</v>
      </c>
      <c r="K89" s="114">
        <f>G89+H89+I89+J89</f>
        <v/>
      </c>
      <c r="L89" s="115" t="n">
        <v>1</v>
      </c>
      <c r="M89" s="115" t="n">
        <v>1</v>
      </c>
      <c r="N89" s="115" t="n">
        <v>0</v>
      </c>
      <c r="O89" s="115" t="n">
        <v>0</v>
      </c>
      <c r="P89" s="115" t="n">
        <v>0</v>
      </c>
      <c r="Q89" s="114">
        <f>L89+M89+N89+O89+P89</f>
        <v/>
      </c>
      <c r="R89" s="115" t="n"/>
      <c r="S89" s="115" t="n"/>
      <c r="T89" s="115" t="n"/>
      <c r="U89" s="115" t="n"/>
      <c r="V89" s="114">
        <f>R89+S89+T89+U89</f>
        <v/>
      </c>
      <c r="W89" s="115" t="n">
        <v>0</v>
      </c>
      <c r="X89" s="115" t="n">
        <v>1</v>
      </c>
      <c r="Y89" s="115" t="n"/>
      <c r="Z89" s="115" t="n"/>
      <c r="AA89" s="114">
        <f>W89+X89+Y89+Z89</f>
        <v/>
      </c>
      <c r="AB89" s="115" t="n"/>
      <c r="AC89" s="115" t="n"/>
      <c r="AD89" s="115" t="n"/>
      <c r="AE89" s="115" t="n"/>
      <c r="AF89" s="115" t="n"/>
      <c r="AG89" s="114">
        <f>AB89+AC89+AD89+AE89+AF89</f>
        <v/>
      </c>
      <c r="AH89" s="115" t="n"/>
      <c r="AI89" s="115" t="n"/>
      <c r="AJ89" s="115" t="n"/>
      <c r="AK89" s="115" t="n"/>
      <c r="AL89" s="114">
        <f>AH89+AI89+AJ89+AK89</f>
        <v/>
      </c>
      <c r="AM89" s="115" t="n"/>
      <c r="AN89" s="115" t="n"/>
      <c r="AO89" s="115" t="n"/>
      <c r="AP89" s="115" t="n"/>
      <c r="AQ89" s="115" t="n"/>
      <c r="AR89" s="114">
        <f>AM89+AN89+AO89+AP89+AQ89</f>
        <v/>
      </c>
      <c r="AS89" s="115" t="n"/>
      <c r="AT89" s="115" t="n"/>
      <c r="AU89" s="115" t="n"/>
      <c r="AV89" s="115" t="n"/>
      <c r="AW89" s="114">
        <f>AS89+AT89+AU89+AV89</f>
        <v/>
      </c>
      <c r="AX89" s="115" t="n"/>
      <c r="AY89" s="115" t="n"/>
      <c r="AZ89" s="115" t="n"/>
      <c r="BA89" s="115" t="n"/>
      <c r="BB89" s="114">
        <f>AX89+AY89+AZ89+BA89</f>
        <v/>
      </c>
      <c r="BC89" s="115" t="n"/>
      <c r="BD89" s="115" t="n"/>
      <c r="BE89" s="115" t="n"/>
      <c r="BF89" s="115" t="n"/>
      <c r="BG89" s="115" t="n"/>
      <c r="BH89" s="114">
        <f>BC89+BD89+BE89+BF89+BG89</f>
        <v/>
      </c>
      <c r="BI89" s="115" t="n"/>
      <c r="BJ89" s="115" t="n"/>
      <c r="BK89" s="115" t="n"/>
      <c r="BL89" s="115" t="n"/>
      <c r="BM89" s="114">
        <f>BI89+BJ89+BK89+BL89</f>
        <v/>
      </c>
    </row>
    <row r="90" ht="15.75" customHeight="1">
      <c r="A90" s="113" t="inlineStr">
        <is>
          <t>TOTAL DE SACOLAS</t>
        </is>
      </c>
      <c r="B90" s="112">
        <f>SUM(B82:B85)</f>
        <v/>
      </c>
      <c r="C90" s="112">
        <f>SUM(C82:C85)</f>
        <v/>
      </c>
      <c r="D90" s="112">
        <f>SUM(D82:D85)</f>
        <v/>
      </c>
      <c r="E90" s="112">
        <f>SUM(E82:E85)</f>
        <v/>
      </c>
      <c r="F90" s="112">
        <f>SUM(F82:F85)</f>
        <v/>
      </c>
      <c r="G90" s="112">
        <f>SUM(G82:G85)</f>
        <v/>
      </c>
      <c r="H90" s="112">
        <f>SUM(H82:H85)</f>
        <v/>
      </c>
      <c r="I90" s="112">
        <f>SUM(I82:I85)</f>
        <v/>
      </c>
      <c r="J90" s="112">
        <f>SUM(J82:J85)</f>
        <v/>
      </c>
      <c r="K90" s="112">
        <f>SUM(K82:K85)</f>
        <v/>
      </c>
      <c r="L90" s="112">
        <f>SUM(L82:L85)</f>
        <v/>
      </c>
      <c r="M90" s="112">
        <f>SUM(M82:M85)</f>
        <v/>
      </c>
      <c r="N90" s="112">
        <f>SUM(N82:N85)</f>
        <v/>
      </c>
      <c r="O90" s="112">
        <f>SUM(O82:O85)</f>
        <v/>
      </c>
      <c r="P90" s="112">
        <f>SUM(P82:P85)</f>
        <v/>
      </c>
      <c r="Q90" s="112">
        <f>SUM(Q82:Q85)</f>
        <v/>
      </c>
      <c r="R90" s="112">
        <f>SUM(R82:R85)</f>
        <v/>
      </c>
      <c r="S90" s="112">
        <f>SUM(S82:S85)</f>
        <v/>
      </c>
      <c r="T90" s="112">
        <f>SUM(T82:T85)</f>
        <v/>
      </c>
      <c r="U90" s="112">
        <f>SUM(U82:U85)</f>
        <v/>
      </c>
      <c r="V90" s="112">
        <f>SUM(V82:V85)</f>
        <v/>
      </c>
      <c r="W90" s="112">
        <f>SUM(W82:W85)</f>
        <v/>
      </c>
      <c r="X90" s="112">
        <f>SUM(X82:X85)</f>
        <v/>
      </c>
      <c r="Y90" s="112">
        <f>SUM(Y82:Y85)</f>
        <v/>
      </c>
      <c r="Z90" s="112">
        <f>SUM(Z82:Z85)</f>
        <v/>
      </c>
      <c r="AA90" s="112">
        <f>SUM(AA82:AA85)</f>
        <v/>
      </c>
      <c r="AB90" s="112">
        <f>SUM(AB82:AB85)</f>
        <v/>
      </c>
      <c r="AC90" s="112">
        <f>SUM(AC82:AC85)</f>
        <v/>
      </c>
      <c r="AD90" s="112">
        <f>SUM(AD82:AD85)</f>
        <v/>
      </c>
      <c r="AE90" s="112">
        <f>SUM(AE82:AE85)</f>
        <v/>
      </c>
      <c r="AF90" s="112">
        <f>SUM(AF82:AF85)</f>
        <v/>
      </c>
      <c r="AG90" s="112">
        <f>SUM(AG82:AG85)</f>
        <v/>
      </c>
      <c r="AH90" s="112">
        <f>SUM(AH82:AH85)</f>
        <v/>
      </c>
      <c r="AI90" s="112">
        <f>SUM(AI82:AI85)</f>
        <v/>
      </c>
      <c r="AJ90" s="112">
        <f>SUM(AJ82:AJ85)</f>
        <v/>
      </c>
      <c r="AK90" s="112">
        <f>SUM(AK82:AK85)</f>
        <v/>
      </c>
      <c r="AL90" s="112">
        <f>SUM(AL82:AL85)</f>
        <v/>
      </c>
      <c r="AM90" s="112">
        <f>SUM(AM82:AM85)</f>
        <v/>
      </c>
      <c r="AN90" s="112">
        <f>SUM(AN82:AN85)</f>
        <v/>
      </c>
      <c r="AO90" s="112">
        <f>SUM(AO82:AO85)</f>
        <v/>
      </c>
      <c r="AP90" s="112">
        <f>SUM(AP82:AP85)</f>
        <v/>
      </c>
      <c r="AQ90" s="112">
        <f>SUM(AQ82:AQ85)</f>
        <v/>
      </c>
      <c r="AR90" s="112">
        <f>SUM(AR82:AR85)</f>
        <v/>
      </c>
      <c r="AS90" s="112">
        <f>SUM(AS82:AS85)</f>
        <v/>
      </c>
      <c r="AT90" s="112">
        <f>SUM(AT82:AT85)</f>
        <v/>
      </c>
      <c r="AU90" s="112">
        <f>SUM(AU82:AU85)</f>
        <v/>
      </c>
      <c r="AV90" s="112">
        <f>SUM(AV82:AV85)</f>
        <v/>
      </c>
      <c r="AW90" s="112">
        <f>SUM(AW82:AW85)</f>
        <v/>
      </c>
      <c r="AX90" s="112">
        <f>SUM(AX82:AX85)</f>
        <v/>
      </c>
      <c r="AY90" s="112">
        <f>SUM(AY82:AY85)</f>
        <v/>
      </c>
      <c r="AZ90" s="112">
        <f>SUM(AZ82:AZ85)</f>
        <v/>
      </c>
      <c r="BA90" s="112">
        <f>SUM(BA82:BA85)</f>
        <v/>
      </c>
      <c r="BB90" s="112">
        <f>SUM(BB82:BB85)</f>
        <v/>
      </c>
      <c r="BC90" s="112">
        <f>SUM(BC82:BC85)</f>
        <v/>
      </c>
      <c r="BD90" s="112">
        <f>SUM(BD82:BD85)</f>
        <v/>
      </c>
      <c r="BE90" s="112">
        <f>SUM(BE82:BE85)</f>
        <v/>
      </c>
      <c r="BF90" s="112">
        <f>SUM(BF82:BF85)</f>
        <v/>
      </c>
      <c r="BG90" s="112">
        <f>SUM(BG82:BG85)</f>
        <v/>
      </c>
      <c r="BH90" s="112">
        <f>SUM(BH82:BH85)</f>
        <v/>
      </c>
      <c r="BI90" s="112">
        <f>SUM(BI82:BI85)</f>
        <v/>
      </c>
      <c r="BJ90" s="112">
        <f>SUM(BJ82:BJ85)</f>
        <v/>
      </c>
      <c r="BK90" s="112">
        <f>SUM(BK82:BK85)</f>
        <v/>
      </c>
      <c r="BL90" s="112">
        <f>SUM(BL82:BL85)</f>
        <v/>
      </c>
      <c r="BM90" s="112">
        <f>SUM(BM82:BM85)</f>
        <v/>
      </c>
    </row>
    <row r="92" ht="18" customHeight="1">
      <c r="A92" s="577" t="inlineStr">
        <is>
          <t>GASTO DE SACOLAS E ITENS DOADOS 2026 - MENSAIS</t>
        </is>
      </c>
      <c r="B92" s="844" t="n"/>
      <c r="C92" s="844" t="n"/>
      <c r="D92" s="844" t="n"/>
      <c r="E92" s="844" t="n"/>
      <c r="F92" s="844" t="n"/>
      <c r="G92" s="844" t="n"/>
      <c r="H92" s="844" t="n"/>
      <c r="I92" s="844" t="n"/>
      <c r="J92" s="844" t="n"/>
      <c r="K92" s="844" t="n"/>
      <c r="L92" s="844" t="n"/>
      <c r="M92" s="844" t="n"/>
      <c r="N92" s="844" t="n"/>
      <c r="O92" s="844" t="n"/>
      <c r="P92" s="844" t="n"/>
      <c r="Q92" s="844" t="n"/>
      <c r="R92" s="844" t="n"/>
      <c r="S92" s="844" t="n"/>
      <c r="T92" s="844" t="n"/>
      <c r="U92" s="844" t="n"/>
      <c r="V92" s="844" t="n"/>
      <c r="W92" s="844" t="n"/>
      <c r="X92" s="844" t="n"/>
      <c r="Y92" s="844" t="n"/>
      <c r="Z92" s="844" t="n"/>
      <c r="AA92" s="844" t="n"/>
      <c r="AB92" s="844" t="n"/>
      <c r="AC92" s="844" t="n"/>
      <c r="AD92" s="844" t="n"/>
      <c r="AE92" s="844" t="n"/>
      <c r="AF92" s="844" t="n"/>
      <c r="AG92" s="844" t="n"/>
      <c r="AH92" s="844" t="n"/>
      <c r="AI92" s="844" t="n"/>
      <c r="AJ92" s="844" t="n"/>
      <c r="AK92" s="844" t="n"/>
      <c r="AL92" s="844" t="n"/>
      <c r="AM92" s="844" t="n"/>
      <c r="AN92" s="844" t="n"/>
      <c r="AO92" s="844" t="n"/>
      <c r="AP92" s="844" t="n"/>
      <c r="AQ92" s="844" t="n"/>
      <c r="AR92" s="844" t="n"/>
      <c r="AS92" s="844" t="n"/>
      <c r="AT92" s="844" t="n"/>
      <c r="AU92" s="844" t="n"/>
      <c r="AV92" s="844" t="n"/>
      <c r="AW92" s="844" t="n"/>
      <c r="AX92" s="844" t="n"/>
      <c r="AY92" s="844" t="n"/>
      <c r="AZ92" s="844" t="n"/>
      <c r="BA92" s="844" t="n"/>
      <c r="BB92" s="844" t="n"/>
      <c r="BC92" s="844" t="n"/>
      <c r="BD92" s="844" t="n"/>
      <c r="BE92" s="844" t="n"/>
      <c r="BF92" s="844" t="n"/>
      <c r="BG92" s="844" t="n"/>
      <c r="BH92" s="844" t="n"/>
      <c r="BI92" s="844" t="n"/>
      <c r="BJ92" s="844" t="n"/>
      <c r="BK92" s="844" t="n"/>
      <c r="BL92" s="844" t="n"/>
      <c r="BM92" s="844" t="n"/>
    </row>
    <row r="93" ht="18" customHeight="1">
      <c r="A93" s="845" t="inlineStr">
        <is>
          <t>MARY DOTA</t>
        </is>
      </c>
      <c r="B93" s="845" t="inlineStr">
        <is>
          <t>JANEIRO</t>
        </is>
      </c>
      <c r="C93" s="846" t="n"/>
      <c r="D93" s="846" t="n"/>
      <c r="E93" s="846" t="n"/>
      <c r="F93" s="847" t="n"/>
      <c r="G93" s="845" t="inlineStr">
        <is>
          <t>FEVEREIRO</t>
        </is>
      </c>
      <c r="H93" s="846" t="n"/>
      <c r="I93" s="846" t="n"/>
      <c r="J93" s="846" t="n"/>
      <c r="K93" s="847" t="n"/>
      <c r="L93" s="845" t="inlineStr">
        <is>
          <t>MARÇO</t>
        </is>
      </c>
      <c r="M93" s="846" t="n"/>
      <c r="N93" s="846" t="n"/>
      <c r="O93" s="846" t="n"/>
      <c r="P93" s="846" t="n"/>
      <c r="Q93" s="847" t="n"/>
      <c r="R93" s="845" t="inlineStr">
        <is>
          <t>ABRIL</t>
        </is>
      </c>
      <c r="S93" s="846" t="n"/>
      <c r="T93" s="846" t="n"/>
      <c r="U93" s="846" t="n"/>
      <c r="V93" s="847" t="n"/>
      <c r="W93" s="845" t="inlineStr">
        <is>
          <t>MAIO</t>
        </is>
      </c>
      <c r="X93" s="846" t="n"/>
      <c r="Y93" s="846" t="n"/>
      <c r="Z93" s="846" t="n"/>
      <c r="AA93" s="847" t="n"/>
      <c r="AB93" s="845" t="inlineStr">
        <is>
          <t>JUNHO</t>
        </is>
      </c>
      <c r="AC93" s="846" t="n"/>
      <c r="AD93" s="846" t="n"/>
      <c r="AE93" s="846" t="n"/>
      <c r="AF93" s="846" t="n"/>
      <c r="AG93" s="847" t="n"/>
      <c r="AH93" s="845" t="inlineStr">
        <is>
          <t>JULHO</t>
        </is>
      </c>
      <c r="AI93" s="846" t="n"/>
      <c r="AJ93" s="846" t="n"/>
      <c r="AK93" s="846" t="n"/>
      <c r="AL93" s="847" t="n"/>
      <c r="AM93" s="845" t="inlineStr">
        <is>
          <t>AGOSTO</t>
        </is>
      </c>
      <c r="AN93" s="846" t="n"/>
      <c r="AO93" s="846" t="n"/>
      <c r="AP93" s="846" t="n"/>
      <c r="AQ93" s="846" t="n"/>
      <c r="AR93" s="847" t="n"/>
      <c r="AS93" s="845" t="inlineStr">
        <is>
          <t>SETEMBRO</t>
        </is>
      </c>
      <c r="AT93" s="846" t="n"/>
      <c r="AU93" s="846" t="n"/>
      <c r="AV93" s="846" t="n"/>
      <c r="AW93" s="847" t="n"/>
      <c r="AX93" s="845" t="inlineStr">
        <is>
          <t>OUTUBRO</t>
        </is>
      </c>
      <c r="AY93" s="846" t="n"/>
      <c r="AZ93" s="846" t="n"/>
      <c r="BA93" s="846" t="n"/>
      <c r="BB93" s="847" t="n"/>
      <c r="BC93" s="845" t="inlineStr">
        <is>
          <t>NOVEMBRO</t>
        </is>
      </c>
      <c r="BD93" s="846" t="n"/>
      <c r="BE93" s="846" t="n"/>
      <c r="BF93" s="846" t="n"/>
      <c r="BG93" s="846" t="n"/>
      <c r="BH93" s="847" t="n"/>
      <c r="BI93" s="845" t="inlineStr">
        <is>
          <t>DEZEMBRO</t>
        </is>
      </c>
      <c r="BJ93" s="846" t="n"/>
      <c r="BK93" s="846" t="n"/>
      <c r="BL93" s="846" t="n"/>
      <c r="BM93" s="847" t="n"/>
    </row>
    <row r="94" ht="15.75" customHeight="1">
      <c r="A94" s="848" t="n"/>
      <c r="B94" s="121" t="n">
        <v>46027</v>
      </c>
      <c r="C94" s="121" t="n">
        <v>46034</v>
      </c>
      <c r="D94" s="121" t="n">
        <v>46041</v>
      </c>
      <c r="E94" s="121" t="n">
        <v>46048</v>
      </c>
      <c r="F94" s="120" t="inlineStr">
        <is>
          <t>USOU</t>
        </is>
      </c>
      <c r="G94" s="121" t="n">
        <v>46055</v>
      </c>
      <c r="H94" s="121" t="n">
        <v>46062</v>
      </c>
      <c r="I94" s="121" t="n">
        <v>46069</v>
      </c>
      <c r="J94" s="121" t="n">
        <v>46076</v>
      </c>
      <c r="K94" s="120" t="inlineStr">
        <is>
          <t>USOU</t>
        </is>
      </c>
      <c r="L94" s="121" t="n">
        <v>46083</v>
      </c>
      <c r="M94" s="121" t="n">
        <v>46090</v>
      </c>
      <c r="N94" s="121" t="n">
        <v>46097</v>
      </c>
      <c r="O94" s="121" t="n">
        <v>46104</v>
      </c>
      <c r="P94" s="121" t="n">
        <v>46111</v>
      </c>
      <c r="Q94" s="120" t="inlineStr">
        <is>
          <t>USOU</t>
        </is>
      </c>
      <c r="R94" s="121" t="n">
        <v>46118</v>
      </c>
      <c r="S94" s="121" t="n">
        <v>46125</v>
      </c>
      <c r="T94" s="121" t="n">
        <v>46132</v>
      </c>
      <c r="U94" s="121" t="n">
        <v>46139</v>
      </c>
      <c r="V94" s="120" t="inlineStr">
        <is>
          <t>USOU</t>
        </is>
      </c>
      <c r="W94" s="121" t="n">
        <v>46146</v>
      </c>
      <c r="X94" s="121" t="n">
        <v>46153</v>
      </c>
      <c r="Y94" s="121" t="n">
        <v>46160</v>
      </c>
      <c r="Z94" s="121" t="n">
        <v>46167</v>
      </c>
      <c r="AA94" s="120" t="inlineStr">
        <is>
          <t>USOU</t>
        </is>
      </c>
      <c r="AB94" s="121" t="n">
        <v>46174</v>
      </c>
      <c r="AC94" s="121" t="n">
        <v>46181</v>
      </c>
      <c r="AD94" s="121" t="n">
        <v>46188</v>
      </c>
      <c r="AE94" s="121" t="n">
        <v>46195</v>
      </c>
      <c r="AF94" s="121" t="n">
        <v>46202</v>
      </c>
      <c r="AG94" s="120" t="inlineStr">
        <is>
          <t>USOU</t>
        </is>
      </c>
      <c r="AH94" s="121" t="n">
        <v>46209</v>
      </c>
      <c r="AI94" s="121" t="n">
        <v>46216</v>
      </c>
      <c r="AJ94" s="121" t="n">
        <v>46223</v>
      </c>
      <c r="AK94" s="121" t="n">
        <v>46230</v>
      </c>
      <c r="AL94" s="120" t="inlineStr">
        <is>
          <t>USOU</t>
        </is>
      </c>
      <c r="AM94" s="121" t="n">
        <v>46237</v>
      </c>
      <c r="AN94" s="121" t="n">
        <v>46244</v>
      </c>
      <c r="AO94" s="121" t="n">
        <v>46251</v>
      </c>
      <c r="AP94" s="121" t="n">
        <v>46258</v>
      </c>
      <c r="AQ94" s="121" t="n">
        <v>46265</v>
      </c>
      <c r="AR94" s="120" t="inlineStr">
        <is>
          <t>USOU</t>
        </is>
      </c>
      <c r="AS94" s="121" t="n">
        <v>46272</v>
      </c>
      <c r="AT94" s="121" t="n">
        <v>46279</v>
      </c>
      <c r="AU94" s="121" t="n">
        <v>46286</v>
      </c>
      <c r="AV94" s="121" t="n">
        <v>46293</v>
      </c>
      <c r="AW94" s="120" t="inlineStr">
        <is>
          <t>USOU</t>
        </is>
      </c>
      <c r="AX94" s="121" t="n">
        <v>46300</v>
      </c>
      <c r="AY94" s="121" t="n">
        <v>46307</v>
      </c>
      <c r="AZ94" s="121" t="n">
        <v>46314</v>
      </c>
      <c r="BA94" s="121" t="n">
        <v>46321</v>
      </c>
      <c r="BB94" s="120" t="inlineStr">
        <is>
          <t>USOU</t>
        </is>
      </c>
      <c r="BC94" s="121" t="n">
        <v>46328</v>
      </c>
      <c r="BD94" s="121" t="n">
        <v>46335</v>
      </c>
      <c r="BE94" s="121" t="n">
        <v>46342</v>
      </c>
      <c r="BF94" s="121" t="n">
        <v>46349</v>
      </c>
      <c r="BG94" s="121" t="n">
        <v>46356</v>
      </c>
      <c r="BH94" s="120" t="inlineStr">
        <is>
          <t>USOU</t>
        </is>
      </c>
      <c r="BI94" s="121" t="n">
        <v>46363</v>
      </c>
      <c r="BJ94" s="121" t="n">
        <v>46370</v>
      </c>
      <c r="BK94" s="121" t="n">
        <v>46377</v>
      </c>
      <c r="BL94" s="121" t="n">
        <v>46384</v>
      </c>
      <c r="BM94" s="120" t="inlineStr">
        <is>
          <t>USOU</t>
        </is>
      </c>
    </row>
    <row r="95" ht="15.75" customHeight="1">
      <c r="A95" s="118" t="inlineStr">
        <is>
          <t>SACOLA PP VERDE</t>
        </is>
      </c>
      <c r="B95" s="115" t="n">
        <v>75</v>
      </c>
      <c r="C95" s="115" t="n">
        <v>0</v>
      </c>
      <c r="D95" s="115" t="n">
        <v>220</v>
      </c>
      <c r="E95" s="115" t="n">
        <v>30</v>
      </c>
      <c r="F95" s="114">
        <f>B95+C95+D95+E95</f>
        <v/>
      </c>
      <c r="G95" s="115" t="n">
        <v>0</v>
      </c>
      <c r="H95" s="115" t="n">
        <v>0</v>
      </c>
      <c r="I95" s="115" t="n">
        <v>0</v>
      </c>
      <c r="J95" s="115" t="n">
        <v>90</v>
      </c>
      <c r="K95" s="114">
        <f>G95+H95+I95+J95</f>
        <v/>
      </c>
      <c r="L95" s="115" t="n">
        <v>40</v>
      </c>
      <c r="M95" s="115" t="n">
        <v>60</v>
      </c>
      <c r="N95" s="115" t="n">
        <v>0</v>
      </c>
      <c r="O95" s="115" t="n">
        <v>0</v>
      </c>
      <c r="P95" s="115" t="n">
        <v>120</v>
      </c>
      <c r="Q95" s="114">
        <f>L95+M95+N95+O95+P95</f>
        <v/>
      </c>
      <c r="R95" s="115" t="n"/>
      <c r="S95" s="115" t="n"/>
      <c r="T95" s="115" t="n"/>
      <c r="U95" s="115" t="n"/>
      <c r="V95" s="114">
        <f>R95+S95+T95+U95</f>
        <v/>
      </c>
      <c r="W95" s="115" t="n">
        <v>0</v>
      </c>
      <c r="X95" s="115" t="n">
        <v>100</v>
      </c>
      <c r="Y95" s="115" t="n"/>
      <c r="Z95" s="115" t="n"/>
      <c r="AA95" s="114">
        <f>W95+X95+Y95+Z95</f>
        <v/>
      </c>
      <c r="AB95" s="115" t="n"/>
      <c r="AC95" s="115" t="n"/>
      <c r="AD95" s="115" t="n"/>
      <c r="AE95" s="115" t="n"/>
      <c r="AF95" s="115" t="n"/>
      <c r="AG95" s="114">
        <f>AB95+AC95+AD95+AE95+AF95</f>
        <v/>
      </c>
      <c r="AH95" s="115" t="n"/>
      <c r="AI95" s="115" t="n"/>
      <c r="AJ95" s="115" t="n"/>
      <c r="AK95" s="115" t="n"/>
      <c r="AL95" s="114">
        <f>AH95+AI95+AJ95+AK95</f>
        <v/>
      </c>
      <c r="AM95" s="115" t="n"/>
      <c r="AN95" s="115" t="n"/>
      <c r="AO95" s="115" t="n"/>
      <c r="AP95" s="115" t="n"/>
      <c r="AQ95" s="115" t="n"/>
      <c r="AR95" s="114">
        <f>AM95+AN95+AO95+AP95+AQ95</f>
        <v/>
      </c>
      <c r="AS95" s="115" t="n"/>
      <c r="AT95" s="115" t="n"/>
      <c r="AU95" s="115" t="n"/>
      <c r="AV95" s="115" t="n"/>
      <c r="AW95" s="114">
        <f>AS95+AT95+AU95+AV95</f>
        <v/>
      </c>
      <c r="AX95" s="115" t="n"/>
      <c r="AY95" s="115" t="n"/>
      <c r="AZ95" s="115" t="n"/>
      <c r="BA95" s="115" t="n"/>
      <c r="BB95" s="114">
        <f>AX95+AY95+AZ95+BA95</f>
        <v/>
      </c>
      <c r="BC95" s="115" t="n"/>
      <c r="BD95" s="115" t="n"/>
      <c r="BE95" s="115" t="n"/>
      <c r="BF95" s="115" t="n"/>
      <c r="BG95" s="115" t="n"/>
      <c r="BH95" s="114">
        <f>BC95+BD95+BE95+BF95+BG95</f>
        <v/>
      </c>
      <c r="BI95" s="115" t="n"/>
      <c r="BJ95" s="115" t="n"/>
      <c r="BK95" s="115" t="n"/>
      <c r="BL95" s="115" t="n"/>
      <c r="BM95" s="114">
        <f>BI95+BJ95+BK95+BL95</f>
        <v/>
      </c>
    </row>
    <row r="96" ht="15.75" customHeight="1">
      <c r="A96" s="118" t="inlineStr">
        <is>
          <t>SACOLA P VERDE</t>
        </is>
      </c>
      <c r="B96" s="115" t="n">
        <v>100</v>
      </c>
      <c r="C96" s="115" t="n">
        <v>0</v>
      </c>
      <c r="D96" s="115" t="n">
        <v>270</v>
      </c>
      <c r="E96" s="115" t="n">
        <v>50</v>
      </c>
      <c r="F96" s="114">
        <f>B96+C96+D96+E96</f>
        <v/>
      </c>
      <c r="G96" s="115" t="n">
        <v>80</v>
      </c>
      <c r="H96" s="115" t="n">
        <v>0</v>
      </c>
      <c r="I96" s="115" t="n">
        <v>200</v>
      </c>
      <c r="J96" s="115" t="n">
        <v>130</v>
      </c>
      <c r="K96" s="114">
        <f>G96+H96+I96+J96</f>
        <v/>
      </c>
      <c r="L96" s="115" t="n">
        <v>100</v>
      </c>
      <c r="M96" s="115" t="n">
        <v>60</v>
      </c>
      <c r="N96" s="115" t="n">
        <v>60</v>
      </c>
      <c r="O96" s="115" t="n">
        <v>50</v>
      </c>
      <c r="P96" s="115" t="n">
        <v>150</v>
      </c>
      <c r="Q96" s="114">
        <f>L96+M96+N96+O96+P96</f>
        <v/>
      </c>
      <c r="R96" s="115" t="n"/>
      <c r="S96" s="115" t="n"/>
      <c r="T96" s="115" t="n"/>
      <c r="U96" s="115" t="n"/>
      <c r="V96" s="114">
        <f>R96+S96+T96+U96</f>
        <v/>
      </c>
      <c r="W96" s="115" t="n">
        <v>0</v>
      </c>
      <c r="X96" s="115" t="n">
        <v>100</v>
      </c>
      <c r="Y96" s="115" t="n"/>
      <c r="Z96" s="115" t="n"/>
      <c r="AA96" s="114">
        <f>W96+X96+Y96+Z96</f>
        <v/>
      </c>
      <c r="AB96" s="115" t="n"/>
      <c r="AC96" s="115" t="n"/>
      <c r="AD96" s="115" t="n"/>
      <c r="AE96" s="115" t="n"/>
      <c r="AF96" s="115" t="n"/>
      <c r="AG96" s="114">
        <f>AB96+AC96+AD96+AE96+AF96</f>
        <v/>
      </c>
      <c r="AH96" s="115" t="n"/>
      <c r="AI96" s="115" t="n"/>
      <c r="AJ96" s="115" t="n"/>
      <c r="AK96" s="115" t="n"/>
      <c r="AL96" s="114">
        <f>AH96+AI96+AJ96+AK96</f>
        <v/>
      </c>
      <c r="AM96" s="115" t="n"/>
      <c r="AN96" s="115" t="n"/>
      <c r="AO96" s="115" t="n"/>
      <c r="AP96" s="115" t="n"/>
      <c r="AQ96" s="115" t="n"/>
      <c r="AR96" s="114">
        <f>AM96+AN96+AO96+AP96+AQ96</f>
        <v/>
      </c>
      <c r="AS96" s="115" t="n"/>
      <c r="AT96" s="115" t="n"/>
      <c r="AU96" s="115" t="n"/>
      <c r="AV96" s="115" t="n"/>
      <c r="AW96" s="114">
        <f>AS96+AT96+AU96+AV96</f>
        <v/>
      </c>
      <c r="AX96" s="115" t="n"/>
      <c r="AY96" s="115" t="n"/>
      <c r="AZ96" s="115" t="n"/>
      <c r="BA96" s="115" t="n"/>
      <c r="BB96" s="114">
        <f>AX96+AY96+AZ96+BA96</f>
        <v/>
      </c>
      <c r="BC96" s="115" t="n"/>
      <c r="BD96" s="115" t="n"/>
      <c r="BE96" s="115" t="n"/>
      <c r="BF96" s="115" t="n"/>
      <c r="BG96" s="115" t="n"/>
      <c r="BH96" s="114">
        <f>BC96+BD96+BE96+BF96+BG96</f>
        <v/>
      </c>
      <c r="BI96" s="115" t="n"/>
      <c r="BJ96" s="115" t="n"/>
      <c r="BK96" s="115" t="n"/>
      <c r="BL96" s="115" t="n"/>
      <c r="BM96" s="114">
        <f>BI96+BJ96+BK96+BL96</f>
        <v/>
      </c>
    </row>
    <row r="97" ht="15.75" customHeight="1">
      <c r="A97" s="118" t="inlineStr">
        <is>
          <t>SACOLA M VERDE</t>
        </is>
      </c>
      <c r="B97" s="115" t="n">
        <v>50</v>
      </c>
      <c r="C97" s="115" t="n">
        <v>0</v>
      </c>
      <c r="D97" s="115" t="n">
        <v>0</v>
      </c>
      <c r="E97" s="115" t="n">
        <v>0</v>
      </c>
      <c r="F97" s="114">
        <f>B97+C97+D97+E97</f>
        <v/>
      </c>
      <c r="G97" s="115" t="n">
        <v>40</v>
      </c>
      <c r="H97" s="115" t="n">
        <v>0</v>
      </c>
      <c r="I97" s="115" t="n">
        <v>0</v>
      </c>
      <c r="J97" s="115" t="n">
        <v>60</v>
      </c>
      <c r="K97" s="114">
        <f>G97+H97+I97+J97</f>
        <v/>
      </c>
      <c r="L97" s="115" t="n">
        <v>40</v>
      </c>
      <c r="M97" s="115" t="n">
        <v>60</v>
      </c>
      <c r="N97" s="115" t="n">
        <v>40</v>
      </c>
      <c r="O97" s="115" t="n">
        <v>40</v>
      </c>
      <c r="P97" s="115" t="n">
        <v>0</v>
      </c>
      <c r="Q97" s="114">
        <f>L97+M97+N97+O97+P97</f>
        <v/>
      </c>
      <c r="R97" s="115" t="n"/>
      <c r="S97" s="115" t="n"/>
      <c r="T97" s="115" t="n"/>
      <c r="U97" s="115" t="n"/>
      <c r="V97" s="114">
        <f>R97+S97+T97+U97</f>
        <v/>
      </c>
      <c r="W97" s="115" t="n">
        <v>0</v>
      </c>
      <c r="X97" s="115" t="n">
        <v>20</v>
      </c>
      <c r="Y97" s="115" t="n"/>
      <c r="Z97" s="115" t="n"/>
      <c r="AA97" s="114">
        <f>W97+X97+Y97+Z97</f>
        <v/>
      </c>
      <c r="AB97" s="115" t="n"/>
      <c r="AC97" s="115" t="n"/>
      <c r="AD97" s="115" t="n"/>
      <c r="AE97" s="115" t="n"/>
      <c r="AF97" s="115" t="n"/>
      <c r="AG97" s="114">
        <f>AB97+AC97+AD97+AE97+AF97</f>
        <v/>
      </c>
      <c r="AH97" s="115" t="n"/>
      <c r="AI97" s="115" t="n"/>
      <c r="AJ97" s="115" t="n"/>
      <c r="AK97" s="115" t="n"/>
      <c r="AL97" s="114">
        <f>AH97+AI97+AJ97+AK97</f>
        <v/>
      </c>
      <c r="AM97" s="115" t="n"/>
      <c r="AN97" s="115" t="n"/>
      <c r="AO97" s="115" t="n"/>
      <c r="AP97" s="115" t="n"/>
      <c r="AQ97" s="115" t="n"/>
      <c r="AR97" s="114">
        <f>AM97+AN97+AO97+AP97+AQ97</f>
        <v/>
      </c>
      <c r="AS97" s="115" t="n"/>
      <c r="AT97" s="115" t="n"/>
      <c r="AU97" s="115" t="n"/>
      <c r="AV97" s="115" t="n"/>
      <c r="AW97" s="114">
        <f>AS97+AT97+AU97+AV97</f>
        <v/>
      </c>
      <c r="AX97" s="115" t="n"/>
      <c r="AY97" s="115" t="n"/>
      <c r="AZ97" s="115" t="n"/>
      <c r="BA97" s="115" t="n"/>
      <c r="BB97" s="114">
        <f>AX97+AY97+AZ97+BA97</f>
        <v/>
      </c>
      <c r="BC97" s="115" t="n"/>
      <c r="BD97" s="115" t="n"/>
      <c r="BE97" s="115" t="n"/>
      <c r="BF97" s="115" t="n"/>
      <c r="BG97" s="115" t="n"/>
      <c r="BH97" s="114">
        <f>BC97+BD97+BE97+BF97+BG97</f>
        <v/>
      </c>
      <c r="BI97" s="115" t="n"/>
      <c r="BJ97" s="115" t="n"/>
      <c r="BK97" s="115" t="n"/>
      <c r="BL97" s="115" t="n"/>
      <c r="BM97" s="114">
        <f>BI97+BJ97+BK97+BL97</f>
        <v/>
      </c>
    </row>
    <row r="98" ht="15.75" customHeight="1">
      <c r="A98" s="117" t="inlineStr">
        <is>
          <t>SACOLA G VERDE</t>
        </is>
      </c>
      <c r="B98" s="115" t="n">
        <v>0</v>
      </c>
      <c r="C98" s="115" t="n">
        <v>0</v>
      </c>
      <c r="D98" s="115" t="n">
        <v>10</v>
      </c>
      <c r="E98" s="115" t="n">
        <v>0</v>
      </c>
      <c r="F98" s="114">
        <f>B98+C98+D98+E98</f>
        <v/>
      </c>
      <c r="G98" s="115" t="n">
        <v>60</v>
      </c>
      <c r="H98" s="115" t="n">
        <v>0</v>
      </c>
      <c r="I98" s="115" t="n">
        <v>0</v>
      </c>
      <c r="J98" s="115" t="n">
        <v>40</v>
      </c>
      <c r="K98" s="114">
        <f>G98+H98+I98+J98</f>
        <v/>
      </c>
      <c r="L98" s="115" t="n">
        <v>0</v>
      </c>
      <c r="M98" s="115" t="n">
        <v>0</v>
      </c>
      <c r="N98" s="115" t="n">
        <v>0</v>
      </c>
      <c r="O98" s="115" t="n">
        <v>0</v>
      </c>
      <c r="P98" s="115" t="n">
        <v>0</v>
      </c>
      <c r="Q98" s="114">
        <f>L98+M98+N98+O98+P98</f>
        <v/>
      </c>
      <c r="R98" s="115" t="n"/>
      <c r="S98" s="115" t="n"/>
      <c r="T98" s="115" t="n"/>
      <c r="U98" s="115" t="n"/>
      <c r="V98" s="114">
        <f>R98+S98+T98+U98</f>
        <v/>
      </c>
      <c r="W98" s="115" t="n">
        <v>0</v>
      </c>
      <c r="X98" s="115" t="n">
        <v>0</v>
      </c>
      <c r="Y98" s="115" t="n"/>
      <c r="Z98" s="115" t="n"/>
      <c r="AA98" s="114">
        <f>W98+X98+Y98+Z98</f>
        <v/>
      </c>
      <c r="AB98" s="115" t="n"/>
      <c r="AC98" s="115" t="n"/>
      <c r="AD98" s="115" t="n"/>
      <c r="AE98" s="115" t="n"/>
      <c r="AF98" s="115" t="n"/>
      <c r="AG98" s="114">
        <f>AB98+AC98+AD98+AE98+AF98</f>
        <v/>
      </c>
      <c r="AH98" s="115" t="n"/>
      <c r="AI98" s="115" t="n"/>
      <c r="AJ98" s="115" t="n"/>
      <c r="AK98" s="115" t="n"/>
      <c r="AL98" s="114">
        <f>AH98+AI98+AJ98+AK98</f>
        <v/>
      </c>
      <c r="AM98" s="115" t="n"/>
      <c r="AN98" s="115" t="n"/>
      <c r="AO98" s="115" t="n"/>
      <c r="AP98" s="115" t="n"/>
      <c r="AQ98" s="115" t="n"/>
      <c r="AR98" s="114">
        <f>AM98+AN98+AO98+AP98+AQ98</f>
        <v/>
      </c>
      <c r="AS98" s="115" t="n"/>
      <c r="AT98" s="115" t="n"/>
      <c r="AU98" s="115" t="n"/>
      <c r="AV98" s="115" t="n"/>
      <c r="AW98" s="114">
        <f>AS98+AT98+AU98+AV98</f>
        <v/>
      </c>
      <c r="AX98" s="115" t="n"/>
      <c r="AY98" s="115" t="n"/>
      <c r="AZ98" s="115" t="n"/>
      <c r="BA98" s="115" t="n"/>
      <c r="BB98" s="114">
        <f>AX98+AY98+AZ98+BA98</f>
        <v/>
      </c>
      <c r="BC98" s="115" t="n"/>
      <c r="BD98" s="115" t="n"/>
      <c r="BE98" s="115" t="n"/>
      <c r="BF98" s="115" t="n"/>
      <c r="BG98" s="115" t="n"/>
      <c r="BH98" s="114">
        <f>BC98+BD98+BE98+BF98+BG98</f>
        <v/>
      </c>
      <c r="BI98" s="115" t="n"/>
      <c r="BJ98" s="115" t="n"/>
      <c r="BK98" s="115" t="n"/>
      <c r="BL98" s="115" t="n"/>
      <c r="BM98" s="114">
        <f>BI98+BJ98+BK98+BL98</f>
        <v/>
      </c>
    </row>
    <row r="99" ht="15.75" customHeight="1">
      <c r="A99" s="116" t="inlineStr">
        <is>
          <t xml:space="preserve">PAPEL DE SEDA </t>
        </is>
      </c>
      <c r="B99" s="115" t="n">
        <v>2</v>
      </c>
      <c r="C99" s="115" t="n">
        <v>0</v>
      </c>
      <c r="D99" s="115" t="n">
        <v>0</v>
      </c>
      <c r="E99" s="115" t="n">
        <v>0</v>
      </c>
      <c r="F99" s="114">
        <f>B99+C99+D99+E99</f>
        <v/>
      </c>
      <c r="G99" s="115" t="n">
        <v>0</v>
      </c>
      <c r="H99" s="115" t="n">
        <v>0</v>
      </c>
      <c r="I99" s="115" t="n">
        <v>3</v>
      </c>
      <c r="J99" s="115" t="n">
        <v>0</v>
      </c>
      <c r="K99" s="114">
        <f>G99+H99+I99+J99</f>
        <v/>
      </c>
      <c r="L99" s="115" t="n">
        <v>0</v>
      </c>
      <c r="M99" s="115" t="n">
        <v>0</v>
      </c>
      <c r="N99" s="115" t="n">
        <v>1</v>
      </c>
      <c r="O99" s="115" t="n">
        <v>0</v>
      </c>
      <c r="P99" s="115" t="n">
        <v>1</v>
      </c>
      <c r="Q99" s="114">
        <f>L99+M99+N99+O99+P99</f>
        <v/>
      </c>
      <c r="R99" s="115" t="n"/>
      <c r="S99" s="115" t="n"/>
      <c r="T99" s="115" t="n"/>
      <c r="U99" s="115" t="n"/>
      <c r="V99" s="114">
        <f>R99+S99+T99+U99</f>
        <v/>
      </c>
      <c r="W99" s="115" t="n">
        <v>0</v>
      </c>
      <c r="X99" s="115" t="n">
        <v>0</v>
      </c>
      <c r="Y99" s="115" t="n"/>
      <c r="Z99" s="115" t="n"/>
      <c r="AA99" s="114">
        <f>W99+X99+Y99+Z99</f>
        <v/>
      </c>
      <c r="AB99" s="115" t="n"/>
      <c r="AC99" s="115" t="n"/>
      <c r="AD99" s="115" t="n"/>
      <c r="AE99" s="115" t="n"/>
      <c r="AF99" s="115" t="n"/>
      <c r="AG99" s="114">
        <f>AB99+AC99+AD99+AE99+AF99</f>
        <v/>
      </c>
      <c r="AH99" s="115" t="n"/>
      <c r="AI99" s="115" t="n"/>
      <c r="AJ99" s="115" t="n"/>
      <c r="AK99" s="115" t="n"/>
      <c r="AL99" s="114">
        <f>AH99+AI99+AJ99+AK99</f>
        <v/>
      </c>
      <c r="AM99" s="115" t="n"/>
      <c r="AN99" s="115" t="n"/>
      <c r="AO99" s="115" t="n"/>
      <c r="AP99" s="115" t="n"/>
      <c r="AQ99" s="115" t="n"/>
      <c r="AR99" s="114">
        <f>AM99+AN99+AO99+AP99+AQ99</f>
        <v/>
      </c>
      <c r="AS99" s="115" t="n"/>
      <c r="AT99" s="115" t="n"/>
      <c r="AU99" s="115" t="n"/>
      <c r="AV99" s="115" t="n"/>
      <c r="AW99" s="114">
        <f>AS99+AT99+AU99+AV99</f>
        <v/>
      </c>
      <c r="AX99" s="115" t="n"/>
      <c r="AY99" s="115" t="n"/>
      <c r="AZ99" s="115" t="n"/>
      <c r="BA99" s="115" t="n"/>
      <c r="BB99" s="114">
        <f>AX99+AY99+AZ99+BA99</f>
        <v/>
      </c>
      <c r="BC99" s="115" t="n"/>
      <c r="BD99" s="115" t="n"/>
      <c r="BE99" s="115" t="n"/>
      <c r="BF99" s="115" t="n"/>
      <c r="BG99" s="115" t="n"/>
      <c r="BH99" s="114">
        <f>BC99+BD99+BE99+BF99+BG99</f>
        <v/>
      </c>
      <c r="BI99" s="115" t="n"/>
      <c r="BJ99" s="115" t="n"/>
      <c r="BK99" s="115" t="n"/>
      <c r="BL99" s="115" t="n"/>
      <c r="BM99" s="114">
        <f>BI99+BJ99+BK99+BL99</f>
        <v/>
      </c>
    </row>
    <row r="100" ht="15.75" customHeight="1">
      <c r="A100" s="116" t="inlineStr">
        <is>
          <t>ETIQUETAS</t>
        </is>
      </c>
      <c r="B100" s="115" t="n">
        <v>0</v>
      </c>
      <c r="C100" s="115" t="n">
        <v>0</v>
      </c>
      <c r="D100" s="115" t="n">
        <v>0</v>
      </c>
      <c r="E100" s="115" t="n">
        <v>0</v>
      </c>
      <c r="F100" s="114">
        <f>B100+C100+D100+E100</f>
        <v/>
      </c>
      <c r="G100" s="115" t="n">
        <v>0</v>
      </c>
      <c r="H100" s="115" t="n">
        <v>0</v>
      </c>
      <c r="I100" s="115" t="n">
        <v>0</v>
      </c>
      <c r="J100" s="115" t="n">
        <v>0</v>
      </c>
      <c r="K100" s="114">
        <f>G100+H100+I100+J100</f>
        <v/>
      </c>
      <c r="L100" s="115" t="n">
        <v>0</v>
      </c>
      <c r="M100" s="115" t="n">
        <v>0</v>
      </c>
      <c r="N100" s="115" t="n">
        <v>0</v>
      </c>
      <c r="O100" s="115" t="n">
        <v>0</v>
      </c>
      <c r="P100" s="115" t="n">
        <v>0</v>
      </c>
      <c r="Q100" s="114">
        <f>L100+M100+N100+O100+P100</f>
        <v/>
      </c>
      <c r="R100" s="115" t="n"/>
      <c r="S100" s="115" t="n"/>
      <c r="T100" s="115" t="n"/>
      <c r="U100" s="115" t="n"/>
      <c r="V100" s="114">
        <f>R100+S100+T100+U100</f>
        <v/>
      </c>
      <c r="W100" s="115" t="n">
        <v>1</v>
      </c>
      <c r="X100" s="115" t="n">
        <v>0</v>
      </c>
      <c r="Y100" s="115" t="n"/>
      <c r="Z100" s="115" t="n"/>
      <c r="AA100" s="114">
        <f>W100+X100+Y100+Z100</f>
        <v/>
      </c>
      <c r="AB100" s="115" t="n"/>
      <c r="AC100" s="115" t="n"/>
      <c r="AD100" s="115" t="n"/>
      <c r="AE100" s="115" t="n"/>
      <c r="AF100" s="115" t="n"/>
      <c r="AG100" s="114">
        <f>AB100+AC100+AD100+AE100+AF100</f>
        <v/>
      </c>
      <c r="AH100" s="115" t="n"/>
      <c r="AI100" s="115" t="n"/>
      <c r="AJ100" s="115" t="n"/>
      <c r="AK100" s="115" t="n"/>
      <c r="AL100" s="114">
        <f>AH100+AI100+AJ100+AK100</f>
        <v/>
      </c>
      <c r="AM100" s="115" t="n"/>
      <c r="AN100" s="115" t="n"/>
      <c r="AO100" s="115" t="n"/>
      <c r="AP100" s="115" t="n"/>
      <c r="AQ100" s="115" t="n"/>
      <c r="AR100" s="114">
        <f>AM100+AN100+AO100+AP100+AQ100</f>
        <v/>
      </c>
      <c r="AS100" s="115" t="n"/>
      <c r="AT100" s="115" t="n"/>
      <c r="AU100" s="115" t="n"/>
      <c r="AV100" s="115" t="n"/>
      <c r="AW100" s="114">
        <f>AS100+AT100+AU100+AV100</f>
        <v/>
      </c>
      <c r="AX100" s="115" t="n"/>
      <c r="AY100" s="115" t="n"/>
      <c r="AZ100" s="115" t="n"/>
      <c r="BA100" s="115" t="n"/>
      <c r="BB100" s="114">
        <f>AX100+AY100+AZ100+BA100</f>
        <v/>
      </c>
      <c r="BC100" s="115" t="n"/>
      <c r="BD100" s="115" t="n"/>
      <c r="BE100" s="115" t="n"/>
      <c r="BF100" s="115" t="n"/>
      <c r="BG100" s="115" t="n"/>
      <c r="BH100" s="114">
        <f>BC100+BD100+BE100+BF100+BG100</f>
        <v/>
      </c>
      <c r="BI100" s="115" t="n"/>
      <c r="BJ100" s="115" t="n"/>
      <c r="BK100" s="115" t="n"/>
      <c r="BL100" s="115" t="n"/>
      <c r="BM100" s="114">
        <f>BI100+BJ100+BK100+BL100</f>
        <v/>
      </c>
    </row>
    <row r="101" ht="15.75" customHeight="1">
      <c r="A101" s="116" t="inlineStr">
        <is>
          <t xml:space="preserve">TAGS </t>
        </is>
      </c>
      <c r="B101" s="115" t="n">
        <v>1</v>
      </c>
      <c r="C101" s="115" t="n">
        <v>0</v>
      </c>
      <c r="D101" s="115" t="n">
        <v>1</v>
      </c>
      <c r="E101" s="115" t="n">
        <v>0</v>
      </c>
      <c r="F101" s="114">
        <f>B101+C101+D101+E101</f>
        <v/>
      </c>
      <c r="G101" s="115" t="n">
        <v>0</v>
      </c>
      <c r="H101" s="115" t="n">
        <v>0</v>
      </c>
      <c r="I101" s="115" t="n">
        <v>1</v>
      </c>
      <c r="J101" s="115" t="n">
        <v>0</v>
      </c>
      <c r="K101" s="114">
        <f>G101+H101+I101+J101</f>
        <v/>
      </c>
      <c r="L101" s="115" t="n">
        <v>1</v>
      </c>
      <c r="M101" s="115" t="n">
        <v>0</v>
      </c>
      <c r="N101" s="115" t="n">
        <v>1</v>
      </c>
      <c r="O101" s="115" t="n">
        <v>0</v>
      </c>
      <c r="P101" s="115" t="n">
        <v>0</v>
      </c>
      <c r="Q101" s="114">
        <f>L101+M101+N101+O101+P101</f>
        <v/>
      </c>
      <c r="R101" s="115" t="n"/>
      <c r="S101" s="115" t="n"/>
      <c r="T101" s="115" t="n"/>
      <c r="U101" s="115" t="n"/>
      <c r="V101" s="114">
        <f>R101+S101+T101+U101</f>
        <v/>
      </c>
      <c r="W101" s="115" t="n">
        <v>0</v>
      </c>
      <c r="X101" s="115" t="n">
        <v>2</v>
      </c>
      <c r="Y101" s="115" t="n"/>
      <c r="Z101" s="115" t="n"/>
      <c r="AA101" s="114">
        <f>W101+X101+Y101+Z101</f>
        <v/>
      </c>
      <c r="AB101" s="115" t="n"/>
      <c r="AC101" s="115" t="n"/>
      <c r="AD101" s="115" t="n"/>
      <c r="AE101" s="115" t="n"/>
      <c r="AF101" s="115" t="n"/>
      <c r="AG101" s="114">
        <f>AB101+AC101+AD101+AE101+AF101</f>
        <v/>
      </c>
      <c r="AH101" s="115" t="n"/>
      <c r="AI101" s="115" t="n"/>
      <c r="AJ101" s="115" t="n"/>
      <c r="AK101" s="115" t="n"/>
      <c r="AL101" s="114">
        <f>AH101+AI101+AJ101+AK101</f>
        <v/>
      </c>
      <c r="AM101" s="115" t="n"/>
      <c r="AN101" s="115" t="n"/>
      <c r="AO101" s="115" t="n"/>
      <c r="AP101" s="115" t="n"/>
      <c r="AQ101" s="115" t="n"/>
      <c r="AR101" s="114">
        <f>AM101+AN101+AO101+AP101+AQ101</f>
        <v/>
      </c>
      <c r="AS101" s="115" t="n"/>
      <c r="AT101" s="115" t="n"/>
      <c r="AU101" s="115" t="n"/>
      <c r="AV101" s="115" t="n"/>
      <c r="AW101" s="114">
        <f>AS101+AT101+AU101+AV101</f>
        <v/>
      </c>
      <c r="AX101" s="115" t="n"/>
      <c r="AY101" s="115" t="n"/>
      <c r="AZ101" s="115" t="n"/>
      <c r="BA101" s="115" t="n"/>
      <c r="BB101" s="114">
        <f>AX101+AY101+AZ101+BA101</f>
        <v/>
      </c>
      <c r="BC101" s="115" t="n"/>
      <c r="BD101" s="115" t="n"/>
      <c r="BE101" s="115" t="n"/>
      <c r="BF101" s="115" t="n"/>
      <c r="BG101" s="115" t="n"/>
      <c r="BH101" s="114">
        <f>BC101+BD101+BE101+BF101+BG101</f>
        <v/>
      </c>
      <c r="BI101" s="115" t="n"/>
      <c r="BJ101" s="115" t="n"/>
      <c r="BK101" s="115" t="n"/>
      <c r="BL101" s="115" t="n"/>
      <c r="BM101" s="114">
        <f>BI101+BJ101+BK101+BL101</f>
        <v/>
      </c>
    </row>
    <row r="102" ht="15.75" customHeight="1">
      <c r="A102" s="116" t="inlineStr">
        <is>
          <t>LÂMINA OLFATIVA</t>
        </is>
      </c>
      <c r="B102" s="115" t="n">
        <v>0</v>
      </c>
      <c r="C102" s="115" t="n">
        <v>0</v>
      </c>
      <c r="D102" s="115" t="n">
        <v>0</v>
      </c>
      <c r="E102" s="115" t="n">
        <v>0</v>
      </c>
      <c r="F102" s="114">
        <f>B102+C102+D102+E102</f>
        <v/>
      </c>
      <c r="G102" s="115" t="n">
        <v>0</v>
      </c>
      <c r="H102" s="115" t="n">
        <v>0</v>
      </c>
      <c r="I102" s="115" t="n">
        <v>1</v>
      </c>
      <c r="J102" s="115" t="n">
        <v>0</v>
      </c>
      <c r="K102" s="114">
        <f>G102+H102+I102+J102</f>
        <v/>
      </c>
      <c r="L102" s="115" t="n">
        <v>0</v>
      </c>
      <c r="M102" s="115" t="n">
        <v>0</v>
      </c>
      <c r="N102" s="115" t="n">
        <v>1</v>
      </c>
      <c r="O102" s="115" t="n">
        <v>0</v>
      </c>
      <c r="P102" s="115" t="n">
        <v>0</v>
      </c>
      <c r="Q102" s="114">
        <f>L102+M102+N102+O102+P102</f>
        <v/>
      </c>
      <c r="R102" s="115" t="n"/>
      <c r="S102" s="115" t="n"/>
      <c r="T102" s="115" t="n"/>
      <c r="U102" s="115" t="n"/>
      <c r="V102" s="114">
        <f>R102+S102+T102+U102</f>
        <v/>
      </c>
      <c r="W102" s="115" t="n">
        <v>0</v>
      </c>
      <c r="X102" s="115" t="n">
        <v>1</v>
      </c>
      <c r="Y102" s="115" t="n"/>
      <c r="Z102" s="115" t="n"/>
      <c r="AA102" s="114">
        <f>W102+X102+Y102+Z102</f>
        <v/>
      </c>
      <c r="AB102" s="115" t="n"/>
      <c r="AC102" s="115" t="n"/>
      <c r="AD102" s="115" t="n"/>
      <c r="AE102" s="115" t="n"/>
      <c r="AF102" s="115" t="n"/>
      <c r="AG102" s="114">
        <f>AB102+AC102+AD102+AE102+AF102</f>
        <v/>
      </c>
      <c r="AH102" s="115" t="n"/>
      <c r="AI102" s="115" t="n"/>
      <c r="AJ102" s="115" t="n"/>
      <c r="AK102" s="115" t="n"/>
      <c r="AL102" s="114">
        <f>AH102+AI102+AJ102+AK102</f>
        <v/>
      </c>
      <c r="AM102" s="115" t="n"/>
      <c r="AN102" s="115" t="n"/>
      <c r="AO102" s="115" t="n"/>
      <c r="AP102" s="115" t="n"/>
      <c r="AQ102" s="115" t="n"/>
      <c r="AR102" s="114">
        <f>AM102+AN102+AO102+AP102+AQ102</f>
        <v/>
      </c>
      <c r="AS102" s="115" t="n"/>
      <c r="AT102" s="115" t="n"/>
      <c r="AU102" s="115" t="n"/>
      <c r="AV102" s="115" t="n"/>
      <c r="AW102" s="114">
        <f>AS102+AT102+AU102+AV102</f>
        <v/>
      </c>
      <c r="AX102" s="115" t="n"/>
      <c r="AY102" s="115" t="n"/>
      <c r="AZ102" s="115" t="n"/>
      <c r="BA102" s="115" t="n"/>
      <c r="BB102" s="114">
        <f>AX102+AY102+AZ102+BA102</f>
        <v/>
      </c>
      <c r="BC102" s="115" t="n"/>
      <c r="BD102" s="115" t="n"/>
      <c r="BE102" s="115" t="n"/>
      <c r="BF102" s="115" t="n"/>
      <c r="BG102" s="115" t="n"/>
      <c r="BH102" s="114">
        <f>BC102+BD102+BE102+BF102+BG102</f>
        <v/>
      </c>
      <c r="BI102" s="115" t="n"/>
      <c r="BJ102" s="115" t="n"/>
      <c r="BK102" s="115" t="n"/>
      <c r="BL102" s="115" t="n"/>
      <c r="BM102" s="114">
        <f>BI102+BJ102+BK102+BL102</f>
        <v/>
      </c>
    </row>
    <row r="103" ht="15.75" customHeight="1">
      <c r="A103" s="113" t="inlineStr">
        <is>
          <t>TOTAL DE SACOLAS</t>
        </is>
      </c>
      <c r="B103" s="112">
        <f>SUM(B95:B98)</f>
        <v/>
      </c>
      <c r="C103" s="112">
        <f>SUM(C95:C98)</f>
        <v/>
      </c>
      <c r="D103" s="112">
        <f>SUM(D95:D98)</f>
        <v/>
      </c>
      <c r="E103" s="112">
        <f>SUM(E95:E98)</f>
        <v/>
      </c>
      <c r="F103" s="112">
        <f>SUM(F95:F98)</f>
        <v/>
      </c>
      <c r="G103" s="112">
        <f>SUM(G95:G98)</f>
        <v/>
      </c>
      <c r="H103" s="112">
        <f>SUM(H95:H98)</f>
        <v/>
      </c>
      <c r="I103" s="112">
        <f>SUM(I95:I98)</f>
        <v/>
      </c>
      <c r="J103" s="112">
        <f>SUM(J95:J98)</f>
        <v/>
      </c>
      <c r="K103" s="112">
        <f>SUM(K95:K98)</f>
        <v/>
      </c>
      <c r="L103" s="112">
        <f>SUM(L95:L98)</f>
        <v/>
      </c>
      <c r="M103" s="112">
        <f>SUM(M95:M98)</f>
        <v/>
      </c>
      <c r="N103" s="112">
        <f>SUM(N95:N98)</f>
        <v/>
      </c>
      <c r="O103" s="112">
        <f>SUM(O95:O98)</f>
        <v/>
      </c>
      <c r="P103" s="112">
        <f>SUM(P95:P98)</f>
        <v/>
      </c>
      <c r="Q103" s="112">
        <f>SUM(Q95:Q98)</f>
        <v/>
      </c>
      <c r="R103" s="112">
        <f>SUM(R95:R98)</f>
        <v/>
      </c>
      <c r="S103" s="112">
        <f>SUM(S95:S98)</f>
        <v/>
      </c>
      <c r="T103" s="112">
        <f>SUM(T95:T98)</f>
        <v/>
      </c>
      <c r="U103" s="112">
        <f>SUM(U95:U98)</f>
        <v/>
      </c>
      <c r="V103" s="112">
        <f>SUM(V95:V98)</f>
        <v/>
      </c>
      <c r="W103" s="112">
        <f>SUM(W95:W98)</f>
        <v/>
      </c>
      <c r="X103" s="112">
        <f>SUM(X95:X98)</f>
        <v/>
      </c>
      <c r="Y103" s="112">
        <f>SUM(Y95:Y98)</f>
        <v/>
      </c>
      <c r="Z103" s="112">
        <f>SUM(Z95:Z98)</f>
        <v/>
      </c>
      <c r="AA103" s="112">
        <f>SUM(AA95:AA98)</f>
        <v/>
      </c>
      <c r="AB103" s="112">
        <f>SUM(AB95:AB98)</f>
        <v/>
      </c>
      <c r="AC103" s="112">
        <f>SUM(AC95:AC98)</f>
        <v/>
      </c>
      <c r="AD103" s="112">
        <f>SUM(AD95:AD98)</f>
        <v/>
      </c>
      <c r="AE103" s="112">
        <f>SUM(AE95:AE98)</f>
        <v/>
      </c>
      <c r="AF103" s="112">
        <f>SUM(AF95:AF98)</f>
        <v/>
      </c>
      <c r="AG103" s="112">
        <f>SUM(AG95:AG98)</f>
        <v/>
      </c>
      <c r="AH103" s="112">
        <f>SUM(AH95:AH98)</f>
        <v/>
      </c>
      <c r="AI103" s="112">
        <f>SUM(AI95:AI98)</f>
        <v/>
      </c>
      <c r="AJ103" s="112">
        <f>SUM(AJ95:AJ98)</f>
        <v/>
      </c>
      <c r="AK103" s="112">
        <f>SUM(AK95:AK98)</f>
        <v/>
      </c>
      <c r="AL103" s="112">
        <f>SUM(AL95:AL98)</f>
        <v/>
      </c>
      <c r="AM103" s="112">
        <f>SUM(AM95:AM98)</f>
        <v/>
      </c>
      <c r="AN103" s="112">
        <f>SUM(AN95:AN98)</f>
        <v/>
      </c>
      <c r="AO103" s="112">
        <f>SUM(AO95:AO98)</f>
        <v/>
      </c>
      <c r="AP103" s="112">
        <f>SUM(AP95:AP98)</f>
        <v/>
      </c>
      <c r="AQ103" s="112">
        <f>SUM(AQ95:AQ98)</f>
        <v/>
      </c>
      <c r="AR103" s="112">
        <f>SUM(AR95:AR98)</f>
        <v/>
      </c>
      <c r="AS103" s="112">
        <f>SUM(AS95:AS98)</f>
        <v/>
      </c>
      <c r="AT103" s="112">
        <f>SUM(AT95:AT98)</f>
        <v/>
      </c>
      <c r="AU103" s="112">
        <f>SUM(AU95:AU98)</f>
        <v/>
      </c>
      <c r="AV103" s="112">
        <f>SUM(AV95:AV98)</f>
        <v/>
      </c>
      <c r="AW103" s="112">
        <f>SUM(AW95:AW98)</f>
        <v/>
      </c>
      <c r="AX103" s="112">
        <f>SUM(AX95:AX98)</f>
        <v/>
      </c>
      <c r="AY103" s="112">
        <f>SUM(AY95:AY98)</f>
        <v/>
      </c>
      <c r="AZ103" s="112">
        <f>SUM(AZ95:AZ98)</f>
        <v/>
      </c>
      <c r="BA103" s="112">
        <f>SUM(BA95:BA98)</f>
        <v/>
      </c>
      <c r="BB103" s="112">
        <f>SUM(BB95:BB98)</f>
        <v/>
      </c>
      <c r="BC103" s="112">
        <f>SUM(BC95:BC98)</f>
        <v/>
      </c>
      <c r="BD103" s="112">
        <f>SUM(BD95:BD98)</f>
        <v/>
      </c>
      <c r="BE103" s="112">
        <f>SUM(BE95:BE98)</f>
        <v/>
      </c>
      <c r="BF103" s="112">
        <f>SUM(BF95:BF98)</f>
        <v/>
      </c>
      <c r="BG103" s="112">
        <f>SUM(BG95:BG98)</f>
        <v/>
      </c>
      <c r="BH103" s="112">
        <f>SUM(BH95:BH98)</f>
        <v/>
      </c>
      <c r="BI103" s="112">
        <f>SUM(BI95:BI98)</f>
        <v/>
      </c>
      <c r="BJ103" s="112">
        <f>SUM(BJ95:BJ98)</f>
        <v/>
      </c>
      <c r="BK103" s="112">
        <f>SUM(BK95:BK98)</f>
        <v/>
      </c>
      <c r="BL103" s="112">
        <f>SUM(BL95:BL98)</f>
        <v/>
      </c>
      <c r="BM103" s="112">
        <f>SUM(BM95:BM98)</f>
        <v/>
      </c>
    </row>
    <row r="105" ht="18" customHeight="1">
      <c r="A105" s="577" t="inlineStr">
        <is>
          <t>GASTO DE SACOLAS E ITENS DOADOS 2026 - MENSAIS</t>
        </is>
      </c>
      <c r="B105" s="844" t="n"/>
      <c r="C105" s="844" t="n"/>
      <c r="D105" s="844" t="n"/>
      <c r="E105" s="844" t="n"/>
      <c r="F105" s="844" t="n"/>
      <c r="G105" s="844" t="n"/>
      <c r="H105" s="844" t="n"/>
      <c r="I105" s="844" t="n"/>
      <c r="J105" s="844" t="n"/>
      <c r="K105" s="844" t="n"/>
      <c r="L105" s="844" t="n"/>
      <c r="M105" s="844" t="n"/>
      <c r="N105" s="844" t="n"/>
      <c r="O105" s="844" t="n"/>
      <c r="P105" s="844" t="n"/>
      <c r="Q105" s="844" t="n"/>
      <c r="R105" s="844" t="n"/>
      <c r="S105" s="844" t="n"/>
      <c r="T105" s="844" t="n"/>
      <c r="U105" s="844" t="n"/>
      <c r="V105" s="844" t="n"/>
      <c r="W105" s="844" t="n"/>
      <c r="X105" s="844" t="n"/>
      <c r="Y105" s="844" t="n"/>
      <c r="Z105" s="844" t="n"/>
      <c r="AA105" s="844" t="n"/>
      <c r="AB105" s="844" t="n"/>
      <c r="AC105" s="844" t="n"/>
      <c r="AD105" s="844" t="n"/>
      <c r="AE105" s="844" t="n"/>
      <c r="AF105" s="844" t="n"/>
      <c r="AG105" s="844" t="n"/>
      <c r="AH105" s="844" t="n"/>
      <c r="AI105" s="844" t="n"/>
      <c r="AJ105" s="844" t="n"/>
      <c r="AK105" s="844" t="n"/>
      <c r="AL105" s="844" t="n"/>
      <c r="AM105" s="844" t="n"/>
      <c r="AN105" s="844" t="n"/>
      <c r="AO105" s="844" t="n"/>
      <c r="AP105" s="844" t="n"/>
      <c r="AQ105" s="844" t="n"/>
      <c r="AR105" s="844" t="n"/>
      <c r="AS105" s="844" t="n"/>
      <c r="AT105" s="844" t="n"/>
      <c r="AU105" s="844" t="n"/>
      <c r="AV105" s="844" t="n"/>
      <c r="AW105" s="844" t="n"/>
      <c r="AX105" s="844" t="n"/>
      <c r="AY105" s="844" t="n"/>
      <c r="AZ105" s="844" t="n"/>
      <c r="BA105" s="844" t="n"/>
      <c r="BB105" s="844" t="n"/>
      <c r="BC105" s="844" t="n"/>
      <c r="BD105" s="844" t="n"/>
      <c r="BE105" s="844" t="n"/>
      <c r="BF105" s="844" t="n"/>
      <c r="BG105" s="844" t="n"/>
      <c r="BH105" s="844" t="n"/>
      <c r="BI105" s="844" t="n"/>
      <c r="BJ105" s="844" t="n"/>
      <c r="BK105" s="844" t="n"/>
      <c r="BL105" s="844" t="n"/>
      <c r="BM105" s="844" t="n"/>
    </row>
    <row r="106" ht="18" customHeight="1">
      <c r="A106" s="849" t="inlineStr">
        <is>
          <t>CD BAURU</t>
        </is>
      </c>
      <c r="B106" s="581" t="inlineStr">
        <is>
          <t>JANEIRO</t>
        </is>
      </c>
      <c r="C106" s="846" t="n"/>
      <c r="D106" s="846" t="n"/>
      <c r="E106" s="846" t="n"/>
      <c r="F106" s="582" t="inlineStr">
        <is>
          <t>FEVEREIRO</t>
        </is>
      </c>
      <c r="G106" s="846" t="n"/>
      <c r="H106" s="846" t="n"/>
      <c r="I106" s="846" t="n"/>
      <c r="J106" s="846" t="n"/>
      <c r="K106" s="583" t="n"/>
      <c r="L106" s="845" t="inlineStr">
        <is>
          <t>MARÇO</t>
        </is>
      </c>
      <c r="M106" s="846" t="n"/>
      <c r="N106" s="846" t="n"/>
      <c r="O106" s="846" t="n"/>
      <c r="P106" s="846" t="n"/>
      <c r="Q106" s="847" t="n"/>
      <c r="R106" s="845" t="inlineStr">
        <is>
          <t>ABRIL</t>
        </is>
      </c>
      <c r="S106" s="846" t="n"/>
      <c r="T106" s="846" t="n"/>
      <c r="U106" s="846" t="n"/>
      <c r="V106" s="847" t="n"/>
      <c r="W106" s="845" t="inlineStr">
        <is>
          <t>MAIO</t>
        </is>
      </c>
      <c r="X106" s="846" t="n"/>
      <c r="Y106" s="846" t="n"/>
      <c r="Z106" s="846" t="n"/>
      <c r="AA106" s="847" t="n"/>
      <c r="AB106" s="845" t="inlineStr">
        <is>
          <t>JUNHO</t>
        </is>
      </c>
      <c r="AC106" s="846" t="n"/>
      <c r="AD106" s="846" t="n"/>
      <c r="AE106" s="846" t="n"/>
      <c r="AF106" s="846" t="n"/>
      <c r="AG106" s="847" t="n"/>
      <c r="AH106" s="845" t="inlineStr">
        <is>
          <t>JULHO</t>
        </is>
      </c>
      <c r="AI106" s="846" t="n"/>
      <c r="AJ106" s="846" t="n"/>
      <c r="AK106" s="846" t="n"/>
      <c r="AL106" s="847" t="n"/>
      <c r="AM106" s="845" t="inlineStr">
        <is>
          <t>AGOSTO</t>
        </is>
      </c>
      <c r="AN106" s="846" t="n"/>
      <c r="AO106" s="846" t="n"/>
      <c r="AP106" s="846" t="n"/>
      <c r="AQ106" s="846" t="n"/>
      <c r="AR106" s="847" t="n"/>
      <c r="AS106" s="845" t="inlineStr">
        <is>
          <t>SETEMBRO</t>
        </is>
      </c>
      <c r="AT106" s="846" t="n"/>
      <c r="AU106" s="846" t="n"/>
      <c r="AV106" s="846" t="n"/>
      <c r="AW106" s="847" t="n"/>
      <c r="AX106" s="845" t="inlineStr">
        <is>
          <t>OUTUBRO</t>
        </is>
      </c>
      <c r="AY106" s="846" t="n"/>
      <c r="AZ106" s="846" t="n"/>
      <c r="BA106" s="846" t="n"/>
      <c r="BB106" s="847" t="n"/>
      <c r="BC106" s="845" t="inlineStr">
        <is>
          <t>NOVEMBRO</t>
        </is>
      </c>
      <c r="BD106" s="846" t="n"/>
      <c r="BE106" s="846" t="n"/>
      <c r="BF106" s="846" t="n"/>
      <c r="BG106" s="846" t="n"/>
      <c r="BH106" s="847" t="n"/>
      <c r="BI106" s="845" t="inlineStr">
        <is>
          <t>DEZEMBRO</t>
        </is>
      </c>
      <c r="BJ106" s="846" t="n"/>
      <c r="BK106" s="846" t="n"/>
      <c r="BL106" s="846" t="n"/>
      <c r="BM106" s="847" t="n"/>
    </row>
    <row r="107" ht="15.75" customHeight="1">
      <c r="A107" s="850" t="n"/>
      <c r="B107" s="121" t="n">
        <v>46027</v>
      </c>
      <c r="C107" s="121" t="n">
        <v>46034</v>
      </c>
      <c r="D107" s="121" t="n">
        <v>46041</v>
      </c>
      <c r="E107" s="121" t="n">
        <v>46048</v>
      </c>
      <c r="F107" s="120" t="inlineStr">
        <is>
          <t>USOU</t>
        </is>
      </c>
      <c r="G107" s="121" t="n">
        <v>46055</v>
      </c>
      <c r="H107" s="121" t="n">
        <v>46062</v>
      </c>
      <c r="I107" s="121" t="n">
        <v>46069</v>
      </c>
      <c r="J107" s="121" t="n">
        <v>46076</v>
      </c>
      <c r="K107" s="120" t="inlineStr">
        <is>
          <t>USOU</t>
        </is>
      </c>
      <c r="L107" s="121" t="n">
        <v>46083</v>
      </c>
      <c r="M107" s="121" t="n">
        <v>46090</v>
      </c>
      <c r="N107" s="121" t="n">
        <v>46097</v>
      </c>
      <c r="O107" s="121" t="n">
        <v>46104</v>
      </c>
      <c r="P107" s="121" t="n">
        <v>46111</v>
      </c>
      <c r="Q107" s="120" t="inlineStr">
        <is>
          <t>USOU</t>
        </is>
      </c>
      <c r="R107" s="121" t="n">
        <v>46118</v>
      </c>
      <c r="S107" s="121" t="n">
        <v>46125</v>
      </c>
      <c r="T107" s="121" t="n">
        <v>46132</v>
      </c>
      <c r="U107" s="121" t="n">
        <v>46139</v>
      </c>
      <c r="V107" s="120" t="inlineStr">
        <is>
          <t>USOU</t>
        </is>
      </c>
      <c r="W107" s="121" t="n">
        <v>46146</v>
      </c>
      <c r="X107" s="121" t="n">
        <v>46153</v>
      </c>
      <c r="Y107" s="121" t="n">
        <v>46160</v>
      </c>
      <c r="Z107" s="121" t="n">
        <v>46167</v>
      </c>
      <c r="AA107" s="120" t="inlineStr">
        <is>
          <t>USOU</t>
        </is>
      </c>
      <c r="AB107" s="121" t="n">
        <v>46174</v>
      </c>
      <c r="AC107" s="121" t="n">
        <v>46181</v>
      </c>
      <c r="AD107" s="121" t="n">
        <v>46188</v>
      </c>
      <c r="AE107" s="121" t="n">
        <v>46195</v>
      </c>
      <c r="AF107" s="121" t="n">
        <v>46202</v>
      </c>
      <c r="AG107" s="120" t="inlineStr">
        <is>
          <t>USOU</t>
        </is>
      </c>
      <c r="AH107" s="121" t="n">
        <v>46209</v>
      </c>
      <c r="AI107" s="121" t="n">
        <v>46216</v>
      </c>
      <c r="AJ107" s="121" t="n">
        <v>46223</v>
      </c>
      <c r="AK107" s="121" t="n">
        <v>46230</v>
      </c>
      <c r="AL107" s="120" t="inlineStr">
        <is>
          <t>USOU</t>
        </is>
      </c>
      <c r="AM107" s="121" t="n">
        <v>46237</v>
      </c>
      <c r="AN107" s="121" t="n">
        <v>46244</v>
      </c>
      <c r="AO107" s="121" t="n">
        <v>46251</v>
      </c>
      <c r="AP107" s="121" t="n">
        <v>46258</v>
      </c>
      <c r="AQ107" s="121" t="n">
        <v>46265</v>
      </c>
      <c r="AR107" s="120" t="inlineStr">
        <is>
          <t>USOU</t>
        </is>
      </c>
      <c r="AS107" s="121" t="n">
        <v>46272</v>
      </c>
      <c r="AT107" s="121" t="n">
        <v>46279</v>
      </c>
      <c r="AU107" s="121" t="n">
        <v>46286</v>
      </c>
      <c r="AV107" s="121" t="n">
        <v>46293</v>
      </c>
      <c r="AW107" s="120" t="inlineStr">
        <is>
          <t>USOU</t>
        </is>
      </c>
      <c r="AX107" s="121" t="n">
        <v>46300</v>
      </c>
      <c r="AY107" s="121" t="n">
        <v>46307</v>
      </c>
      <c r="AZ107" s="121" t="n">
        <v>46314</v>
      </c>
      <c r="BA107" s="121" t="n">
        <v>46321</v>
      </c>
      <c r="BB107" s="120" t="inlineStr">
        <is>
          <t>USOU</t>
        </is>
      </c>
      <c r="BC107" s="121" t="n">
        <v>46328</v>
      </c>
      <c r="BD107" s="121" t="n">
        <v>46335</v>
      </c>
      <c r="BE107" s="121" t="n">
        <v>46342</v>
      </c>
      <c r="BF107" s="121" t="n">
        <v>46349</v>
      </c>
      <c r="BG107" s="121" t="n">
        <v>46356</v>
      </c>
      <c r="BH107" s="120" t="inlineStr">
        <is>
          <t>USOU</t>
        </is>
      </c>
      <c r="BI107" s="121" t="n">
        <v>46363</v>
      </c>
      <c r="BJ107" s="121" t="n">
        <v>46370</v>
      </c>
      <c r="BK107" s="121" t="n">
        <v>46377</v>
      </c>
      <c r="BL107" s="121" t="n">
        <v>46384</v>
      </c>
      <c r="BM107" s="120" t="inlineStr">
        <is>
          <t>USOU</t>
        </is>
      </c>
    </row>
    <row r="108" ht="15.75" customHeight="1">
      <c r="A108" s="169" t="inlineStr">
        <is>
          <t>SACOLA PP VERDE</t>
        </is>
      </c>
      <c r="B108" s="115" t="n">
        <v>0</v>
      </c>
      <c r="C108" s="115" t="n">
        <v>0</v>
      </c>
      <c r="D108" s="115" t="n">
        <v>0</v>
      </c>
      <c r="E108" s="115" t="n">
        <v>0</v>
      </c>
      <c r="F108" s="114">
        <f>B108+C108+D108+E108</f>
        <v/>
      </c>
      <c r="G108" s="115" t="n">
        <v>300</v>
      </c>
      <c r="H108" s="115" t="n">
        <v>300</v>
      </c>
      <c r="I108" s="115" t="n"/>
      <c r="J108" s="115" t="n">
        <v>300</v>
      </c>
      <c r="K108" s="114">
        <f>G108+H108+I108+J108</f>
        <v/>
      </c>
      <c r="L108" s="115" t="n">
        <v>0</v>
      </c>
      <c r="M108" s="115" t="n">
        <v>300</v>
      </c>
      <c r="N108" s="115" t="n">
        <v>0</v>
      </c>
      <c r="O108" s="115" t="n">
        <v>300</v>
      </c>
      <c r="P108" s="115" t="n">
        <v>300</v>
      </c>
      <c r="Q108" s="114">
        <f>L108+M108+N108+O108+P108</f>
        <v/>
      </c>
      <c r="R108" s="115" t="n"/>
      <c r="S108" s="115" t="n"/>
      <c r="T108" s="115" t="n"/>
      <c r="U108" s="115" t="n"/>
      <c r="V108" s="114">
        <f>R108+S108+T108+U108</f>
        <v/>
      </c>
      <c r="W108" s="115" t="n">
        <v>0</v>
      </c>
      <c r="X108" s="115" t="n">
        <v>300</v>
      </c>
      <c r="Y108" s="115" t="n"/>
      <c r="Z108" s="115" t="n"/>
      <c r="AA108" s="114">
        <f>W108+X108+Y108+Z108</f>
        <v/>
      </c>
      <c r="AB108" s="115" t="n"/>
      <c r="AC108" s="115" t="n"/>
      <c r="AD108" s="115" t="n"/>
      <c r="AE108" s="115" t="n"/>
      <c r="AF108" s="115" t="n"/>
      <c r="AG108" s="114">
        <f>AB108+AC108+AD108+AE108+AF108</f>
        <v/>
      </c>
      <c r="AH108" s="115" t="n"/>
      <c r="AI108" s="115" t="n"/>
      <c r="AJ108" s="115" t="n"/>
      <c r="AK108" s="115" t="n"/>
      <c r="AL108" s="114">
        <f>AH108+AI108+AJ108+AK108</f>
        <v/>
      </c>
      <c r="AM108" s="115" t="n"/>
      <c r="AN108" s="115" t="n"/>
      <c r="AO108" s="115" t="n"/>
      <c r="AP108" s="115" t="n"/>
      <c r="AQ108" s="115" t="n"/>
      <c r="AR108" s="114">
        <f>AM108+AN108+AO108+AP108+AQ108</f>
        <v/>
      </c>
      <c r="AS108" s="115" t="n"/>
      <c r="AT108" s="115" t="n"/>
      <c r="AU108" s="115" t="n"/>
      <c r="AV108" s="115" t="n"/>
      <c r="AW108" s="114">
        <f>AS108+AT108+AU108+AV108</f>
        <v/>
      </c>
      <c r="AX108" s="115" t="n"/>
      <c r="AY108" s="115" t="n"/>
      <c r="AZ108" s="115" t="n"/>
      <c r="BA108" s="115" t="n"/>
      <c r="BB108" s="114">
        <f>AX108+AY108+AZ108+BA108</f>
        <v/>
      </c>
      <c r="BC108" s="115" t="n"/>
      <c r="BD108" s="115" t="n"/>
      <c r="BE108" s="115" t="n"/>
      <c r="BF108" s="115" t="n"/>
      <c r="BG108" s="115" t="n"/>
      <c r="BH108" s="114">
        <f>BC108+BD108+BE108+BF108+BG108</f>
        <v/>
      </c>
      <c r="BI108" s="115" t="n"/>
      <c r="BJ108" s="115" t="n"/>
      <c r="BK108" s="115" t="n"/>
      <c r="BL108" s="115" t="n"/>
      <c r="BM108" s="114">
        <f>BI108+BJ108+BK108+BL108</f>
        <v/>
      </c>
    </row>
    <row r="109" ht="15.75" customHeight="1">
      <c r="A109" s="118" t="inlineStr">
        <is>
          <t>SACOLA P VERDE</t>
        </is>
      </c>
      <c r="B109" s="115" t="n">
        <v>400</v>
      </c>
      <c r="C109" s="115" t="n">
        <v>800</v>
      </c>
      <c r="D109" s="115" t="n">
        <v>200</v>
      </c>
      <c r="E109" s="115" t="n">
        <v>2800</v>
      </c>
      <c r="F109" s="114">
        <f>B109+C109+D109+E109</f>
        <v/>
      </c>
      <c r="G109" s="115" t="n">
        <v>600</v>
      </c>
      <c r="H109" s="115" t="n">
        <v>800</v>
      </c>
      <c r="I109" s="115" t="n"/>
      <c r="J109" s="115" t="n">
        <v>800</v>
      </c>
      <c r="K109" s="114">
        <f>G109+H109+I109+J109</f>
        <v/>
      </c>
      <c r="L109" s="115" t="n">
        <v>1200</v>
      </c>
      <c r="M109" s="115" t="n">
        <v>1400</v>
      </c>
      <c r="N109" s="115" t="n">
        <v>1400</v>
      </c>
      <c r="O109" s="115" t="n">
        <v>800</v>
      </c>
      <c r="P109" s="115" t="n">
        <v>800</v>
      </c>
      <c r="Q109" s="114">
        <f>L109+M109+N109+O109+P109</f>
        <v/>
      </c>
      <c r="R109" s="115" t="n"/>
      <c r="S109" s="115" t="n"/>
      <c r="T109" s="115" t="n"/>
      <c r="U109" s="115" t="n"/>
      <c r="V109" s="114">
        <f>R109+S109+T109+U109</f>
        <v/>
      </c>
      <c r="W109" s="115" t="n">
        <v>0</v>
      </c>
      <c r="X109" s="115" t="n">
        <v>1600</v>
      </c>
      <c r="Y109" s="115" t="n"/>
      <c r="Z109" s="115" t="n"/>
      <c r="AA109" s="114">
        <f>W109+X109+Y109+Z109</f>
        <v/>
      </c>
      <c r="AB109" s="115" t="n"/>
      <c r="AC109" s="115" t="n"/>
      <c r="AD109" s="115" t="n"/>
      <c r="AE109" s="115" t="n"/>
      <c r="AF109" s="115" t="n"/>
      <c r="AG109" s="114">
        <f>AB109+AC109+AD109+AE109+AF109</f>
        <v/>
      </c>
      <c r="AH109" s="115" t="n"/>
      <c r="AI109" s="115" t="n"/>
      <c r="AJ109" s="115" t="n"/>
      <c r="AK109" s="115" t="n"/>
      <c r="AL109" s="114">
        <f>AH109+AI109+AJ109+AK109</f>
        <v/>
      </c>
      <c r="AM109" s="115" t="n"/>
      <c r="AN109" s="115" t="n"/>
      <c r="AO109" s="115" t="n"/>
      <c r="AP109" s="115" t="n"/>
      <c r="AQ109" s="115" t="n"/>
      <c r="AR109" s="114">
        <f>AM109+AN109+AO109+AP109+AQ109</f>
        <v/>
      </c>
      <c r="AS109" s="115" t="n"/>
      <c r="AT109" s="115" t="n"/>
      <c r="AU109" s="115" t="n"/>
      <c r="AV109" s="115" t="n"/>
      <c r="AW109" s="114">
        <f>AS109+AT109+AU109+AV109</f>
        <v/>
      </c>
      <c r="AX109" s="115" t="n"/>
      <c r="AY109" s="115" t="n"/>
      <c r="AZ109" s="115" t="n"/>
      <c r="BA109" s="115" t="n"/>
      <c r="BB109" s="114">
        <f>AX109+AY109+AZ109+BA109</f>
        <v/>
      </c>
      <c r="BC109" s="115" t="n"/>
      <c r="BD109" s="115" t="n"/>
      <c r="BE109" s="115" t="n"/>
      <c r="BF109" s="115" t="n"/>
      <c r="BG109" s="115" t="n"/>
      <c r="BH109" s="114">
        <f>BC109+BD109+BE109+BF109+BG109</f>
        <v/>
      </c>
      <c r="BI109" s="115" t="n"/>
      <c r="BJ109" s="115" t="n"/>
      <c r="BK109" s="115" t="n"/>
      <c r="BL109" s="115" t="n"/>
      <c r="BM109" s="114">
        <f>BI109+BJ109+BK109+BL109</f>
        <v/>
      </c>
    </row>
    <row r="110" ht="15.75" customHeight="1">
      <c r="A110" s="118" t="inlineStr">
        <is>
          <t>SACOLA M VERDE</t>
        </is>
      </c>
      <c r="B110" s="115" t="n">
        <v>0</v>
      </c>
      <c r="C110" s="115" t="n">
        <v>200</v>
      </c>
      <c r="D110" s="115" t="n">
        <v>0</v>
      </c>
      <c r="E110" s="115" t="n">
        <v>0</v>
      </c>
      <c r="F110" s="114">
        <f>B110+C110+D110+E110</f>
        <v/>
      </c>
      <c r="G110" s="115" t="n">
        <v>200</v>
      </c>
      <c r="H110" s="115" t="n">
        <v>0</v>
      </c>
      <c r="I110" s="115" t="n"/>
      <c r="J110" s="115" t="n">
        <v>300</v>
      </c>
      <c r="K110" s="114">
        <f>G110+H110+I110+J110</f>
        <v/>
      </c>
      <c r="L110" s="115" t="n">
        <v>400</v>
      </c>
      <c r="M110" s="115" t="n">
        <v>0</v>
      </c>
      <c r="N110" s="115" t="n">
        <v>0</v>
      </c>
      <c r="O110" s="115" t="n">
        <v>0</v>
      </c>
      <c r="P110" s="115" t="n">
        <v>0</v>
      </c>
      <c r="Q110" s="114">
        <f>L110+M110+N110+O110+P110</f>
        <v/>
      </c>
      <c r="R110" s="115" t="n"/>
      <c r="S110" s="115" t="n"/>
      <c r="T110" s="115" t="n"/>
      <c r="U110" s="115" t="n"/>
      <c r="V110" s="114">
        <f>R110+S110+T110+U110</f>
        <v/>
      </c>
      <c r="W110" s="115" t="n">
        <v>0</v>
      </c>
      <c r="X110" s="115" t="n">
        <v>0</v>
      </c>
      <c r="Y110" s="115" t="n"/>
      <c r="Z110" s="115" t="n"/>
      <c r="AA110" s="114">
        <f>W110+X110+Y110+Z110</f>
        <v/>
      </c>
      <c r="AB110" s="115" t="n"/>
      <c r="AC110" s="115" t="n"/>
      <c r="AD110" s="115" t="n"/>
      <c r="AE110" s="115" t="n"/>
      <c r="AF110" s="115" t="n"/>
      <c r="AG110" s="114">
        <f>AB110+AC110+AD110+AE110+AF110</f>
        <v/>
      </c>
      <c r="AH110" s="115" t="n"/>
      <c r="AI110" s="115" t="n"/>
      <c r="AJ110" s="115" t="n"/>
      <c r="AK110" s="115" t="n"/>
      <c r="AL110" s="114">
        <f>AH110+AI110+AJ110+AK110</f>
        <v/>
      </c>
      <c r="AM110" s="115" t="n"/>
      <c r="AN110" s="115" t="n"/>
      <c r="AO110" s="115" t="n"/>
      <c r="AP110" s="115" t="n"/>
      <c r="AQ110" s="115" t="n"/>
      <c r="AR110" s="114">
        <f>AM110+AN110+AO110+AP110+AQ110</f>
        <v/>
      </c>
      <c r="AS110" s="115" t="n"/>
      <c r="AT110" s="115" t="n"/>
      <c r="AU110" s="115" t="n"/>
      <c r="AV110" s="115" t="n"/>
      <c r="AW110" s="114">
        <f>AS110+AT110+AU110+AV110</f>
        <v/>
      </c>
      <c r="AX110" s="115" t="n"/>
      <c r="AY110" s="115" t="n"/>
      <c r="AZ110" s="115" t="n"/>
      <c r="BA110" s="115" t="n"/>
      <c r="BB110" s="114">
        <f>AX110+AY110+AZ110+BA110</f>
        <v/>
      </c>
      <c r="BC110" s="115" t="n"/>
      <c r="BD110" s="115" t="n"/>
      <c r="BE110" s="115" t="n"/>
      <c r="BF110" s="115" t="n"/>
      <c r="BG110" s="115" t="n"/>
      <c r="BH110" s="114">
        <f>BC110+BD110+BE110+BF110+BG110</f>
        <v/>
      </c>
      <c r="BI110" s="115" t="n"/>
      <c r="BJ110" s="115" t="n"/>
      <c r="BK110" s="115" t="n"/>
      <c r="BL110" s="115" t="n"/>
      <c r="BM110" s="114">
        <f>BI110+BJ110+BK110+BL110</f>
        <v/>
      </c>
    </row>
    <row r="111" ht="15.75" customHeight="1">
      <c r="A111" s="117" t="inlineStr">
        <is>
          <t>SACOLA G VERDE</t>
        </is>
      </c>
      <c r="B111" s="115" t="n">
        <v>0</v>
      </c>
      <c r="C111" s="115" t="n">
        <v>0</v>
      </c>
      <c r="D111" s="115" t="n">
        <v>0</v>
      </c>
      <c r="E111" s="115" t="n">
        <v>0</v>
      </c>
      <c r="F111" s="114">
        <f>B111+C111+D111+E111</f>
        <v/>
      </c>
      <c r="G111" s="115" t="n">
        <v>0</v>
      </c>
      <c r="H111" s="115" t="n">
        <v>0</v>
      </c>
      <c r="I111" s="115" t="n"/>
      <c r="J111" s="115" t="n">
        <v>300</v>
      </c>
      <c r="K111" s="114">
        <f>G111+H111+I111+J111</f>
        <v/>
      </c>
      <c r="L111" s="115" t="n">
        <v>100</v>
      </c>
      <c r="M111" s="115" t="n">
        <v>100</v>
      </c>
      <c r="N111" s="115" t="n">
        <v>0</v>
      </c>
      <c r="O111" s="115" t="n">
        <v>0</v>
      </c>
      <c r="P111" s="115" t="n">
        <v>100</v>
      </c>
      <c r="Q111" s="114">
        <f>L111+M111+N111+O111+P111</f>
        <v/>
      </c>
      <c r="R111" s="115" t="n"/>
      <c r="S111" s="115" t="n"/>
      <c r="T111" s="115" t="n"/>
      <c r="U111" s="115" t="n"/>
      <c r="V111" s="114">
        <f>R111+S111+T111+U111</f>
        <v/>
      </c>
      <c r="W111" s="115" t="n">
        <v>100</v>
      </c>
      <c r="X111" s="115" t="n">
        <v>600</v>
      </c>
      <c r="Y111" s="115" t="n"/>
      <c r="Z111" s="115" t="n"/>
      <c r="AA111" s="114">
        <f>W111+X111+Y111+Z111</f>
        <v/>
      </c>
      <c r="AB111" s="115" t="n"/>
      <c r="AC111" s="115" t="n"/>
      <c r="AD111" s="115" t="n"/>
      <c r="AE111" s="115" t="n"/>
      <c r="AF111" s="115" t="n"/>
      <c r="AG111" s="114">
        <f>AB111+AC111+AD111+AE111+AF111</f>
        <v/>
      </c>
      <c r="AH111" s="115" t="n"/>
      <c r="AI111" s="115" t="n"/>
      <c r="AJ111" s="115" t="n"/>
      <c r="AK111" s="115" t="n"/>
      <c r="AL111" s="114">
        <f>AH111+AI111+AJ111+AK111</f>
        <v/>
      </c>
      <c r="AM111" s="115" t="n"/>
      <c r="AN111" s="115" t="n"/>
      <c r="AO111" s="115" t="n"/>
      <c r="AP111" s="115" t="n"/>
      <c r="AQ111" s="115" t="n"/>
      <c r="AR111" s="114">
        <f>AM111+AN111+AO111+AP111+AQ111</f>
        <v/>
      </c>
      <c r="AS111" s="115" t="n"/>
      <c r="AT111" s="115" t="n"/>
      <c r="AU111" s="115" t="n"/>
      <c r="AV111" s="115" t="n"/>
      <c r="AW111" s="114">
        <f>AS111+AT111+AU111+AV111</f>
        <v/>
      </c>
      <c r="AX111" s="115" t="n"/>
      <c r="AY111" s="115" t="n"/>
      <c r="AZ111" s="115" t="n"/>
      <c r="BA111" s="115" t="n"/>
      <c r="BB111" s="114">
        <f>AX111+AY111+AZ111+BA111</f>
        <v/>
      </c>
      <c r="BC111" s="115" t="n"/>
      <c r="BD111" s="115" t="n"/>
      <c r="BE111" s="115" t="n"/>
      <c r="BF111" s="115" t="n"/>
      <c r="BG111" s="115" t="n"/>
      <c r="BH111" s="114">
        <f>BC111+BD111+BE111+BF111+BG111</f>
        <v/>
      </c>
      <c r="BI111" s="115" t="n"/>
      <c r="BJ111" s="115" t="n"/>
      <c r="BK111" s="115" t="n"/>
      <c r="BL111" s="115" t="n"/>
      <c r="BM111" s="114">
        <f>BI111+BJ111+BK111+BL111</f>
        <v/>
      </c>
    </row>
    <row r="112" ht="15.75" customHeight="1">
      <c r="A112" s="116" t="inlineStr">
        <is>
          <t>SACO M OUI (BRINDE)</t>
        </is>
      </c>
      <c r="B112" s="115" t="n">
        <v>0</v>
      </c>
      <c r="C112" s="115" t="n">
        <v>0</v>
      </c>
      <c r="D112" s="115" t="n">
        <v>0</v>
      </c>
      <c r="E112" s="115" t="n">
        <v>0</v>
      </c>
      <c r="F112" s="114">
        <f>B112+C112+D112+E112</f>
        <v/>
      </c>
      <c r="G112" s="115" t="n">
        <v>0</v>
      </c>
      <c r="H112" s="115" t="n">
        <v>0</v>
      </c>
      <c r="I112" s="115" t="n"/>
      <c r="J112" s="115" t="n">
        <v>0</v>
      </c>
      <c r="K112" s="114">
        <f>G112+H112+I112+J112</f>
        <v/>
      </c>
      <c r="L112" s="115" t="n">
        <v>0</v>
      </c>
      <c r="M112" s="115" t="n">
        <v>0</v>
      </c>
      <c r="N112" s="115" t="n">
        <v>0</v>
      </c>
      <c r="O112" s="115" t="n">
        <v>400</v>
      </c>
      <c r="P112" s="115" t="n">
        <v>0</v>
      </c>
      <c r="Q112" s="114">
        <f>L112+M112+N112+O112+P112</f>
        <v/>
      </c>
      <c r="R112" s="115" t="n"/>
      <c r="S112" s="115" t="n"/>
      <c r="T112" s="115" t="n"/>
      <c r="U112" s="115" t="n"/>
      <c r="V112" s="114">
        <f>R112+S112+T112+U112</f>
        <v/>
      </c>
      <c r="W112" s="115" t="n">
        <v>0</v>
      </c>
      <c r="X112" s="115" t="n">
        <v>0</v>
      </c>
      <c r="Y112" s="115" t="n"/>
      <c r="Z112" s="115" t="n"/>
      <c r="AA112" s="114">
        <f>W112+X112+Y112+Z112</f>
        <v/>
      </c>
      <c r="AB112" s="115" t="n"/>
      <c r="AC112" s="115" t="n"/>
      <c r="AD112" s="115" t="n"/>
      <c r="AE112" s="115" t="n"/>
      <c r="AF112" s="115" t="n"/>
      <c r="AG112" s="114">
        <f>AB112+AC112+AD112+AE112+AF112</f>
        <v/>
      </c>
      <c r="AH112" s="115" t="n"/>
      <c r="AI112" s="115" t="n"/>
      <c r="AJ112" s="115" t="n"/>
      <c r="AK112" s="115" t="n"/>
      <c r="AL112" s="114">
        <f>AH112+AI112+AJ112+AK112</f>
        <v/>
      </c>
      <c r="AM112" s="115" t="n"/>
      <c r="AN112" s="115" t="n"/>
      <c r="AO112" s="115" t="n"/>
      <c r="AP112" s="115" t="n"/>
      <c r="AQ112" s="115" t="n"/>
      <c r="AR112" s="114">
        <f>AM112+AN112+AO112+AP112+AQ112</f>
        <v/>
      </c>
      <c r="AS112" s="115" t="n"/>
      <c r="AT112" s="115" t="n"/>
      <c r="AU112" s="115" t="n"/>
      <c r="AV112" s="115" t="n"/>
      <c r="AW112" s="114">
        <f>AS112+AT112+AU112+AV112</f>
        <v/>
      </c>
      <c r="AX112" s="115" t="n"/>
      <c r="AY112" s="115" t="n"/>
      <c r="AZ112" s="115" t="n"/>
      <c r="BA112" s="115" t="n"/>
      <c r="BB112" s="114">
        <f>AX112+AY112+AZ112+BA112</f>
        <v/>
      </c>
      <c r="BC112" s="115" t="n"/>
      <c r="BD112" s="115" t="n"/>
      <c r="BE112" s="115" t="n"/>
      <c r="BF112" s="115" t="n"/>
      <c r="BG112" s="115" t="n"/>
      <c r="BH112" s="114">
        <f>BC112+BD112+BE112+BF112+BG112</f>
        <v/>
      </c>
      <c r="BI112" s="115" t="n"/>
      <c r="BJ112" s="115" t="n"/>
      <c r="BK112" s="115" t="n"/>
      <c r="BL112" s="115" t="n"/>
      <c r="BM112" s="114">
        <f>BI112+BJ112+BK112+BL112</f>
        <v/>
      </c>
    </row>
    <row r="113" ht="15.75" customHeight="1">
      <c r="A113" s="116" t="inlineStr">
        <is>
          <t>SACOLA P QDB</t>
        </is>
      </c>
      <c r="B113" s="279" t="n">
        <v>0</v>
      </c>
      <c r="C113" s="115" t="n">
        <v>0</v>
      </c>
      <c r="D113" s="115" t="n">
        <v>0</v>
      </c>
      <c r="E113" s="115" t="n">
        <v>0</v>
      </c>
      <c r="F113" s="114">
        <f>B113+C113+D113+E113</f>
        <v/>
      </c>
      <c r="G113" s="115" t="n">
        <v>0</v>
      </c>
      <c r="H113" s="115" t="n">
        <v>0</v>
      </c>
      <c r="I113" s="115" t="n"/>
      <c r="J113" s="115" t="n">
        <v>0</v>
      </c>
      <c r="K113" s="114">
        <f>G113+H113+I113+J113</f>
        <v/>
      </c>
      <c r="L113" s="115" t="n">
        <v>0</v>
      </c>
      <c r="M113" s="115" t="n">
        <v>0</v>
      </c>
      <c r="N113" s="115" t="n">
        <v>0</v>
      </c>
      <c r="O113" s="115" t="n">
        <v>0</v>
      </c>
      <c r="P113" s="115" t="n">
        <v>0</v>
      </c>
      <c r="Q113" s="114">
        <f>L113+M113+N113+O113+P113</f>
        <v/>
      </c>
      <c r="R113" s="115" t="n"/>
      <c r="S113" s="115" t="n"/>
      <c r="T113" s="115" t="n"/>
      <c r="U113" s="115" t="n"/>
      <c r="V113" s="114">
        <f>R113+S113+T113+U113</f>
        <v/>
      </c>
      <c r="W113" s="115" t="n">
        <v>0</v>
      </c>
      <c r="X113" s="115" t="n">
        <v>0</v>
      </c>
      <c r="Y113" s="115" t="n"/>
      <c r="Z113" s="115" t="n"/>
      <c r="AA113" s="114">
        <f>W113+X113+Y113+Z113</f>
        <v/>
      </c>
      <c r="AB113" s="115" t="n"/>
      <c r="AC113" s="115" t="n"/>
      <c r="AD113" s="115" t="n"/>
      <c r="AE113" s="115" t="n"/>
      <c r="AF113" s="115" t="n"/>
      <c r="AG113" s="114">
        <f>AB113+AC113+AD113+AE113+AF113</f>
        <v/>
      </c>
      <c r="AH113" s="115" t="n"/>
      <c r="AI113" s="115" t="n"/>
      <c r="AJ113" s="115" t="n"/>
      <c r="AK113" s="115" t="n"/>
      <c r="AL113" s="114">
        <f>AH113+AI113+AJ113+AK113</f>
        <v/>
      </c>
      <c r="AM113" s="115" t="n"/>
      <c r="AN113" s="115" t="n"/>
      <c r="AO113" s="115" t="n"/>
      <c r="AP113" s="115" t="n"/>
      <c r="AQ113" s="115" t="n"/>
      <c r="AR113" s="114">
        <f>AM113+AN113+AO113+AP113+AQ113</f>
        <v/>
      </c>
      <c r="AS113" s="115" t="n"/>
      <c r="AT113" s="115" t="n"/>
      <c r="AU113" s="115" t="n"/>
      <c r="AV113" s="115" t="n"/>
      <c r="AW113" s="114">
        <f>AS113+AT113+AU113+AV113</f>
        <v/>
      </c>
      <c r="AX113" s="115" t="n"/>
      <c r="AY113" s="115" t="n"/>
      <c r="AZ113" s="115" t="n"/>
      <c r="BA113" s="115" t="n"/>
      <c r="BB113" s="114">
        <f>AX113+AY113+AZ113+BA113</f>
        <v/>
      </c>
      <c r="BC113" s="115" t="n"/>
      <c r="BD113" s="115" t="n"/>
      <c r="BE113" s="115" t="n"/>
      <c r="BF113" s="115" t="n"/>
      <c r="BG113" s="115" t="n"/>
      <c r="BH113" s="114">
        <f>BC113+BD113+BE113+BF113+BG113</f>
        <v/>
      </c>
      <c r="BI113" s="115" t="n"/>
      <c r="BJ113" s="115" t="n"/>
      <c r="BK113" s="115" t="n"/>
      <c r="BL113" s="115" t="n"/>
      <c r="BM113" s="114">
        <f>BI113+BJ113+BK113+BL113</f>
        <v/>
      </c>
    </row>
    <row r="114" ht="15.75" customHeight="1">
      <c r="A114" s="116" t="inlineStr">
        <is>
          <t>SACOLA M QDB</t>
        </is>
      </c>
      <c r="B114" s="279" t="n">
        <v>0</v>
      </c>
      <c r="C114" s="115" t="n">
        <v>0</v>
      </c>
      <c r="D114" s="115" t="n">
        <v>0</v>
      </c>
      <c r="E114" s="115" t="n">
        <v>0</v>
      </c>
      <c r="F114" s="114">
        <f>B114+C114+D114+E114</f>
        <v/>
      </c>
      <c r="G114" s="115" t="n">
        <v>0</v>
      </c>
      <c r="H114" s="115" t="n">
        <v>0</v>
      </c>
      <c r="I114" s="115" t="n"/>
      <c r="J114" s="115" t="n">
        <v>0</v>
      </c>
      <c r="K114" s="114">
        <f>G114+H114+I114+J114</f>
        <v/>
      </c>
      <c r="L114" s="115" t="n">
        <v>0</v>
      </c>
      <c r="M114" s="115" t="n">
        <v>0</v>
      </c>
      <c r="N114" s="115" t="n">
        <v>0</v>
      </c>
      <c r="O114" s="115" t="n">
        <v>0</v>
      </c>
      <c r="P114" s="115" t="n">
        <v>0</v>
      </c>
      <c r="Q114" s="114">
        <f>L114+M114+N114+O114+P114</f>
        <v/>
      </c>
      <c r="R114" s="115" t="n"/>
      <c r="S114" s="115" t="n"/>
      <c r="T114" s="115" t="n"/>
      <c r="U114" s="115" t="n"/>
      <c r="V114" s="114">
        <f>R114+S114+T114+U114</f>
        <v/>
      </c>
      <c r="W114" s="115" t="n">
        <v>0</v>
      </c>
      <c r="X114" s="115" t="n">
        <v>0</v>
      </c>
      <c r="Y114" s="115" t="n"/>
      <c r="Z114" s="115" t="n"/>
      <c r="AA114" s="114">
        <f>W114+X114+Y114+Z114</f>
        <v/>
      </c>
      <c r="AB114" s="115" t="n"/>
      <c r="AC114" s="115" t="n"/>
      <c r="AD114" s="115" t="n"/>
      <c r="AE114" s="115" t="n"/>
      <c r="AF114" s="115" t="n"/>
      <c r="AG114" s="114">
        <f>AB114+AC114+AD114+AE114+AF114</f>
        <v/>
      </c>
      <c r="AH114" s="115" t="n"/>
      <c r="AI114" s="115" t="n"/>
      <c r="AJ114" s="115" t="n"/>
      <c r="AK114" s="115" t="n"/>
      <c r="AL114" s="114">
        <f>AH114+AI114+AJ114+AK114</f>
        <v/>
      </c>
      <c r="AM114" s="115" t="n"/>
      <c r="AN114" s="115" t="n"/>
      <c r="AO114" s="115" t="n"/>
      <c r="AP114" s="115" t="n"/>
      <c r="AQ114" s="115" t="n"/>
      <c r="AR114" s="114">
        <f>AM114+AN114+AO114+AP114+AQ114</f>
        <v/>
      </c>
      <c r="AS114" s="115" t="n"/>
      <c r="AT114" s="115" t="n"/>
      <c r="AU114" s="115" t="n"/>
      <c r="AV114" s="115" t="n"/>
      <c r="AW114" s="114">
        <f>AS114+AT114+AU114+AV114</f>
        <v/>
      </c>
      <c r="AX114" s="115" t="n"/>
      <c r="AY114" s="115" t="n"/>
      <c r="AZ114" s="115" t="n"/>
      <c r="BA114" s="115" t="n"/>
      <c r="BB114" s="114">
        <f>AX114+AY114+AZ114+BA114</f>
        <v/>
      </c>
      <c r="BC114" s="115" t="n"/>
      <c r="BD114" s="115" t="n"/>
      <c r="BE114" s="115" t="n"/>
      <c r="BF114" s="115" t="n"/>
      <c r="BG114" s="115" t="n"/>
      <c r="BH114" s="114">
        <f>BC114+BD114+BE114+BF114+BG114</f>
        <v/>
      </c>
      <c r="BI114" s="115" t="n"/>
      <c r="BJ114" s="115" t="n"/>
      <c r="BK114" s="115" t="n"/>
      <c r="BL114" s="115" t="n"/>
      <c r="BM114" s="114">
        <f>BI114+BJ114+BK114+BL114</f>
        <v/>
      </c>
    </row>
    <row r="115" ht="15.75" customHeight="1">
      <c r="A115" s="116" t="inlineStr">
        <is>
          <t>SACOLA G QDB</t>
        </is>
      </c>
      <c r="B115" s="279" t="n">
        <v>0</v>
      </c>
      <c r="C115" s="115" t="n">
        <v>0</v>
      </c>
      <c r="D115" s="115" t="n">
        <v>0</v>
      </c>
      <c r="E115" s="115" t="n">
        <v>0</v>
      </c>
      <c r="F115" s="114">
        <f>B115+C115+D115+E115</f>
        <v/>
      </c>
      <c r="G115" s="115" t="n">
        <v>0</v>
      </c>
      <c r="H115" s="115" t="n">
        <v>0</v>
      </c>
      <c r="I115" s="115" t="n"/>
      <c r="J115" s="115" t="n">
        <v>0</v>
      </c>
      <c r="K115" s="114">
        <f>G115+H115+I115+J115</f>
        <v/>
      </c>
      <c r="L115" s="115" t="n">
        <v>0</v>
      </c>
      <c r="M115" s="115" t="n">
        <v>0</v>
      </c>
      <c r="N115" s="115" t="n">
        <v>0</v>
      </c>
      <c r="O115" s="115" t="n">
        <v>0</v>
      </c>
      <c r="P115" s="115" t="n">
        <v>0</v>
      </c>
      <c r="Q115" s="114">
        <f>L115+M115+N115+O115+P115</f>
        <v/>
      </c>
      <c r="R115" s="115" t="n"/>
      <c r="S115" s="115" t="n"/>
      <c r="T115" s="115" t="n"/>
      <c r="U115" s="115" t="n"/>
      <c r="V115" s="114">
        <f>R115+S115+T115+U115</f>
        <v/>
      </c>
      <c r="W115" s="115" t="n">
        <v>0</v>
      </c>
      <c r="X115" s="115" t="n">
        <v>0</v>
      </c>
      <c r="Y115" s="115" t="n"/>
      <c r="Z115" s="115" t="n"/>
      <c r="AA115" s="114">
        <f>W115+X115+Y115+Z115</f>
        <v/>
      </c>
      <c r="AB115" s="115" t="n"/>
      <c r="AC115" s="115" t="n"/>
      <c r="AD115" s="115" t="n"/>
      <c r="AE115" s="115" t="n"/>
      <c r="AF115" s="115" t="n"/>
      <c r="AG115" s="114">
        <f>AB115+AC115+AD115+AE115+AF115</f>
        <v/>
      </c>
      <c r="AH115" s="115" t="n"/>
      <c r="AI115" s="115" t="n"/>
      <c r="AJ115" s="115" t="n"/>
      <c r="AK115" s="115" t="n"/>
      <c r="AL115" s="114">
        <f>AH115+AI115+AJ115+AK115</f>
        <v/>
      </c>
      <c r="AM115" s="115" t="n"/>
      <c r="AN115" s="115" t="n"/>
      <c r="AO115" s="115" t="n"/>
      <c r="AP115" s="115" t="n"/>
      <c r="AQ115" s="115" t="n"/>
      <c r="AR115" s="114">
        <f>AM115+AN115+AO115+AP115+AQ115</f>
        <v/>
      </c>
      <c r="AS115" s="115" t="n"/>
      <c r="AT115" s="115" t="n"/>
      <c r="AU115" s="115" t="n"/>
      <c r="AV115" s="115" t="n"/>
      <c r="AW115" s="114">
        <f>AS115+AT115+AU115+AV115</f>
        <v/>
      </c>
      <c r="AX115" s="115" t="n"/>
      <c r="AY115" s="115" t="n"/>
      <c r="AZ115" s="115" t="n"/>
      <c r="BA115" s="115" t="n"/>
      <c r="BB115" s="114">
        <f>AX115+AY115+AZ115+BA115</f>
        <v/>
      </c>
      <c r="BC115" s="115" t="n"/>
      <c r="BD115" s="115" t="n"/>
      <c r="BE115" s="115" t="n"/>
      <c r="BF115" s="115" t="n"/>
      <c r="BG115" s="115" t="n"/>
      <c r="BH115" s="114">
        <f>BC115+BD115+BE115+BF115+BG115</f>
        <v/>
      </c>
      <c r="BI115" s="115" t="n"/>
      <c r="BJ115" s="115" t="n"/>
      <c r="BK115" s="115" t="n"/>
      <c r="BL115" s="115" t="n"/>
      <c r="BM115" s="114">
        <f>BI115+BJ115+BK115+BL115</f>
        <v/>
      </c>
    </row>
    <row r="116" ht="15" customHeight="1">
      <c r="A116" s="116" t="inlineStr">
        <is>
          <t>SACOLA P EUDORA</t>
        </is>
      </c>
      <c r="B116" s="279" t="n">
        <v>200</v>
      </c>
      <c r="C116" s="279" t="n">
        <v>200</v>
      </c>
      <c r="D116" s="279" t="n">
        <v>200</v>
      </c>
      <c r="E116" s="279" t="n">
        <v>200</v>
      </c>
      <c r="F116" s="114">
        <f>B116+C116+D116+E116</f>
        <v/>
      </c>
      <c r="G116" s="279" t="n">
        <v>200</v>
      </c>
      <c r="H116" s="279" t="n">
        <v>400</v>
      </c>
      <c r="I116" s="279" t="n"/>
      <c r="J116" s="279" t="n">
        <v>1000</v>
      </c>
      <c r="K116" s="114">
        <f>G116+H116+I116+J116</f>
        <v/>
      </c>
      <c r="L116" s="279" t="n">
        <v>200</v>
      </c>
      <c r="M116" s="279" t="n">
        <v>200</v>
      </c>
      <c r="N116" s="279" t="n">
        <v>200</v>
      </c>
      <c r="O116" s="279" t="n">
        <v>0</v>
      </c>
      <c r="P116" s="279" t="n">
        <v>400</v>
      </c>
      <c r="Q116" s="114">
        <f>L116+M116+N116+O116+P116</f>
        <v/>
      </c>
      <c r="R116" s="279" t="n"/>
      <c r="S116" s="279" t="n"/>
      <c r="T116" s="279" t="n"/>
      <c r="U116" s="279" t="n"/>
      <c r="V116" s="114">
        <f>R116+S116+T116+U116</f>
        <v/>
      </c>
      <c r="W116" s="279" t="n">
        <v>200</v>
      </c>
      <c r="X116" s="279" t="n">
        <v>800</v>
      </c>
      <c r="Y116" s="279" t="n"/>
      <c r="Z116" s="279" t="n"/>
      <c r="AA116" s="114">
        <f>W116+X116+Y116+Z116</f>
        <v/>
      </c>
      <c r="AB116" s="279" t="n"/>
      <c r="AC116" s="279" t="n"/>
      <c r="AD116" s="279" t="n"/>
      <c r="AE116" s="279" t="n"/>
      <c r="AF116" s="279" t="n"/>
      <c r="AG116" s="114">
        <f>AB116+AC116+AD116+AE116+AF116</f>
        <v/>
      </c>
      <c r="AH116" s="279" t="n"/>
      <c r="AI116" s="279" t="n"/>
      <c r="AJ116" s="279" t="n"/>
      <c r="AK116" s="279" t="n"/>
      <c r="AL116" s="114">
        <f>AH116+AI116+AJ116+AK116</f>
        <v/>
      </c>
      <c r="AM116" s="115" t="n"/>
      <c r="AN116" s="115" t="n"/>
      <c r="AO116" s="115" t="n"/>
      <c r="AP116" s="115" t="n"/>
      <c r="AQ116" s="115" t="n"/>
      <c r="AR116" s="114">
        <f>AM116+AN116+AO116+AP116+AQ116</f>
        <v/>
      </c>
      <c r="AS116" s="115" t="n"/>
      <c r="AT116" s="115" t="n"/>
      <c r="AU116" s="115" t="n"/>
      <c r="AV116" s="115" t="n"/>
      <c r="AW116" s="114">
        <f>AS116+AT116+AU116+AV116</f>
        <v/>
      </c>
      <c r="AX116" s="115" t="n"/>
      <c r="AY116" s="115" t="n"/>
      <c r="AZ116" s="115" t="n"/>
      <c r="BA116" s="115" t="n"/>
      <c r="BB116" s="114">
        <f>AX116+AY116+AZ116+BA116</f>
        <v/>
      </c>
      <c r="BC116" s="115" t="n"/>
      <c r="BD116" s="115" t="n"/>
      <c r="BE116" s="115" t="n"/>
      <c r="BF116" s="115" t="n"/>
      <c r="BG116" s="115" t="n"/>
      <c r="BH116" s="114">
        <f>BC116+BD116+BE116+BF116+BG116</f>
        <v/>
      </c>
      <c r="BI116" s="115" t="n"/>
      <c r="BJ116" s="115" t="n"/>
      <c r="BK116" s="115" t="n"/>
      <c r="BL116" s="115" t="n"/>
      <c r="BM116" s="114">
        <f>BI116+BJ116+BK116+BL116</f>
        <v/>
      </c>
    </row>
    <row r="117" ht="15.75" customHeight="1">
      <c r="A117" s="116" t="inlineStr">
        <is>
          <t>SACOLA M EUDORA</t>
        </is>
      </c>
      <c r="B117" s="279" t="n">
        <v>200</v>
      </c>
      <c r="C117" s="279" t="n">
        <v>0</v>
      </c>
      <c r="D117" s="279" t="n">
        <v>0</v>
      </c>
      <c r="E117" s="279" t="n">
        <v>0</v>
      </c>
      <c r="F117" s="114">
        <f>B117+C117+D117+E117</f>
        <v/>
      </c>
      <c r="G117" s="279" t="n">
        <v>0</v>
      </c>
      <c r="H117" s="279" t="n">
        <v>0</v>
      </c>
      <c r="I117" s="279" t="n"/>
      <c r="J117" s="279" t="n">
        <v>0</v>
      </c>
      <c r="K117" s="114">
        <f>G117+H117+I117+J117</f>
        <v/>
      </c>
      <c r="L117" s="279" t="n">
        <v>600</v>
      </c>
      <c r="M117" s="279" t="n">
        <v>0</v>
      </c>
      <c r="N117" s="279" t="n">
        <v>0</v>
      </c>
      <c r="O117" s="279" t="n">
        <v>200</v>
      </c>
      <c r="P117" s="279" t="n">
        <v>200</v>
      </c>
      <c r="Q117" s="114">
        <f>L117+M117+N117+O117+P117</f>
        <v/>
      </c>
      <c r="R117" s="279" t="n"/>
      <c r="S117" s="279" t="n"/>
      <c r="T117" s="279" t="n"/>
      <c r="U117" s="279" t="n"/>
      <c r="V117" s="114">
        <f>R117+S117+T117+U117</f>
        <v/>
      </c>
      <c r="W117" s="279" t="n">
        <v>0</v>
      </c>
      <c r="X117" s="279" t="n">
        <v>0</v>
      </c>
      <c r="Y117" s="279" t="n"/>
      <c r="Z117" s="279" t="n"/>
      <c r="AA117" s="114">
        <f>W117+X117+Y117+Z117</f>
        <v/>
      </c>
      <c r="AB117" s="279" t="n"/>
      <c r="AC117" s="279" t="n"/>
      <c r="AD117" s="279" t="n"/>
      <c r="AE117" s="279" t="n"/>
      <c r="AF117" s="279" t="n"/>
      <c r="AG117" s="114">
        <f>AB117+AC117+AD117+AE117+AF117</f>
        <v/>
      </c>
      <c r="AH117" s="279" t="n"/>
      <c r="AI117" s="279" t="n"/>
      <c r="AJ117" s="279" t="n"/>
      <c r="AK117" s="279" t="n"/>
      <c r="AL117" s="114">
        <f>AH117+AI117+AJ117+AK117</f>
        <v/>
      </c>
      <c r="AM117" s="115" t="n"/>
      <c r="AN117" s="115" t="n"/>
      <c r="AO117" s="115" t="n"/>
      <c r="AP117" s="115" t="n"/>
      <c r="AQ117" s="115" t="n"/>
      <c r="AR117" s="114">
        <f>AM117+AN117+AO117+AP117+AQ117</f>
        <v/>
      </c>
      <c r="AS117" s="115" t="n"/>
      <c r="AT117" s="115" t="n"/>
      <c r="AU117" s="115" t="n"/>
      <c r="AV117" s="115" t="n"/>
      <c r="AW117" s="114">
        <f>AS117+AT117+AU117+AV117</f>
        <v/>
      </c>
      <c r="AX117" s="115" t="n"/>
      <c r="AY117" s="115" t="n"/>
      <c r="AZ117" s="115" t="n"/>
      <c r="BA117" s="115" t="n"/>
      <c r="BB117" s="114">
        <f>AX117+AY117+AZ117+BA117</f>
        <v/>
      </c>
      <c r="BC117" s="115" t="n"/>
      <c r="BD117" s="115" t="n"/>
      <c r="BE117" s="115" t="n"/>
      <c r="BF117" s="115" t="n"/>
      <c r="BG117" s="115" t="n"/>
      <c r="BH117" s="114">
        <f>BC117+BD117+BE117+BF117+BG117</f>
        <v/>
      </c>
      <c r="BI117" s="115" t="n"/>
      <c r="BJ117" s="115" t="n"/>
      <c r="BK117" s="115" t="n"/>
      <c r="BL117" s="115" t="n"/>
      <c r="BM117" s="114">
        <f>BI117+BJ117+BK117+BL117</f>
        <v/>
      </c>
    </row>
    <row r="118" ht="15.75" customHeight="1">
      <c r="A118" s="116" t="inlineStr">
        <is>
          <t>SACOLA G EUDORA</t>
        </is>
      </c>
      <c r="B118" s="279" t="n">
        <v>0</v>
      </c>
      <c r="C118" s="279" t="n">
        <v>100</v>
      </c>
      <c r="D118" s="279" t="n">
        <v>0</v>
      </c>
      <c r="E118" s="279" t="n">
        <v>0</v>
      </c>
      <c r="F118" s="114">
        <f>B118+C118+D118+E118</f>
        <v/>
      </c>
      <c r="G118" s="279" t="n">
        <v>0</v>
      </c>
      <c r="H118" s="279" t="n">
        <v>0</v>
      </c>
      <c r="I118" s="279" t="n"/>
      <c r="J118" s="279" t="n">
        <v>0</v>
      </c>
      <c r="K118" s="114">
        <f>G118+H118+I118+J118</f>
        <v/>
      </c>
      <c r="L118" s="279" t="n">
        <v>0</v>
      </c>
      <c r="M118" s="279" t="n">
        <v>0</v>
      </c>
      <c r="N118" s="279" t="n">
        <v>0</v>
      </c>
      <c r="O118" s="279" t="n">
        <v>800</v>
      </c>
      <c r="P118" s="279" t="n">
        <v>200</v>
      </c>
      <c r="Q118" s="114">
        <f>L118+M118+N118+O118+P118</f>
        <v/>
      </c>
      <c r="R118" s="279" t="n"/>
      <c r="S118" s="279" t="n"/>
      <c r="T118" s="279" t="n"/>
      <c r="U118" s="279" t="n"/>
      <c r="V118" s="114">
        <f>R118+S118+T118+U118</f>
        <v/>
      </c>
      <c r="W118" s="279" t="n">
        <v>0</v>
      </c>
      <c r="X118" s="279" t="n">
        <v>0</v>
      </c>
      <c r="Y118" s="279" t="n"/>
      <c r="Z118" s="279" t="n"/>
      <c r="AA118" s="114">
        <f>W118+X118+Y118+Z118</f>
        <v/>
      </c>
      <c r="AB118" s="279" t="n"/>
      <c r="AC118" s="279" t="n"/>
      <c r="AD118" s="279" t="n"/>
      <c r="AE118" s="279" t="n"/>
      <c r="AF118" s="279" t="n"/>
      <c r="AG118" s="114">
        <f>AB118+AC118+AD118+AE118+AF118</f>
        <v/>
      </c>
      <c r="AH118" s="279" t="n"/>
      <c r="AI118" s="279" t="n"/>
      <c r="AJ118" s="279" t="n"/>
      <c r="AK118" s="279" t="n"/>
      <c r="AL118" s="114">
        <f>AH118+AI118+AJ118+AK118</f>
        <v/>
      </c>
      <c r="AM118" s="115" t="n"/>
      <c r="AN118" s="115" t="n"/>
      <c r="AO118" s="115" t="n"/>
      <c r="AP118" s="115" t="n"/>
      <c r="AQ118" s="115" t="n"/>
      <c r="AR118" s="114">
        <f>AM118+AN118+AO118+AP118+AQ118</f>
        <v/>
      </c>
      <c r="AS118" s="115" t="n"/>
      <c r="AT118" s="115" t="n"/>
      <c r="AU118" s="115" t="n"/>
      <c r="AV118" s="115" t="n"/>
      <c r="AW118" s="114">
        <f>AS118+AT118+AU118+AV118</f>
        <v/>
      </c>
      <c r="AX118" s="115" t="n"/>
      <c r="AY118" s="115" t="n"/>
      <c r="AZ118" s="115" t="n"/>
      <c r="BA118" s="115" t="n"/>
      <c r="BB118" s="114">
        <f>AX118+AY118+AZ118+BA118</f>
        <v/>
      </c>
      <c r="BC118" s="115" t="n"/>
      <c r="BD118" s="115" t="n"/>
      <c r="BE118" s="115" t="n"/>
      <c r="BF118" s="115" t="n"/>
      <c r="BG118" s="115" t="n"/>
      <c r="BH118" s="114">
        <f>BC118+BD118+BE118+BF118+BG118</f>
        <v/>
      </c>
      <c r="BI118" s="115" t="n"/>
      <c r="BJ118" s="115" t="n"/>
      <c r="BK118" s="115" t="n"/>
      <c r="BL118" s="115" t="n"/>
      <c r="BM118" s="114">
        <f>BI118+BJ118+BK118+BL118</f>
        <v/>
      </c>
    </row>
    <row r="119" ht="15.75" customHeight="1">
      <c r="A119" s="116" t="inlineStr">
        <is>
          <t>CAIXA OMNI P</t>
        </is>
      </c>
      <c r="B119" s="115" t="n">
        <v>25</v>
      </c>
      <c r="C119" s="115" t="n">
        <v>450</v>
      </c>
      <c r="D119" s="115" t="n">
        <v>275</v>
      </c>
      <c r="E119" s="115" t="n">
        <v>125</v>
      </c>
      <c r="F119" s="114">
        <f>B119+C119+D119+E119</f>
        <v/>
      </c>
      <c r="G119" s="115" t="n">
        <v>350</v>
      </c>
      <c r="H119" s="115" t="n">
        <v>400</v>
      </c>
      <c r="I119" s="115" t="n"/>
      <c r="J119" s="115" t="n">
        <v>500</v>
      </c>
      <c r="K119" s="114">
        <f>G119+H119+I119+J119</f>
        <v/>
      </c>
      <c r="L119" s="115" t="n">
        <v>400</v>
      </c>
      <c r="M119" s="115" t="n">
        <v>100</v>
      </c>
      <c r="N119" s="115" t="n">
        <v>250</v>
      </c>
      <c r="O119" s="115" t="n">
        <v>175</v>
      </c>
      <c r="P119" s="115" t="n">
        <v>400</v>
      </c>
      <c r="Q119" s="114">
        <f>L119+M119+N119+O119+P119</f>
        <v/>
      </c>
      <c r="R119" s="115" t="n"/>
      <c r="S119" s="115" t="n"/>
      <c r="T119" s="115" t="n"/>
      <c r="U119" s="115" t="n"/>
      <c r="V119" s="114">
        <f>R119+S119+T119+U119</f>
        <v/>
      </c>
      <c r="W119" s="115" t="n">
        <v>350</v>
      </c>
      <c r="X119" s="115" t="n">
        <v>0</v>
      </c>
      <c r="Y119" s="115" t="n"/>
      <c r="Z119" s="115" t="n"/>
      <c r="AA119" s="114">
        <f>W119+X119+Y119+Z119</f>
        <v/>
      </c>
      <c r="AB119" s="115" t="n"/>
      <c r="AC119" s="115" t="n"/>
      <c r="AD119" s="115" t="n"/>
      <c r="AE119" s="115" t="n"/>
      <c r="AF119" s="115" t="n"/>
      <c r="AG119" s="114">
        <f>AB119+AC119+AD119+AE119+AF119</f>
        <v/>
      </c>
      <c r="AH119" s="115" t="n"/>
      <c r="AI119" s="115" t="n"/>
      <c r="AJ119" s="115" t="n"/>
      <c r="AK119" s="115" t="n"/>
      <c r="AL119" s="114">
        <f>AH119+AI119+AJ119+AK119</f>
        <v/>
      </c>
      <c r="AM119" s="115" t="n"/>
      <c r="AN119" s="115" t="n"/>
      <c r="AO119" s="115" t="n"/>
      <c r="AP119" s="115" t="n"/>
      <c r="AQ119" s="115" t="n"/>
      <c r="AR119" s="114">
        <f>AM119+AN119+AO119+AP119+AQ119</f>
        <v/>
      </c>
      <c r="AS119" s="115" t="n"/>
      <c r="AT119" s="115" t="n"/>
      <c r="AU119" s="115" t="n"/>
      <c r="AV119" s="115" t="n"/>
      <c r="AW119" s="114">
        <f>AS119+AT119+AU119+AV119</f>
        <v/>
      </c>
      <c r="AX119" s="115" t="n"/>
      <c r="AY119" s="115" t="n"/>
      <c r="AZ119" s="115" t="n"/>
      <c r="BA119" s="115" t="n"/>
      <c r="BB119" s="114">
        <f>AX119+AY119+AZ119+BA119</f>
        <v/>
      </c>
      <c r="BC119" s="115" t="n"/>
      <c r="BD119" s="115" t="n"/>
      <c r="BE119" s="115" t="n"/>
      <c r="BF119" s="115" t="n"/>
      <c r="BG119" s="115" t="n"/>
      <c r="BH119" s="114">
        <f>BC119+BD119+BE119+BF119+BG119</f>
        <v/>
      </c>
      <c r="BI119" s="115" t="n"/>
      <c r="BJ119" s="115" t="n"/>
      <c r="BK119" s="115" t="n"/>
      <c r="BL119" s="115" t="n"/>
      <c r="BM119" s="114">
        <f>BI119+BJ119+BK119+BL119</f>
        <v/>
      </c>
    </row>
    <row r="120" ht="15.75" customHeight="1">
      <c r="A120" s="116" t="inlineStr">
        <is>
          <t>CAIXA OMNI M</t>
        </is>
      </c>
      <c r="B120" s="115" t="n">
        <v>25</v>
      </c>
      <c r="C120" s="115" t="n">
        <v>25</v>
      </c>
      <c r="D120" s="115" t="n">
        <v>25</v>
      </c>
      <c r="E120" s="115" t="n">
        <v>0</v>
      </c>
      <c r="F120" s="114">
        <f>B120+C120+D120+E120</f>
        <v/>
      </c>
      <c r="G120" s="115" t="n">
        <v>250</v>
      </c>
      <c r="H120" s="115" t="n">
        <v>0</v>
      </c>
      <c r="I120" s="115" t="n"/>
      <c r="J120" s="115" t="n">
        <v>50</v>
      </c>
      <c r="K120" s="114">
        <f>G120+H120+I120+J120</f>
        <v/>
      </c>
      <c r="L120" s="115" t="n">
        <v>125</v>
      </c>
      <c r="M120" s="115" t="n">
        <v>50</v>
      </c>
      <c r="N120" s="115" t="n">
        <v>200</v>
      </c>
      <c r="O120" s="115" t="n">
        <v>75</v>
      </c>
      <c r="P120" s="115" t="n">
        <v>200</v>
      </c>
      <c r="Q120" s="114">
        <f>L120+M120+N120+O120+P120</f>
        <v/>
      </c>
      <c r="R120" s="115" t="n"/>
      <c r="S120" s="115" t="n"/>
      <c r="T120" s="115" t="n"/>
      <c r="U120" s="115" t="n"/>
      <c r="V120" s="114">
        <f>R120+S120+T120+U120</f>
        <v/>
      </c>
      <c r="W120" s="115" t="n">
        <v>491</v>
      </c>
      <c r="X120" s="115" t="n">
        <v>50</v>
      </c>
      <c r="Y120" s="115" t="n"/>
      <c r="Z120" s="115" t="n"/>
      <c r="AA120" s="114">
        <f>W120+X120+Y120+Z120</f>
        <v/>
      </c>
      <c r="AB120" s="115" t="n"/>
      <c r="AC120" s="115" t="n"/>
      <c r="AD120" s="115" t="n"/>
      <c r="AE120" s="115" t="n"/>
      <c r="AF120" s="115" t="n"/>
      <c r="AG120" s="114">
        <f>AB120+AC120+AD120+AE120+AF120</f>
        <v/>
      </c>
      <c r="AH120" s="115" t="n"/>
      <c r="AI120" s="115" t="n"/>
      <c r="AJ120" s="115" t="n"/>
      <c r="AK120" s="115" t="n"/>
      <c r="AL120" s="114">
        <f>AH120+AI120+AJ120+AK120</f>
        <v/>
      </c>
      <c r="AM120" s="115" t="n"/>
      <c r="AN120" s="115" t="n"/>
      <c r="AO120" s="115" t="n"/>
      <c r="AP120" s="115" t="n"/>
      <c r="AQ120" s="115" t="n"/>
      <c r="AR120" s="114">
        <f>AM120+AN120+AO120+AP120+AQ120</f>
        <v/>
      </c>
      <c r="AS120" s="115" t="n"/>
      <c r="AT120" s="115" t="n"/>
      <c r="AU120" s="115" t="n"/>
      <c r="AV120" s="115" t="n"/>
      <c r="AW120" s="114">
        <f>AS120+AT120+AU120+AV120</f>
        <v/>
      </c>
      <c r="AX120" s="115" t="n"/>
      <c r="AY120" s="115" t="n"/>
      <c r="AZ120" s="115" t="n"/>
      <c r="BA120" s="115" t="n"/>
      <c r="BB120" s="114">
        <f>AX120+AY120+AZ120+BA120</f>
        <v/>
      </c>
      <c r="BC120" s="115" t="n"/>
      <c r="BD120" s="115" t="n"/>
      <c r="BE120" s="115" t="n"/>
      <c r="BF120" s="115" t="n"/>
      <c r="BG120" s="115" t="n"/>
      <c r="BH120" s="114">
        <f>BC120+BD120+BE120+BF120+BG120</f>
        <v/>
      </c>
      <c r="BI120" s="115" t="n"/>
      <c r="BJ120" s="115" t="n"/>
      <c r="BK120" s="115" t="n"/>
      <c r="BL120" s="115" t="n"/>
      <c r="BM120" s="114">
        <f>BI120+BJ120+BK120+BL120</f>
        <v/>
      </c>
    </row>
    <row r="121" ht="15.75" customHeight="1">
      <c r="A121" s="116" t="inlineStr">
        <is>
          <t>CAIXA OMNI G</t>
        </is>
      </c>
      <c r="B121" s="115" t="n">
        <v>50</v>
      </c>
      <c r="C121" s="115" t="n">
        <v>0</v>
      </c>
      <c r="D121" s="115" t="n">
        <v>0</v>
      </c>
      <c r="E121" s="115" t="n">
        <v>25</v>
      </c>
      <c r="F121" s="114">
        <f>B121+C121+D121+E121</f>
        <v/>
      </c>
      <c r="G121" s="115" t="n">
        <v>25</v>
      </c>
      <c r="H121" s="115" t="n">
        <v>50</v>
      </c>
      <c r="I121" s="115" t="n"/>
      <c r="J121" s="115" t="n">
        <v>25</v>
      </c>
      <c r="K121" s="114">
        <f>G121+H121+I121+J121</f>
        <v/>
      </c>
      <c r="L121" s="115" t="n">
        <v>25</v>
      </c>
      <c r="M121" s="115" t="n">
        <v>100</v>
      </c>
      <c r="N121" s="115" t="n">
        <v>75</v>
      </c>
      <c r="O121" s="115" t="n">
        <v>25</v>
      </c>
      <c r="P121" s="115" t="n">
        <v>75</v>
      </c>
      <c r="Q121" s="114">
        <f>L121+M121+N121+O121+P121</f>
        <v/>
      </c>
      <c r="R121" s="115" t="n"/>
      <c r="S121" s="115" t="n"/>
      <c r="T121" s="115" t="n"/>
      <c r="U121" s="115" t="n"/>
      <c r="V121" s="114">
        <f>R121+S121+T121+U121</f>
        <v/>
      </c>
      <c r="W121" s="115" t="n">
        <v>50</v>
      </c>
      <c r="X121" s="115" t="n">
        <v>75</v>
      </c>
      <c r="Y121" s="115" t="n"/>
      <c r="Z121" s="115" t="n"/>
      <c r="AA121" s="114">
        <f>W121+X121+Y121+Z121</f>
        <v/>
      </c>
      <c r="AB121" s="115" t="n"/>
      <c r="AC121" s="115" t="n"/>
      <c r="AD121" s="115" t="n"/>
      <c r="AE121" s="115" t="n"/>
      <c r="AF121" s="115" t="n"/>
      <c r="AG121" s="114">
        <f>AB121+AC121+AD121+AE121+AF121</f>
        <v/>
      </c>
      <c r="AH121" s="115" t="n"/>
      <c r="AI121" s="115" t="n"/>
      <c r="AJ121" s="115" t="n"/>
      <c r="AK121" s="115" t="n"/>
      <c r="AL121" s="114">
        <f>AH121+AI121+AJ121+AK121</f>
        <v/>
      </c>
      <c r="AM121" s="115" t="n"/>
      <c r="AN121" s="115" t="n"/>
      <c r="AO121" s="115" t="n"/>
      <c r="AP121" s="115" t="n"/>
      <c r="AQ121" s="115" t="n"/>
      <c r="AR121" s="114">
        <f>AM121+AN121+AO121+AP121+AQ121</f>
        <v/>
      </c>
      <c r="AS121" s="115" t="n"/>
      <c r="AT121" s="115" t="n"/>
      <c r="AU121" s="115" t="n"/>
      <c r="AV121" s="115" t="n"/>
      <c r="AW121" s="114">
        <f>AS121+AT121+AU121+AV121</f>
        <v/>
      </c>
      <c r="AX121" s="115" t="n"/>
      <c r="AY121" s="115" t="n"/>
      <c r="AZ121" s="115" t="n"/>
      <c r="BA121" s="115" t="n"/>
      <c r="BB121" s="114">
        <f>AX121+AY121+AZ121+BA121</f>
        <v/>
      </c>
      <c r="BC121" s="115" t="n"/>
      <c r="BD121" s="115" t="n"/>
      <c r="BE121" s="115" t="n"/>
      <c r="BF121" s="115" t="n"/>
      <c r="BG121" s="115" t="n"/>
      <c r="BH121" s="114">
        <f>BC121+BD121+BE121+BF121+BG121</f>
        <v/>
      </c>
      <c r="BI121" s="115" t="n"/>
      <c r="BJ121" s="115" t="n"/>
      <c r="BK121" s="115" t="n"/>
      <c r="BL121" s="115" t="n"/>
      <c r="BM121" s="114">
        <f>BI121+BJ121+BK121+BL121</f>
        <v/>
      </c>
    </row>
    <row r="122" ht="15.75" customHeight="1">
      <c r="A122" s="113" t="inlineStr">
        <is>
          <t>TOTAL DE SACOLAS</t>
        </is>
      </c>
      <c r="B122" s="112">
        <f>SUM(B108:B111)</f>
        <v/>
      </c>
      <c r="C122" s="112">
        <f>SUM(C108:C111)</f>
        <v/>
      </c>
      <c r="D122" s="112">
        <f>SUM(D108:D111)</f>
        <v/>
      </c>
      <c r="E122" s="112">
        <f>SUM(E108:E111)</f>
        <v/>
      </c>
      <c r="F122" s="112">
        <f>F108+F109+F110+F111+F113+F114+F115+F116+F117+F118</f>
        <v/>
      </c>
      <c r="G122" s="112">
        <f>SUM(G108:G111)</f>
        <v/>
      </c>
      <c r="H122" s="112">
        <f>SUM(H108:H111)</f>
        <v/>
      </c>
      <c r="I122" s="112">
        <f>SUM(I108:I111)</f>
        <v/>
      </c>
      <c r="J122" s="112">
        <f>SUM(J108:J111)</f>
        <v/>
      </c>
      <c r="K122" s="112">
        <f>K108+K109+K110+K111+K113+K114+K115+K116+K117+K118</f>
        <v/>
      </c>
      <c r="L122" s="112">
        <f>SUM(L108:L111)</f>
        <v/>
      </c>
      <c r="M122" s="112">
        <f>SUM(M108:M111)</f>
        <v/>
      </c>
      <c r="N122" s="112">
        <f>SUM(N108:N111)</f>
        <v/>
      </c>
      <c r="O122" s="112">
        <f>SUM(O108:O111)</f>
        <v/>
      </c>
      <c r="P122" s="112">
        <f>SUM(P108:P111)</f>
        <v/>
      </c>
      <c r="Q122" s="112">
        <f>Q108+Q109+Q110+Q111+Q113+Q114+Q115+Q116+Q117+Q118</f>
        <v/>
      </c>
      <c r="R122" s="112">
        <f>SUM(R108:R111)</f>
        <v/>
      </c>
      <c r="S122" s="112">
        <f>SUM(S108:S111)</f>
        <v/>
      </c>
      <c r="T122" s="112">
        <f>SUM(T108:T111)</f>
        <v/>
      </c>
      <c r="U122" s="112">
        <f>SUM(U108:U111)</f>
        <v/>
      </c>
      <c r="V122" s="112">
        <f>V108+V109+V110+V111+V113+V114+V115</f>
        <v/>
      </c>
      <c r="W122" s="112">
        <f>SUM(W108:W111)</f>
        <v/>
      </c>
      <c r="X122" s="112">
        <f>SUM(X108:X111)</f>
        <v/>
      </c>
      <c r="Y122" s="112">
        <f>SUM(Y108:Y111)</f>
        <v/>
      </c>
      <c r="Z122" s="112">
        <f>SUM(Z108:Z111)</f>
        <v/>
      </c>
      <c r="AA122" s="112">
        <f>AA108+AA109+AA110+AA111+AA113+AA114+AA115+AA116+AA117+AA118</f>
        <v/>
      </c>
      <c r="AB122" s="112">
        <f>SUM(AB108:AB111)</f>
        <v/>
      </c>
      <c r="AC122" s="112">
        <f>SUM(AC108:AC111)</f>
        <v/>
      </c>
      <c r="AD122" s="112">
        <f>SUM(AD108:AD111)</f>
        <v/>
      </c>
      <c r="AE122" s="112">
        <f>SUM(AE108:AE111)</f>
        <v/>
      </c>
      <c r="AF122" s="112">
        <f>SUM(AF108:AF111)</f>
        <v/>
      </c>
      <c r="AG122" s="112">
        <f>AG108+AG109+AG110+AG111+AG113+AG114+AG115+AG116+AG117+AG118</f>
        <v/>
      </c>
      <c r="AH122" s="112">
        <f>SUM(AH108:AH111)</f>
        <v/>
      </c>
      <c r="AI122" s="112">
        <f>SUM(AI108:AI111)</f>
        <v/>
      </c>
      <c r="AJ122" s="112">
        <f>SUM(AJ108:AJ111)</f>
        <v/>
      </c>
      <c r="AK122" s="112">
        <f>SUM(AK108:AK111)</f>
        <v/>
      </c>
      <c r="AL122" s="112">
        <f>AL108+AL109+AL110+AL111+AL113+AL114+AL115+AL116+AL117+AL118</f>
        <v/>
      </c>
      <c r="AM122" s="112">
        <f>SUM(AM108:AM111)</f>
        <v/>
      </c>
      <c r="AN122" s="112">
        <f>SUM(AN108:AN111)</f>
        <v/>
      </c>
      <c r="AO122" s="112">
        <f>SUM(AO108:AO111)</f>
        <v/>
      </c>
      <c r="AP122" s="112">
        <f>SUM(AP108:AP111)</f>
        <v/>
      </c>
      <c r="AQ122" s="112">
        <f>SUM(AQ108:AQ111)</f>
        <v/>
      </c>
      <c r="AR122" s="112">
        <f>AR108+AR109+AR110+AR111+AR113+AR114+AR115+AR116+AR117+AR118</f>
        <v/>
      </c>
      <c r="AS122" s="112">
        <f>SUM(AS108:AS111)</f>
        <v/>
      </c>
      <c r="AT122" s="112">
        <f>SUM(AT108:AT111)</f>
        <v/>
      </c>
      <c r="AU122" s="112">
        <f>SUM(AU108:AU111)</f>
        <v/>
      </c>
      <c r="AV122" s="112">
        <f>SUM(AV108:AV111)</f>
        <v/>
      </c>
      <c r="AW122" s="112">
        <f>AW108+AW109+AW110+AW111+AW113+AW114+AW115+AW116+AW117+AW118</f>
        <v/>
      </c>
      <c r="AX122" s="112">
        <f>SUM(AX108:AX111)</f>
        <v/>
      </c>
      <c r="AY122" s="112">
        <f>SUM(AY108:AY111)</f>
        <v/>
      </c>
      <c r="AZ122" s="112">
        <f>SUM(AZ108:AZ111)</f>
        <v/>
      </c>
      <c r="BA122" s="112">
        <f>SUM(BA108:BA111)</f>
        <v/>
      </c>
      <c r="BB122" s="112">
        <f>BB108+BB109+BB110+BB111+BB113+BB114+BB115+BB116+BB117+BB118</f>
        <v/>
      </c>
      <c r="BC122" s="112">
        <f>SUM(BC108:BC111)</f>
        <v/>
      </c>
      <c r="BD122" s="112">
        <f>SUM(BD108:BD111)</f>
        <v/>
      </c>
      <c r="BE122" s="112">
        <f>SUM(BE108:BE111)</f>
        <v/>
      </c>
      <c r="BF122" s="112">
        <f>SUM(BF108:BF111)</f>
        <v/>
      </c>
      <c r="BG122" s="112">
        <f>SUM(BG108:BG111)</f>
        <v/>
      </c>
      <c r="BH122" s="112">
        <f>BH108+BH109+BH110+BH111+BH113+BH114+BH115+BH116+BH117+BH118</f>
        <v/>
      </c>
      <c r="BI122" s="112">
        <f>SUM(BI108:BI111)</f>
        <v/>
      </c>
      <c r="BJ122" s="112">
        <f>SUM(BJ108:BJ111)</f>
        <v/>
      </c>
      <c r="BK122" s="112">
        <f>SUM(BK108:BK111)</f>
        <v/>
      </c>
      <c r="BL122" s="112">
        <f>SUM(BL108:BL111)</f>
        <v/>
      </c>
      <c r="BM122" s="112">
        <f>BM108+BM109+BM110+BM111+BM113+BM114+BM115+BM116+BM117+BM118</f>
        <v/>
      </c>
    </row>
    <row r="124" ht="15.75" customHeight="1">
      <c r="A124" s="577" t="inlineStr">
        <is>
          <t>GASTO DE SACOLAS E ITENS DOADOS 2026 - MENSAIS</t>
        </is>
      </c>
      <c r="B124" s="844" t="n"/>
      <c r="C124" s="844" t="n"/>
      <c r="D124" s="844" t="n"/>
      <c r="E124" s="844" t="n"/>
      <c r="F124" s="844" t="n"/>
      <c r="G124" s="844" t="n"/>
      <c r="H124" s="844" t="n"/>
      <c r="I124" s="844" t="n"/>
      <c r="J124" s="844" t="n"/>
      <c r="K124" s="844" t="n"/>
      <c r="L124" s="844" t="n"/>
      <c r="M124" s="844" t="n"/>
      <c r="N124" s="844" t="n"/>
      <c r="O124" s="844" t="n"/>
      <c r="P124" s="844" t="n"/>
      <c r="Q124" s="844" t="n"/>
      <c r="R124" s="844" t="n"/>
      <c r="S124" s="844" t="n"/>
      <c r="T124" s="844" t="n"/>
      <c r="U124" s="844" t="n"/>
      <c r="V124" s="844" t="n"/>
      <c r="W124" s="844" t="n"/>
      <c r="X124" s="844" t="n"/>
      <c r="Y124" s="844" t="n"/>
      <c r="Z124" s="844" t="n"/>
      <c r="AA124" s="844" t="n"/>
      <c r="AB124" s="844" t="n"/>
      <c r="AC124" s="844" t="n"/>
      <c r="AD124" s="844" t="n"/>
      <c r="AE124" s="844" t="n"/>
      <c r="AF124" s="844" t="n"/>
      <c r="AG124" s="844" t="n"/>
      <c r="AH124" s="844" t="n"/>
      <c r="AI124" s="844" t="n"/>
      <c r="AJ124" s="844" t="n"/>
      <c r="AK124" s="844" t="n"/>
      <c r="AL124" s="844" t="n"/>
      <c r="AM124" s="844" t="n"/>
      <c r="AN124" s="844" t="n"/>
      <c r="AO124" s="844" t="n"/>
      <c r="AP124" s="844" t="n"/>
      <c r="AQ124" s="844" t="n"/>
      <c r="AR124" s="844" t="n"/>
      <c r="AS124" s="844" t="n"/>
      <c r="AT124" s="844" t="n"/>
      <c r="AU124" s="844" t="n"/>
      <c r="AV124" s="844" t="n"/>
      <c r="AW124" s="844" t="n"/>
      <c r="AX124" s="844" t="n"/>
      <c r="AY124" s="844" t="n"/>
      <c r="AZ124" s="844" t="n"/>
      <c r="BA124" s="844" t="n"/>
      <c r="BB124" s="844" t="n"/>
      <c r="BC124" s="844" t="n"/>
      <c r="BD124" s="844" t="n"/>
      <c r="BE124" s="844" t="n"/>
      <c r="BF124" s="844" t="n"/>
      <c r="BG124" s="844" t="n"/>
      <c r="BH124" s="844" t="n"/>
      <c r="BI124" s="844" t="n"/>
      <c r="BJ124" s="844" t="n"/>
      <c r="BK124" s="844" t="n"/>
      <c r="BL124" s="844" t="n"/>
      <c r="BM124" s="844" t="n"/>
    </row>
    <row r="125" ht="15.75" customHeight="1">
      <c r="A125" s="849" t="inlineStr">
        <is>
          <t>ER BAURU</t>
        </is>
      </c>
      <c r="B125" s="581" t="inlineStr">
        <is>
          <t>JANEIRO</t>
        </is>
      </c>
      <c r="C125" s="846" t="n"/>
      <c r="D125" s="846" t="n"/>
      <c r="E125" s="846" t="n"/>
      <c r="F125" s="582" t="inlineStr">
        <is>
          <t>FEVEREIRO</t>
        </is>
      </c>
      <c r="G125" s="846" t="n"/>
      <c r="H125" s="846" t="n"/>
      <c r="I125" s="846" t="n"/>
      <c r="J125" s="846" t="n"/>
      <c r="K125" s="583" t="n"/>
      <c r="L125" s="845" t="inlineStr">
        <is>
          <t>MARÇO</t>
        </is>
      </c>
      <c r="M125" s="846" t="n"/>
      <c r="N125" s="846" t="n"/>
      <c r="O125" s="846" t="n"/>
      <c r="P125" s="846" t="n"/>
      <c r="Q125" s="847" t="n"/>
      <c r="R125" s="845" t="inlineStr">
        <is>
          <t>ABRIL</t>
        </is>
      </c>
      <c r="S125" s="846" t="n"/>
      <c r="T125" s="846" t="n"/>
      <c r="U125" s="846" t="n"/>
      <c r="V125" s="847" t="n"/>
      <c r="W125" s="845" t="inlineStr">
        <is>
          <t>MAIO</t>
        </is>
      </c>
      <c r="X125" s="846" t="n"/>
      <c r="Y125" s="846" t="n"/>
      <c r="Z125" s="846" t="n"/>
      <c r="AA125" s="847" t="n"/>
      <c r="AB125" s="845" t="inlineStr">
        <is>
          <t>JUNHO</t>
        </is>
      </c>
      <c r="AC125" s="846" t="n"/>
      <c r="AD125" s="846" t="n"/>
      <c r="AE125" s="846" t="n"/>
      <c r="AF125" s="846" t="n"/>
      <c r="AG125" s="847" t="n"/>
      <c r="AH125" s="845" t="inlineStr">
        <is>
          <t>JULHO</t>
        </is>
      </c>
      <c r="AI125" s="846" t="n"/>
      <c r="AJ125" s="846" t="n"/>
      <c r="AK125" s="846" t="n"/>
      <c r="AL125" s="847" t="n"/>
      <c r="AM125" s="845" t="inlineStr">
        <is>
          <t>AGOSTO</t>
        </is>
      </c>
      <c r="AN125" s="846" t="n"/>
      <c r="AO125" s="846" t="n"/>
      <c r="AP125" s="846" t="n"/>
      <c r="AQ125" s="846" t="n"/>
      <c r="AR125" s="847" t="n"/>
      <c r="AS125" s="845" t="inlineStr">
        <is>
          <t>SETEMBRO</t>
        </is>
      </c>
      <c r="AT125" s="846" t="n"/>
      <c r="AU125" s="846" t="n"/>
      <c r="AV125" s="846" t="n"/>
      <c r="AW125" s="847" t="n"/>
      <c r="AX125" s="845" t="inlineStr">
        <is>
          <t>OUTUBRO</t>
        </is>
      </c>
      <c r="AY125" s="846" t="n"/>
      <c r="AZ125" s="846" t="n"/>
      <c r="BA125" s="846" t="n"/>
      <c r="BB125" s="847" t="n"/>
      <c r="BC125" s="845" t="inlineStr">
        <is>
          <t>NOVEMBRO</t>
        </is>
      </c>
      <c r="BD125" s="846" t="n"/>
      <c r="BE125" s="846" t="n"/>
      <c r="BF125" s="846" t="n"/>
      <c r="BG125" s="846" t="n"/>
      <c r="BH125" s="847" t="n"/>
      <c r="BI125" s="845" t="inlineStr">
        <is>
          <t>DEZEMBRO</t>
        </is>
      </c>
      <c r="BJ125" s="846" t="n"/>
      <c r="BK125" s="846" t="n"/>
      <c r="BL125" s="846" t="n"/>
      <c r="BM125" s="847" t="n"/>
    </row>
    <row r="126" ht="15.75" customHeight="1">
      <c r="A126" s="850" t="n"/>
      <c r="B126" s="121" t="n">
        <v>46027</v>
      </c>
      <c r="C126" s="121" t="n">
        <v>46034</v>
      </c>
      <c r="D126" s="121" t="n">
        <v>46041</v>
      </c>
      <c r="E126" s="121" t="n">
        <v>46048</v>
      </c>
      <c r="F126" s="120" t="inlineStr">
        <is>
          <t>USOU</t>
        </is>
      </c>
      <c r="G126" s="121" t="n">
        <v>46055</v>
      </c>
      <c r="H126" s="121" t="n">
        <v>46062</v>
      </c>
      <c r="I126" s="121" t="n">
        <v>46069</v>
      </c>
      <c r="J126" s="121" t="n">
        <v>46076</v>
      </c>
      <c r="K126" s="120" t="inlineStr">
        <is>
          <t>USOU</t>
        </is>
      </c>
      <c r="L126" s="121" t="n">
        <v>46083</v>
      </c>
      <c r="M126" s="121" t="n">
        <v>46090</v>
      </c>
      <c r="N126" s="121" t="n">
        <v>46097</v>
      </c>
      <c r="O126" s="121" t="n">
        <v>46104</v>
      </c>
      <c r="P126" s="121" t="n">
        <v>46111</v>
      </c>
      <c r="Q126" s="120" t="inlineStr">
        <is>
          <t>USOU</t>
        </is>
      </c>
      <c r="R126" s="121" t="n">
        <v>46118</v>
      </c>
      <c r="S126" s="121" t="n">
        <v>46125</v>
      </c>
      <c r="T126" s="121" t="n">
        <v>46132</v>
      </c>
      <c r="U126" s="121" t="n">
        <v>46139</v>
      </c>
      <c r="V126" s="120" t="inlineStr">
        <is>
          <t>USOU</t>
        </is>
      </c>
      <c r="W126" s="121" t="n">
        <v>46146</v>
      </c>
      <c r="X126" s="121" t="n">
        <v>46153</v>
      </c>
      <c r="Y126" s="121" t="n">
        <v>46160</v>
      </c>
      <c r="Z126" s="121" t="n">
        <v>46167</v>
      </c>
      <c r="AA126" s="120" t="inlineStr">
        <is>
          <t>USOU</t>
        </is>
      </c>
      <c r="AB126" s="121" t="n">
        <v>46174</v>
      </c>
      <c r="AC126" s="121" t="n">
        <v>46181</v>
      </c>
      <c r="AD126" s="121" t="n">
        <v>46188</v>
      </c>
      <c r="AE126" s="121" t="n">
        <v>46195</v>
      </c>
      <c r="AF126" s="121" t="n">
        <v>46202</v>
      </c>
      <c r="AG126" s="120" t="inlineStr">
        <is>
          <t>USOU</t>
        </is>
      </c>
      <c r="AH126" s="121" t="n">
        <v>46209</v>
      </c>
      <c r="AI126" s="121" t="n">
        <v>46216</v>
      </c>
      <c r="AJ126" s="121" t="n">
        <v>46223</v>
      </c>
      <c r="AK126" s="121" t="n">
        <v>46230</v>
      </c>
      <c r="AL126" s="120" t="inlineStr">
        <is>
          <t>USOU</t>
        </is>
      </c>
      <c r="AM126" s="121" t="n">
        <v>46237</v>
      </c>
      <c r="AN126" s="121" t="n">
        <v>46244</v>
      </c>
      <c r="AO126" s="121" t="n">
        <v>46251</v>
      </c>
      <c r="AP126" s="121" t="n">
        <v>46258</v>
      </c>
      <c r="AQ126" s="121" t="n">
        <v>46265</v>
      </c>
      <c r="AR126" s="120" t="inlineStr">
        <is>
          <t>USOU</t>
        </is>
      </c>
      <c r="AS126" s="121" t="n">
        <v>46272</v>
      </c>
      <c r="AT126" s="121" t="n">
        <v>46279</v>
      </c>
      <c r="AU126" s="121" t="n">
        <v>46286</v>
      </c>
      <c r="AV126" s="121" t="n">
        <v>46293</v>
      </c>
      <c r="AW126" s="120" t="inlineStr">
        <is>
          <t>USOU</t>
        </is>
      </c>
      <c r="AX126" s="121" t="n">
        <v>46300</v>
      </c>
      <c r="AY126" s="121" t="n">
        <v>46307</v>
      </c>
      <c r="AZ126" s="121" t="n">
        <v>46314</v>
      </c>
      <c r="BA126" s="121" t="n">
        <v>46321</v>
      </c>
      <c r="BB126" s="120" t="inlineStr">
        <is>
          <t>USOU</t>
        </is>
      </c>
      <c r="BC126" s="121" t="n">
        <v>46328</v>
      </c>
      <c r="BD126" s="121" t="n">
        <v>46335</v>
      </c>
      <c r="BE126" s="121" t="n">
        <v>46342</v>
      </c>
      <c r="BF126" s="121" t="n">
        <v>46349</v>
      </c>
      <c r="BG126" s="121" t="n">
        <v>46356</v>
      </c>
      <c r="BH126" s="120" t="inlineStr">
        <is>
          <t>USOU</t>
        </is>
      </c>
      <c r="BI126" s="121" t="n">
        <v>46363</v>
      </c>
      <c r="BJ126" s="121" t="n">
        <v>46370</v>
      </c>
      <c r="BK126" s="121" t="n">
        <v>46377</v>
      </c>
      <c r="BL126" s="121" t="n">
        <v>46384</v>
      </c>
      <c r="BM126" s="120" t="inlineStr">
        <is>
          <t>USOU</t>
        </is>
      </c>
    </row>
    <row r="127" ht="15.75" customHeight="1">
      <c r="A127" s="169" t="inlineStr">
        <is>
          <t>SACOLA PP VERDE</t>
        </is>
      </c>
      <c r="B127" s="115" t="n">
        <v>0</v>
      </c>
      <c r="C127" s="115" t="n">
        <v>0</v>
      </c>
      <c r="D127" s="115" t="n">
        <v>0</v>
      </c>
      <c r="E127" s="115" t="n">
        <v>0</v>
      </c>
      <c r="F127" s="114">
        <f>B127+C127+D127+E127</f>
        <v/>
      </c>
      <c r="G127" s="115" t="n">
        <v>0</v>
      </c>
      <c r="H127" s="115" t="n">
        <v>0</v>
      </c>
      <c r="I127" s="115" t="n">
        <v>0</v>
      </c>
      <c r="J127" s="115" t="n">
        <v>0</v>
      </c>
      <c r="K127" s="114">
        <f>G127+H127+I127+J127</f>
        <v/>
      </c>
      <c r="L127" s="115" t="n">
        <v>900</v>
      </c>
      <c r="M127" s="115" t="n">
        <v>300</v>
      </c>
      <c r="N127" s="115" t="n">
        <v>900</v>
      </c>
      <c r="O127" s="115" t="n">
        <v>300</v>
      </c>
      <c r="P127" s="115" t="n">
        <v>1500</v>
      </c>
      <c r="Q127" s="114">
        <f>L127+M127+N127+O127+P127</f>
        <v/>
      </c>
      <c r="R127" s="115" t="n"/>
      <c r="S127" s="115" t="n"/>
      <c r="T127" s="115" t="n"/>
      <c r="U127" s="115" t="n"/>
      <c r="V127" s="114">
        <f>R127+S127+T127+U127</f>
        <v/>
      </c>
      <c r="W127" s="115" t="n">
        <v>0</v>
      </c>
      <c r="X127" s="115" t="n">
        <v>1200</v>
      </c>
      <c r="Y127" s="115" t="n"/>
      <c r="Z127" s="115" t="n"/>
      <c r="AA127" s="114">
        <f>W127+X127+Y127+Z127</f>
        <v/>
      </c>
      <c r="AB127" s="115" t="n"/>
      <c r="AC127" s="115" t="n"/>
      <c r="AD127" s="115" t="n"/>
      <c r="AE127" s="115" t="n"/>
      <c r="AF127" s="115" t="n"/>
      <c r="AG127" s="114">
        <f>AB127+AC127+AD127+AE127+AF127</f>
        <v/>
      </c>
      <c r="AH127" s="115" t="n"/>
      <c r="AI127" s="115" t="n"/>
      <c r="AJ127" s="115" t="n"/>
      <c r="AK127" s="115" t="n"/>
      <c r="AL127" s="114">
        <f>AH127+AI127+AJ127+AK127</f>
        <v/>
      </c>
      <c r="AM127" s="115" t="n"/>
      <c r="AN127" s="115" t="n"/>
      <c r="AO127" s="115" t="n"/>
      <c r="AP127" s="115" t="n"/>
      <c r="AQ127" s="115" t="n"/>
      <c r="AR127" s="114">
        <f>AM127+AN127+AO127+AP127+AQ127</f>
        <v/>
      </c>
      <c r="AS127" s="115" t="n"/>
      <c r="AT127" s="115" t="n"/>
      <c r="AU127" s="115" t="n"/>
      <c r="AV127" s="115" t="n"/>
      <c r="AW127" s="114">
        <f>AS127+AT127+AU127+AV127</f>
        <v/>
      </c>
      <c r="AX127" s="115" t="n"/>
      <c r="AY127" s="115" t="n"/>
      <c r="AZ127" s="115" t="n"/>
      <c r="BA127" s="115" t="n"/>
      <c r="BB127" s="114">
        <f>AX127+AY127+AZ127+BA127</f>
        <v/>
      </c>
      <c r="BC127" s="115" t="n"/>
      <c r="BD127" s="115" t="n"/>
      <c r="BE127" s="115" t="n"/>
      <c r="BF127" s="115" t="n"/>
      <c r="BG127" s="115" t="n"/>
      <c r="BH127" s="114">
        <f>BC127+BD127+BE127+BF127+BG127</f>
        <v/>
      </c>
      <c r="BI127" s="115" t="n"/>
      <c r="BJ127" s="115" t="n"/>
      <c r="BK127" s="115" t="n"/>
      <c r="BL127" s="115" t="n"/>
      <c r="BM127" s="114">
        <f>BI127+BJ127+BK127+BL127</f>
        <v/>
      </c>
    </row>
    <row r="128" ht="15.75" customHeight="1">
      <c r="A128" s="118" t="inlineStr">
        <is>
          <t>SACOLA P VERDE</t>
        </is>
      </c>
      <c r="B128" s="115" t="n">
        <v>2600</v>
      </c>
      <c r="C128" s="115" t="n">
        <v>3000</v>
      </c>
      <c r="D128" s="115" t="n">
        <v>3400</v>
      </c>
      <c r="E128" s="115" t="n">
        <v>2500</v>
      </c>
      <c r="F128" s="114">
        <f>B128+C128+D128+E128</f>
        <v/>
      </c>
      <c r="G128" s="115" t="n">
        <v>2500</v>
      </c>
      <c r="H128" s="115" t="n">
        <v>2800</v>
      </c>
      <c r="I128" s="115" t="n">
        <v>4800</v>
      </c>
      <c r="J128" s="115" t="n">
        <v>800</v>
      </c>
      <c r="K128" s="114">
        <f>G128+H128+I128+J128</f>
        <v/>
      </c>
      <c r="L128" s="115" t="n">
        <v>1100</v>
      </c>
      <c r="M128" s="115" t="n">
        <v>3300</v>
      </c>
      <c r="N128" s="115" t="n">
        <v>1800</v>
      </c>
      <c r="O128" s="115" t="n">
        <v>1400</v>
      </c>
      <c r="P128" s="115" t="n">
        <v>600</v>
      </c>
      <c r="Q128" s="114">
        <f>L128+M128+N128+O128+P128</f>
        <v/>
      </c>
      <c r="R128" s="115" t="n"/>
      <c r="S128" s="115" t="n"/>
      <c r="T128" s="115" t="n"/>
      <c r="U128" s="115" t="n"/>
      <c r="V128" s="114">
        <f>R128+S128+T128+U128</f>
        <v/>
      </c>
      <c r="W128" s="115" t="n">
        <v>1400</v>
      </c>
      <c r="X128" s="115" t="n">
        <v>800</v>
      </c>
      <c r="Y128" s="115" t="n"/>
      <c r="Z128" s="115" t="n"/>
      <c r="AA128" s="114">
        <f>W128+X128+Y128+Z128</f>
        <v/>
      </c>
      <c r="AB128" s="115" t="n"/>
      <c r="AC128" s="115" t="n"/>
      <c r="AD128" s="115" t="n"/>
      <c r="AE128" s="115" t="n"/>
      <c r="AF128" s="115" t="n"/>
      <c r="AG128" s="114">
        <f>AB128+AC128+AD128+AE128+AF128</f>
        <v/>
      </c>
      <c r="AH128" s="115" t="n"/>
      <c r="AI128" s="115" t="n"/>
      <c r="AJ128" s="115" t="n"/>
      <c r="AK128" s="115" t="n"/>
      <c r="AL128" s="114">
        <f>AH128+AI128+AJ128+AK128</f>
        <v/>
      </c>
      <c r="AM128" s="115" t="n"/>
      <c r="AN128" s="115" t="n"/>
      <c r="AO128" s="115" t="n"/>
      <c r="AP128" s="115" t="n"/>
      <c r="AQ128" s="115" t="n"/>
      <c r="AR128" s="114">
        <f>AM128+AN128+AO128+AP128+AQ128</f>
        <v/>
      </c>
      <c r="AS128" s="115" t="n"/>
      <c r="AT128" s="115" t="n"/>
      <c r="AU128" s="115" t="n"/>
      <c r="AV128" s="115" t="n"/>
      <c r="AW128" s="114">
        <f>AS128+AT128+AU128+AV128</f>
        <v/>
      </c>
      <c r="AX128" s="115" t="n"/>
      <c r="AY128" s="115" t="n"/>
      <c r="AZ128" s="115" t="n"/>
      <c r="BA128" s="115" t="n"/>
      <c r="BB128" s="114">
        <f>AX128+AY128+AZ128+BA128</f>
        <v/>
      </c>
      <c r="BC128" s="115" t="n"/>
      <c r="BD128" s="115" t="n"/>
      <c r="BE128" s="115" t="n"/>
      <c r="BF128" s="115" t="n"/>
      <c r="BG128" s="115" t="n"/>
      <c r="BH128" s="114">
        <f>BC128+BD128+BE128+BF128+BG128</f>
        <v/>
      </c>
      <c r="BI128" s="115" t="n"/>
      <c r="BJ128" s="115" t="n"/>
      <c r="BK128" s="115" t="n"/>
      <c r="BL128" s="115" t="n"/>
      <c r="BM128" s="114">
        <f>BI128+BJ128+BK128+BL128</f>
        <v/>
      </c>
    </row>
    <row r="129" ht="15.75" customHeight="1">
      <c r="A129" s="118" t="inlineStr">
        <is>
          <t>SACOLA M VERDE</t>
        </is>
      </c>
      <c r="B129" s="115" t="n">
        <v>400</v>
      </c>
      <c r="C129" s="115" t="n">
        <v>600</v>
      </c>
      <c r="D129" s="115" t="n">
        <v>400</v>
      </c>
      <c r="E129" s="115" t="n">
        <v>800</v>
      </c>
      <c r="F129" s="114">
        <f>B129+C129+D129+E129</f>
        <v/>
      </c>
      <c r="G129" s="115" t="n">
        <v>400</v>
      </c>
      <c r="H129" s="115" t="n">
        <v>400</v>
      </c>
      <c r="I129" s="115" t="n">
        <v>600</v>
      </c>
      <c r="J129" s="115" t="n">
        <v>0</v>
      </c>
      <c r="K129" s="114">
        <f>G129+H129+I129+J129</f>
        <v/>
      </c>
      <c r="L129" s="115" t="n">
        <v>800</v>
      </c>
      <c r="M129" s="115" t="n">
        <v>1200</v>
      </c>
      <c r="N129" s="115" t="n">
        <v>600</v>
      </c>
      <c r="O129" s="115" t="n">
        <v>1400</v>
      </c>
      <c r="P129" s="115" t="n">
        <v>400</v>
      </c>
      <c r="Q129" s="114">
        <f>L129+M129+N129+O129+P129</f>
        <v/>
      </c>
      <c r="R129" s="115" t="n"/>
      <c r="S129" s="115" t="n"/>
      <c r="T129" s="115" t="n"/>
      <c r="U129" s="115" t="n"/>
      <c r="V129" s="114">
        <f>R129+S129+T129+U129</f>
        <v/>
      </c>
      <c r="W129" s="115" t="n">
        <v>200</v>
      </c>
      <c r="X129" s="115" t="n">
        <v>800</v>
      </c>
      <c r="Y129" s="115" t="n"/>
      <c r="Z129" s="115" t="n"/>
      <c r="AA129" s="114">
        <f>W129+X129+Y129+Z129</f>
        <v/>
      </c>
      <c r="AB129" s="115" t="n"/>
      <c r="AC129" s="115" t="n"/>
      <c r="AD129" s="115" t="n"/>
      <c r="AE129" s="115" t="n"/>
      <c r="AF129" s="115" t="n"/>
      <c r="AG129" s="114">
        <f>AB129+AC129+AD129+AE129+AF129</f>
        <v/>
      </c>
      <c r="AH129" s="115" t="n"/>
      <c r="AI129" s="115" t="n"/>
      <c r="AJ129" s="115" t="n"/>
      <c r="AK129" s="115" t="n"/>
      <c r="AL129" s="114">
        <f>AH129+AI129+AJ129+AK129</f>
        <v/>
      </c>
      <c r="AM129" s="115" t="n"/>
      <c r="AN129" s="115" t="n"/>
      <c r="AO129" s="115" t="n"/>
      <c r="AP129" s="115" t="n"/>
      <c r="AQ129" s="115" t="n"/>
      <c r="AR129" s="114">
        <f>AM129+AN129+AO129+AP129+AQ129</f>
        <v/>
      </c>
      <c r="AS129" s="115" t="n"/>
      <c r="AT129" s="115" t="n"/>
      <c r="AU129" s="115" t="n"/>
      <c r="AV129" s="115" t="n"/>
      <c r="AW129" s="114">
        <f>AS129+AT129+AU129+AV129</f>
        <v/>
      </c>
      <c r="AX129" s="115" t="n"/>
      <c r="AY129" s="115" t="n"/>
      <c r="AZ129" s="115" t="n"/>
      <c r="BA129" s="115" t="n"/>
      <c r="BB129" s="114">
        <f>AX129+AY129+AZ129+BA129</f>
        <v/>
      </c>
      <c r="BC129" s="115" t="n"/>
      <c r="BD129" s="115" t="n"/>
      <c r="BE129" s="115" t="n"/>
      <c r="BF129" s="115" t="n"/>
      <c r="BG129" s="115" t="n"/>
      <c r="BH129" s="114">
        <f>BC129+BD129+BE129+BF129+BG129</f>
        <v/>
      </c>
      <c r="BI129" s="115" t="n"/>
      <c r="BJ129" s="115" t="n"/>
      <c r="BK129" s="115" t="n"/>
      <c r="BL129" s="115" t="n"/>
      <c r="BM129" s="114">
        <f>BI129+BJ129+BK129+BL129</f>
        <v/>
      </c>
    </row>
    <row r="130" ht="15.75" customHeight="1">
      <c r="A130" s="117" t="inlineStr">
        <is>
          <t>SACOLA G VERDE</t>
        </is>
      </c>
      <c r="B130" s="115" t="n">
        <v>0</v>
      </c>
      <c r="C130" s="115" t="n">
        <v>200</v>
      </c>
      <c r="D130" s="115" t="n">
        <v>100</v>
      </c>
      <c r="E130" s="115" t="n">
        <v>0</v>
      </c>
      <c r="F130" s="114">
        <f>B130+C130+D130+E130</f>
        <v/>
      </c>
      <c r="G130" s="115" t="n">
        <v>0</v>
      </c>
      <c r="H130" s="115" t="n">
        <v>0</v>
      </c>
      <c r="I130" s="115" t="n">
        <v>0</v>
      </c>
      <c r="J130" s="115" t="n">
        <v>0</v>
      </c>
      <c r="K130" s="114">
        <f>G130+H130+I130+J130</f>
        <v/>
      </c>
      <c r="L130" s="115" t="n">
        <v>1000</v>
      </c>
      <c r="M130" s="115" t="n">
        <v>100</v>
      </c>
      <c r="N130" s="115" t="n">
        <v>600</v>
      </c>
      <c r="O130" s="115" t="n">
        <v>300</v>
      </c>
      <c r="P130" s="115" t="n">
        <v>200</v>
      </c>
      <c r="Q130" s="114">
        <f>L130+M130+N130+O130+P130</f>
        <v/>
      </c>
      <c r="R130" s="115" t="n"/>
      <c r="S130" s="115" t="n"/>
      <c r="T130" s="115" t="n"/>
      <c r="U130" s="115" t="n"/>
      <c r="V130" s="114">
        <f>R130+S130+T130+U130</f>
        <v/>
      </c>
      <c r="W130" s="115" t="n">
        <v>0</v>
      </c>
      <c r="X130" s="115" t="n">
        <v>200</v>
      </c>
      <c r="Y130" s="115" t="n"/>
      <c r="Z130" s="115" t="n"/>
      <c r="AA130" s="114">
        <f>W130+X130+Y130+Z130</f>
        <v/>
      </c>
      <c r="AB130" s="115" t="n"/>
      <c r="AC130" s="115" t="n"/>
      <c r="AD130" s="115" t="n"/>
      <c r="AE130" s="115" t="n"/>
      <c r="AF130" s="115" t="n"/>
      <c r="AG130" s="114">
        <f>AB130+AC130+AD130+AE130+AF130</f>
        <v/>
      </c>
      <c r="AH130" s="115" t="n"/>
      <c r="AI130" s="115" t="n"/>
      <c r="AJ130" s="115" t="n"/>
      <c r="AK130" s="115" t="n"/>
      <c r="AL130" s="114">
        <f>AH130+AI130+AJ130+AK130</f>
        <v/>
      </c>
      <c r="AM130" s="115" t="n"/>
      <c r="AN130" s="115" t="n"/>
      <c r="AO130" s="115" t="n"/>
      <c r="AP130" s="115" t="n"/>
      <c r="AQ130" s="115" t="n"/>
      <c r="AR130" s="114">
        <f>AM130+AN130+AO130+AP130+AQ130</f>
        <v/>
      </c>
      <c r="AS130" s="115" t="n"/>
      <c r="AT130" s="115" t="n"/>
      <c r="AU130" s="115" t="n"/>
      <c r="AV130" s="115" t="n"/>
      <c r="AW130" s="114">
        <f>AS130+AT130+AU130+AV130</f>
        <v/>
      </c>
      <c r="AX130" s="115" t="n"/>
      <c r="AY130" s="115" t="n"/>
      <c r="AZ130" s="115" t="n"/>
      <c r="BA130" s="115" t="n"/>
      <c r="BB130" s="114">
        <f>AX130+AY130+AZ130+BA130</f>
        <v/>
      </c>
      <c r="BC130" s="115" t="n"/>
      <c r="BD130" s="115" t="n"/>
      <c r="BE130" s="115" t="n"/>
      <c r="BF130" s="115" t="n"/>
      <c r="BG130" s="115" t="n"/>
      <c r="BH130" s="114">
        <f>BC130+BD130+BE130+BF130+BG130</f>
        <v/>
      </c>
      <c r="BI130" s="115" t="n"/>
      <c r="BJ130" s="115" t="n"/>
      <c r="BK130" s="115" t="n"/>
      <c r="BL130" s="115" t="n"/>
      <c r="BM130" s="114">
        <f>BI130+BJ130+BK130+BL130</f>
        <v/>
      </c>
    </row>
    <row r="131" ht="15.75" customHeight="1">
      <c r="A131" s="278" t="inlineStr">
        <is>
          <t>SACOLA KRAFT M PARDA</t>
        </is>
      </c>
      <c r="B131" s="279" t="n">
        <v>0</v>
      </c>
      <c r="C131" s="115" t="n">
        <v>400</v>
      </c>
      <c r="D131" s="115" t="n">
        <v>400</v>
      </c>
      <c r="E131" s="115" t="n">
        <v>400</v>
      </c>
      <c r="F131" s="114">
        <f>B131+C131+D131+E131</f>
        <v/>
      </c>
      <c r="G131" s="115" t="n">
        <v>0</v>
      </c>
      <c r="H131" s="115" t="n">
        <v>200</v>
      </c>
      <c r="I131" s="115" t="n">
        <v>400</v>
      </c>
      <c r="J131" s="115" t="n">
        <v>400</v>
      </c>
      <c r="K131" s="114">
        <f>G131+H131+I131+J131</f>
        <v/>
      </c>
      <c r="L131" s="115" t="n">
        <v>0</v>
      </c>
      <c r="M131" s="115" t="n">
        <v>0</v>
      </c>
      <c r="N131" s="115" t="n">
        <v>800</v>
      </c>
      <c r="O131" s="115" t="n">
        <v>200</v>
      </c>
      <c r="P131" s="115" t="n">
        <v>0</v>
      </c>
      <c r="Q131" s="114">
        <f>L131+M131+N131+O131+P131</f>
        <v/>
      </c>
      <c r="R131" s="115" t="n"/>
      <c r="S131" s="115" t="n"/>
      <c r="T131" s="115" t="n"/>
      <c r="U131" s="115" t="n"/>
      <c r="V131" s="114">
        <f>R131+S131+T131+U131</f>
        <v/>
      </c>
      <c r="W131" s="115" t="n">
        <v>200</v>
      </c>
      <c r="X131" s="115" t="n">
        <v>200</v>
      </c>
      <c r="Y131" s="115" t="n"/>
      <c r="Z131" s="115" t="n"/>
      <c r="AA131" s="114">
        <f>W131+X131+Y131+Z131</f>
        <v/>
      </c>
      <c r="AB131" s="115" t="n"/>
      <c r="AC131" s="115" t="n"/>
      <c r="AD131" s="115" t="n"/>
      <c r="AE131" s="115" t="n"/>
      <c r="AF131" s="115" t="n"/>
      <c r="AG131" s="114">
        <f>AB131+AC131+AD131+AE131+AF131</f>
        <v/>
      </c>
      <c r="AH131" s="115" t="n"/>
      <c r="AI131" s="115" t="n"/>
      <c r="AJ131" s="115" t="n"/>
      <c r="AK131" s="115" t="n"/>
      <c r="AL131" s="114">
        <f>AH131+AI131+AJ131+AK131</f>
        <v/>
      </c>
      <c r="AM131" s="115" t="n"/>
      <c r="AN131" s="115" t="n"/>
      <c r="AO131" s="115" t="n"/>
      <c r="AP131" s="115" t="n"/>
      <c r="AQ131" s="115" t="n"/>
      <c r="AR131" s="114">
        <f>AM131+AN131+AO131+AP131+AQ131</f>
        <v/>
      </c>
      <c r="AS131" s="115" t="n"/>
      <c r="AT131" s="115" t="n"/>
      <c r="AU131" s="115" t="n"/>
      <c r="AV131" s="115" t="n"/>
      <c r="AW131" s="114">
        <f>AS131+AT131+AU131+AV131</f>
        <v/>
      </c>
      <c r="AX131" s="115" t="n"/>
      <c r="AY131" s="115" t="n"/>
      <c r="AZ131" s="115" t="n"/>
      <c r="BA131" s="115" t="n"/>
      <c r="BB131" s="114">
        <f>AX131+AY131+AZ131+BA131</f>
        <v/>
      </c>
      <c r="BC131" s="115" t="n"/>
      <c r="BD131" s="115" t="n"/>
      <c r="BE131" s="115" t="n"/>
      <c r="BF131" s="115" t="n"/>
      <c r="BG131" s="115" t="n"/>
      <c r="BH131" s="114">
        <f>BC131+BD131+BE131+BF131+BG131</f>
        <v/>
      </c>
      <c r="BI131" s="115" t="n"/>
      <c r="BJ131" s="115" t="n"/>
      <c r="BK131" s="115" t="n"/>
      <c r="BL131" s="115" t="n"/>
      <c r="BM131" s="114">
        <f>BI131+BJ131+BK131+BL131</f>
        <v/>
      </c>
    </row>
    <row r="132" ht="15.75" customHeight="1">
      <c r="A132" s="278" t="inlineStr">
        <is>
          <t>SACOLA KRAFT G PARDA</t>
        </is>
      </c>
      <c r="B132" s="279" t="n">
        <v>400</v>
      </c>
      <c r="C132" s="115" t="n">
        <v>200</v>
      </c>
      <c r="D132" s="115" t="n">
        <v>200</v>
      </c>
      <c r="E132" s="115" t="n">
        <v>200</v>
      </c>
      <c r="F132" s="114">
        <f>B132+C132+D132+E132</f>
        <v/>
      </c>
      <c r="G132" s="115" t="n">
        <v>200</v>
      </c>
      <c r="H132" s="115" t="n">
        <v>0</v>
      </c>
      <c r="I132" s="115" t="n">
        <v>200</v>
      </c>
      <c r="J132" s="115" t="n">
        <v>100</v>
      </c>
      <c r="K132" s="114">
        <f>G132+H132+I132+J132</f>
        <v/>
      </c>
      <c r="L132" s="115" t="n">
        <v>200</v>
      </c>
      <c r="M132" s="115" t="n">
        <v>200</v>
      </c>
      <c r="N132" s="115" t="n">
        <v>100</v>
      </c>
      <c r="O132" s="115" t="n">
        <v>0</v>
      </c>
      <c r="P132" s="115" t="n">
        <v>200</v>
      </c>
      <c r="Q132" s="114">
        <f>L132+M132+N132+O132+P132</f>
        <v/>
      </c>
      <c r="R132" s="115" t="n"/>
      <c r="S132" s="115" t="n"/>
      <c r="T132" s="115" t="n"/>
      <c r="U132" s="115" t="n"/>
      <c r="V132" s="114">
        <f>R132+S132+T132+U132</f>
        <v/>
      </c>
      <c r="W132" s="115" t="n">
        <v>0</v>
      </c>
      <c r="X132" s="115" t="n">
        <v>400</v>
      </c>
      <c r="Y132" s="115" t="n"/>
      <c r="Z132" s="115" t="n"/>
      <c r="AA132" s="114">
        <f>W132+X132+Y132+Z132</f>
        <v/>
      </c>
      <c r="AB132" s="115" t="n"/>
      <c r="AC132" s="115" t="n"/>
      <c r="AD132" s="115" t="n"/>
      <c r="AE132" s="115" t="n"/>
      <c r="AF132" s="115" t="n"/>
      <c r="AG132" s="114">
        <f>AB132+AC132+AD132+AE132+AF132</f>
        <v/>
      </c>
      <c r="AH132" s="115" t="n"/>
      <c r="AI132" s="115" t="n"/>
      <c r="AJ132" s="115" t="n"/>
      <c r="AK132" s="115" t="n"/>
      <c r="AL132" s="114">
        <f>AH132+AI132+AJ132+AK132</f>
        <v/>
      </c>
      <c r="AM132" s="115" t="n"/>
      <c r="AN132" s="115" t="n"/>
      <c r="AO132" s="115" t="n"/>
      <c r="AP132" s="115" t="n"/>
      <c r="AQ132" s="115" t="n"/>
      <c r="AR132" s="114">
        <f>AM132+AN132+AO132+AP132+AQ132</f>
        <v/>
      </c>
      <c r="AS132" s="115" t="n"/>
      <c r="AT132" s="115" t="n"/>
      <c r="AU132" s="115" t="n"/>
      <c r="AV132" s="115" t="n"/>
      <c r="AW132" s="114">
        <f>AS132+AT132+AU132+AV132</f>
        <v/>
      </c>
      <c r="AX132" s="115" t="n"/>
      <c r="AY132" s="115" t="n"/>
      <c r="AZ132" s="115" t="n"/>
      <c r="BA132" s="115" t="n"/>
      <c r="BB132" s="114">
        <f>AX132+AY132+AZ132+BA132</f>
        <v/>
      </c>
      <c r="BC132" s="115" t="n"/>
      <c r="BD132" s="115" t="n"/>
      <c r="BE132" s="115" t="n"/>
      <c r="BF132" s="115" t="n"/>
      <c r="BG132" s="115" t="n"/>
      <c r="BH132" s="114">
        <f>BC132+BD132+BE132+BF132+BG132</f>
        <v/>
      </c>
      <c r="BI132" s="115" t="n"/>
      <c r="BJ132" s="115" t="n"/>
      <c r="BK132" s="115" t="n"/>
      <c r="BL132" s="115" t="n"/>
      <c r="BM132" s="114">
        <f>BI132+BJ132+BK132+BL132</f>
        <v/>
      </c>
    </row>
    <row r="133" ht="15.75" customHeight="1">
      <c r="A133" s="116" t="inlineStr">
        <is>
          <t>PAPEL DE SEDA</t>
        </is>
      </c>
      <c r="B133" s="279" t="n">
        <v>0</v>
      </c>
      <c r="C133" s="115" t="n">
        <v>1</v>
      </c>
      <c r="D133" s="115" t="n">
        <v>3</v>
      </c>
      <c r="E133" s="115" t="n">
        <v>1</v>
      </c>
      <c r="F133" s="114">
        <f>B133+C133+D133+E133</f>
        <v/>
      </c>
      <c r="G133" s="115" t="n">
        <v>3</v>
      </c>
      <c r="H133" s="115" t="n">
        <v>4</v>
      </c>
      <c r="I133" s="115" t="n">
        <v>3</v>
      </c>
      <c r="J133" s="115" t="n">
        <v>3</v>
      </c>
      <c r="K133" s="114">
        <f>G133+H133+I133+J133</f>
        <v/>
      </c>
      <c r="L133" s="115" t="n">
        <v>2</v>
      </c>
      <c r="M133" s="115" t="n">
        <v>4</v>
      </c>
      <c r="N133" s="115" t="n">
        <v>1</v>
      </c>
      <c r="O133" s="115" t="n">
        <v>1</v>
      </c>
      <c r="P133" s="115" t="n">
        <v>0</v>
      </c>
      <c r="Q133" s="114">
        <f>L133+M133+N133+O133+P133</f>
        <v/>
      </c>
      <c r="R133" s="115" t="n"/>
      <c r="S133" s="115" t="n"/>
      <c r="T133" s="115" t="n"/>
      <c r="U133" s="115" t="n"/>
      <c r="V133" s="114">
        <f>R133+S133+T133+U133</f>
        <v/>
      </c>
      <c r="W133" s="115" t="n">
        <v>2</v>
      </c>
      <c r="X133" s="115" t="n">
        <v>6</v>
      </c>
      <c r="Y133" s="115" t="n"/>
      <c r="Z133" s="115" t="n"/>
      <c r="AA133" s="114">
        <f>W133+X133+Y133+Z133</f>
        <v/>
      </c>
      <c r="AB133" s="115" t="n"/>
      <c r="AC133" s="115" t="n"/>
      <c r="AD133" s="115" t="n"/>
      <c r="AE133" s="115" t="n"/>
      <c r="AF133" s="115" t="n"/>
      <c r="AG133" s="114">
        <f>AB133+AC133+AD133+AE133+AF133</f>
        <v/>
      </c>
      <c r="AH133" s="115" t="n"/>
      <c r="AI133" s="115" t="n"/>
      <c r="AJ133" s="115" t="n"/>
      <c r="AK133" s="115" t="n"/>
      <c r="AL133" s="114">
        <f>AH133+AI133+AJ133+AK133</f>
        <v/>
      </c>
      <c r="AM133" s="115" t="n"/>
      <c r="AN133" s="115" t="n"/>
      <c r="AO133" s="115" t="n"/>
      <c r="AP133" s="115" t="n"/>
      <c r="AQ133" s="115" t="n"/>
      <c r="AR133" s="114">
        <f>AM133+AN133+AO133+AP133+AQ133</f>
        <v/>
      </c>
      <c r="AS133" s="115" t="n"/>
      <c r="AT133" s="115" t="n"/>
      <c r="AU133" s="115" t="n"/>
      <c r="AV133" s="115" t="n"/>
      <c r="AW133" s="114">
        <f>AS133+AT133+AU133+AV133</f>
        <v/>
      </c>
      <c r="AX133" s="115" t="n"/>
      <c r="AY133" s="115" t="n"/>
      <c r="AZ133" s="115" t="n"/>
      <c r="BA133" s="115" t="n"/>
      <c r="BB133" s="114">
        <f>AX133+AY133+AZ133+BA133</f>
        <v/>
      </c>
      <c r="BC133" s="115" t="n"/>
      <c r="BD133" s="115" t="n"/>
      <c r="BE133" s="115" t="n"/>
      <c r="BF133" s="115" t="n"/>
      <c r="BG133" s="115" t="n"/>
      <c r="BH133" s="114">
        <f>BC133+BD133+BE133+BF133+BG133</f>
        <v/>
      </c>
      <c r="BI133" s="115" t="n"/>
      <c r="BJ133" s="115" t="n"/>
      <c r="BK133" s="115" t="n"/>
      <c r="BL133" s="115" t="n"/>
      <c r="BM133" s="114">
        <f>BI133+BJ133+BK133+BL133</f>
        <v/>
      </c>
    </row>
    <row r="134" ht="15.75" customHeight="1">
      <c r="A134" s="116" t="inlineStr">
        <is>
          <t>ETIQUETA</t>
        </is>
      </c>
      <c r="B134" s="279" t="n">
        <v>0</v>
      </c>
      <c r="C134" s="115" t="n">
        <v>0</v>
      </c>
      <c r="D134" s="115" t="n">
        <v>0</v>
      </c>
      <c r="E134" s="115" t="n">
        <v>1</v>
      </c>
      <c r="F134" s="114">
        <f>B134+C134+D134+E134</f>
        <v/>
      </c>
      <c r="G134" s="115" t="n">
        <v>2</v>
      </c>
      <c r="H134" s="115" t="n">
        <v>5</v>
      </c>
      <c r="I134" s="115" t="n">
        <v>4</v>
      </c>
      <c r="J134" s="115" t="n">
        <v>1</v>
      </c>
      <c r="K134" s="114">
        <f>G134+H134+I134+J134</f>
        <v/>
      </c>
      <c r="L134" s="115" t="n">
        <v>4</v>
      </c>
      <c r="M134" s="115" t="n">
        <v>5</v>
      </c>
      <c r="N134" s="115" t="n">
        <v>0</v>
      </c>
      <c r="O134" s="115" t="n">
        <v>3</v>
      </c>
      <c r="P134" s="115" t="n">
        <v>5</v>
      </c>
      <c r="Q134" s="114">
        <f>L134+M134+N134+O134+P134</f>
        <v/>
      </c>
      <c r="R134" s="115" t="n"/>
      <c r="S134" s="115" t="n"/>
      <c r="T134" s="115" t="n"/>
      <c r="U134" s="115" t="n"/>
      <c r="V134" s="114">
        <f>R134+S134+T134+U134</f>
        <v/>
      </c>
      <c r="W134" s="115" t="n">
        <v>0</v>
      </c>
      <c r="X134" s="115" t="n">
        <v>5</v>
      </c>
      <c r="Y134" s="115" t="n"/>
      <c r="Z134" s="115" t="n"/>
      <c r="AA134" s="114">
        <f>W134+X134+Y134+Z134</f>
        <v/>
      </c>
      <c r="AB134" s="115" t="n"/>
      <c r="AC134" s="115" t="n"/>
      <c r="AD134" s="115" t="n"/>
      <c r="AE134" s="115" t="n"/>
      <c r="AF134" s="115" t="n"/>
      <c r="AG134" s="114">
        <f>AB134+AC134+AD134+AE134+AF134</f>
        <v/>
      </c>
      <c r="AH134" s="115" t="n"/>
      <c r="AI134" s="115" t="n"/>
      <c r="AJ134" s="115" t="n"/>
      <c r="AK134" s="115" t="n"/>
      <c r="AL134" s="114">
        <f>AH134+AI134+AJ134+AK134</f>
        <v/>
      </c>
      <c r="AM134" s="115" t="n"/>
      <c r="AN134" s="115" t="n"/>
      <c r="AO134" s="115" t="n"/>
      <c r="AP134" s="115" t="n"/>
      <c r="AQ134" s="115" t="n"/>
      <c r="AR134" s="114">
        <f>AM134+AN134+AO134+AP134+AQ134</f>
        <v/>
      </c>
      <c r="AS134" s="115" t="n"/>
      <c r="AT134" s="115" t="n"/>
      <c r="AU134" s="115" t="n"/>
      <c r="AV134" s="115" t="n"/>
      <c r="AW134" s="114">
        <f>AS134+AT134+AU134+AV134</f>
        <v/>
      </c>
      <c r="AX134" s="115" t="n"/>
      <c r="AY134" s="115" t="n"/>
      <c r="AZ134" s="115" t="n"/>
      <c r="BA134" s="115" t="n"/>
      <c r="BB134" s="114">
        <f>AX134+AY134+AZ134+BA134</f>
        <v/>
      </c>
      <c r="BC134" s="115" t="n"/>
      <c r="BD134" s="115" t="n"/>
      <c r="BE134" s="115" t="n"/>
      <c r="BF134" s="115" t="n"/>
      <c r="BG134" s="115" t="n"/>
      <c r="BH134" s="114">
        <f>BC134+BD134+BE134+BF134+BG134</f>
        <v/>
      </c>
      <c r="BI134" s="115" t="n"/>
      <c r="BJ134" s="115" t="n"/>
      <c r="BK134" s="115" t="n"/>
      <c r="BL134" s="115" t="n"/>
      <c r="BM134" s="114">
        <f>BI134+BJ134+BK134+BL134</f>
        <v/>
      </c>
    </row>
    <row r="135" ht="15.75" customHeight="1">
      <c r="A135" s="116" t="inlineStr">
        <is>
          <t>TAG</t>
        </is>
      </c>
      <c r="B135" s="279" t="n">
        <v>0</v>
      </c>
      <c r="C135" s="115" t="n">
        <v>0</v>
      </c>
      <c r="D135" s="115" t="n">
        <v>0</v>
      </c>
      <c r="E135" s="115" t="n">
        <v>0</v>
      </c>
      <c r="F135" s="114">
        <f>B135+C135+D135+E135</f>
        <v/>
      </c>
      <c r="G135" s="115" t="n">
        <v>0</v>
      </c>
      <c r="H135" s="115" t="n">
        <v>0</v>
      </c>
      <c r="I135" s="115" t="n">
        <v>0</v>
      </c>
      <c r="J135" s="115" t="n">
        <v>0</v>
      </c>
      <c r="K135" s="114">
        <f>G135+H135+I135+J135</f>
        <v/>
      </c>
      <c r="L135" s="115" t="n">
        <v>0</v>
      </c>
      <c r="M135" s="115" t="n">
        <v>0</v>
      </c>
      <c r="N135" s="115" t="n">
        <v>0</v>
      </c>
      <c r="O135" s="115" t="n">
        <v>0</v>
      </c>
      <c r="P135" s="115" t="n">
        <v>0</v>
      </c>
      <c r="Q135" s="114">
        <f>L135+M135+N135+O135+P135</f>
        <v/>
      </c>
      <c r="R135" s="115" t="n"/>
      <c r="S135" s="115" t="n"/>
      <c r="T135" s="115" t="n"/>
      <c r="U135" s="115" t="n"/>
      <c r="V135" s="114">
        <f>R135+S135+T135+U135</f>
        <v/>
      </c>
      <c r="W135" s="115" t="n">
        <v>0</v>
      </c>
      <c r="X135" s="115" t="n">
        <v>0</v>
      </c>
      <c r="Y135" s="115" t="n"/>
      <c r="Z135" s="115" t="n"/>
      <c r="AA135" s="114">
        <f>W135+X135+Y135+Z135</f>
        <v/>
      </c>
      <c r="AB135" s="115" t="n"/>
      <c r="AC135" s="115" t="n"/>
      <c r="AD135" s="115" t="n"/>
      <c r="AE135" s="115" t="n"/>
      <c r="AF135" s="115" t="n"/>
      <c r="AG135" s="114">
        <f>AB135+AC135+AD135+AE135+AF135</f>
        <v/>
      </c>
      <c r="AH135" s="115" t="n"/>
      <c r="AI135" s="115" t="n"/>
      <c r="AJ135" s="115" t="n"/>
      <c r="AK135" s="115" t="n"/>
      <c r="AL135" s="114">
        <f>AH135+AI135+AJ135+AK135</f>
        <v/>
      </c>
      <c r="AM135" s="115" t="n"/>
      <c r="AN135" s="115" t="n"/>
      <c r="AO135" s="115" t="n"/>
      <c r="AP135" s="115" t="n"/>
      <c r="AQ135" s="115" t="n"/>
      <c r="AR135" s="114">
        <f>AM135+AN135+AO135+AP135+AQ135</f>
        <v/>
      </c>
      <c r="AS135" s="115" t="n"/>
      <c r="AT135" s="115" t="n"/>
      <c r="AU135" s="115" t="n"/>
      <c r="AV135" s="115" t="n"/>
      <c r="AW135" s="114">
        <f>AS135+AT135+AU135+AV135</f>
        <v/>
      </c>
      <c r="AX135" s="115" t="n"/>
      <c r="AY135" s="115" t="n"/>
      <c r="AZ135" s="115" t="n"/>
      <c r="BA135" s="115" t="n"/>
      <c r="BB135" s="114">
        <f>AX135+AY135+AZ135+BA135</f>
        <v/>
      </c>
      <c r="BC135" s="115" t="n"/>
      <c r="BD135" s="115" t="n"/>
      <c r="BE135" s="115" t="n"/>
      <c r="BF135" s="115" t="n"/>
      <c r="BG135" s="115" t="n"/>
      <c r="BH135" s="114">
        <f>BC135+BD135+BE135+BF135+BG135</f>
        <v/>
      </c>
      <c r="BI135" s="115" t="n"/>
      <c r="BJ135" s="115" t="n"/>
      <c r="BK135" s="115" t="n"/>
      <c r="BL135" s="115" t="n"/>
      <c r="BM135" s="114">
        <f>BI135+BJ135+BK135+BL135</f>
        <v/>
      </c>
    </row>
    <row r="136" ht="15.75" customHeight="1">
      <c r="A136" s="116" t="inlineStr">
        <is>
          <t>LÂMINA</t>
        </is>
      </c>
      <c r="B136" s="279" t="n">
        <v>0</v>
      </c>
      <c r="C136" s="115" t="n">
        <v>0</v>
      </c>
      <c r="D136" s="115" t="n">
        <v>0</v>
      </c>
      <c r="E136" s="115" t="n">
        <v>0</v>
      </c>
      <c r="F136" s="114">
        <f>B136+C136+D136+E136</f>
        <v/>
      </c>
      <c r="G136" s="115" t="n">
        <v>0</v>
      </c>
      <c r="H136" s="115" t="n">
        <v>1</v>
      </c>
      <c r="I136" s="115" t="n">
        <v>0</v>
      </c>
      <c r="J136" s="115" t="n">
        <v>0</v>
      </c>
      <c r="K136" s="114">
        <f>G136+H136+I136+J136</f>
        <v/>
      </c>
      <c r="L136" s="115" t="n">
        <v>0</v>
      </c>
      <c r="M136" s="115" t="n">
        <v>0</v>
      </c>
      <c r="N136" s="115" t="n">
        <v>0</v>
      </c>
      <c r="O136" s="115" t="n">
        <v>0</v>
      </c>
      <c r="P136" s="115" t="n">
        <v>0</v>
      </c>
      <c r="Q136" s="114">
        <f>L136+M136+N136+O136+P136</f>
        <v/>
      </c>
      <c r="R136" s="115" t="n"/>
      <c r="S136" s="115" t="n"/>
      <c r="T136" s="115" t="n"/>
      <c r="U136" s="115" t="n"/>
      <c r="V136" s="114">
        <f>R136+S136+T136+U136</f>
        <v/>
      </c>
      <c r="W136" s="115" t="n">
        <v>0</v>
      </c>
      <c r="X136" s="115" t="n">
        <v>0</v>
      </c>
      <c r="Y136" s="115" t="n"/>
      <c r="Z136" s="115" t="n"/>
      <c r="AA136" s="114">
        <f>W136+X136+Y136+Z136</f>
        <v/>
      </c>
      <c r="AB136" s="115" t="n"/>
      <c r="AC136" s="115" t="n"/>
      <c r="AD136" s="115" t="n"/>
      <c r="AE136" s="115" t="n"/>
      <c r="AF136" s="115" t="n"/>
      <c r="AG136" s="114">
        <f>AB136+AC136+AD136+AE136+AF136</f>
        <v/>
      </c>
      <c r="AH136" s="115" t="n"/>
      <c r="AI136" s="115" t="n"/>
      <c r="AJ136" s="115" t="n"/>
      <c r="AK136" s="115" t="n"/>
      <c r="AL136" s="114">
        <f>AH136+AI136+AJ136+AK136</f>
        <v/>
      </c>
      <c r="AM136" s="115" t="n"/>
      <c r="AN136" s="115" t="n"/>
      <c r="AO136" s="115" t="n"/>
      <c r="AP136" s="115" t="n"/>
      <c r="AQ136" s="115" t="n"/>
      <c r="AR136" s="114">
        <f>AM136+AN136+AO136+AP136+AQ136</f>
        <v/>
      </c>
      <c r="AS136" s="115" t="n"/>
      <c r="AT136" s="115" t="n"/>
      <c r="AU136" s="115" t="n"/>
      <c r="AV136" s="115" t="n"/>
      <c r="AW136" s="114">
        <f>AS136+AT136+AU136+AV136</f>
        <v/>
      </c>
      <c r="AX136" s="115" t="n"/>
      <c r="AY136" s="115" t="n"/>
      <c r="AZ136" s="115" t="n"/>
      <c r="BA136" s="115" t="n"/>
      <c r="BB136" s="114">
        <f>AX136+AY136+AZ136+BA136</f>
        <v/>
      </c>
      <c r="BC136" s="115" t="n"/>
      <c r="BD136" s="115" t="n"/>
      <c r="BE136" s="115" t="n"/>
      <c r="BF136" s="115" t="n"/>
      <c r="BG136" s="115" t="n"/>
      <c r="BH136" s="114">
        <f>BC136+BD136+BE136+BF136+BG136</f>
        <v/>
      </c>
      <c r="BI136" s="115" t="n"/>
      <c r="BJ136" s="115" t="n"/>
      <c r="BK136" s="115" t="n"/>
      <c r="BL136" s="115" t="n"/>
      <c r="BM136" s="114">
        <f>BI136+BJ136+BK136+BL136</f>
        <v/>
      </c>
    </row>
    <row r="137" ht="15.75" customHeight="1">
      <c r="A137" s="116" t="inlineStr">
        <is>
          <t>PAPEL DE SEDA OUI</t>
        </is>
      </c>
      <c r="B137" s="279" t="n">
        <v>0</v>
      </c>
      <c r="C137" s="115" t="n">
        <v>0</v>
      </c>
      <c r="D137" s="115" t="n">
        <v>0</v>
      </c>
      <c r="E137" s="115" t="n">
        <v>0</v>
      </c>
      <c r="F137" s="114">
        <f>B137+C137+D137+E137</f>
        <v/>
      </c>
      <c r="G137" s="115" t="n">
        <v>0</v>
      </c>
      <c r="H137" s="115" t="n">
        <v>0</v>
      </c>
      <c r="I137" s="115" t="n">
        <v>0</v>
      </c>
      <c r="J137" s="115" t="n">
        <v>0</v>
      </c>
      <c r="K137" s="114">
        <f>G137+H137+I137+J137</f>
        <v/>
      </c>
      <c r="L137" s="115" t="n">
        <v>0</v>
      </c>
      <c r="M137" s="115" t="n">
        <v>0</v>
      </c>
      <c r="N137" s="115" t="n">
        <v>0</v>
      </c>
      <c r="O137" s="115" t="n">
        <v>1</v>
      </c>
      <c r="P137" s="115" t="n">
        <v>0</v>
      </c>
      <c r="Q137" s="114">
        <f>L137+M137+N137+O137+P137</f>
        <v/>
      </c>
      <c r="R137" s="115" t="n"/>
      <c r="S137" s="115" t="n"/>
      <c r="T137" s="115" t="n"/>
      <c r="U137" s="115" t="n"/>
      <c r="V137" s="114">
        <f>R137+S137+T137+U137</f>
        <v/>
      </c>
      <c r="W137" s="115" t="n">
        <v>0</v>
      </c>
      <c r="X137" s="115" t="n">
        <v>0</v>
      </c>
      <c r="Y137" s="115" t="n"/>
      <c r="Z137" s="115" t="n"/>
      <c r="AA137" s="114">
        <f>W137+X137+Y137+Z137</f>
        <v/>
      </c>
      <c r="AB137" s="115" t="n"/>
      <c r="AC137" s="115" t="n"/>
      <c r="AD137" s="115" t="n"/>
      <c r="AE137" s="115" t="n"/>
      <c r="AF137" s="115" t="n"/>
      <c r="AG137" s="114">
        <f>AB137+AC137+AD137+AE137+AF137</f>
        <v/>
      </c>
      <c r="AH137" s="115" t="n"/>
      <c r="AI137" s="115" t="n"/>
      <c r="AJ137" s="115" t="n"/>
      <c r="AK137" s="115" t="n"/>
      <c r="AL137" s="114">
        <f>AH137+AI137+AJ137+AK137</f>
        <v/>
      </c>
      <c r="AM137" s="115" t="n"/>
      <c r="AN137" s="115" t="n"/>
      <c r="AO137" s="115" t="n"/>
      <c r="AP137" s="115" t="n"/>
      <c r="AQ137" s="115" t="n"/>
      <c r="AR137" s="114">
        <f>AM137+AN137+AO137+AP137+AQ137</f>
        <v/>
      </c>
      <c r="AS137" s="115" t="n"/>
      <c r="AT137" s="115" t="n"/>
      <c r="AU137" s="115" t="n"/>
      <c r="AV137" s="115" t="n"/>
      <c r="AW137" s="114">
        <f>AS137+AT137+AU137+AV137</f>
        <v/>
      </c>
      <c r="AX137" s="115" t="n"/>
      <c r="AY137" s="115" t="n"/>
      <c r="AZ137" s="115" t="n"/>
      <c r="BA137" s="115" t="n"/>
      <c r="BB137" s="114">
        <f>AX137+AY137+AZ137+BA137</f>
        <v/>
      </c>
      <c r="BC137" s="115" t="n"/>
      <c r="BD137" s="115" t="n"/>
      <c r="BE137" s="115" t="n"/>
      <c r="BF137" s="115" t="n"/>
      <c r="BG137" s="115" t="n"/>
      <c r="BH137" s="114">
        <f>BC137+BD137+BE137+BF137+BG137</f>
        <v/>
      </c>
      <c r="BI137" s="115" t="n"/>
      <c r="BJ137" s="115" t="n"/>
      <c r="BK137" s="115" t="n"/>
      <c r="BL137" s="115" t="n"/>
      <c r="BM137" s="114">
        <f>BI137+BJ137+BK137+BL137</f>
        <v/>
      </c>
    </row>
    <row r="138" ht="15.75" customHeight="1">
      <c r="A138" s="116" t="inlineStr">
        <is>
          <t>ETIQUETA OUI</t>
        </is>
      </c>
      <c r="B138" s="279" t="n">
        <v>0</v>
      </c>
      <c r="C138" s="115" t="n">
        <v>0</v>
      </c>
      <c r="D138" s="115" t="n">
        <v>0</v>
      </c>
      <c r="E138" s="115" t="n">
        <v>0</v>
      </c>
      <c r="F138" s="114">
        <f>B138+C138+D138+E138</f>
        <v/>
      </c>
      <c r="G138" s="115" t="n">
        <v>0</v>
      </c>
      <c r="H138" s="115" t="n">
        <v>1</v>
      </c>
      <c r="I138" s="115" t="n">
        <v>0</v>
      </c>
      <c r="J138" s="115" t="n">
        <v>0</v>
      </c>
      <c r="K138" s="114">
        <f>G138+H138+I138+J138</f>
        <v/>
      </c>
      <c r="L138" s="115" t="n">
        <v>0</v>
      </c>
      <c r="M138" s="115" t="n">
        <v>0</v>
      </c>
      <c r="N138" s="115" t="n">
        <v>0</v>
      </c>
      <c r="O138" s="115" t="n">
        <v>0</v>
      </c>
      <c r="P138" s="115" t="n">
        <v>0</v>
      </c>
      <c r="Q138" s="114">
        <f>L138+M138+N138+O138+P138</f>
        <v/>
      </c>
      <c r="R138" s="115" t="n"/>
      <c r="S138" s="115" t="n"/>
      <c r="T138" s="115" t="n"/>
      <c r="U138" s="115" t="n"/>
      <c r="V138" s="114">
        <f>R138+S138+T138+U138</f>
        <v/>
      </c>
      <c r="W138" s="115" t="n">
        <v>0</v>
      </c>
      <c r="X138" s="115" t="n">
        <v>0</v>
      </c>
      <c r="Y138" s="115" t="n"/>
      <c r="Z138" s="115" t="n"/>
      <c r="AA138" s="114">
        <f>W138+X138+Y138+Z138</f>
        <v/>
      </c>
      <c r="AB138" s="115" t="n"/>
      <c r="AC138" s="115" t="n"/>
      <c r="AD138" s="115" t="n"/>
      <c r="AE138" s="115" t="n"/>
      <c r="AF138" s="115" t="n"/>
      <c r="AG138" s="114">
        <f>AB138+AC138+AD138+AE138+AF138</f>
        <v/>
      </c>
      <c r="AH138" s="115" t="n"/>
      <c r="AI138" s="115" t="n"/>
      <c r="AJ138" s="115" t="n"/>
      <c r="AK138" s="115" t="n"/>
      <c r="AL138" s="114">
        <f>AH138+AI138+AJ138+AK138</f>
        <v/>
      </c>
      <c r="AM138" s="115" t="n"/>
      <c r="AN138" s="115" t="n"/>
      <c r="AO138" s="115" t="n"/>
      <c r="AP138" s="115" t="n"/>
      <c r="AQ138" s="115" t="n"/>
      <c r="AR138" s="114">
        <f>AM138+AN138+AO138+AP138+AQ138</f>
        <v/>
      </c>
      <c r="AS138" s="115" t="n"/>
      <c r="AT138" s="115" t="n"/>
      <c r="AU138" s="115" t="n"/>
      <c r="AV138" s="115" t="n"/>
      <c r="AW138" s="114">
        <f>AS138+AT138+AU138+AV138</f>
        <v/>
      </c>
      <c r="AX138" s="115" t="n"/>
      <c r="AY138" s="115" t="n"/>
      <c r="AZ138" s="115" t="n"/>
      <c r="BA138" s="115" t="n"/>
      <c r="BB138" s="114">
        <f>AX138+AY138+AZ138+BA138</f>
        <v/>
      </c>
      <c r="BC138" s="115" t="n"/>
      <c r="BD138" s="115" t="n"/>
      <c r="BE138" s="115" t="n"/>
      <c r="BF138" s="115" t="n"/>
      <c r="BG138" s="115" t="n"/>
      <c r="BH138" s="114">
        <f>BC138+BD138+BE138+BF138+BG138</f>
        <v/>
      </c>
      <c r="BI138" s="115" t="n"/>
      <c r="BJ138" s="115" t="n"/>
      <c r="BK138" s="115" t="n"/>
      <c r="BL138" s="115" t="n"/>
      <c r="BM138" s="114">
        <f>BI138+BJ138+BK138+BL138</f>
        <v/>
      </c>
    </row>
    <row r="139" ht="15.75" customHeight="1">
      <c r="A139" s="116" t="inlineStr">
        <is>
          <t>LÂMINA OLFATIVA OUI</t>
        </is>
      </c>
      <c r="B139" s="279" t="n">
        <v>0</v>
      </c>
      <c r="C139" s="115" t="n">
        <v>1</v>
      </c>
      <c r="D139" s="115" t="n">
        <v>0</v>
      </c>
      <c r="E139" s="115" t="n">
        <v>0</v>
      </c>
      <c r="F139" s="114">
        <f>B139+C139+D139+E139</f>
        <v/>
      </c>
      <c r="G139" s="115" t="n">
        <v>0</v>
      </c>
      <c r="H139" s="115" t="n">
        <v>0</v>
      </c>
      <c r="I139" s="115" t="n">
        <v>0</v>
      </c>
      <c r="J139" s="115" t="n">
        <v>0</v>
      </c>
      <c r="K139" s="114">
        <f>G139+H139+I139+J139</f>
        <v/>
      </c>
      <c r="L139" s="115" t="n">
        <v>0</v>
      </c>
      <c r="M139" s="115" t="n">
        <v>0</v>
      </c>
      <c r="N139" s="115" t="n">
        <v>0</v>
      </c>
      <c r="O139" s="115" t="n">
        <v>0</v>
      </c>
      <c r="P139" s="115" t="n">
        <v>0</v>
      </c>
      <c r="Q139" s="114">
        <f>L139+M139+N139+O139+P139</f>
        <v/>
      </c>
      <c r="R139" s="115" t="n"/>
      <c r="S139" s="115" t="n"/>
      <c r="T139" s="115" t="n"/>
      <c r="U139" s="115" t="n"/>
      <c r="V139" s="114">
        <f>R139+S139+T139+U139</f>
        <v/>
      </c>
      <c r="W139" s="115" t="n">
        <v>0</v>
      </c>
      <c r="X139" s="115" t="n">
        <v>0</v>
      </c>
      <c r="Y139" s="115" t="n"/>
      <c r="Z139" s="115" t="n"/>
      <c r="AA139" s="114">
        <f>W139+X139+Y139+Z139</f>
        <v/>
      </c>
      <c r="AB139" s="115" t="n"/>
      <c r="AC139" s="115" t="n"/>
      <c r="AD139" s="115" t="n"/>
      <c r="AE139" s="115" t="n"/>
      <c r="AF139" s="115" t="n"/>
      <c r="AG139" s="114">
        <f>AB139+AC139+AD139+AE139+AF139</f>
        <v/>
      </c>
      <c r="AH139" s="115" t="n"/>
      <c r="AI139" s="115" t="n"/>
      <c r="AJ139" s="115" t="n"/>
      <c r="AK139" s="115" t="n"/>
      <c r="AL139" s="114">
        <f>AH139+AI139+AJ139+AK139</f>
        <v/>
      </c>
      <c r="AM139" s="115" t="n"/>
      <c r="AN139" s="115" t="n"/>
      <c r="AO139" s="115" t="n"/>
      <c r="AP139" s="115" t="n"/>
      <c r="AQ139" s="115" t="n"/>
      <c r="AR139" s="114">
        <f>AM139+AN139+AO139+AP139+AQ139</f>
        <v/>
      </c>
      <c r="AS139" s="115" t="n"/>
      <c r="AT139" s="115" t="n"/>
      <c r="AU139" s="115" t="n"/>
      <c r="AV139" s="115" t="n"/>
      <c r="AW139" s="114">
        <f>AS139+AT139+AU139+AV139</f>
        <v/>
      </c>
      <c r="AX139" s="115" t="n"/>
      <c r="AY139" s="115" t="n"/>
      <c r="AZ139" s="115" t="n"/>
      <c r="BA139" s="115" t="n"/>
      <c r="BB139" s="114">
        <f>AX139+AY139+AZ139+BA139</f>
        <v/>
      </c>
      <c r="BC139" s="115" t="n"/>
      <c r="BD139" s="115" t="n"/>
      <c r="BE139" s="115" t="n"/>
      <c r="BF139" s="115" t="n"/>
      <c r="BG139" s="115" t="n"/>
      <c r="BH139" s="114">
        <f>BC139+BD139+BE139+BF139+BG139</f>
        <v/>
      </c>
      <c r="BI139" s="115" t="n"/>
      <c r="BJ139" s="115" t="n"/>
      <c r="BK139" s="115" t="n"/>
      <c r="BL139" s="115" t="n"/>
      <c r="BM139" s="114">
        <f>BI139+BJ139+BK139+BL139</f>
        <v/>
      </c>
    </row>
    <row r="140" ht="15.75" customHeight="1">
      <c r="A140" s="116" t="inlineStr">
        <is>
          <t>SACO M OUI (BRINDE)</t>
        </is>
      </c>
      <c r="B140" s="115" t="n">
        <v>0</v>
      </c>
      <c r="C140" s="115" t="n">
        <v>0</v>
      </c>
      <c r="D140" s="115" t="n">
        <v>150</v>
      </c>
      <c r="E140" s="115" t="n">
        <v>0</v>
      </c>
      <c r="F140" s="114">
        <f>B140+C140+D140+E140</f>
        <v/>
      </c>
      <c r="G140" s="115" t="n">
        <v>0</v>
      </c>
      <c r="H140" s="115" t="n">
        <v>0</v>
      </c>
      <c r="I140" s="115" t="n">
        <v>0</v>
      </c>
      <c r="J140" s="115" t="n">
        <v>0</v>
      </c>
      <c r="K140" s="114">
        <f>G140+H140+I140+J140</f>
        <v/>
      </c>
      <c r="L140" s="115" t="n">
        <v>0</v>
      </c>
      <c r="M140" s="115" t="n">
        <v>0</v>
      </c>
      <c r="N140" s="115" t="n">
        <v>0</v>
      </c>
      <c r="O140" s="115" t="n">
        <v>0</v>
      </c>
      <c r="P140" s="115" t="n">
        <v>0</v>
      </c>
      <c r="Q140" s="114">
        <f>L140+M140+N140+O140+P140</f>
        <v/>
      </c>
      <c r="R140" s="115" t="n"/>
      <c r="S140" s="115" t="n"/>
      <c r="T140" s="115" t="n"/>
      <c r="U140" s="115" t="n"/>
      <c r="V140" s="114">
        <f>R140+S140+T140+U140</f>
        <v/>
      </c>
      <c r="W140" s="115" t="n">
        <v>0</v>
      </c>
      <c r="X140" s="115" t="n">
        <v>0</v>
      </c>
      <c r="Y140" s="115" t="n"/>
      <c r="Z140" s="115" t="n"/>
      <c r="AA140" s="114">
        <f>W140+X140+Y140+Z140</f>
        <v/>
      </c>
      <c r="AB140" s="115" t="n"/>
      <c r="AC140" s="115" t="n"/>
      <c r="AD140" s="115" t="n"/>
      <c r="AE140" s="115" t="n"/>
      <c r="AF140" s="115" t="n"/>
      <c r="AG140" s="114">
        <f>AB140+AC140+AD140+AE140+AF140</f>
        <v/>
      </c>
      <c r="AH140" s="115" t="n"/>
      <c r="AI140" s="115" t="n"/>
      <c r="AJ140" s="115" t="n"/>
      <c r="AK140" s="115" t="n"/>
      <c r="AL140" s="114">
        <f>AH140+AI140+AJ140+AK140</f>
        <v/>
      </c>
      <c r="AM140" s="115" t="n"/>
      <c r="AN140" s="115" t="n"/>
      <c r="AO140" s="115" t="n"/>
      <c r="AP140" s="115" t="n"/>
      <c r="AQ140" s="115" t="n"/>
      <c r="AR140" s="114">
        <f>AM140+AN140+AO140+AP140+AQ140</f>
        <v/>
      </c>
      <c r="AS140" s="115" t="n"/>
      <c r="AT140" s="115" t="n"/>
      <c r="AU140" s="115" t="n"/>
      <c r="AV140" s="115" t="n"/>
      <c r="AW140" s="114">
        <f>AS140+AT140+AU140+AV140</f>
        <v/>
      </c>
      <c r="AX140" s="115" t="n"/>
      <c r="AY140" s="115" t="n"/>
      <c r="AZ140" s="115" t="n"/>
      <c r="BA140" s="115" t="n"/>
      <c r="BB140" s="114">
        <f>AX140+AY140+AZ140+BA140</f>
        <v/>
      </c>
      <c r="BC140" s="115" t="n"/>
      <c r="BD140" s="115" t="n"/>
      <c r="BE140" s="115" t="n"/>
      <c r="BF140" s="115" t="n"/>
      <c r="BG140" s="115" t="n"/>
      <c r="BH140" s="114">
        <f>BC140+BD140+BE140+BF140+BG140</f>
        <v/>
      </c>
      <c r="BI140" s="115" t="n"/>
      <c r="BJ140" s="115" t="n"/>
      <c r="BK140" s="115" t="n"/>
      <c r="BL140" s="115" t="n"/>
      <c r="BM140" s="114">
        <f>BI140+BJ140+BK140+BL140</f>
        <v/>
      </c>
    </row>
    <row r="141" ht="15.75" customHeight="1">
      <c r="A141" s="116" t="inlineStr">
        <is>
          <t>SACOLA P QDB</t>
        </is>
      </c>
      <c r="B141" s="279" t="n">
        <v>0</v>
      </c>
      <c r="C141" s="115" t="n">
        <v>0</v>
      </c>
      <c r="D141" s="115" t="n">
        <v>0</v>
      </c>
      <c r="E141" s="115" t="n">
        <v>0</v>
      </c>
      <c r="F141" s="114">
        <f>B141+C141+D141+E141</f>
        <v/>
      </c>
      <c r="G141" s="115" t="n">
        <v>0</v>
      </c>
      <c r="H141" s="115" t="n">
        <v>0</v>
      </c>
      <c r="I141" s="115" t="n">
        <v>0</v>
      </c>
      <c r="J141" s="115" t="n">
        <v>0</v>
      </c>
      <c r="K141" s="114">
        <f>G141+H141+I141+J141</f>
        <v/>
      </c>
      <c r="L141" s="115" t="n">
        <v>0</v>
      </c>
      <c r="M141" s="115" t="n">
        <v>0</v>
      </c>
      <c r="N141" s="115" t="n">
        <v>0</v>
      </c>
      <c r="O141" s="115" t="n">
        <v>0</v>
      </c>
      <c r="P141" s="115" t="n">
        <v>0</v>
      </c>
      <c r="Q141" s="114">
        <f>L141+M141+N141+O141+P141</f>
        <v/>
      </c>
      <c r="R141" s="115" t="n"/>
      <c r="S141" s="115" t="n"/>
      <c r="T141" s="115" t="n"/>
      <c r="U141" s="115" t="n"/>
      <c r="V141" s="114">
        <f>R141+S141+T141+U141</f>
        <v/>
      </c>
      <c r="W141" s="115" t="n">
        <v>0</v>
      </c>
      <c r="X141" s="115" t="n">
        <v>0</v>
      </c>
      <c r="Y141" s="115" t="n"/>
      <c r="Z141" s="115" t="n"/>
      <c r="AA141" s="114">
        <f>W141+X141+Y141+Z141</f>
        <v/>
      </c>
      <c r="AB141" s="115" t="n"/>
      <c r="AC141" s="115" t="n"/>
      <c r="AD141" s="115" t="n"/>
      <c r="AE141" s="115" t="n"/>
      <c r="AF141" s="115" t="n"/>
      <c r="AG141" s="114">
        <f>AB141+AC141+AD141+AE141+AF141</f>
        <v/>
      </c>
      <c r="AH141" s="115" t="n"/>
      <c r="AI141" s="115" t="n"/>
      <c r="AJ141" s="115" t="n"/>
      <c r="AK141" s="115" t="n"/>
      <c r="AL141" s="114">
        <f>AH141+AI141+AJ141+AK141</f>
        <v/>
      </c>
      <c r="AM141" s="115" t="n"/>
      <c r="AN141" s="115" t="n"/>
      <c r="AO141" s="115" t="n"/>
      <c r="AP141" s="115" t="n"/>
      <c r="AQ141" s="115" t="n"/>
      <c r="AR141" s="114">
        <f>AM141+AN141+AO141+AP141+AQ141</f>
        <v/>
      </c>
      <c r="AS141" s="115" t="n"/>
      <c r="AT141" s="115" t="n"/>
      <c r="AU141" s="115" t="n"/>
      <c r="AV141" s="115" t="n"/>
      <c r="AW141" s="114">
        <f>AS141+AT141+AU141+AV141</f>
        <v/>
      </c>
      <c r="AX141" s="115" t="n"/>
      <c r="AY141" s="115" t="n"/>
      <c r="AZ141" s="115" t="n"/>
      <c r="BA141" s="115" t="n"/>
      <c r="BB141" s="114">
        <f>AX141+AY141+AZ141+BA141</f>
        <v/>
      </c>
      <c r="BC141" s="115" t="n"/>
      <c r="BD141" s="115" t="n"/>
      <c r="BE141" s="115" t="n"/>
      <c r="BF141" s="115" t="n"/>
      <c r="BG141" s="115" t="n"/>
      <c r="BH141" s="114">
        <f>BC141+BD141+BE141+BF141+BG141</f>
        <v/>
      </c>
      <c r="BI141" s="115" t="n"/>
      <c r="BJ141" s="115" t="n"/>
      <c r="BK141" s="115" t="n"/>
      <c r="BL141" s="115" t="n"/>
      <c r="BM141" s="114">
        <f>BI141+BJ141+BK141+BL141</f>
        <v/>
      </c>
    </row>
    <row r="142" ht="15.75" customHeight="1">
      <c r="A142" s="116" t="inlineStr">
        <is>
          <t>SACOLA M QDB</t>
        </is>
      </c>
      <c r="B142" s="279" t="n">
        <v>0</v>
      </c>
      <c r="C142" s="115" t="n">
        <v>0</v>
      </c>
      <c r="D142" s="115" t="n">
        <v>0</v>
      </c>
      <c r="E142" s="115" t="n">
        <v>0</v>
      </c>
      <c r="F142" s="114">
        <f>B142+C142+D142+E142</f>
        <v/>
      </c>
      <c r="G142" s="115" t="n">
        <v>0</v>
      </c>
      <c r="H142" s="115" t="n">
        <v>0</v>
      </c>
      <c r="I142" s="115" t="n">
        <v>0</v>
      </c>
      <c r="J142" s="115" t="n">
        <v>0</v>
      </c>
      <c r="K142" s="114">
        <f>G142+H142+I142+J142</f>
        <v/>
      </c>
      <c r="L142" s="115" t="n">
        <v>0</v>
      </c>
      <c r="M142" s="115" t="n">
        <v>0</v>
      </c>
      <c r="N142" s="115" t="n">
        <v>0</v>
      </c>
      <c r="O142" s="115" t="n">
        <v>0</v>
      </c>
      <c r="P142" s="115" t="n">
        <v>0</v>
      </c>
      <c r="Q142" s="114">
        <f>L142+M142+N142+O142+P142</f>
        <v/>
      </c>
      <c r="R142" s="115" t="n"/>
      <c r="S142" s="115" t="n"/>
      <c r="T142" s="115" t="n"/>
      <c r="U142" s="115" t="n"/>
      <c r="V142" s="114">
        <f>R142+S142+T142+U142</f>
        <v/>
      </c>
      <c r="W142" s="115" t="n">
        <v>0</v>
      </c>
      <c r="X142" s="115" t="n">
        <v>0</v>
      </c>
      <c r="Y142" s="115" t="n"/>
      <c r="Z142" s="115" t="n"/>
      <c r="AA142" s="114">
        <f>W142+X142+Y142+Z142</f>
        <v/>
      </c>
      <c r="AB142" s="115" t="n"/>
      <c r="AC142" s="115" t="n"/>
      <c r="AD142" s="115" t="n"/>
      <c r="AE142" s="115" t="n"/>
      <c r="AF142" s="115" t="n"/>
      <c r="AG142" s="114">
        <f>AB142+AC142+AD142+AE142+AF142</f>
        <v/>
      </c>
      <c r="AH142" s="115" t="n"/>
      <c r="AI142" s="115" t="n"/>
      <c r="AJ142" s="115" t="n"/>
      <c r="AK142" s="115" t="n"/>
      <c r="AL142" s="114">
        <f>AH142+AI142+AJ142+AK142</f>
        <v/>
      </c>
      <c r="AM142" s="115" t="n"/>
      <c r="AN142" s="115" t="n"/>
      <c r="AO142" s="115" t="n"/>
      <c r="AP142" s="115" t="n"/>
      <c r="AQ142" s="115" t="n"/>
      <c r="AR142" s="114">
        <f>AM142+AN142+AO142+AP142+AQ142</f>
        <v/>
      </c>
      <c r="AS142" s="115" t="n"/>
      <c r="AT142" s="115" t="n"/>
      <c r="AU142" s="115" t="n"/>
      <c r="AV142" s="115" t="n"/>
      <c r="AW142" s="114">
        <f>AS142+AT142+AU142+AV142</f>
        <v/>
      </c>
      <c r="AX142" s="115" t="n"/>
      <c r="AY142" s="115" t="n"/>
      <c r="AZ142" s="115" t="n"/>
      <c r="BA142" s="115" t="n"/>
      <c r="BB142" s="114">
        <f>AX142+AY142+AZ142+BA142</f>
        <v/>
      </c>
      <c r="BC142" s="115" t="n"/>
      <c r="BD142" s="115" t="n"/>
      <c r="BE142" s="115" t="n"/>
      <c r="BF142" s="115" t="n"/>
      <c r="BG142" s="115" t="n"/>
      <c r="BH142" s="114">
        <f>BC142+BD142+BE142+BF142+BG142</f>
        <v/>
      </c>
      <c r="BI142" s="115" t="n"/>
      <c r="BJ142" s="115" t="n"/>
      <c r="BK142" s="115" t="n"/>
      <c r="BL142" s="115" t="n"/>
      <c r="BM142" s="114">
        <f>BI142+BJ142+BK142+BL142</f>
        <v/>
      </c>
    </row>
    <row r="143" ht="15.75" customHeight="1">
      <c r="A143" s="116" t="inlineStr">
        <is>
          <t>SACOLA G QDB</t>
        </is>
      </c>
      <c r="B143" s="279" t="n">
        <v>0</v>
      </c>
      <c r="C143" s="115" t="n">
        <v>0</v>
      </c>
      <c r="D143" s="115" t="n">
        <v>0</v>
      </c>
      <c r="E143" s="115" t="n">
        <v>0</v>
      </c>
      <c r="F143" s="114">
        <f>B143+C143+D143+E143</f>
        <v/>
      </c>
      <c r="G143" s="115" t="n">
        <v>0</v>
      </c>
      <c r="H143" s="115" t="n">
        <v>0</v>
      </c>
      <c r="I143" s="115" t="n">
        <v>0</v>
      </c>
      <c r="J143" s="115" t="n">
        <v>0</v>
      </c>
      <c r="K143" s="114">
        <f>G143+H143+I143+J143</f>
        <v/>
      </c>
      <c r="L143" s="115" t="n">
        <v>0</v>
      </c>
      <c r="M143" s="115" t="n">
        <v>0</v>
      </c>
      <c r="N143" s="115" t="n">
        <v>0</v>
      </c>
      <c r="O143" s="115" t="n">
        <v>0</v>
      </c>
      <c r="P143" s="115" t="n">
        <v>0</v>
      </c>
      <c r="Q143" s="114">
        <f>L143+M143+N143+O143+P143</f>
        <v/>
      </c>
      <c r="R143" s="115" t="n"/>
      <c r="S143" s="115" t="n"/>
      <c r="T143" s="115" t="n"/>
      <c r="U143" s="115" t="n"/>
      <c r="V143" s="114">
        <f>R143+S143+T143+U143</f>
        <v/>
      </c>
      <c r="W143" s="115" t="n">
        <v>0</v>
      </c>
      <c r="X143" s="115" t="n">
        <v>0</v>
      </c>
      <c r="Y143" s="115" t="n"/>
      <c r="Z143" s="115" t="n"/>
      <c r="AA143" s="114">
        <f>W143+X143+Y143+Z143</f>
        <v/>
      </c>
      <c r="AB143" s="115" t="n"/>
      <c r="AC143" s="115" t="n"/>
      <c r="AD143" s="115" t="n"/>
      <c r="AE143" s="115" t="n"/>
      <c r="AF143" s="115" t="n"/>
      <c r="AG143" s="114">
        <f>AB143+AC143+AD143+AE143+AF143</f>
        <v/>
      </c>
      <c r="AH143" s="115" t="n"/>
      <c r="AI143" s="115" t="n"/>
      <c r="AJ143" s="115" t="n"/>
      <c r="AK143" s="115" t="n"/>
      <c r="AL143" s="114">
        <f>AH143+AI143+AJ143+AK143</f>
        <v/>
      </c>
      <c r="AM143" s="115" t="n"/>
      <c r="AN143" s="115" t="n"/>
      <c r="AO143" s="115" t="n"/>
      <c r="AP143" s="115" t="n"/>
      <c r="AQ143" s="115" t="n"/>
      <c r="AR143" s="114">
        <f>AM143+AN143+AO143+AP143+AQ143</f>
        <v/>
      </c>
      <c r="AS143" s="115" t="n"/>
      <c r="AT143" s="115" t="n"/>
      <c r="AU143" s="115" t="n"/>
      <c r="AV143" s="115" t="n"/>
      <c r="AW143" s="114">
        <f>AS143+AT143+AU143+AV143</f>
        <v/>
      </c>
      <c r="AX143" s="115" t="n"/>
      <c r="AY143" s="115" t="n"/>
      <c r="AZ143" s="115" t="n"/>
      <c r="BA143" s="115" t="n"/>
      <c r="BB143" s="114">
        <f>AX143+AY143+AZ143+BA143</f>
        <v/>
      </c>
      <c r="BC143" s="115" t="n"/>
      <c r="BD143" s="115" t="n"/>
      <c r="BE143" s="115" t="n"/>
      <c r="BF143" s="115" t="n"/>
      <c r="BG143" s="115" t="n"/>
      <c r="BH143" s="114">
        <f>BC143+BD143+BE143+BF143+BG143</f>
        <v/>
      </c>
      <c r="BI143" s="115" t="n"/>
      <c r="BJ143" s="115" t="n"/>
      <c r="BK143" s="115" t="n"/>
      <c r="BL143" s="115" t="n"/>
      <c r="BM143" s="114">
        <f>BI143+BJ143+BK143+BL143</f>
        <v/>
      </c>
    </row>
    <row r="144" ht="15.75" customHeight="1">
      <c r="A144" s="116" t="inlineStr">
        <is>
          <t>PAPEL DE SEDA QDB</t>
        </is>
      </c>
      <c r="B144" s="279" t="n">
        <v>0</v>
      </c>
      <c r="C144" s="279" t="n">
        <v>0</v>
      </c>
      <c r="D144" s="279" t="n">
        <v>0</v>
      </c>
      <c r="E144" s="279" t="n">
        <v>0</v>
      </c>
      <c r="F144" s="114">
        <f>B144+C144+D144+E144</f>
        <v/>
      </c>
      <c r="G144" s="279" t="n">
        <v>0</v>
      </c>
      <c r="H144" s="279" t="n">
        <v>0</v>
      </c>
      <c r="I144" s="279" t="n">
        <v>0</v>
      </c>
      <c r="J144" s="279" t="n">
        <v>0</v>
      </c>
      <c r="K144" s="114">
        <f>G144+H144+I144+J144</f>
        <v/>
      </c>
      <c r="L144" s="279" t="n">
        <v>0</v>
      </c>
      <c r="M144" s="279" t="n">
        <v>0</v>
      </c>
      <c r="N144" s="279" t="n">
        <v>0</v>
      </c>
      <c r="O144" s="279" t="n">
        <v>0</v>
      </c>
      <c r="P144" s="279" t="n">
        <v>0</v>
      </c>
      <c r="Q144" s="114">
        <f>L144+M144+N144+O144+P144</f>
        <v/>
      </c>
      <c r="R144" s="279" t="n"/>
      <c r="S144" s="279" t="n"/>
      <c r="T144" s="279" t="n"/>
      <c r="U144" s="279" t="n"/>
      <c r="V144" s="114">
        <f>R144+S144+T144+U144</f>
        <v/>
      </c>
      <c r="W144" s="279" t="n">
        <v>0</v>
      </c>
      <c r="X144" s="279" t="n">
        <v>0</v>
      </c>
      <c r="Y144" s="279" t="n"/>
      <c r="Z144" s="279" t="n"/>
      <c r="AA144" s="114">
        <f>W144+X144+Y144+Z144</f>
        <v/>
      </c>
      <c r="AB144" s="279" t="n"/>
      <c r="AC144" s="279" t="n"/>
      <c r="AD144" s="279" t="n"/>
      <c r="AE144" s="279" t="n"/>
      <c r="AF144" s="279" t="n"/>
      <c r="AG144" s="114">
        <f>AB144+AC144+AD144+AE144+AF144</f>
        <v/>
      </c>
      <c r="AH144" s="279" t="n"/>
      <c r="AI144" s="279" t="n"/>
      <c r="AJ144" s="279" t="n"/>
      <c r="AK144" s="279" t="n"/>
      <c r="AL144" s="114">
        <f>AH144+AI144+AJ144+AK144</f>
        <v/>
      </c>
      <c r="AM144" s="115" t="n"/>
      <c r="AN144" s="115" t="n"/>
      <c r="AO144" s="115" t="n"/>
      <c r="AP144" s="115" t="n"/>
      <c r="AQ144" s="115" t="n"/>
      <c r="AR144" s="114">
        <f>AM144+AN144+AO144+AP144+AQ144</f>
        <v/>
      </c>
      <c r="AS144" s="115" t="n"/>
      <c r="AT144" s="115" t="n"/>
      <c r="AU144" s="115" t="n"/>
      <c r="AV144" s="115" t="n"/>
      <c r="AW144" s="114">
        <f>AS144+AT144+AU144+AV144</f>
        <v/>
      </c>
      <c r="AX144" s="115" t="n"/>
      <c r="AY144" s="115" t="n"/>
      <c r="AZ144" s="115" t="n"/>
      <c r="BA144" s="115" t="n"/>
      <c r="BB144" s="114">
        <f>AX144+AY144+AZ144+BA144</f>
        <v/>
      </c>
      <c r="BC144" s="115" t="n"/>
      <c r="BD144" s="115" t="n"/>
      <c r="BE144" s="115" t="n"/>
      <c r="BF144" s="115" t="n"/>
      <c r="BG144" s="115" t="n"/>
      <c r="BH144" s="114">
        <f>BC144+BD144+BE144+BF144+BG144</f>
        <v/>
      </c>
      <c r="BI144" s="115" t="n"/>
      <c r="BJ144" s="115" t="n"/>
      <c r="BK144" s="115" t="n"/>
      <c r="BL144" s="115" t="n"/>
      <c r="BM144" s="114">
        <f>BI144+BJ144+BK144+BL144</f>
        <v/>
      </c>
    </row>
    <row r="145" ht="15.75" customHeight="1">
      <c r="A145" s="116" t="inlineStr">
        <is>
          <t>ETIQUETA QDB</t>
        </is>
      </c>
      <c r="B145" s="279" t="n">
        <v>0</v>
      </c>
      <c r="C145" s="279" t="n">
        <v>0</v>
      </c>
      <c r="D145" s="279" t="n">
        <v>0</v>
      </c>
      <c r="E145" s="279" t="n">
        <v>0</v>
      </c>
      <c r="F145" s="114">
        <f>B145+C145+D145+E145</f>
        <v/>
      </c>
      <c r="G145" s="279" t="n">
        <v>0</v>
      </c>
      <c r="H145" s="279" t="n">
        <v>0</v>
      </c>
      <c r="I145" s="279" t="n">
        <v>0</v>
      </c>
      <c r="J145" s="279" t="n">
        <v>0</v>
      </c>
      <c r="K145" s="114">
        <f>G145+H145+I145+J145</f>
        <v/>
      </c>
      <c r="L145" s="279" t="n">
        <v>0</v>
      </c>
      <c r="M145" s="279" t="n">
        <v>0</v>
      </c>
      <c r="N145" s="279" t="n">
        <v>0</v>
      </c>
      <c r="O145" s="279" t="n">
        <v>0</v>
      </c>
      <c r="P145" s="279" t="n">
        <v>0</v>
      </c>
      <c r="Q145" s="114">
        <f>L145+M145+N145+O145+P145</f>
        <v/>
      </c>
      <c r="R145" s="279" t="n"/>
      <c r="S145" s="279" t="n"/>
      <c r="T145" s="279" t="n"/>
      <c r="U145" s="279" t="n"/>
      <c r="V145" s="114">
        <f>R145+S145+T145+U145</f>
        <v/>
      </c>
      <c r="W145" s="279" t="n">
        <v>0</v>
      </c>
      <c r="X145" s="279" t="n">
        <v>0</v>
      </c>
      <c r="Y145" s="279" t="n"/>
      <c r="Z145" s="279" t="n"/>
      <c r="AA145" s="114">
        <f>W145+X145+Y145+Z145</f>
        <v/>
      </c>
      <c r="AB145" s="279" t="n"/>
      <c r="AC145" s="279" t="n"/>
      <c r="AD145" s="279" t="n"/>
      <c r="AE145" s="279" t="n"/>
      <c r="AF145" s="279" t="n"/>
      <c r="AG145" s="114">
        <f>AB145+AC145+AD145+AE145+AF145</f>
        <v/>
      </c>
      <c r="AH145" s="279" t="n"/>
      <c r="AI145" s="279" t="n"/>
      <c r="AJ145" s="279" t="n"/>
      <c r="AK145" s="279" t="n"/>
      <c r="AL145" s="114">
        <f>AH145+AI145+AJ145+AK145</f>
        <v/>
      </c>
      <c r="AM145" s="115" t="n"/>
      <c r="AN145" s="115" t="n"/>
      <c r="AO145" s="115" t="n"/>
      <c r="AP145" s="115" t="n"/>
      <c r="AQ145" s="115" t="n"/>
      <c r="AR145" s="114">
        <f>AM145+AN145+AO145+AP145+AQ145</f>
        <v/>
      </c>
      <c r="AS145" s="115" t="n"/>
      <c r="AT145" s="115" t="n"/>
      <c r="AU145" s="115" t="n"/>
      <c r="AV145" s="115" t="n"/>
      <c r="AW145" s="114">
        <f>AS145+AT145+AU145+AV145</f>
        <v/>
      </c>
      <c r="AX145" s="115" t="n"/>
      <c r="AY145" s="115" t="n"/>
      <c r="AZ145" s="115" t="n"/>
      <c r="BA145" s="115" t="n"/>
      <c r="BB145" s="114">
        <f>AX145+AY145+AZ145+BA145</f>
        <v/>
      </c>
      <c r="BC145" s="115" t="n"/>
      <c r="BD145" s="115" t="n"/>
      <c r="BE145" s="115" t="n"/>
      <c r="BF145" s="115" t="n"/>
      <c r="BG145" s="115" t="n"/>
      <c r="BH145" s="114">
        <f>BC145+BD145+BE145+BF145+BG145</f>
        <v/>
      </c>
      <c r="BI145" s="115" t="n"/>
      <c r="BJ145" s="115" t="n"/>
      <c r="BK145" s="115" t="n"/>
      <c r="BL145" s="115" t="n"/>
      <c r="BM145" s="114">
        <f>BI145+BJ145+BK145+BL145</f>
        <v/>
      </c>
    </row>
    <row r="146" ht="15.75" customHeight="1">
      <c r="A146" s="116" t="inlineStr">
        <is>
          <t>TAG QDB</t>
        </is>
      </c>
      <c r="B146" s="279" t="n">
        <v>0</v>
      </c>
      <c r="C146" s="279" t="n">
        <v>0</v>
      </c>
      <c r="D146" s="279" t="n">
        <v>0</v>
      </c>
      <c r="E146" s="279" t="n">
        <v>0</v>
      </c>
      <c r="F146" s="114">
        <f>B146+C146+D146+E146</f>
        <v/>
      </c>
      <c r="G146" s="279" t="n">
        <v>0</v>
      </c>
      <c r="H146" s="279" t="n">
        <v>0</v>
      </c>
      <c r="I146" s="279" t="n">
        <v>0</v>
      </c>
      <c r="J146" s="279" t="n">
        <v>0</v>
      </c>
      <c r="K146" s="114">
        <f>G146+H146+I146+J146</f>
        <v/>
      </c>
      <c r="L146" s="279" t="n">
        <v>0</v>
      </c>
      <c r="M146" s="279" t="n">
        <v>0</v>
      </c>
      <c r="N146" s="279" t="n">
        <v>0</v>
      </c>
      <c r="O146" s="279" t="n">
        <v>0</v>
      </c>
      <c r="P146" s="279" t="n">
        <v>0</v>
      </c>
      <c r="Q146" s="114">
        <f>L146+M146+N146+O146+P146</f>
        <v/>
      </c>
      <c r="R146" s="279" t="n"/>
      <c r="S146" s="279" t="n"/>
      <c r="T146" s="279" t="n"/>
      <c r="U146" s="279" t="n"/>
      <c r="V146" s="114">
        <f>R146+S146+T146+U146</f>
        <v/>
      </c>
      <c r="W146" s="279" t="n">
        <v>0</v>
      </c>
      <c r="X146" s="279" t="n">
        <v>0</v>
      </c>
      <c r="Y146" s="279" t="n"/>
      <c r="Z146" s="279" t="n"/>
      <c r="AA146" s="114">
        <f>W146+X146+Y146+Z146</f>
        <v/>
      </c>
      <c r="AB146" s="279" t="n"/>
      <c r="AC146" s="279" t="n"/>
      <c r="AD146" s="279" t="n"/>
      <c r="AE146" s="279" t="n"/>
      <c r="AF146" s="279" t="n"/>
      <c r="AG146" s="114">
        <f>AB146+AC146+AD146+AE146+AF146</f>
        <v/>
      </c>
      <c r="AH146" s="279" t="n"/>
      <c r="AI146" s="279" t="n"/>
      <c r="AJ146" s="279" t="n"/>
      <c r="AK146" s="279" t="n"/>
      <c r="AL146" s="114">
        <f>AH146+AI146+AJ146+AK146</f>
        <v/>
      </c>
      <c r="AM146" s="115" t="n"/>
      <c r="AN146" s="115" t="n"/>
      <c r="AO146" s="115" t="n"/>
      <c r="AP146" s="115" t="n"/>
      <c r="AQ146" s="115" t="n"/>
      <c r="AR146" s="114">
        <f>AM146+AN146+AO146+AP146+AQ146</f>
        <v/>
      </c>
      <c r="AS146" s="115" t="n"/>
      <c r="AT146" s="115" t="n"/>
      <c r="AU146" s="115" t="n"/>
      <c r="AV146" s="115" t="n"/>
      <c r="AW146" s="114">
        <f>AS146+AT146+AU146+AV146</f>
        <v/>
      </c>
      <c r="AX146" s="115" t="n"/>
      <c r="AY146" s="115" t="n"/>
      <c r="AZ146" s="115" t="n"/>
      <c r="BA146" s="115" t="n"/>
      <c r="BB146" s="114">
        <f>AX146+AY146+AZ146+BA146</f>
        <v/>
      </c>
      <c r="BC146" s="115" t="n"/>
      <c r="BD146" s="115" t="n"/>
      <c r="BE146" s="115" t="n"/>
      <c r="BF146" s="115" t="n"/>
      <c r="BG146" s="115" t="n"/>
      <c r="BH146" s="114">
        <f>BC146+BD146+BE146+BF146+BG146</f>
        <v/>
      </c>
      <c r="BI146" s="115" t="n"/>
      <c r="BJ146" s="115" t="n"/>
      <c r="BK146" s="115" t="n"/>
      <c r="BL146" s="115" t="n"/>
      <c r="BM146" s="114">
        <f>BI146+BJ146+BK146+BL146</f>
        <v/>
      </c>
    </row>
    <row r="147" ht="15.75" customHeight="1">
      <c r="A147" s="116" t="inlineStr">
        <is>
          <t>LÂMINA OLFATIVA QDB</t>
        </is>
      </c>
      <c r="B147" s="279" t="n">
        <v>0</v>
      </c>
      <c r="C147" s="279" t="n">
        <v>0</v>
      </c>
      <c r="D147" s="279" t="n">
        <v>0</v>
      </c>
      <c r="E147" s="279" t="n">
        <v>0</v>
      </c>
      <c r="F147" s="114">
        <f>B147+C147+D147+E147</f>
        <v/>
      </c>
      <c r="G147" s="279" t="n">
        <v>0</v>
      </c>
      <c r="H147" s="279" t="n">
        <v>0</v>
      </c>
      <c r="I147" s="279" t="n">
        <v>0</v>
      </c>
      <c r="J147" s="279" t="n">
        <v>0</v>
      </c>
      <c r="K147" s="114">
        <f>G147+H147+I147+J147</f>
        <v/>
      </c>
      <c r="L147" s="279" t="n">
        <v>0</v>
      </c>
      <c r="M147" s="279" t="n">
        <v>0</v>
      </c>
      <c r="N147" s="279" t="n">
        <v>0</v>
      </c>
      <c r="O147" s="279" t="n">
        <v>0</v>
      </c>
      <c r="P147" s="279" t="n">
        <v>0</v>
      </c>
      <c r="Q147" s="114">
        <f>L147+M147+N147+O147+P147</f>
        <v/>
      </c>
      <c r="R147" s="279" t="n"/>
      <c r="S147" s="279" t="n"/>
      <c r="T147" s="279" t="n"/>
      <c r="U147" s="279" t="n"/>
      <c r="V147" s="114">
        <f>R147+S147+T147+U147</f>
        <v/>
      </c>
      <c r="W147" s="279" t="n">
        <v>0</v>
      </c>
      <c r="X147" s="279" t="n">
        <v>0</v>
      </c>
      <c r="Y147" s="279" t="n"/>
      <c r="Z147" s="279" t="n"/>
      <c r="AA147" s="114">
        <f>W147+X147+Y147+Z147</f>
        <v/>
      </c>
      <c r="AB147" s="279" t="n"/>
      <c r="AC147" s="279" t="n"/>
      <c r="AD147" s="279" t="n"/>
      <c r="AE147" s="279" t="n"/>
      <c r="AF147" s="279" t="n"/>
      <c r="AG147" s="114">
        <f>AB147+AC147+AD147+AE147+AF147</f>
        <v/>
      </c>
      <c r="AH147" s="279" t="n"/>
      <c r="AI147" s="279" t="n"/>
      <c r="AJ147" s="279" t="n"/>
      <c r="AK147" s="279" t="n"/>
      <c r="AL147" s="114">
        <f>AH147+AI147+AJ147+AK147</f>
        <v/>
      </c>
      <c r="AM147" s="115" t="n"/>
      <c r="AN147" s="115" t="n"/>
      <c r="AO147" s="115" t="n"/>
      <c r="AP147" s="115" t="n"/>
      <c r="AQ147" s="115" t="n"/>
      <c r="AR147" s="114">
        <f>AM147+AN147+AO147+AP147+AQ147</f>
        <v/>
      </c>
      <c r="AS147" s="115" t="n"/>
      <c r="AT147" s="115" t="n"/>
      <c r="AU147" s="115" t="n"/>
      <c r="AV147" s="115" t="n"/>
      <c r="AW147" s="114">
        <f>AS147+AT147+AU147+AV147</f>
        <v/>
      </c>
      <c r="AX147" s="115" t="n"/>
      <c r="AY147" s="115" t="n"/>
      <c r="AZ147" s="115" t="n"/>
      <c r="BA147" s="115" t="n"/>
      <c r="BB147" s="114">
        <f>AX147+AY147+AZ147+BA147</f>
        <v/>
      </c>
      <c r="BC147" s="115" t="n"/>
      <c r="BD147" s="115" t="n"/>
      <c r="BE147" s="115" t="n"/>
      <c r="BF147" s="115" t="n"/>
      <c r="BG147" s="115" t="n"/>
      <c r="BH147" s="114">
        <f>BC147+BD147+BE147+BF147+BG147</f>
        <v/>
      </c>
      <c r="BI147" s="115" t="n"/>
      <c r="BJ147" s="115" t="n"/>
      <c r="BK147" s="115" t="n"/>
      <c r="BL147" s="115" t="n"/>
      <c r="BM147" s="114">
        <f>BI147+BJ147+BK147+BL147</f>
        <v/>
      </c>
    </row>
    <row r="148" ht="15.75" customHeight="1">
      <c r="A148" s="116" t="inlineStr">
        <is>
          <t>SACOLA P EUDORA</t>
        </is>
      </c>
      <c r="B148" s="279" t="n">
        <v>200</v>
      </c>
      <c r="C148" s="279" t="n">
        <v>400</v>
      </c>
      <c r="D148" s="279" t="n">
        <v>0</v>
      </c>
      <c r="E148" s="279" t="n">
        <v>200</v>
      </c>
      <c r="F148" s="114">
        <f>B148+C148+D148+E148</f>
        <v/>
      </c>
      <c r="G148" s="279" t="n">
        <v>200</v>
      </c>
      <c r="H148" s="279" t="n">
        <v>1000</v>
      </c>
      <c r="I148" s="279" t="n">
        <v>0</v>
      </c>
      <c r="J148" s="279" t="n">
        <v>2400</v>
      </c>
      <c r="K148" s="114">
        <f>G148+H148+I148+J148</f>
        <v/>
      </c>
      <c r="L148" s="279" t="n">
        <v>400</v>
      </c>
      <c r="M148" s="279" t="n">
        <v>1100</v>
      </c>
      <c r="N148" s="279" t="n">
        <v>300</v>
      </c>
      <c r="O148" s="279" t="n">
        <v>1000</v>
      </c>
      <c r="P148" s="279" t="n">
        <v>0</v>
      </c>
      <c r="Q148" s="114">
        <f>L148+M148+N148+O148+P148</f>
        <v/>
      </c>
      <c r="R148" s="279" t="n"/>
      <c r="S148" s="279" t="n"/>
      <c r="T148" s="279" t="n"/>
      <c r="U148" s="279" t="n"/>
      <c r="V148" s="114">
        <f>R148+S148+T148+U148</f>
        <v/>
      </c>
      <c r="W148" s="279" t="n">
        <v>200</v>
      </c>
      <c r="X148" s="279" t="n">
        <v>1200</v>
      </c>
      <c r="Y148" s="279" t="n"/>
      <c r="Z148" s="279" t="n"/>
      <c r="AA148" s="114">
        <f>W148+X148+Y148+Z148</f>
        <v/>
      </c>
      <c r="AB148" s="279" t="n"/>
      <c r="AC148" s="279" t="n"/>
      <c r="AD148" s="279" t="n"/>
      <c r="AE148" s="279" t="n"/>
      <c r="AF148" s="279" t="n"/>
      <c r="AG148" s="114">
        <f>AB148+AC148+AD148+AE148+AF148</f>
        <v/>
      </c>
      <c r="AH148" s="279" t="n"/>
      <c r="AI148" s="279" t="n"/>
      <c r="AJ148" s="279" t="n"/>
      <c r="AK148" s="279" t="n"/>
      <c r="AL148" s="114">
        <f>AH148+AI148+AJ148+AK148</f>
        <v/>
      </c>
      <c r="AM148" s="115" t="n"/>
      <c r="AN148" s="115" t="n"/>
      <c r="AO148" s="115" t="n"/>
      <c r="AP148" s="115" t="n"/>
      <c r="AQ148" s="115" t="n"/>
      <c r="AR148" s="114">
        <f>AM148+AN148+AO148+AP148+AQ148</f>
        <v/>
      </c>
      <c r="AS148" s="115" t="n"/>
      <c r="AT148" s="115" t="n"/>
      <c r="AU148" s="115" t="n"/>
      <c r="AV148" s="115" t="n"/>
      <c r="AW148" s="114">
        <f>AS148+AT148+AU148+AV148</f>
        <v/>
      </c>
      <c r="AX148" s="115" t="n"/>
      <c r="AY148" s="115" t="n"/>
      <c r="AZ148" s="115" t="n"/>
      <c r="BA148" s="115" t="n"/>
      <c r="BB148" s="114">
        <f>AX148+AY148+AZ148+BA148</f>
        <v/>
      </c>
      <c r="BC148" s="115" t="n"/>
      <c r="BD148" s="115" t="n"/>
      <c r="BE148" s="115" t="n"/>
      <c r="BF148" s="115" t="n"/>
      <c r="BG148" s="115" t="n"/>
      <c r="BH148" s="114">
        <f>BC148+BD148+BE148+BF148+BG148</f>
        <v/>
      </c>
      <c r="BI148" s="115" t="n"/>
      <c r="BJ148" s="115" t="n"/>
      <c r="BK148" s="115" t="n"/>
      <c r="BL148" s="115" t="n"/>
      <c r="BM148" s="114">
        <f>BI148+BJ148+BK148+BL148</f>
        <v/>
      </c>
    </row>
    <row r="149" ht="15.75" customHeight="1">
      <c r="A149" s="116" t="inlineStr">
        <is>
          <t>SACOLA M EUDORA</t>
        </is>
      </c>
      <c r="B149" s="279" t="n">
        <v>0</v>
      </c>
      <c r="C149" s="279" t="n">
        <v>0</v>
      </c>
      <c r="D149" s="279" t="n">
        <v>0</v>
      </c>
      <c r="E149" s="279" t="n">
        <v>0</v>
      </c>
      <c r="F149" s="114">
        <f>B149+C149+D149+E149</f>
        <v/>
      </c>
      <c r="G149" s="279" t="n">
        <v>0</v>
      </c>
      <c r="H149" s="279" t="n">
        <v>400</v>
      </c>
      <c r="I149" s="279" t="n">
        <v>200</v>
      </c>
      <c r="J149" s="279" t="n">
        <v>0</v>
      </c>
      <c r="K149" s="114">
        <f>G149+H149+I149+J149</f>
        <v/>
      </c>
      <c r="L149" s="279" t="n">
        <v>200</v>
      </c>
      <c r="M149" s="279" t="n">
        <v>200</v>
      </c>
      <c r="N149" s="279" t="n">
        <v>200</v>
      </c>
      <c r="O149" s="279" t="n">
        <v>0</v>
      </c>
      <c r="P149" s="279" t="n">
        <v>0</v>
      </c>
      <c r="Q149" s="114">
        <f>L149+M149+N149+O149+P149</f>
        <v/>
      </c>
      <c r="R149" s="279" t="n"/>
      <c r="S149" s="279" t="n"/>
      <c r="T149" s="279" t="n"/>
      <c r="U149" s="279" t="n"/>
      <c r="V149" s="114">
        <f>R149+S149+T149+U149</f>
        <v/>
      </c>
      <c r="W149" s="279" t="n">
        <v>0</v>
      </c>
      <c r="X149" s="279" t="n">
        <v>200</v>
      </c>
      <c r="Y149" s="279" t="n"/>
      <c r="Z149" s="279" t="n"/>
      <c r="AA149" s="114">
        <f>W149+X149+Y149+Z149</f>
        <v/>
      </c>
      <c r="AB149" s="279" t="n"/>
      <c r="AC149" s="279" t="n"/>
      <c r="AD149" s="279" t="n"/>
      <c r="AE149" s="279" t="n"/>
      <c r="AF149" s="279" t="n"/>
      <c r="AG149" s="114">
        <f>AB149+AC149+AD149+AE149+AF149</f>
        <v/>
      </c>
      <c r="AH149" s="279" t="n"/>
      <c r="AI149" s="279" t="n"/>
      <c r="AJ149" s="279" t="n"/>
      <c r="AK149" s="279" t="n"/>
      <c r="AL149" s="114">
        <f>AH149+AI149+AJ149+AK149</f>
        <v/>
      </c>
      <c r="AM149" s="115" t="n"/>
      <c r="AN149" s="115" t="n"/>
      <c r="AO149" s="115" t="n"/>
      <c r="AP149" s="115" t="n"/>
      <c r="AQ149" s="115" t="n"/>
      <c r="AR149" s="114">
        <f>AM149+AN149+AO149+AP149+AQ149</f>
        <v/>
      </c>
      <c r="AS149" s="115" t="n"/>
      <c r="AT149" s="115" t="n"/>
      <c r="AU149" s="115" t="n"/>
      <c r="AV149" s="115" t="n"/>
      <c r="AW149" s="114">
        <f>AS149+AT149+AU149+AV149</f>
        <v/>
      </c>
      <c r="AX149" s="115" t="n"/>
      <c r="AY149" s="115" t="n"/>
      <c r="AZ149" s="115" t="n"/>
      <c r="BA149" s="115" t="n"/>
      <c r="BB149" s="114">
        <f>AX149+AY149+AZ149+BA149</f>
        <v/>
      </c>
      <c r="BC149" s="115" t="n"/>
      <c r="BD149" s="115" t="n"/>
      <c r="BE149" s="115" t="n"/>
      <c r="BF149" s="115" t="n"/>
      <c r="BG149" s="115" t="n"/>
      <c r="BH149" s="114">
        <f>BC149+BD149+BE149+BF149+BG149</f>
        <v/>
      </c>
      <c r="BI149" s="115" t="n"/>
      <c r="BJ149" s="115" t="n"/>
      <c r="BK149" s="115" t="n"/>
      <c r="BL149" s="115" t="n"/>
      <c r="BM149" s="114">
        <f>BI149+BJ149+BK149+BL149</f>
        <v/>
      </c>
    </row>
    <row r="150" ht="15.75" customHeight="1">
      <c r="A150" s="116" t="inlineStr">
        <is>
          <t>SACOLA G EUDORA</t>
        </is>
      </c>
      <c r="B150" s="279" t="n">
        <v>0</v>
      </c>
      <c r="C150" s="279" t="n">
        <v>0</v>
      </c>
      <c r="D150" s="279" t="n">
        <v>100</v>
      </c>
      <c r="E150" s="279" t="n">
        <v>100</v>
      </c>
      <c r="F150" s="114">
        <f>B150+C150+D150+E150</f>
        <v/>
      </c>
      <c r="G150" s="279" t="n">
        <v>0</v>
      </c>
      <c r="H150" s="279" t="n">
        <v>0</v>
      </c>
      <c r="I150" s="279" t="n">
        <v>0</v>
      </c>
      <c r="J150" s="279" t="n">
        <v>300</v>
      </c>
      <c r="K150" s="114">
        <f>G150+H150+I150+J150</f>
        <v/>
      </c>
      <c r="L150" s="279" t="n">
        <v>300</v>
      </c>
      <c r="M150" s="279" t="n">
        <v>100</v>
      </c>
      <c r="N150" s="279" t="n">
        <v>0</v>
      </c>
      <c r="O150" s="279" t="n">
        <v>200</v>
      </c>
      <c r="P150" s="279" t="n">
        <v>0</v>
      </c>
      <c r="Q150" s="114">
        <f>L150+M150+N150+O150+P150</f>
        <v/>
      </c>
      <c r="R150" s="279" t="n"/>
      <c r="S150" s="279" t="n"/>
      <c r="T150" s="279" t="n"/>
      <c r="U150" s="279" t="n"/>
      <c r="V150" s="114">
        <f>R150+S150+T150+U150</f>
        <v/>
      </c>
      <c r="W150" s="279" t="n">
        <v>0</v>
      </c>
      <c r="X150" s="279" t="n">
        <v>0</v>
      </c>
      <c r="Y150" s="279" t="n"/>
      <c r="Z150" s="279" t="n"/>
      <c r="AA150" s="114">
        <f>W150+X150+Y150+Z150</f>
        <v/>
      </c>
      <c r="AB150" s="279" t="n"/>
      <c r="AC150" s="279" t="n"/>
      <c r="AD150" s="279" t="n"/>
      <c r="AE150" s="279" t="n"/>
      <c r="AF150" s="279" t="n"/>
      <c r="AG150" s="114">
        <f>AB150+AC150+AD150+AE150+AF150</f>
        <v/>
      </c>
      <c r="AH150" s="279" t="n"/>
      <c r="AI150" s="279" t="n"/>
      <c r="AJ150" s="279" t="n"/>
      <c r="AK150" s="279" t="n"/>
      <c r="AL150" s="114">
        <f>AH150+AI150+AJ150+AK150</f>
        <v/>
      </c>
      <c r="AM150" s="115" t="n"/>
      <c r="AN150" s="115" t="n"/>
      <c r="AO150" s="115" t="n"/>
      <c r="AP150" s="115" t="n"/>
      <c r="AQ150" s="115" t="n"/>
      <c r="AR150" s="114">
        <f>AM150+AN150+AO150+AP150+AQ150</f>
        <v/>
      </c>
      <c r="AS150" s="115" t="n"/>
      <c r="AT150" s="115" t="n"/>
      <c r="AU150" s="115" t="n"/>
      <c r="AV150" s="115" t="n"/>
      <c r="AW150" s="114">
        <f>AS150+AT150+AU150+AV150</f>
        <v/>
      </c>
      <c r="AX150" s="115" t="n"/>
      <c r="AY150" s="115" t="n"/>
      <c r="AZ150" s="115" t="n"/>
      <c r="BA150" s="115" t="n"/>
      <c r="BB150" s="114">
        <f>AX150+AY150+AZ150+BA150</f>
        <v/>
      </c>
      <c r="BC150" s="115" t="n"/>
      <c r="BD150" s="115" t="n"/>
      <c r="BE150" s="115" t="n"/>
      <c r="BF150" s="115" t="n"/>
      <c r="BG150" s="115" t="n"/>
      <c r="BH150" s="114">
        <f>BC150+BD150+BE150+BF150+BG150</f>
        <v/>
      </c>
      <c r="BI150" s="115" t="n"/>
      <c r="BJ150" s="115" t="n"/>
      <c r="BK150" s="115" t="n"/>
      <c r="BL150" s="115" t="n"/>
      <c r="BM150" s="114">
        <f>BI150+BJ150+BK150+BL150</f>
        <v/>
      </c>
    </row>
    <row r="151" ht="15.75" customHeight="1">
      <c r="A151" s="280" t="inlineStr">
        <is>
          <t>PAPEL DE SEDA EUDORA</t>
        </is>
      </c>
      <c r="B151" s="279" t="n">
        <v>0</v>
      </c>
      <c r="C151" s="279" t="n">
        <v>0</v>
      </c>
      <c r="D151" s="279" t="n">
        <v>0</v>
      </c>
      <c r="E151" s="279" t="n">
        <v>0</v>
      </c>
      <c r="F151" s="114">
        <f>B151+C151+D151+E151</f>
        <v/>
      </c>
      <c r="G151" s="279" t="n">
        <v>0</v>
      </c>
      <c r="H151" s="279" t="n">
        <v>0</v>
      </c>
      <c r="I151" s="279" t="n">
        <v>0</v>
      </c>
      <c r="J151" s="279" t="n">
        <v>0</v>
      </c>
      <c r="K151" s="114">
        <f>G151+H151+I151+J151</f>
        <v/>
      </c>
      <c r="L151" s="279" t="n">
        <v>0</v>
      </c>
      <c r="M151" s="279" t="n">
        <v>0</v>
      </c>
      <c r="N151" s="279" t="n">
        <v>0</v>
      </c>
      <c r="O151" s="279" t="n">
        <v>0</v>
      </c>
      <c r="P151" s="279" t="n">
        <v>0</v>
      </c>
      <c r="Q151" s="114">
        <f>L151+M151+N151+O151+P151</f>
        <v/>
      </c>
      <c r="R151" s="279" t="n"/>
      <c r="S151" s="279" t="n"/>
      <c r="T151" s="279" t="n"/>
      <c r="U151" s="279" t="n"/>
      <c r="V151" s="114">
        <f>R151+S151+T151+U151</f>
        <v/>
      </c>
      <c r="W151" s="279" t="n">
        <v>0</v>
      </c>
      <c r="X151" s="279" t="n">
        <v>0</v>
      </c>
      <c r="Y151" s="279" t="n"/>
      <c r="Z151" s="279" t="n"/>
      <c r="AA151" s="114">
        <f>W151+X151+Y151+Z151</f>
        <v/>
      </c>
      <c r="AB151" s="279" t="n"/>
      <c r="AC151" s="279" t="n"/>
      <c r="AD151" s="279" t="n"/>
      <c r="AE151" s="279" t="n"/>
      <c r="AF151" s="279" t="n"/>
      <c r="AG151" s="114">
        <f>AB151+AC151+AD151+AE151+AF151</f>
        <v/>
      </c>
      <c r="AH151" s="279" t="n"/>
      <c r="AI151" s="279" t="n"/>
      <c r="AJ151" s="279" t="n"/>
      <c r="AK151" s="279" t="n"/>
      <c r="AL151" s="114">
        <f>AH151+AI151+AJ151+AK151</f>
        <v/>
      </c>
      <c r="AM151" s="115" t="n"/>
      <c r="AN151" s="115" t="n"/>
      <c r="AO151" s="115" t="n"/>
      <c r="AP151" s="115" t="n"/>
      <c r="AQ151" s="115" t="n"/>
      <c r="AR151" s="114">
        <f>AM151+AN151+AO151+AP151+AQ151</f>
        <v/>
      </c>
      <c r="AS151" s="115" t="n"/>
      <c r="AT151" s="115" t="n"/>
      <c r="AU151" s="115" t="n"/>
      <c r="AV151" s="115" t="n"/>
      <c r="AW151" s="114">
        <f>AS151+AT151+AU151+AV151</f>
        <v/>
      </c>
      <c r="AX151" s="115" t="n"/>
      <c r="AY151" s="115" t="n"/>
      <c r="AZ151" s="115" t="n"/>
      <c r="BA151" s="115" t="n"/>
      <c r="BB151" s="114">
        <f>AX151+AY151+AZ151+BA151</f>
        <v/>
      </c>
      <c r="BC151" s="115" t="n"/>
      <c r="BD151" s="115" t="n"/>
      <c r="BE151" s="115" t="n"/>
      <c r="BF151" s="115" t="n"/>
      <c r="BG151" s="115" t="n"/>
      <c r="BH151" s="114">
        <f>BC151+BD151+BE151+BF151+BG151</f>
        <v/>
      </c>
      <c r="BI151" s="115" t="n"/>
      <c r="BJ151" s="115" t="n"/>
      <c r="BK151" s="115" t="n"/>
      <c r="BL151" s="115" t="n"/>
      <c r="BM151" s="114">
        <f>BI151+BJ151+BK151+BL151</f>
        <v/>
      </c>
    </row>
    <row r="152" ht="15.75" customHeight="1">
      <c r="A152" s="280" t="inlineStr">
        <is>
          <t>ADESIVOS EUDORA</t>
        </is>
      </c>
      <c r="B152" s="279" t="n">
        <v>0</v>
      </c>
      <c r="C152" s="279" t="n">
        <v>0</v>
      </c>
      <c r="D152" s="279" t="n">
        <v>0</v>
      </c>
      <c r="E152" s="279" t="n">
        <v>0</v>
      </c>
      <c r="F152" s="114">
        <f>B152+C152+D152+E152</f>
        <v/>
      </c>
      <c r="G152" s="279" t="n">
        <v>0</v>
      </c>
      <c r="H152" s="279" t="n">
        <v>0</v>
      </c>
      <c r="I152" s="279" t="n">
        <v>0</v>
      </c>
      <c r="J152" s="279" t="n">
        <v>0</v>
      </c>
      <c r="K152" s="114">
        <f>G152+H152+I152+J152</f>
        <v/>
      </c>
      <c r="L152" s="279" t="n">
        <v>0</v>
      </c>
      <c r="M152" s="279" t="n">
        <v>0</v>
      </c>
      <c r="N152" s="279" t="n">
        <v>0</v>
      </c>
      <c r="O152" s="279" t="n">
        <v>0</v>
      </c>
      <c r="P152" s="279" t="n">
        <v>0</v>
      </c>
      <c r="Q152" s="114">
        <f>L152+M152+N152+O152+P152</f>
        <v/>
      </c>
      <c r="R152" s="279" t="n"/>
      <c r="S152" s="279" t="n"/>
      <c r="T152" s="279" t="n"/>
      <c r="U152" s="279" t="n"/>
      <c r="V152" s="114">
        <f>R152+S152+T152+U152</f>
        <v/>
      </c>
      <c r="W152" s="279" t="n">
        <v>0</v>
      </c>
      <c r="X152" s="279" t="n">
        <v>0</v>
      </c>
      <c r="Y152" s="279" t="n"/>
      <c r="Z152" s="279" t="n"/>
      <c r="AA152" s="114">
        <f>W152+X152+Y152+Z152</f>
        <v/>
      </c>
      <c r="AB152" s="279" t="n"/>
      <c r="AC152" s="279" t="n"/>
      <c r="AD152" s="279" t="n"/>
      <c r="AE152" s="279" t="n"/>
      <c r="AF152" s="279" t="n"/>
      <c r="AG152" s="114">
        <f>AB152+AC152+AD152+AE152+AF152</f>
        <v/>
      </c>
      <c r="AH152" s="279" t="n"/>
      <c r="AI152" s="279" t="n"/>
      <c r="AJ152" s="279" t="n"/>
      <c r="AK152" s="279" t="n"/>
      <c r="AL152" s="114">
        <f>AH152+AI152+AJ152+AK152</f>
        <v/>
      </c>
      <c r="AM152" s="115" t="n"/>
      <c r="AN152" s="115" t="n"/>
      <c r="AO152" s="115" t="n"/>
      <c r="AP152" s="115" t="n"/>
      <c r="AQ152" s="115" t="n"/>
      <c r="AR152" s="114">
        <f>AM152+AN152+AO152+AP152+AQ152</f>
        <v/>
      </c>
      <c r="AS152" s="115" t="n"/>
      <c r="AT152" s="115" t="n"/>
      <c r="AU152" s="115" t="n"/>
      <c r="AV152" s="115" t="n"/>
      <c r="AW152" s="114">
        <f>AS152+AT152+AU152+AV152</f>
        <v/>
      </c>
      <c r="AX152" s="115" t="n"/>
      <c r="AY152" s="115" t="n"/>
      <c r="AZ152" s="115" t="n"/>
      <c r="BA152" s="115" t="n"/>
      <c r="BB152" s="114">
        <f>AX152+AY152+AZ152+BA152</f>
        <v/>
      </c>
      <c r="BC152" s="115" t="n"/>
      <c r="BD152" s="115" t="n"/>
      <c r="BE152" s="115" t="n"/>
      <c r="BF152" s="115" t="n"/>
      <c r="BG152" s="115" t="n"/>
      <c r="BH152" s="114">
        <f>BC152+BD152+BE152+BF152+BG152</f>
        <v/>
      </c>
      <c r="BI152" s="115" t="n"/>
      <c r="BJ152" s="115" t="n"/>
      <c r="BK152" s="115" t="n"/>
      <c r="BL152" s="115" t="n"/>
      <c r="BM152" s="114">
        <f>BI152+BJ152+BK152+BL152</f>
        <v/>
      </c>
    </row>
    <row r="153" ht="15.75" customHeight="1">
      <c r="A153" s="116" t="inlineStr">
        <is>
          <t>LÂMINA OLFATIVA EUDORA</t>
        </is>
      </c>
      <c r="B153" s="279" t="n">
        <v>0</v>
      </c>
      <c r="C153" s="279" t="n">
        <v>0</v>
      </c>
      <c r="D153" s="279" t="n">
        <v>0</v>
      </c>
      <c r="E153" s="279" t="n">
        <v>0</v>
      </c>
      <c r="F153" s="114">
        <f>B153+C153+D153+E153</f>
        <v/>
      </c>
      <c r="G153" s="279" t="n">
        <v>0</v>
      </c>
      <c r="H153" s="279" t="n">
        <v>0</v>
      </c>
      <c r="I153" s="279" t="n">
        <v>0</v>
      </c>
      <c r="J153" s="279" t="n">
        <v>0</v>
      </c>
      <c r="K153" s="114">
        <f>G153+H153+I153+J153</f>
        <v/>
      </c>
      <c r="L153" s="279" t="n">
        <v>0</v>
      </c>
      <c r="M153" s="279" t="n">
        <v>0</v>
      </c>
      <c r="N153" s="279" t="n">
        <v>0</v>
      </c>
      <c r="O153" s="279" t="n">
        <v>0</v>
      </c>
      <c r="P153" s="279" t="n">
        <v>0</v>
      </c>
      <c r="Q153" s="114">
        <f>L153+M153+N153+O153+P153</f>
        <v/>
      </c>
      <c r="R153" s="279" t="n"/>
      <c r="S153" s="279" t="n"/>
      <c r="T153" s="279" t="n"/>
      <c r="U153" s="279" t="n"/>
      <c r="V153" s="114">
        <f>R153+S153+T153+U153</f>
        <v/>
      </c>
      <c r="W153" s="279" t="n">
        <v>0</v>
      </c>
      <c r="X153" s="279" t="n">
        <v>0</v>
      </c>
      <c r="Y153" s="279" t="n"/>
      <c r="Z153" s="279" t="n"/>
      <c r="AA153" s="114">
        <f>W153+X153+Y153+Z153</f>
        <v/>
      </c>
      <c r="AB153" s="279" t="n"/>
      <c r="AC153" s="279" t="n"/>
      <c r="AD153" s="279" t="n"/>
      <c r="AE153" s="279" t="n"/>
      <c r="AF153" s="279" t="n"/>
      <c r="AG153" s="114">
        <f>AB153+AC153+AD153+AE153+AF153</f>
        <v/>
      </c>
      <c r="AH153" s="279" t="n"/>
      <c r="AI153" s="279" t="n"/>
      <c r="AJ153" s="279" t="n"/>
      <c r="AK153" s="279" t="n"/>
      <c r="AL153" s="114">
        <f>AH153+AI153+AJ153+AK153</f>
        <v/>
      </c>
      <c r="AM153" s="115" t="n"/>
      <c r="AN153" s="115" t="n"/>
      <c r="AO153" s="115" t="n"/>
      <c r="AP153" s="115" t="n"/>
      <c r="AQ153" s="115" t="n"/>
      <c r="AR153" s="114">
        <f>AM153+AN153+AO153+AP153+AQ153</f>
        <v/>
      </c>
      <c r="AS153" s="115" t="n"/>
      <c r="AT153" s="115" t="n"/>
      <c r="AU153" s="115" t="n"/>
      <c r="AV153" s="115" t="n"/>
      <c r="AW153" s="114">
        <f>AS153+AT153+AU153+AV153</f>
        <v/>
      </c>
      <c r="AX153" s="115" t="n"/>
      <c r="AY153" s="115" t="n"/>
      <c r="AZ153" s="115" t="n"/>
      <c r="BA153" s="115" t="n"/>
      <c r="BB153" s="114">
        <f>AX153+AY153+AZ153+BA153</f>
        <v/>
      </c>
      <c r="BC153" s="115" t="n"/>
      <c r="BD153" s="115" t="n"/>
      <c r="BE153" s="115" t="n"/>
      <c r="BF153" s="115" t="n"/>
      <c r="BG153" s="115" t="n"/>
      <c r="BH153" s="114">
        <f>BC153+BD153+BE153+BF153+BG153</f>
        <v/>
      </c>
      <c r="BI153" s="115" t="n"/>
      <c r="BJ153" s="115" t="n"/>
      <c r="BK153" s="115" t="n"/>
      <c r="BL153" s="115" t="n"/>
      <c r="BM153" s="114">
        <f>BI153+BJ153+BK153+BL153</f>
        <v/>
      </c>
    </row>
    <row r="154" ht="15.75" customHeight="1">
      <c r="A154" s="113" t="inlineStr">
        <is>
          <t>TOTAL DE SACOLAS</t>
        </is>
      </c>
      <c r="B154" s="112">
        <f>SUM(B127:B130)</f>
        <v/>
      </c>
      <c r="C154" s="112">
        <f>SUM(C127:C130)</f>
        <v/>
      </c>
      <c r="D154" s="112">
        <f>SUM(D127:D130)</f>
        <v/>
      </c>
      <c r="E154" s="112">
        <f>SUM(E127:E130)</f>
        <v/>
      </c>
      <c r="F154" s="112">
        <f>F127+F128+F129+F130+F141+F142+F143+F148+F149+F150</f>
        <v/>
      </c>
      <c r="G154" s="112">
        <f>SUM(G127:G130)</f>
        <v/>
      </c>
      <c r="H154" s="112">
        <f>SUM(H127:H130)</f>
        <v/>
      </c>
      <c r="I154" s="112">
        <f>SUM(I127:I130)</f>
        <v/>
      </c>
      <c r="J154" s="112">
        <f>SUM(J127:J130)</f>
        <v/>
      </c>
      <c r="K154" s="112">
        <f>K127+K128+K129+K130+K141+K142+K143+K148+K149+K150</f>
        <v/>
      </c>
      <c r="L154" s="112">
        <f>SUM(L127:L130)</f>
        <v/>
      </c>
      <c r="M154" s="112">
        <f>SUM(M127:M130)</f>
        <v/>
      </c>
      <c r="N154" s="112">
        <f>SUM(N127:N130)</f>
        <v/>
      </c>
      <c r="O154" s="112">
        <f>SUM(O127:O130)</f>
        <v/>
      </c>
      <c r="P154" s="112">
        <f>SUM(P127:P130)</f>
        <v/>
      </c>
      <c r="Q154" s="112">
        <f>Q127+Q128+Q129+Q130+Q141+Q142+Q143+Q148+Q149+Q150</f>
        <v/>
      </c>
      <c r="R154" s="112">
        <f>SUM(R127:R130)</f>
        <v/>
      </c>
      <c r="S154" s="112">
        <f>SUM(S127:S130)</f>
        <v/>
      </c>
      <c r="T154" s="112">
        <f>SUM(T127:T130)</f>
        <v/>
      </c>
      <c r="U154" s="112">
        <f>SUM(U127:U130)</f>
        <v/>
      </c>
      <c r="V154" s="112">
        <f>V127+V128+V129+V130+V141+V142+V143+V148+V149+V150</f>
        <v/>
      </c>
      <c r="W154" s="112">
        <f>SUM(W127:W130)</f>
        <v/>
      </c>
      <c r="X154" s="112">
        <f>SUM(X127:X130)</f>
        <v/>
      </c>
      <c r="Y154" s="112">
        <f>SUM(Y127:Y130)</f>
        <v/>
      </c>
      <c r="Z154" s="112">
        <f>SUM(Z127:Z130)</f>
        <v/>
      </c>
      <c r="AA154" s="112">
        <f>AA127+AA128+AA129+AA130+AA141+AA142+AA143+AA148+AA149+AA150</f>
        <v/>
      </c>
      <c r="AB154" s="112">
        <f>SUM(AB127:AB130)</f>
        <v/>
      </c>
      <c r="AC154" s="112">
        <f>SUM(AC127:AC130)</f>
        <v/>
      </c>
      <c r="AD154" s="112">
        <f>SUM(AD127:AD130)</f>
        <v/>
      </c>
      <c r="AE154" s="112">
        <f>SUM(AE127:AE130)</f>
        <v/>
      </c>
      <c r="AF154" s="112">
        <f>SUM(AF127:AF130)</f>
        <v/>
      </c>
      <c r="AG154" s="112">
        <f>AG127+AG128+AG129+AG130+AG141+AG142+AG143+AG148+AG149+AG150</f>
        <v/>
      </c>
      <c r="AH154" s="112">
        <f>SUM(AH127:AH130)</f>
        <v/>
      </c>
      <c r="AI154" s="112">
        <f>SUM(AI127:AI130)</f>
        <v/>
      </c>
      <c r="AJ154" s="112">
        <f>SUM(AJ127:AJ130)</f>
        <v/>
      </c>
      <c r="AK154" s="112">
        <f>SUM(AK127:AK130)</f>
        <v/>
      </c>
      <c r="AL154" s="112">
        <f>AL127+AL128+AL129+AL130+AL141+AL142+AL143+AL148+AL149+AL150</f>
        <v/>
      </c>
      <c r="AM154" s="112">
        <f>SUM(AM127:AM130)</f>
        <v/>
      </c>
      <c r="AN154" s="112">
        <f>SUM(AN127:AN130)</f>
        <v/>
      </c>
      <c r="AO154" s="112">
        <f>SUM(AO127:AO130)</f>
        <v/>
      </c>
      <c r="AP154" s="112">
        <f>SUM(AP127:AP130)</f>
        <v/>
      </c>
      <c r="AQ154" s="112">
        <f>SUM(AQ127:AQ130)</f>
        <v/>
      </c>
      <c r="AR154" s="112">
        <f>AR127+AR128+AR129+AR130+AR141+AR142+AR143+AR148+AR149+AR150</f>
        <v/>
      </c>
      <c r="AS154" s="112">
        <f>SUM(AS127:AS130)</f>
        <v/>
      </c>
      <c r="AT154" s="112">
        <f>SUM(AT127:AT130)</f>
        <v/>
      </c>
      <c r="AU154" s="112">
        <f>SUM(AU127:AU130)</f>
        <v/>
      </c>
      <c r="AV154" s="112">
        <f>SUM(AV127:AV130)</f>
        <v/>
      </c>
      <c r="AW154" s="112">
        <f>AW127+AW128+AW129+AW130+AW141+AW142+AW143+AW148+AW149+AW150</f>
        <v/>
      </c>
      <c r="AX154" s="112">
        <f>SUM(AX127:AX130)</f>
        <v/>
      </c>
      <c r="AY154" s="112">
        <f>SUM(AY127:AY130)</f>
        <v/>
      </c>
      <c r="AZ154" s="112">
        <f>SUM(AZ127:AZ130)</f>
        <v/>
      </c>
      <c r="BA154" s="112">
        <f>SUM(BA127:BA130)</f>
        <v/>
      </c>
      <c r="BB154" s="112">
        <f>BB127+BB128+BB129+BB130+BB141+BB142+BB143+BB148+BB149+BB150</f>
        <v/>
      </c>
      <c r="BC154" s="112">
        <f>SUM(BC127:BC130)</f>
        <v/>
      </c>
      <c r="BD154" s="112">
        <f>SUM(BD127:BD130)</f>
        <v/>
      </c>
      <c r="BE154" s="112">
        <f>SUM(BE127:BE130)</f>
        <v/>
      </c>
      <c r="BF154" s="112">
        <f>SUM(BF127:BF130)</f>
        <v/>
      </c>
      <c r="BG154" s="112">
        <f>SUM(BG127:BG130)</f>
        <v/>
      </c>
      <c r="BH154" s="112">
        <f>BH127+BH128+BH129+BH130+BH141+BH142+BH143+BH148+BH149+BH150</f>
        <v/>
      </c>
      <c r="BI154" s="112">
        <f>SUM(BI127:BI130)</f>
        <v/>
      </c>
      <c r="BJ154" s="112">
        <f>SUM(BJ127:BJ130)</f>
        <v/>
      </c>
      <c r="BK154" s="112">
        <f>SUM(BK127:BK130)</f>
        <v/>
      </c>
      <c r="BL154" s="112">
        <f>SUM(BL127:BL130)</f>
        <v/>
      </c>
      <c r="BM154" s="112">
        <f>BM127+BM128+BM129+BM130+BM141+BM142+BM143+BM148+BM149+BM150</f>
        <v/>
      </c>
    </row>
  </sheetData>
  <mergeCells count="140">
    <mergeCell ref="BI106:BM106"/>
    <mergeCell ref="L15:Q15"/>
    <mergeCell ref="AM67:AR67"/>
    <mergeCell ref="BC106:BH106"/>
    <mergeCell ref="G67:K67"/>
    <mergeCell ref="BI67:BM67"/>
    <mergeCell ref="L54:Q54"/>
    <mergeCell ref="B2:F2"/>
    <mergeCell ref="L41:Q41"/>
    <mergeCell ref="BC67:BH67"/>
    <mergeCell ref="BI125:BM125"/>
    <mergeCell ref="A2:A3"/>
    <mergeCell ref="AH93:AL93"/>
    <mergeCell ref="AM15:AR15"/>
    <mergeCell ref="W106:AA106"/>
    <mergeCell ref="G15:K15"/>
    <mergeCell ref="B28:F28"/>
    <mergeCell ref="AB28:AG28"/>
    <mergeCell ref="AB93:AG93"/>
    <mergeCell ref="BI15:BM15"/>
    <mergeCell ref="AX106:BB106"/>
    <mergeCell ref="A125:A126"/>
    <mergeCell ref="AX28:BB28"/>
    <mergeCell ref="AX93:BB93"/>
    <mergeCell ref="A66:BM66"/>
    <mergeCell ref="AM106:AR106"/>
    <mergeCell ref="BC15:BH15"/>
    <mergeCell ref="L67:Q67"/>
    <mergeCell ref="BI41:BM41"/>
    <mergeCell ref="W2:AA2"/>
    <mergeCell ref="B15:F15"/>
    <mergeCell ref="B80:F80"/>
    <mergeCell ref="L28:Q28"/>
    <mergeCell ref="AX67:BB67"/>
    <mergeCell ref="AH28:AL28"/>
    <mergeCell ref="AH80:AL80"/>
    <mergeCell ref="B54:F54"/>
    <mergeCell ref="G2:K2"/>
    <mergeCell ref="BI2:BM2"/>
    <mergeCell ref="A54:A55"/>
    <mergeCell ref="AX80:BB80"/>
    <mergeCell ref="AH106:AL106"/>
    <mergeCell ref="A40:BM40"/>
    <mergeCell ref="B106:E106"/>
    <mergeCell ref="G28:K28"/>
    <mergeCell ref="BI28:BM28"/>
    <mergeCell ref="AX41:BB41"/>
    <mergeCell ref="BC28:BH28"/>
    <mergeCell ref="A124:BM124"/>
    <mergeCell ref="W125:AA125"/>
    <mergeCell ref="AM80:AR80"/>
    <mergeCell ref="G80:K80"/>
    <mergeCell ref="BI80:BM80"/>
    <mergeCell ref="L2:Q2"/>
    <mergeCell ref="A27:BM27"/>
    <mergeCell ref="AH2:AL2"/>
    <mergeCell ref="AM125:AR125"/>
    <mergeCell ref="G54:K54"/>
    <mergeCell ref="AM28:AR28"/>
    <mergeCell ref="BC80:BH80"/>
    <mergeCell ref="G41:K41"/>
    <mergeCell ref="BI54:BM54"/>
    <mergeCell ref="AS15:AW15"/>
    <mergeCell ref="AS80:AW80"/>
    <mergeCell ref="L93:Q93"/>
    <mergeCell ref="BC54:BH54"/>
    <mergeCell ref="BC125:BH125"/>
    <mergeCell ref="A41:A42"/>
    <mergeCell ref="AS54:AW54"/>
    <mergeCell ref="AS41:AW41"/>
    <mergeCell ref="A80:A81"/>
    <mergeCell ref="AB67:AG67"/>
    <mergeCell ref="AM54:AR54"/>
    <mergeCell ref="R15:V15"/>
    <mergeCell ref="R80:V80"/>
    <mergeCell ref="G93:K93"/>
    <mergeCell ref="BI93:BM93"/>
    <mergeCell ref="AB125:AG125"/>
    <mergeCell ref="A79:BM79"/>
    <mergeCell ref="F106:J106"/>
    <mergeCell ref="L80:Q80"/>
    <mergeCell ref="AX125:BB125"/>
    <mergeCell ref="AH15:AL15"/>
    <mergeCell ref="R41:V41"/>
    <mergeCell ref="AS67:AW67"/>
    <mergeCell ref="AM2:AR2"/>
    <mergeCell ref="A106:A107"/>
    <mergeCell ref="AS28:AW28"/>
    <mergeCell ref="A93:A94"/>
    <mergeCell ref="BC2:BH2"/>
    <mergeCell ref="AH54:AL54"/>
    <mergeCell ref="AS125:AW125"/>
    <mergeCell ref="AB54:AG54"/>
    <mergeCell ref="AH41:AL41"/>
    <mergeCell ref="R2:V2"/>
    <mergeCell ref="AB41:AG41"/>
    <mergeCell ref="R93:V93"/>
    <mergeCell ref="AB106:AG106"/>
    <mergeCell ref="AX54:BB54"/>
    <mergeCell ref="A67:A68"/>
    <mergeCell ref="L106:Q106"/>
    <mergeCell ref="A53:BM53"/>
    <mergeCell ref="R67:V67"/>
    <mergeCell ref="W15:AA15"/>
    <mergeCell ref="R28:V28"/>
    <mergeCell ref="W80:AA80"/>
    <mergeCell ref="B93:F93"/>
    <mergeCell ref="AB2:AG2"/>
    <mergeCell ref="A92:BM92"/>
    <mergeCell ref="AX2:BB2"/>
    <mergeCell ref="AH67:AL67"/>
    <mergeCell ref="W54:AA54"/>
    <mergeCell ref="B67:F67"/>
    <mergeCell ref="AH125:AL125"/>
    <mergeCell ref="W41:AA41"/>
    <mergeCell ref="B125:E125"/>
    <mergeCell ref="B41:F41"/>
    <mergeCell ref="A1:BM1"/>
    <mergeCell ref="F125:J125"/>
    <mergeCell ref="AS2:AW2"/>
    <mergeCell ref="R54:V54"/>
    <mergeCell ref="AM41:AR41"/>
    <mergeCell ref="BC93:BH93"/>
    <mergeCell ref="R125:V125"/>
    <mergeCell ref="W93:AA93"/>
    <mergeCell ref="R106:V106"/>
    <mergeCell ref="AB15:AG15"/>
    <mergeCell ref="AB80:AG80"/>
    <mergeCell ref="L125:Q125"/>
    <mergeCell ref="A28:A29"/>
    <mergeCell ref="A105:BM105"/>
    <mergeCell ref="AS106:AW106"/>
    <mergeCell ref="A15:A16"/>
    <mergeCell ref="AX15:BB15"/>
    <mergeCell ref="W67:AA67"/>
    <mergeCell ref="AS93:AW93"/>
    <mergeCell ref="BC41:BH41"/>
    <mergeCell ref="AM93:AR93"/>
    <mergeCell ref="W28:AA28"/>
    <mergeCell ref="A14:BM14"/>
  </mergeCells>
  <pageMargins left="0.511811024" right="0.511811024" top="0.787401575" bottom="0.787401575" header="0.31496062" footer="0.31496062"/>
</worksheet>
</file>

<file path=xl/worksheets/sheet27.xml><?xml version="1.0" encoding="utf-8"?>
<worksheet xmlns="http://schemas.openxmlformats.org/spreadsheetml/2006/main">
  <sheetPr codeName="Planilha11">
    <tabColor rgb="FFFF0000"/>
    <outlinePr summaryBelow="1" summaryRight="1"/>
    <pageSetUpPr/>
  </sheetPr>
  <dimension ref="A1:V126"/>
  <sheetViews>
    <sheetView topLeftCell="A94" zoomScale="85" zoomScaleNormal="85" workbookViewId="0">
      <selection activeCell="F124" sqref="F124"/>
    </sheetView>
  </sheetViews>
  <sheetFormatPr baseColWidth="8" defaultRowHeight="15"/>
  <cols>
    <col width="32.85546875" customWidth="1" min="1" max="1"/>
    <col width="9.140625" customWidth="1" min="2" max="5"/>
    <col width="10" customWidth="1" min="6" max="6"/>
  </cols>
  <sheetData>
    <row r="1" ht="18" customHeight="1">
      <c r="A1" s="585" t="inlineStr">
        <is>
          <t>GASTO DE SACOLAS E ITENS DOADOS NATAL/2022 - MENSAIS</t>
        </is>
      </c>
    </row>
    <row r="2" ht="18" customHeight="1">
      <c r="A2" s="851" t="inlineStr">
        <is>
          <t>BAURU SHOPPING</t>
        </is>
      </c>
      <c r="B2" s="851" t="inlineStr">
        <is>
          <t>DEZEMBRO</t>
        </is>
      </c>
      <c r="C2" s="846" t="n"/>
      <c r="D2" s="846" t="n"/>
      <c r="E2" s="846" t="n"/>
      <c r="F2" s="847" t="n"/>
      <c r="G2" s="851" t="inlineStr">
        <is>
          <t>JANEIRO</t>
        </is>
      </c>
      <c r="H2" s="846" t="n"/>
      <c r="I2" s="846" t="n"/>
      <c r="J2" s="846" t="n"/>
      <c r="K2" s="846" t="n"/>
      <c r="L2" s="847" t="n"/>
      <c r="M2" s="851" t="inlineStr">
        <is>
          <t>FEVEREIRO</t>
        </is>
      </c>
      <c r="N2" s="846" t="n"/>
      <c r="O2" s="846" t="n"/>
      <c r="P2" s="846" t="n"/>
      <c r="Q2" s="847" t="n"/>
      <c r="R2" s="851" t="inlineStr">
        <is>
          <t>MARÇO</t>
        </is>
      </c>
      <c r="S2" s="846" t="n"/>
      <c r="T2" s="846" t="n"/>
      <c r="U2" s="846" t="n"/>
      <c r="V2" s="847" t="n"/>
    </row>
    <row r="3" ht="15.75" customHeight="1">
      <c r="A3" s="848" t="n"/>
      <c r="B3" s="123" t="n">
        <v>44900</v>
      </c>
      <c r="C3" s="123" t="n">
        <v>44907</v>
      </c>
      <c r="D3" s="123" t="n">
        <v>44914</v>
      </c>
      <c r="E3" s="123" t="n">
        <v>44921</v>
      </c>
      <c r="F3" s="124" t="inlineStr">
        <is>
          <t>USOU</t>
        </is>
      </c>
      <c r="G3" s="123" t="n">
        <v>44563</v>
      </c>
      <c r="H3" s="123" t="n">
        <v>44570</v>
      </c>
      <c r="I3" s="123" t="n">
        <v>44577</v>
      </c>
      <c r="J3" s="123" t="n">
        <v>44584</v>
      </c>
      <c r="K3" s="123" t="n">
        <v>44591</v>
      </c>
      <c r="L3" s="124" t="inlineStr">
        <is>
          <t>USOU</t>
        </is>
      </c>
      <c r="M3" s="123" t="n">
        <v>44598</v>
      </c>
      <c r="N3" s="123" t="n">
        <v>44605</v>
      </c>
      <c r="O3" s="123" t="n">
        <v>44612</v>
      </c>
      <c r="P3" s="123" t="n">
        <v>44619</v>
      </c>
      <c r="Q3" s="124" t="inlineStr">
        <is>
          <t>USOU</t>
        </is>
      </c>
      <c r="R3" s="123" t="n">
        <v>44626</v>
      </c>
      <c r="S3" s="123" t="n">
        <v>44633</v>
      </c>
      <c r="T3" s="123" t="n">
        <v>44640</v>
      </c>
      <c r="U3" s="123" t="n">
        <v>44647</v>
      </c>
      <c r="V3" s="124" t="inlineStr">
        <is>
          <t>USOU</t>
        </is>
      </c>
    </row>
    <row r="4" ht="15.75" customHeight="1">
      <c r="A4" s="119" t="inlineStr">
        <is>
          <t>SACOLA PP NATAL</t>
        </is>
      </c>
      <c r="B4" s="128" t="n">
        <v>100</v>
      </c>
      <c r="C4" s="115" t="n">
        <v>172</v>
      </c>
      <c r="D4" s="115" t="n">
        <v>178</v>
      </c>
      <c r="E4" s="115" t="n">
        <v>750</v>
      </c>
      <c r="F4" s="125">
        <f>B4+C4+D4+E4</f>
        <v/>
      </c>
      <c r="G4" s="115" t="n">
        <v>0</v>
      </c>
      <c r="H4" s="115" t="n">
        <v>0</v>
      </c>
      <c r="I4" s="115" t="n">
        <v>0</v>
      </c>
      <c r="J4" s="115" t="n">
        <v>0</v>
      </c>
      <c r="K4" s="115" t="n">
        <v>0</v>
      </c>
      <c r="L4" s="125">
        <f>G4+H4+I4+J4+K4</f>
        <v/>
      </c>
      <c r="M4" s="115" t="n">
        <v>0</v>
      </c>
      <c r="N4" s="115" t="n">
        <v>0</v>
      </c>
      <c r="O4" s="115" t="n">
        <v>0</v>
      </c>
      <c r="P4" s="115" t="n">
        <v>0</v>
      </c>
      <c r="Q4" s="125">
        <f>M4+N4+O4+P4</f>
        <v/>
      </c>
      <c r="R4" s="115" t="n">
        <v>0</v>
      </c>
      <c r="S4" s="115" t="n">
        <v>0</v>
      </c>
      <c r="T4" s="115" t="n">
        <v>0</v>
      </c>
      <c r="U4" s="115" t="n"/>
      <c r="V4" s="125" t="n"/>
    </row>
    <row r="5" ht="15.75" customHeight="1">
      <c r="A5" s="118" t="inlineStr">
        <is>
          <t>SACOLA P NATAL</t>
        </is>
      </c>
      <c r="B5" s="115" t="n">
        <v>100</v>
      </c>
      <c r="C5" s="115" t="n">
        <v>259</v>
      </c>
      <c r="D5" s="115" t="n">
        <v>751</v>
      </c>
      <c r="E5" s="115" t="n">
        <v>200</v>
      </c>
      <c r="F5" s="125">
        <f>B5+C5+D5+E5</f>
        <v/>
      </c>
      <c r="G5" s="115" t="n">
        <v>0</v>
      </c>
      <c r="H5" s="115" t="n">
        <v>0</v>
      </c>
      <c r="I5" s="115" t="n">
        <v>0</v>
      </c>
      <c r="J5" s="115" t="n">
        <v>0</v>
      </c>
      <c r="K5" s="115" t="n">
        <v>0</v>
      </c>
      <c r="L5" s="125">
        <f>G5+H5+I5+J5+K5</f>
        <v/>
      </c>
      <c r="M5" s="115" t="n">
        <v>0</v>
      </c>
      <c r="N5" s="115" t="n">
        <v>0</v>
      </c>
      <c r="O5" s="115" t="n">
        <v>0</v>
      </c>
      <c r="P5" s="115" t="n">
        <v>0</v>
      </c>
      <c r="Q5" s="125">
        <f>M5+N5+O5+P5</f>
        <v/>
      </c>
      <c r="R5" s="115" t="n">
        <v>0</v>
      </c>
      <c r="S5" s="115" t="n">
        <v>0</v>
      </c>
      <c r="T5" s="115" t="n">
        <v>0</v>
      </c>
      <c r="U5" s="115" t="n"/>
      <c r="V5" s="125" t="n"/>
    </row>
    <row r="6" ht="15.75" customHeight="1">
      <c r="A6" s="118" t="inlineStr">
        <is>
          <t>SACOLA M NATAL</t>
        </is>
      </c>
      <c r="B6" s="115" t="n">
        <v>150</v>
      </c>
      <c r="C6" s="115" t="n">
        <v>200</v>
      </c>
      <c r="D6" s="115" t="n">
        <v>450</v>
      </c>
      <c r="E6" s="115" t="n">
        <v>600</v>
      </c>
      <c r="F6" s="125">
        <f>B6+C6+D6+E6</f>
        <v/>
      </c>
      <c r="G6" s="115" t="n">
        <v>0</v>
      </c>
      <c r="H6" s="115" t="n">
        <v>0</v>
      </c>
      <c r="I6" s="115" t="n">
        <v>0</v>
      </c>
      <c r="J6" s="115" t="n">
        <v>0</v>
      </c>
      <c r="K6" s="115" t="n">
        <v>0</v>
      </c>
      <c r="L6" s="125">
        <f>G6+H6+I6+J6+K6</f>
        <v/>
      </c>
      <c r="M6" s="115" t="n">
        <v>0</v>
      </c>
      <c r="N6" s="115" t="n">
        <v>0</v>
      </c>
      <c r="O6" s="115" t="n">
        <v>0</v>
      </c>
      <c r="P6" s="115" t="n">
        <v>0</v>
      </c>
      <c r="Q6" s="125">
        <f>M6+N6+O6+P6</f>
        <v/>
      </c>
      <c r="R6" s="115" t="n">
        <v>0</v>
      </c>
      <c r="S6" s="115" t="n">
        <v>0</v>
      </c>
      <c r="T6" s="115" t="n">
        <v>0</v>
      </c>
      <c r="U6" s="115" t="n"/>
      <c r="V6" s="125" t="n"/>
    </row>
    <row r="7" ht="15.75" customHeight="1">
      <c r="A7" s="118" t="inlineStr">
        <is>
          <t>SACOLA G NATAL</t>
        </is>
      </c>
      <c r="B7" s="115" t="n">
        <v>15</v>
      </c>
      <c r="C7" s="115" t="n">
        <v>71</v>
      </c>
      <c r="D7" s="115" t="n">
        <v>114</v>
      </c>
      <c r="E7" s="115" t="n">
        <v>300</v>
      </c>
      <c r="F7" s="125">
        <f>B7+C7+D7+E7</f>
        <v/>
      </c>
      <c r="G7" s="115" t="n">
        <v>0</v>
      </c>
      <c r="H7" s="115" t="n">
        <v>0</v>
      </c>
      <c r="I7" s="115" t="n">
        <v>0</v>
      </c>
      <c r="J7" s="115" t="n">
        <v>0</v>
      </c>
      <c r="K7" s="115" t="n">
        <v>0</v>
      </c>
      <c r="L7" s="125">
        <f>G7+H7+I7+J7+K7</f>
        <v/>
      </c>
      <c r="M7" s="115" t="n">
        <v>0</v>
      </c>
      <c r="N7" s="115" t="n">
        <v>0</v>
      </c>
      <c r="O7" s="115" t="n">
        <v>0</v>
      </c>
      <c r="P7" s="115" t="n">
        <v>0</v>
      </c>
      <c r="Q7" s="125">
        <f>M7+N7+O7+P7</f>
        <v/>
      </c>
      <c r="R7" s="115" t="n">
        <v>0</v>
      </c>
      <c r="S7" s="115" t="n">
        <v>0</v>
      </c>
      <c r="T7" s="115" t="n">
        <v>0</v>
      </c>
      <c r="U7" s="115" t="n"/>
      <c r="V7" s="125" t="n"/>
    </row>
    <row r="8" ht="15.75" customHeight="1">
      <c r="A8" s="117" t="inlineStr">
        <is>
          <t>AMARRADINHO P NATAL</t>
        </is>
      </c>
      <c r="B8" s="115" t="n">
        <v>5</v>
      </c>
      <c r="C8" s="115" t="n">
        <v>4</v>
      </c>
      <c r="D8" s="115" t="n">
        <v>31</v>
      </c>
      <c r="E8" s="115" t="n">
        <v>60</v>
      </c>
      <c r="F8" s="125">
        <f>B8+C8+D8+E8</f>
        <v/>
      </c>
      <c r="G8" s="115" t="n">
        <v>0</v>
      </c>
      <c r="H8" s="115" t="n">
        <v>0</v>
      </c>
      <c r="I8" s="115" t="n">
        <v>0</v>
      </c>
      <c r="J8" s="115" t="n">
        <v>0</v>
      </c>
      <c r="K8" s="115" t="n">
        <v>0</v>
      </c>
      <c r="L8" s="125">
        <f>G8+H8+I8+J8+K8</f>
        <v/>
      </c>
      <c r="M8" s="115" t="n">
        <v>0</v>
      </c>
      <c r="N8" s="115" t="n">
        <v>0</v>
      </c>
      <c r="O8" s="115" t="n">
        <v>0</v>
      </c>
      <c r="P8" s="115" t="n">
        <v>0</v>
      </c>
      <c r="Q8" s="125">
        <f>M8+N8+O8+P8</f>
        <v/>
      </c>
      <c r="R8" s="115" t="n">
        <v>0</v>
      </c>
      <c r="S8" s="115" t="n">
        <v>0</v>
      </c>
      <c r="T8" s="115" t="n">
        <v>0</v>
      </c>
      <c r="U8" s="115" t="n"/>
      <c r="V8" s="125" t="n"/>
    </row>
    <row r="9" ht="15.75" customHeight="1">
      <c r="A9" s="116" t="inlineStr">
        <is>
          <t>AMARRADINHO M NATAL</t>
        </is>
      </c>
      <c r="B9" s="115" t="n">
        <v>5</v>
      </c>
      <c r="C9" s="115" t="n">
        <v>7</v>
      </c>
      <c r="D9" s="115" t="n">
        <v>33</v>
      </c>
      <c r="E9" s="115" t="n">
        <v>30</v>
      </c>
      <c r="F9" s="125">
        <f>B9+C9+D9+E9</f>
        <v/>
      </c>
      <c r="G9" s="115" t="n">
        <v>0</v>
      </c>
      <c r="H9" s="115" t="n">
        <v>0</v>
      </c>
      <c r="I9" s="115" t="n">
        <v>0</v>
      </c>
      <c r="J9" s="115" t="n">
        <v>0</v>
      </c>
      <c r="K9" s="115" t="n">
        <v>0</v>
      </c>
      <c r="L9" s="125">
        <f>G9+H9+I9+J9+K9</f>
        <v/>
      </c>
      <c r="M9" s="115" t="n">
        <v>0</v>
      </c>
      <c r="N9" s="115" t="n">
        <v>0</v>
      </c>
      <c r="O9" s="115" t="n">
        <v>0</v>
      </c>
      <c r="P9" s="115" t="n">
        <v>0</v>
      </c>
      <c r="Q9" s="125">
        <f>M9+N9+O9+P9</f>
        <v/>
      </c>
      <c r="R9" s="115" t="n">
        <v>0</v>
      </c>
      <c r="S9" s="115" t="n">
        <v>0</v>
      </c>
      <c r="T9" s="115" t="n">
        <v>0</v>
      </c>
      <c r="U9" s="115" t="n"/>
      <c r="V9" s="125" t="n"/>
    </row>
    <row r="10" ht="15.75" customHeight="1">
      <c r="A10" s="116" t="inlineStr">
        <is>
          <t>PAPEL DE SEDA NATAL</t>
        </is>
      </c>
      <c r="B10" s="115" t="n">
        <v>1</v>
      </c>
      <c r="C10" s="115" t="n">
        <v>4</v>
      </c>
      <c r="D10" s="115" t="n">
        <v>10</v>
      </c>
      <c r="E10" s="115" t="n">
        <v>3</v>
      </c>
      <c r="F10" s="125">
        <f>B10+C10+D10+E10</f>
        <v/>
      </c>
      <c r="G10" s="115" t="n">
        <v>0</v>
      </c>
      <c r="H10" s="115" t="n">
        <v>0</v>
      </c>
      <c r="I10" s="115" t="n">
        <v>0</v>
      </c>
      <c r="J10" s="115" t="n">
        <v>0</v>
      </c>
      <c r="K10" s="115" t="n">
        <v>0</v>
      </c>
      <c r="L10" s="125">
        <f>G10+H10+I10+J10+K10</f>
        <v/>
      </c>
      <c r="M10" s="115" t="n">
        <v>0</v>
      </c>
      <c r="N10" s="115" t="n">
        <v>0</v>
      </c>
      <c r="O10" s="115" t="n">
        <v>0</v>
      </c>
      <c r="P10" s="115" t="n">
        <v>0</v>
      </c>
      <c r="Q10" s="125">
        <f>M10+N10+O10+P10</f>
        <v/>
      </c>
      <c r="R10" s="115" t="n">
        <v>0</v>
      </c>
      <c r="S10" s="115" t="n">
        <v>0</v>
      </c>
      <c r="T10" s="115" t="n">
        <v>0</v>
      </c>
      <c r="U10" s="115" t="n"/>
      <c r="V10" s="125" t="n"/>
    </row>
    <row r="11" ht="15.75" customHeight="1">
      <c r="A11" s="116" t="inlineStr">
        <is>
          <t>TAG NATAL</t>
        </is>
      </c>
      <c r="B11" s="115" t="n">
        <v>1</v>
      </c>
      <c r="C11" s="115" t="n">
        <v>3</v>
      </c>
      <c r="D11" s="115" t="n">
        <v>2</v>
      </c>
      <c r="E11" s="115" t="n">
        <v>8</v>
      </c>
      <c r="F11" s="125">
        <f>B11+C11+D11+E11</f>
        <v/>
      </c>
      <c r="G11" s="115" t="n">
        <v>0</v>
      </c>
      <c r="H11" s="115" t="n">
        <v>0</v>
      </c>
      <c r="I11" s="115" t="n">
        <v>0</v>
      </c>
      <c r="J11" s="115" t="n">
        <v>0</v>
      </c>
      <c r="K11" s="115" t="n">
        <v>0</v>
      </c>
      <c r="L11" s="125">
        <f>G11+H11+I11+J11+K11</f>
        <v/>
      </c>
      <c r="M11" s="115" t="n">
        <v>0</v>
      </c>
      <c r="N11" s="115" t="n">
        <v>0</v>
      </c>
      <c r="O11" s="115" t="n">
        <v>0</v>
      </c>
      <c r="P11" s="115" t="n">
        <v>0</v>
      </c>
      <c r="Q11" s="125">
        <f>M11+N11+O11+P11</f>
        <v/>
      </c>
      <c r="R11" s="115" t="n">
        <v>0</v>
      </c>
      <c r="S11" s="115" t="n">
        <v>0</v>
      </c>
      <c r="T11" s="115" t="n">
        <v>0</v>
      </c>
      <c r="U11" s="115" t="n"/>
      <c r="V11" s="125" t="n"/>
    </row>
    <row r="12" ht="15.75" customHeight="1">
      <c r="A12" s="116" t="inlineStr">
        <is>
          <t>ADESIVOS NATAL</t>
        </is>
      </c>
      <c r="B12" s="115" t="n">
        <v>10</v>
      </c>
      <c r="C12" s="115" t="n">
        <v>10</v>
      </c>
      <c r="D12" s="115" t="n">
        <v>20</v>
      </c>
      <c r="E12" s="115" t="n">
        <v>50</v>
      </c>
      <c r="F12" s="125">
        <f>B12+C12+D12+E12</f>
        <v/>
      </c>
      <c r="G12" s="115" t="n">
        <v>0</v>
      </c>
      <c r="H12" s="115" t="n">
        <v>0</v>
      </c>
      <c r="I12" s="115" t="n">
        <v>0</v>
      </c>
      <c r="J12" s="115" t="n">
        <v>0</v>
      </c>
      <c r="K12" s="115" t="n">
        <v>0</v>
      </c>
      <c r="L12" s="125">
        <f>G12+H12+I12+J12+K12</f>
        <v/>
      </c>
      <c r="M12" s="115" t="n">
        <v>0</v>
      </c>
      <c r="N12" s="115" t="n">
        <v>0</v>
      </c>
      <c r="O12" s="115" t="n">
        <v>0</v>
      </c>
      <c r="P12" s="115" t="n">
        <v>0</v>
      </c>
      <c r="Q12" s="125">
        <f>M12+N12+O12+P12</f>
        <v/>
      </c>
      <c r="R12" s="115" t="n">
        <v>0</v>
      </c>
      <c r="S12" s="115" t="n">
        <v>0</v>
      </c>
      <c r="T12" s="115" t="n">
        <v>0</v>
      </c>
      <c r="U12" s="115" t="n"/>
      <c r="V12" s="125" t="n"/>
    </row>
    <row r="13" ht="15.75" customHeight="1">
      <c r="A13" s="127" t="inlineStr">
        <is>
          <t>TOTAL DE SACOLAS</t>
        </is>
      </c>
      <c r="B13" s="126">
        <f>SUM(B4:B7)</f>
        <v/>
      </c>
      <c r="C13" s="126">
        <f>SUM(C4:C7)</f>
        <v/>
      </c>
      <c r="D13" s="126">
        <f>SUM(D4:D7)</f>
        <v/>
      </c>
      <c r="E13" s="126">
        <f>SUM(E4:E7)</f>
        <v/>
      </c>
      <c r="F13" s="126">
        <f>SUM(F4:F7)</f>
        <v/>
      </c>
      <c r="G13" s="126">
        <f>SUM(G4:G8)</f>
        <v/>
      </c>
      <c r="H13" s="126">
        <f>SUM(H4:H8)</f>
        <v/>
      </c>
      <c r="I13" s="126">
        <f>SUM(I4:I8)</f>
        <v/>
      </c>
      <c r="J13" s="126">
        <f>SUM(J4:J8)</f>
        <v/>
      </c>
      <c r="K13" s="126">
        <f>SUM(K4:K8)</f>
        <v/>
      </c>
      <c r="L13" s="126">
        <f>SUM(L4:L8)</f>
        <v/>
      </c>
      <c r="M13" s="126">
        <f>SUM(M4:M8)</f>
        <v/>
      </c>
      <c r="N13" s="126">
        <f>SUM(N4:N8)</f>
        <v/>
      </c>
      <c r="O13" s="126">
        <f>SUM(O4:O8)</f>
        <v/>
      </c>
      <c r="P13" s="126">
        <f>SUM(P4:P8)</f>
        <v/>
      </c>
      <c r="Q13" s="126">
        <f>SUM(Q4:Q8)</f>
        <v/>
      </c>
      <c r="R13" s="126">
        <f>SUM(R4:R8)</f>
        <v/>
      </c>
      <c r="S13" s="126">
        <f>SUM(S4:S8)</f>
        <v/>
      </c>
      <c r="T13" s="126">
        <f>SUM(T4:T8)</f>
        <v/>
      </c>
      <c r="U13" s="126">
        <f>SUM(U4:U8)</f>
        <v/>
      </c>
      <c r="V13" s="126">
        <f>SUM(V4:V8)</f>
        <v/>
      </c>
    </row>
    <row r="15" ht="18" customHeight="1">
      <c r="A15" s="585" t="inlineStr">
        <is>
          <t>GASTO DE SACOLAS E ITENS DOADOS NATAL/2022 - MENSAIS</t>
        </is>
      </c>
    </row>
    <row r="16" ht="18" customHeight="1">
      <c r="A16" s="851" t="inlineStr">
        <is>
          <t>BOULEVARD</t>
        </is>
      </c>
      <c r="B16" s="851" t="inlineStr">
        <is>
          <t>DEZEMBRO</t>
        </is>
      </c>
      <c r="C16" s="846" t="n"/>
      <c r="D16" s="846" t="n"/>
      <c r="E16" s="846" t="n"/>
      <c r="F16" s="847" t="n"/>
      <c r="G16" s="851" t="inlineStr">
        <is>
          <t>JANEIRO</t>
        </is>
      </c>
      <c r="H16" s="846" t="n"/>
      <c r="I16" s="846" t="n"/>
      <c r="J16" s="846" t="n"/>
      <c r="K16" s="846" t="n"/>
      <c r="L16" s="847" t="n"/>
      <c r="M16" s="851" t="inlineStr">
        <is>
          <t>FEVEREIRO</t>
        </is>
      </c>
      <c r="N16" s="846" t="n"/>
      <c r="O16" s="846" t="n"/>
      <c r="P16" s="846" t="n"/>
      <c r="Q16" s="847" t="n"/>
      <c r="R16" s="851" t="inlineStr">
        <is>
          <t>MARÇO</t>
        </is>
      </c>
      <c r="S16" s="846" t="n"/>
      <c r="T16" s="846" t="n"/>
      <c r="U16" s="846" t="n"/>
      <c r="V16" s="847" t="n"/>
    </row>
    <row r="17" ht="15.75" customHeight="1">
      <c r="A17" s="848" t="n"/>
      <c r="B17" s="123" t="n">
        <v>44900</v>
      </c>
      <c r="C17" s="123" t="n">
        <v>44907</v>
      </c>
      <c r="D17" s="123" t="n">
        <v>44914</v>
      </c>
      <c r="E17" s="123" t="n">
        <v>44921</v>
      </c>
      <c r="F17" s="124" t="inlineStr">
        <is>
          <t>USOU</t>
        </is>
      </c>
      <c r="G17" s="123" t="n">
        <v>44563</v>
      </c>
      <c r="H17" s="123" t="n">
        <v>44570</v>
      </c>
      <c r="I17" s="123" t="n">
        <v>44577</v>
      </c>
      <c r="J17" s="123" t="n">
        <v>44584</v>
      </c>
      <c r="K17" s="123" t="n">
        <v>44591</v>
      </c>
      <c r="L17" s="124" t="inlineStr">
        <is>
          <t>USOU</t>
        </is>
      </c>
      <c r="M17" s="123" t="n">
        <v>44598</v>
      </c>
      <c r="N17" s="123" t="n">
        <v>44605</v>
      </c>
      <c r="O17" s="123" t="n">
        <v>44612</v>
      </c>
      <c r="P17" s="123" t="n">
        <v>44619</v>
      </c>
      <c r="Q17" s="124" t="inlineStr">
        <is>
          <t>USOU</t>
        </is>
      </c>
      <c r="R17" s="123" t="n">
        <v>44626</v>
      </c>
      <c r="S17" s="123" t="n">
        <v>44633</v>
      </c>
      <c r="T17" s="123" t="n">
        <v>44640</v>
      </c>
      <c r="U17" s="123" t="n">
        <v>44647</v>
      </c>
      <c r="V17" s="124" t="inlineStr">
        <is>
          <t>USOU</t>
        </is>
      </c>
    </row>
    <row r="18" ht="15.75" customHeight="1">
      <c r="A18" s="119" t="inlineStr">
        <is>
          <t>SACOLA PP NATAL</t>
        </is>
      </c>
      <c r="B18" s="115" t="n">
        <v>30</v>
      </c>
      <c r="C18" s="115" t="n">
        <v>100</v>
      </c>
      <c r="D18" s="115" t="n">
        <v>400</v>
      </c>
      <c r="E18" s="115" t="n">
        <v>670</v>
      </c>
      <c r="F18" s="125">
        <f>B18+C18+D18+E18</f>
        <v/>
      </c>
      <c r="G18" s="115" t="n">
        <v>0</v>
      </c>
      <c r="H18" s="115" t="n">
        <v>0</v>
      </c>
      <c r="I18" s="115" t="n">
        <v>0</v>
      </c>
      <c r="J18" s="115" t="n">
        <v>0</v>
      </c>
      <c r="K18" s="115" t="n">
        <v>0</v>
      </c>
      <c r="L18" s="125">
        <f>G18+H18+I18+J18+K18</f>
        <v/>
      </c>
      <c r="M18" s="115" t="n">
        <v>0</v>
      </c>
      <c r="N18" s="115" t="n">
        <v>0</v>
      </c>
      <c r="O18" s="115" t="n">
        <v>0</v>
      </c>
      <c r="P18" s="115" t="n">
        <v>0</v>
      </c>
      <c r="Q18" s="125">
        <f>M18+N18+O18+P18</f>
        <v/>
      </c>
      <c r="R18" s="115" t="n">
        <v>0</v>
      </c>
      <c r="S18" s="115" t="n">
        <v>0</v>
      </c>
      <c r="T18" s="115" t="n">
        <v>0</v>
      </c>
      <c r="U18" s="115" t="n"/>
      <c r="V18" s="125" t="n"/>
    </row>
    <row r="19" ht="15.75" customHeight="1">
      <c r="A19" s="118" t="inlineStr">
        <is>
          <t>SACOLA P NATAL</t>
        </is>
      </c>
      <c r="B19" s="115" t="n">
        <v>104</v>
      </c>
      <c r="C19" s="115" t="n">
        <v>210</v>
      </c>
      <c r="D19" s="115" t="n">
        <v>506</v>
      </c>
      <c r="E19" s="115" t="n">
        <v>380</v>
      </c>
      <c r="F19" s="125">
        <f>B19+C19+D19+E19</f>
        <v/>
      </c>
      <c r="G19" s="115" t="n">
        <v>0</v>
      </c>
      <c r="H19" s="115" t="n">
        <v>0</v>
      </c>
      <c r="I19" s="115" t="n">
        <v>0</v>
      </c>
      <c r="J19" s="115" t="n">
        <v>0</v>
      </c>
      <c r="K19" s="115" t="n">
        <v>0</v>
      </c>
      <c r="L19" s="125">
        <f>G19+H19+I19+J19+K19</f>
        <v/>
      </c>
      <c r="M19" s="115" t="n">
        <v>0</v>
      </c>
      <c r="N19" s="115" t="n">
        <v>0</v>
      </c>
      <c r="O19" s="115" t="n">
        <v>0</v>
      </c>
      <c r="P19" s="115" t="n">
        <v>0</v>
      </c>
      <c r="Q19" s="125">
        <f>M19+N19+O19+P19</f>
        <v/>
      </c>
      <c r="R19" s="115" t="n">
        <v>0</v>
      </c>
      <c r="S19" s="115" t="n">
        <v>0</v>
      </c>
      <c r="T19" s="115" t="n">
        <v>0</v>
      </c>
      <c r="U19" s="115" t="n"/>
      <c r="V19" s="125" t="n"/>
    </row>
    <row r="20" ht="15.75" customHeight="1">
      <c r="A20" s="118" t="inlineStr">
        <is>
          <t>SACOLA M NATAL</t>
        </is>
      </c>
      <c r="B20" s="115" t="n">
        <v>7</v>
      </c>
      <c r="C20" s="115" t="n">
        <v>177</v>
      </c>
      <c r="D20" s="115" t="n">
        <v>506</v>
      </c>
      <c r="E20" s="115" t="n">
        <v>510</v>
      </c>
      <c r="F20" s="125">
        <f>B20+C20+D20+E20</f>
        <v/>
      </c>
      <c r="G20" s="115" t="n">
        <v>0</v>
      </c>
      <c r="H20" s="115" t="n">
        <v>0</v>
      </c>
      <c r="I20" s="115" t="n">
        <v>0</v>
      </c>
      <c r="J20" s="115" t="n">
        <v>0</v>
      </c>
      <c r="K20" s="115" t="n">
        <v>0</v>
      </c>
      <c r="L20" s="125">
        <f>G20+H20+I20+J20+K20</f>
        <v/>
      </c>
      <c r="M20" s="115" t="n">
        <v>0</v>
      </c>
      <c r="N20" s="115" t="n">
        <v>0</v>
      </c>
      <c r="O20" s="115" t="n">
        <v>0</v>
      </c>
      <c r="P20" s="115" t="n">
        <v>0</v>
      </c>
      <c r="Q20" s="125">
        <f>M20+N20+O20+P20</f>
        <v/>
      </c>
      <c r="R20" s="115" t="n">
        <v>0</v>
      </c>
      <c r="S20" s="115" t="n">
        <v>0</v>
      </c>
      <c r="T20" s="115" t="n">
        <v>0</v>
      </c>
      <c r="U20" s="115" t="n"/>
      <c r="V20" s="125" t="n"/>
    </row>
    <row r="21" ht="15.75" customHeight="1">
      <c r="A21" s="118" t="inlineStr">
        <is>
          <t>SACOLA G NATAL</t>
        </is>
      </c>
      <c r="B21" s="115" t="n">
        <v>10</v>
      </c>
      <c r="C21" s="115" t="n">
        <v>20</v>
      </c>
      <c r="D21" s="115" t="n">
        <v>180</v>
      </c>
      <c r="E21" s="115" t="n">
        <v>440</v>
      </c>
      <c r="F21" s="125">
        <f>B21+C21+D21+E21</f>
        <v/>
      </c>
      <c r="G21" s="115" t="n">
        <v>60</v>
      </c>
      <c r="H21" s="115" t="n">
        <v>0</v>
      </c>
      <c r="I21" s="115" t="n">
        <v>10</v>
      </c>
      <c r="J21" s="115" t="n">
        <v>0</v>
      </c>
      <c r="K21" s="115" t="n">
        <v>10</v>
      </c>
      <c r="L21" s="125">
        <f>G21+H21+I21+J21+K21</f>
        <v/>
      </c>
      <c r="M21" s="115" t="n">
        <v>0</v>
      </c>
      <c r="N21" s="115" t="n">
        <v>0</v>
      </c>
      <c r="O21" s="115" t="n">
        <v>20</v>
      </c>
      <c r="P21" s="115" t="n">
        <v>0</v>
      </c>
      <c r="Q21" s="125">
        <f>M21+N21+O21+P21</f>
        <v/>
      </c>
      <c r="R21" s="115" t="n">
        <v>30</v>
      </c>
      <c r="S21" s="115" t="n">
        <v>10</v>
      </c>
      <c r="T21" s="115" t="n">
        <v>0</v>
      </c>
      <c r="U21" s="115" t="n"/>
      <c r="V21" s="125" t="n"/>
    </row>
    <row r="22" ht="15.75" customHeight="1">
      <c r="A22" s="117" t="inlineStr">
        <is>
          <t>AMARRADINHO P NATAL</t>
        </is>
      </c>
      <c r="B22" s="115" t="n">
        <v>20</v>
      </c>
      <c r="C22" s="115" t="n">
        <v>14</v>
      </c>
      <c r="D22" s="115" t="n">
        <v>74</v>
      </c>
      <c r="E22" s="115" t="n">
        <v>42</v>
      </c>
      <c r="F22" s="125">
        <f>B22+C22+D22+E22</f>
        <v/>
      </c>
      <c r="G22" s="115" t="n">
        <v>0</v>
      </c>
      <c r="H22" s="115" t="n">
        <v>0</v>
      </c>
      <c r="I22" s="115" t="n">
        <v>0</v>
      </c>
      <c r="J22" s="115" t="n">
        <v>0</v>
      </c>
      <c r="K22" s="115" t="n">
        <v>0</v>
      </c>
      <c r="L22" s="125">
        <f>G22+H22+I22+J22+K22</f>
        <v/>
      </c>
      <c r="M22" s="115" t="n">
        <v>0</v>
      </c>
      <c r="N22" s="115" t="n">
        <v>0</v>
      </c>
      <c r="O22" s="115" t="n">
        <v>0</v>
      </c>
      <c r="P22" s="115" t="n">
        <v>0</v>
      </c>
      <c r="Q22" s="125">
        <f>M22+N22+O22+P22</f>
        <v/>
      </c>
      <c r="R22" s="115" t="n">
        <v>0</v>
      </c>
      <c r="S22" s="115" t="n">
        <v>0</v>
      </c>
      <c r="T22" s="115" t="n">
        <v>0</v>
      </c>
      <c r="U22" s="115" t="n"/>
      <c r="V22" s="125" t="n"/>
    </row>
    <row r="23" ht="15.75" customHeight="1">
      <c r="A23" s="116" t="inlineStr">
        <is>
          <t>AMARRADINHO M NATAL</t>
        </is>
      </c>
      <c r="B23" s="115" t="n">
        <v>0</v>
      </c>
      <c r="C23" s="115" t="n">
        <v>8</v>
      </c>
      <c r="D23" s="115" t="n">
        <v>91</v>
      </c>
      <c r="E23" s="115" t="n">
        <v>1</v>
      </c>
      <c r="F23" s="125">
        <f>B23+C23+D23+E23</f>
        <v/>
      </c>
      <c r="G23" s="115" t="n">
        <v>0</v>
      </c>
      <c r="H23" s="115" t="n">
        <v>0</v>
      </c>
      <c r="I23" s="115" t="n">
        <v>0</v>
      </c>
      <c r="J23" s="115" t="n">
        <v>0</v>
      </c>
      <c r="K23" s="115" t="n">
        <v>0</v>
      </c>
      <c r="L23" s="125">
        <f>G23+H23+I23+J23+K23</f>
        <v/>
      </c>
      <c r="M23" s="115" t="n">
        <v>0</v>
      </c>
      <c r="N23" s="115" t="n">
        <v>0</v>
      </c>
      <c r="O23" s="115" t="n">
        <v>0</v>
      </c>
      <c r="P23" s="115" t="n">
        <v>0</v>
      </c>
      <c r="Q23" s="125">
        <f>M23+N23+O23+P23</f>
        <v/>
      </c>
      <c r="R23" s="115" t="n">
        <v>0</v>
      </c>
      <c r="S23" s="115" t="n">
        <v>0</v>
      </c>
      <c r="T23" s="115" t="n">
        <v>0</v>
      </c>
      <c r="U23" s="115" t="n"/>
      <c r="V23" s="125" t="n"/>
    </row>
    <row r="24" ht="15.75" customHeight="1">
      <c r="A24" s="116" t="inlineStr">
        <is>
          <t>PAPEL DE SEDA NATAL</t>
        </is>
      </c>
      <c r="B24" s="115" t="n">
        <v>2</v>
      </c>
      <c r="C24" s="115" t="n">
        <v>1</v>
      </c>
      <c r="D24" s="115" t="n">
        <v>6</v>
      </c>
      <c r="E24" s="115" t="n">
        <v>5</v>
      </c>
      <c r="F24" s="125">
        <f>B24+C24+D24+E24</f>
        <v/>
      </c>
      <c r="G24" s="115" t="n">
        <v>0</v>
      </c>
      <c r="H24" s="115" t="n">
        <v>0</v>
      </c>
      <c r="I24" s="115" t="n">
        <v>0</v>
      </c>
      <c r="J24" s="115" t="n">
        <v>0</v>
      </c>
      <c r="K24" s="115" t="n">
        <v>0</v>
      </c>
      <c r="L24" s="125">
        <f>G24+H24+I24+J24+K24</f>
        <v/>
      </c>
      <c r="M24" s="115" t="n">
        <v>0</v>
      </c>
      <c r="N24" s="115" t="n">
        <v>0</v>
      </c>
      <c r="O24" s="115" t="n">
        <v>0</v>
      </c>
      <c r="P24" s="115" t="n">
        <v>0</v>
      </c>
      <c r="Q24" s="125">
        <f>M24+N24+O24+P24</f>
        <v/>
      </c>
      <c r="R24" s="115" t="n">
        <v>0</v>
      </c>
      <c r="S24" s="115" t="n">
        <v>0</v>
      </c>
      <c r="T24" s="115" t="n">
        <v>0</v>
      </c>
      <c r="U24" s="115" t="n"/>
      <c r="V24" s="125" t="n"/>
    </row>
    <row r="25" ht="15.75" customHeight="1">
      <c r="A25" s="116" t="inlineStr">
        <is>
          <t>TAG NATAL</t>
        </is>
      </c>
      <c r="B25" s="115" t="n">
        <v>0</v>
      </c>
      <c r="C25" s="115" t="n">
        <v>1</v>
      </c>
      <c r="D25" s="115" t="n">
        <v>5</v>
      </c>
      <c r="E25" s="115" t="n">
        <v>8</v>
      </c>
      <c r="F25" s="125">
        <f>B25+C25+D25+E25</f>
        <v/>
      </c>
      <c r="G25" s="115" t="n">
        <v>0</v>
      </c>
      <c r="H25" s="115" t="n">
        <v>0</v>
      </c>
      <c r="I25" s="115" t="n">
        <v>0</v>
      </c>
      <c r="J25" s="115" t="n">
        <v>0</v>
      </c>
      <c r="K25" s="115" t="n">
        <v>0</v>
      </c>
      <c r="L25" s="125">
        <f>G25+H25+I25+J25+K25</f>
        <v/>
      </c>
      <c r="M25" s="115" t="n">
        <v>0</v>
      </c>
      <c r="N25" s="115" t="n">
        <v>0</v>
      </c>
      <c r="O25" s="115" t="n">
        <v>0</v>
      </c>
      <c r="P25" s="115" t="n">
        <v>0</v>
      </c>
      <c r="Q25" s="125">
        <f>M25+N25+O25+P25</f>
        <v/>
      </c>
      <c r="R25" s="115" t="n">
        <v>0</v>
      </c>
      <c r="S25" s="115" t="n">
        <v>0</v>
      </c>
      <c r="T25" s="115" t="n">
        <v>0</v>
      </c>
      <c r="U25" s="115" t="n"/>
      <c r="V25" s="125" t="n"/>
    </row>
    <row r="26" ht="15.75" customHeight="1">
      <c r="A26" s="116" t="inlineStr">
        <is>
          <t>ADESIVOS NATAL</t>
        </is>
      </c>
      <c r="B26" s="115" t="n">
        <v>0</v>
      </c>
      <c r="C26" s="115" t="n">
        <v>0</v>
      </c>
      <c r="D26" s="115" t="n">
        <v>90</v>
      </c>
      <c r="E26" s="115" t="n">
        <v>0</v>
      </c>
      <c r="F26" s="125">
        <f>B26+C26+D26+E26</f>
        <v/>
      </c>
      <c r="G26" s="115" t="n">
        <v>0</v>
      </c>
      <c r="H26" s="115" t="n">
        <v>0</v>
      </c>
      <c r="I26" s="115" t="n">
        <v>0</v>
      </c>
      <c r="J26" s="115" t="n">
        <v>0</v>
      </c>
      <c r="K26" s="115" t="n">
        <v>0</v>
      </c>
      <c r="L26" s="125">
        <f>G26+H26+I26+J26+K26</f>
        <v/>
      </c>
      <c r="M26" s="115" t="n">
        <v>0</v>
      </c>
      <c r="N26" s="115" t="n">
        <v>0</v>
      </c>
      <c r="O26" s="115" t="n">
        <v>0</v>
      </c>
      <c r="P26" s="115" t="n">
        <v>0</v>
      </c>
      <c r="Q26" s="125">
        <f>M26+N26+O26+P26</f>
        <v/>
      </c>
      <c r="R26" s="115" t="n">
        <v>0</v>
      </c>
      <c r="S26" s="115" t="n">
        <v>0</v>
      </c>
      <c r="T26" s="115" t="n">
        <v>0</v>
      </c>
      <c r="U26" s="115" t="n"/>
      <c r="V26" s="125" t="n"/>
    </row>
    <row r="27" ht="15.75" customHeight="1">
      <c r="A27" s="127" t="inlineStr">
        <is>
          <t>TOTAL DE SACOLAS</t>
        </is>
      </c>
      <c r="B27" s="126">
        <f>SUM(B18:B21)</f>
        <v/>
      </c>
      <c r="C27" s="126">
        <f>SUM(C18:C21)</f>
        <v/>
      </c>
      <c r="D27" s="126">
        <f>SUM(D18:D21)</f>
        <v/>
      </c>
      <c r="E27" s="126">
        <f>SUM(E18:E21)</f>
        <v/>
      </c>
      <c r="F27" s="126">
        <f>SUM(F18:F21)</f>
        <v/>
      </c>
      <c r="G27" s="126">
        <f>SUM(G18:G22)</f>
        <v/>
      </c>
      <c r="H27" s="126">
        <f>SUM(H18:H22)</f>
        <v/>
      </c>
      <c r="I27" s="126">
        <f>SUM(I18:I22)</f>
        <v/>
      </c>
      <c r="J27" s="126">
        <f>SUM(J18:J22)</f>
        <v/>
      </c>
      <c r="K27" s="126">
        <f>SUM(K18:K22)</f>
        <v/>
      </c>
      <c r="L27" s="126">
        <f>SUM(L18:L22)</f>
        <v/>
      </c>
      <c r="M27" s="126">
        <f>SUM(M18:M22)</f>
        <v/>
      </c>
      <c r="N27" s="126">
        <f>SUM(N18:N22)</f>
        <v/>
      </c>
      <c r="O27" s="126">
        <f>SUM(O18:O22)</f>
        <v/>
      </c>
      <c r="P27" s="126">
        <f>SUM(P18:P22)</f>
        <v/>
      </c>
      <c r="Q27" s="126">
        <f>SUM(Q18:Q22)</f>
        <v/>
      </c>
      <c r="R27" s="126">
        <f>SUM(R18:R22)</f>
        <v/>
      </c>
      <c r="S27" s="126">
        <f>SUM(S18:S22)</f>
        <v/>
      </c>
      <c r="T27" s="126">
        <f>SUM(T18:T22)</f>
        <v/>
      </c>
      <c r="U27" s="126">
        <f>SUM(U18:U22)</f>
        <v/>
      </c>
      <c r="V27" s="126">
        <f>SUM(V18:V22)</f>
        <v/>
      </c>
    </row>
    <row r="29" ht="15.75" customHeight="1">
      <c r="A29" s="585" t="inlineStr">
        <is>
          <t>GASTO DE SACOLAS E ITENS DOADOS NATAL/2022 - MENSAIS</t>
        </is>
      </c>
    </row>
    <row r="30" ht="15.75" customHeight="1">
      <c r="A30" s="851" t="inlineStr">
        <is>
          <t>TAUSTE RIO</t>
        </is>
      </c>
      <c r="B30" s="851" t="inlineStr">
        <is>
          <t>DEZEMBRO</t>
        </is>
      </c>
      <c r="C30" s="846" t="n"/>
      <c r="D30" s="846" t="n"/>
      <c r="E30" s="846" t="n"/>
      <c r="F30" s="847" t="n"/>
      <c r="G30" s="851" t="inlineStr">
        <is>
          <t>JANEIRO</t>
        </is>
      </c>
      <c r="H30" s="846" t="n"/>
      <c r="I30" s="846" t="n"/>
      <c r="J30" s="846" t="n"/>
      <c r="K30" s="846" t="n"/>
      <c r="L30" s="847" t="n"/>
      <c r="M30" s="851" t="inlineStr">
        <is>
          <t>FEVEREIRO</t>
        </is>
      </c>
      <c r="N30" s="846" t="n"/>
      <c r="O30" s="846" t="n"/>
      <c r="P30" s="846" t="n"/>
      <c r="Q30" s="847" t="n"/>
      <c r="R30" s="851" t="inlineStr">
        <is>
          <t>MARÇO</t>
        </is>
      </c>
      <c r="S30" s="846" t="n"/>
      <c r="T30" s="846" t="n"/>
      <c r="U30" s="846" t="n"/>
      <c r="V30" s="847" t="n"/>
    </row>
    <row r="31" ht="15.75" customHeight="1">
      <c r="A31" s="848" t="n"/>
      <c r="B31" s="123" t="n">
        <v>44900</v>
      </c>
      <c r="C31" s="123" t="n">
        <v>44907</v>
      </c>
      <c r="D31" s="123" t="n">
        <v>44914</v>
      </c>
      <c r="E31" s="123" t="n">
        <v>44921</v>
      </c>
      <c r="F31" s="124" t="inlineStr">
        <is>
          <t>USOU</t>
        </is>
      </c>
      <c r="G31" s="123" t="n">
        <v>44563</v>
      </c>
      <c r="H31" s="123" t="n">
        <v>44570</v>
      </c>
      <c r="I31" s="123" t="n">
        <v>44577</v>
      </c>
      <c r="J31" s="123" t="n">
        <v>44584</v>
      </c>
      <c r="K31" s="123" t="n">
        <v>44591</v>
      </c>
      <c r="L31" s="124" t="inlineStr">
        <is>
          <t>USOU</t>
        </is>
      </c>
      <c r="M31" s="123" t="n">
        <v>44598</v>
      </c>
      <c r="N31" s="123" t="n">
        <v>44605</v>
      </c>
      <c r="O31" s="123" t="n">
        <v>44612</v>
      </c>
      <c r="P31" s="123" t="n">
        <v>44619</v>
      </c>
      <c r="Q31" s="124" t="inlineStr">
        <is>
          <t>USOU</t>
        </is>
      </c>
      <c r="R31" s="123" t="n">
        <v>44626</v>
      </c>
      <c r="S31" s="123" t="n">
        <v>44633</v>
      </c>
      <c r="T31" s="123" t="n">
        <v>44640</v>
      </c>
      <c r="U31" s="123" t="n">
        <v>44647</v>
      </c>
      <c r="V31" s="124" t="inlineStr">
        <is>
          <t>USOU</t>
        </is>
      </c>
    </row>
    <row r="32" ht="15.75" customHeight="1">
      <c r="A32" s="119" t="inlineStr">
        <is>
          <t>SACOLA PP NATAL</t>
        </is>
      </c>
      <c r="B32" s="115" t="n">
        <v>160</v>
      </c>
      <c r="C32" s="115" t="n">
        <v>30</v>
      </c>
      <c r="D32" s="115" t="n">
        <v>70</v>
      </c>
      <c r="E32" s="115" t="n">
        <v>640</v>
      </c>
      <c r="F32" s="125">
        <f>B32+C32+D32+E32</f>
        <v/>
      </c>
      <c r="G32" s="115" t="n">
        <v>0</v>
      </c>
      <c r="H32" s="115" t="n">
        <v>0</v>
      </c>
      <c r="I32" s="115" t="n">
        <v>0</v>
      </c>
      <c r="J32" s="115" t="n">
        <v>0</v>
      </c>
      <c r="K32" s="115" t="n">
        <v>0</v>
      </c>
      <c r="L32" s="125">
        <f>G32+H32+I32+J32+K32</f>
        <v/>
      </c>
      <c r="M32" s="115" t="n">
        <v>0</v>
      </c>
      <c r="N32" s="115" t="n">
        <v>0</v>
      </c>
      <c r="O32" s="115" t="n">
        <v>0</v>
      </c>
      <c r="P32" s="115" t="n">
        <v>0</v>
      </c>
      <c r="Q32" s="125">
        <f>M32+N32+O32+P32</f>
        <v/>
      </c>
      <c r="R32" s="115" t="n">
        <v>0</v>
      </c>
      <c r="S32" s="115" t="n">
        <v>0</v>
      </c>
      <c r="T32" s="115" t="n">
        <v>0</v>
      </c>
      <c r="U32" s="115" t="n"/>
      <c r="V32" s="125" t="n"/>
    </row>
    <row r="33" ht="15.75" customHeight="1">
      <c r="A33" s="118" t="inlineStr">
        <is>
          <t>SACOLA P NATAL</t>
        </is>
      </c>
      <c r="B33" s="115" t="n">
        <v>360</v>
      </c>
      <c r="C33" s="115" t="n">
        <v>148</v>
      </c>
      <c r="D33" s="115" t="n">
        <v>142</v>
      </c>
      <c r="E33" s="115" t="n">
        <v>200</v>
      </c>
      <c r="F33" s="125">
        <f>B33+C33+D33+E33</f>
        <v/>
      </c>
      <c r="G33" s="115" t="n">
        <v>0</v>
      </c>
      <c r="H33" s="115" t="n">
        <v>0</v>
      </c>
      <c r="I33" s="115" t="n">
        <v>0</v>
      </c>
      <c r="J33" s="115" t="n">
        <v>0</v>
      </c>
      <c r="K33" s="115" t="n">
        <v>0</v>
      </c>
      <c r="L33" s="125">
        <f>G33+H33+I33+J33+K33</f>
        <v/>
      </c>
      <c r="M33" s="115" t="n">
        <v>0</v>
      </c>
      <c r="N33" s="115" t="n">
        <v>0</v>
      </c>
      <c r="O33" s="115" t="n">
        <v>0</v>
      </c>
      <c r="P33" s="115" t="n">
        <v>0</v>
      </c>
      <c r="Q33" s="125">
        <f>M33+N33+O33+P33</f>
        <v/>
      </c>
      <c r="R33" s="115" t="n">
        <v>0</v>
      </c>
      <c r="S33" s="115" t="n">
        <v>0</v>
      </c>
      <c r="T33" s="115" t="n">
        <v>0</v>
      </c>
      <c r="U33" s="115" t="n"/>
      <c r="V33" s="125" t="n"/>
    </row>
    <row r="34" ht="15.75" customHeight="1">
      <c r="A34" s="118" t="inlineStr">
        <is>
          <t>SACOLA M NATAL</t>
        </is>
      </c>
      <c r="B34" s="115" t="n">
        <v>50</v>
      </c>
      <c r="C34" s="115" t="n">
        <v>40</v>
      </c>
      <c r="D34" s="115" t="n">
        <v>310</v>
      </c>
      <c r="E34" s="115" t="n">
        <v>600</v>
      </c>
      <c r="F34" s="125">
        <f>B34+C34+D34+E34</f>
        <v/>
      </c>
      <c r="G34" s="115" t="n">
        <v>0</v>
      </c>
      <c r="H34" s="115" t="n">
        <v>0</v>
      </c>
      <c r="I34" s="115" t="n">
        <v>0</v>
      </c>
      <c r="J34" s="115" t="n">
        <v>0</v>
      </c>
      <c r="K34" s="115" t="n">
        <v>0</v>
      </c>
      <c r="L34" s="125">
        <f>G34+H34+I34+J34+K34</f>
        <v/>
      </c>
      <c r="M34" s="115" t="n">
        <v>0</v>
      </c>
      <c r="N34" s="115" t="n">
        <v>0</v>
      </c>
      <c r="O34" s="115" t="n">
        <v>0</v>
      </c>
      <c r="P34" s="115" t="n">
        <v>0</v>
      </c>
      <c r="Q34" s="125">
        <f>M34+N34+O34+P34</f>
        <v/>
      </c>
      <c r="R34" s="115" t="n">
        <v>0</v>
      </c>
      <c r="S34" s="115" t="n">
        <v>0</v>
      </c>
      <c r="T34" s="115" t="n">
        <v>0</v>
      </c>
      <c r="U34" s="115" t="n"/>
      <c r="V34" s="125" t="n"/>
    </row>
    <row r="35" ht="15.75" customHeight="1">
      <c r="A35" s="118" t="inlineStr">
        <is>
          <t>SACOLA G NATAL</t>
        </is>
      </c>
      <c r="B35" s="115" t="n">
        <v>55</v>
      </c>
      <c r="C35" s="115" t="n">
        <v>2</v>
      </c>
      <c r="D35" s="115" t="n">
        <v>43</v>
      </c>
      <c r="E35" s="115" t="n">
        <v>200</v>
      </c>
      <c r="F35" s="125">
        <f>B35+C35+D35+E35</f>
        <v/>
      </c>
      <c r="G35" s="115" t="n">
        <v>60</v>
      </c>
      <c r="H35" s="115" t="n">
        <v>0</v>
      </c>
      <c r="I35" s="115" t="n">
        <v>0</v>
      </c>
      <c r="J35" s="115" t="n">
        <v>0</v>
      </c>
      <c r="K35" s="115" t="n">
        <v>0</v>
      </c>
      <c r="L35" s="125">
        <f>G35+H35+I35+J35+K35</f>
        <v/>
      </c>
      <c r="M35" s="115" t="n">
        <v>0</v>
      </c>
      <c r="N35" s="115" t="n">
        <v>0</v>
      </c>
      <c r="O35" s="115" t="n">
        <v>0</v>
      </c>
      <c r="P35" s="115" t="n">
        <v>0</v>
      </c>
      <c r="Q35" s="125">
        <f>M35+N35+O35+P35</f>
        <v/>
      </c>
      <c r="R35" s="115" t="n">
        <v>0</v>
      </c>
      <c r="S35" s="115" t="n">
        <v>0</v>
      </c>
      <c r="T35" s="115" t="n">
        <v>0</v>
      </c>
      <c r="U35" s="115" t="n"/>
      <c r="V35" s="125" t="n"/>
    </row>
    <row r="36" ht="15.75" customHeight="1">
      <c r="A36" s="117" t="inlineStr">
        <is>
          <t>AMARRADINHO P NATAL</t>
        </is>
      </c>
      <c r="B36" s="115" t="n">
        <v>0</v>
      </c>
      <c r="C36" s="115" t="n">
        <v>79</v>
      </c>
      <c r="D36" s="115" t="n">
        <v>4</v>
      </c>
      <c r="E36" s="115" t="n">
        <v>47</v>
      </c>
      <c r="F36" s="125">
        <f>B36+C36+D36+E36</f>
        <v/>
      </c>
      <c r="G36" s="115" t="n">
        <v>0</v>
      </c>
      <c r="H36" s="115" t="n">
        <v>0</v>
      </c>
      <c r="I36" s="115" t="n">
        <v>0</v>
      </c>
      <c r="J36" s="115" t="n">
        <v>0</v>
      </c>
      <c r="K36" s="115" t="n">
        <v>0</v>
      </c>
      <c r="L36" s="125">
        <f>G36+H36+I36+J36+K36</f>
        <v/>
      </c>
      <c r="M36" s="115" t="n">
        <v>0</v>
      </c>
      <c r="N36" s="115" t="n">
        <v>0</v>
      </c>
      <c r="O36" s="115" t="n">
        <v>0</v>
      </c>
      <c r="P36" s="115" t="n">
        <v>0</v>
      </c>
      <c r="Q36" s="125">
        <f>M36+N36+O36+P36</f>
        <v/>
      </c>
      <c r="R36" s="115" t="n">
        <v>0</v>
      </c>
      <c r="S36" s="115" t="n">
        <v>0</v>
      </c>
      <c r="T36" s="115" t="n">
        <v>0</v>
      </c>
      <c r="U36" s="115" t="n"/>
      <c r="V36" s="125" t="n"/>
    </row>
    <row r="37" ht="15.75" customHeight="1">
      <c r="A37" s="116" t="inlineStr">
        <is>
          <t>AMARRADINHO M NATAL</t>
        </is>
      </c>
      <c r="B37" s="115" t="n">
        <v>0</v>
      </c>
      <c r="C37" s="115" t="n">
        <v>0</v>
      </c>
      <c r="D37" s="115" t="n">
        <v>0</v>
      </c>
      <c r="E37" s="115" t="n">
        <v>80</v>
      </c>
      <c r="F37" s="125">
        <f>B37+C37+D37+E37</f>
        <v/>
      </c>
      <c r="G37" s="115" t="n">
        <v>0</v>
      </c>
      <c r="H37" s="115" t="n">
        <v>0</v>
      </c>
      <c r="I37" s="115" t="n">
        <v>0</v>
      </c>
      <c r="J37" s="115" t="n">
        <v>0</v>
      </c>
      <c r="K37" s="115" t="n">
        <v>0</v>
      </c>
      <c r="L37" s="125">
        <f>G37+H37+I37+J37+K37</f>
        <v/>
      </c>
      <c r="M37" s="115" t="n">
        <v>0</v>
      </c>
      <c r="N37" s="115" t="n">
        <v>0</v>
      </c>
      <c r="O37" s="115" t="n">
        <v>0</v>
      </c>
      <c r="P37" s="115" t="n">
        <v>0</v>
      </c>
      <c r="Q37" s="125">
        <f>M37+N37+O37+P37</f>
        <v/>
      </c>
      <c r="R37" s="115" t="n">
        <v>0</v>
      </c>
      <c r="S37" s="115" t="n">
        <v>0</v>
      </c>
      <c r="T37" s="115" t="n">
        <v>0</v>
      </c>
      <c r="U37" s="115" t="n"/>
      <c r="V37" s="125" t="n"/>
    </row>
    <row r="38" ht="15.75" customHeight="1">
      <c r="A38" s="116" t="inlineStr">
        <is>
          <t>PAPEL DE SEDA NATAL</t>
        </is>
      </c>
      <c r="B38" s="115" t="n">
        <v>3</v>
      </c>
      <c r="C38" s="115" t="n">
        <v>2</v>
      </c>
      <c r="D38" s="115" t="n">
        <v>4</v>
      </c>
      <c r="E38" s="115" t="n">
        <v>3</v>
      </c>
      <c r="F38" s="125">
        <f>B38+C38+D38+E38</f>
        <v/>
      </c>
      <c r="G38" s="115" t="n">
        <v>0</v>
      </c>
      <c r="H38" s="115" t="n">
        <v>0</v>
      </c>
      <c r="I38" s="115" t="n">
        <v>0</v>
      </c>
      <c r="J38" s="115" t="n">
        <v>0</v>
      </c>
      <c r="K38" s="115" t="n">
        <v>0</v>
      </c>
      <c r="L38" s="125">
        <f>G38+H38+I38+J38+K38</f>
        <v/>
      </c>
      <c r="M38" s="115" t="n">
        <v>0</v>
      </c>
      <c r="N38" s="115" t="n">
        <v>0</v>
      </c>
      <c r="O38" s="115" t="n">
        <v>0</v>
      </c>
      <c r="P38" s="115" t="n">
        <v>0</v>
      </c>
      <c r="Q38" s="125">
        <f>M38+N38+O38+P38</f>
        <v/>
      </c>
      <c r="R38" s="115" t="n">
        <v>0</v>
      </c>
      <c r="S38" s="115" t="n">
        <v>0</v>
      </c>
      <c r="T38" s="115" t="n">
        <v>0</v>
      </c>
      <c r="U38" s="115" t="n"/>
      <c r="V38" s="125" t="n"/>
    </row>
    <row r="39" ht="15.75" customHeight="1">
      <c r="A39" s="116" t="inlineStr">
        <is>
          <t>TAG NATAL</t>
        </is>
      </c>
      <c r="B39" s="115" t="n">
        <v>1</v>
      </c>
      <c r="C39" s="115" t="n">
        <v>2</v>
      </c>
      <c r="D39" s="115" t="n">
        <v>4</v>
      </c>
      <c r="E39" s="115" t="n">
        <v>2</v>
      </c>
      <c r="F39" s="125">
        <f>B39+C39+D39+E39</f>
        <v/>
      </c>
      <c r="G39" s="115" t="n">
        <v>0</v>
      </c>
      <c r="H39" s="115" t="n">
        <v>0</v>
      </c>
      <c r="I39" s="115" t="n">
        <v>0</v>
      </c>
      <c r="J39" s="115" t="n">
        <v>0</v>
      </c>
      <c r="K39" s="115" t="n">
        <v>0</v>
      </c>
      <c r="L39" s="125">
        <f>G39+H39+I39+J39+K39</f>
        <v/>
      </c>
      <c r="M39" s="115" t="n">
        <v>0</v>
      </c>
      <c r="N39" s="115" t="n">
        <v>0</v>
      </c>
      <c r="O39" s="115" t="n">
        <v>0</v>
      </c>
      <c r="P39" s="115" t="n">
        <v>0</v>
      </c>
      <c r="Q39" s="125">
        <f>M39+N39+O39+P39</f>
        <v/>
      </c>
      <c r="R39" s="115" t="n">
        <v>0</v>
      </c>
      <c r="S39" s="115" t="n">
        <v>0</v>
      </c>
      <c r="T39" s="115" t="n">
        <v>0</v>
      </c>
      <c r="U39" s="115" t="n"/>
      <c r="V39" s="125" t="n"/>
    </row>
    <row r="40" ht="15.75" customHeight="1">
      <c r="A40" s="116" t="inlineStr">
        <is>
          <t>ADESIVOS NATAL</t>
        </is>
      </c>
      <c r="B40" s="115" t="n">
        <v>0</v>
      </c>
      <c r="C40" s="115" t="n">
        <v>0</v>
      </c>
      <c r="D40" s="115" t="n">
        <v>52</v>
      </c>
      <c r="E40" s="115" t="n">
        <v>18</v>
      </c>
      <c r="F40" s="125">
        <f>B40+C40+D40+E40</f>
        <v/>
      </c>
      <c r="G40" s="115" t="n">
        <v>0</v>
      </c>
      <c r="H40" s="115" t="n">
        <v>0</v>
      </c>
      <c r="I40" s="115" t="n">
        <v>0</v>
      </c>
      <c r="J40" s="115" t="n">
        <v>0</v>
      </c>
      <c r="K40" s="115" t="n">
        <v>0</v>
      </c>
      <c r="L40" s="125">
        <f>G40+H40+I40+J40+K40</f>
        <v/>
      </c>
      <c r="M40" s="115" t="n">
        <v>0</v>
      </c>
      <c r="N40" s="115" t="n">
        <v>0</v>
      </c>
      <c r="O40" s="115" t="n">
        <v>0</v>
      </c>
      <c r="P40" s="115" t="n">
        <v>0</v>
      </c>
      <c r="Q40" s="125">
        <f>M40+N40+O40+P40</f>
        <v/>
      </c>
      <c r="R40" s="115" t="n">
        <v>0</v>
      </c>
      <c r="S40" s="115" t="n">
        <v>0</v>
      </c>
      <c r="T40" s="115" t="n">
        <v>0</v>
      </c>
      <c r="U40" s="115" t="n"/>
      <c r="V40" s="125" t="n"/>
    </row>
    <row r="41" ht="15.75" customHeight="1">
      <c r="A41" s="127" t="inlineStr">
        <is>
          <t>TOTAL DE SACOLAS</t>
        </is>
      </c>
      <c r="B41" s="126">
        <f>SUM(B32:B35)</f>
        <v/>
      </c>
      <c r="C41" s="126">
        <f>SUM(C32:C35)</f>
        <v/>
      </c>
      <c r="D41" s="126">
        <f>SUM(D32:D35)</f>
        <v/>
      </c>
      <c r="E41" s="126">
        <f>SUM(E32:E35)</f>
        <v/>
      </c>
      <c r="F41" s="126">
        <f>SUM(F32:F35)</f>
        <v/>
      </c>
      <c r="G41" s="126">
        <f>SUM(G32:G36)</f>
        <v/>
      </c>
      <c r="H41" s="126">
        <f>SUM(H32:H36)</f>
        <v/>
      </c>
      <c r="I41" s="126">
        <f>SUM(I32:I36)</f>
        <v/>
      </c>
      <c r="J41" s="126">
        <f>SUM(J32:J36)</f>
        <v/>
      </c>
      <c r="K41" s="126">
        <f>SUM(K32:K36)</f>
        <v/>
      </c>
      <c r="L41" s="126">
        <f>SUM(L32:L36)</f>
        <v/>
      </c>
      <c r="M41" s="126">
        <f>SUM(M32:M36)</f>
        <v/>
      </c>
      <c r="N41" s="126">
        <f>SUM(N32:N36)</f>
        <v/>
      </c>
      <c r="O41" s="126">
        <f>SUM(O32:O36)</f>
        <v/>
      </c>
      <c r="P41" s="126">
        <f>SUM(P32:P36)</f>
        <v/>
      </c>
      <c r="Q41" s="126">
        <f>SUM(Q32:Q36)</f>
        <v/>
      </c>
      <c r="R41" s="126">
        <f>SUM(R32:R36)</f>
        <v/>
      </c>
      <c r="S41" s="126">
        <f>SUM(S32:S36)</f>
        <v/>
      </c>
      <c r="T41" s="126">
        <f>SUM(T32:T36)</f>
        <v/>
      </c>
      <c r="U41" s="126">
        <f>SUM(U32:U36)</f>
        <v/>
      </c>
      <c r="V41" s="126">
        <f>SUM(V32:V36)</f>
        <v/>
      </c>
    </row>
    <row r="43" ht="15.75" customHeight="1">
      <c r="A43" s="585" t="inlineStr">
        <is>
          <t>GASTO DE SACOLAS E ITENS DOADOS NATAL/2022 - MENSAIS</t>
        </is>
      </c>
    </row>
    <row r="44" ht="15.75" customHeight="1">
      <c r="A44" s="851" t="inlineStr">
        <is>
          <t>TAUSTE DUQUE</t>
        </is>
      </c>
      <c r="B44" s="851" t="inlineStr">
        <is>
          <t>DEZEMBRO</t>
        </is>
      </c>
      <c r="C44" s="846" t="n"/>
      <c r="D44" s="846" t="n"/>
      <c r="E44" s="846" t="n"/>
      <c r="F44" s="847" t="n"/>
      <c r="G44" s="851" t="inlineStr">
        <is>
          <t>JANEIRO</t>
        </is>
      </c>
      <c r="H44" s="846" t="n"/>
      <c r="I44" s="846" t="n"/>
      <c r="J44" s="846" t="n"/>
      <c r="K44" s="846" t="n"/>
      <c r="L44" s="847" t="n"/>
      <c r="M44" s="851" t="inlineStr">
        <is>
          <t>FEVEREIRO</t>
        </is>
      </c>
      <c r="N44" s="846" t="n"/>
      <c r="O44" s="846" t="n"/>
      <c r="P44" s="846" t="n"/>
      <c r="Q44" s="847" t="n"/>
      <c r="R44" s="851" t="inlineStr">
        <is>
          <t>MARÇO</t>
        </is>
      </c>
      <c r="S44" s="846" t="n"/>
      <c r="T44" s="846" t="n"/>
      <c r="U44" s="846" t="n"/>
      <c r="V44" s="847" t="n"/>
    </row>
    <row r="45" ht="15.75" customHeight="1">
      <c r="A45" s="848" t="n"/>
      <c r="B45" s="123" t="n">
        <v>44900</v>
      </c>
      <c r="C45" s="123" t="n">
        <v>44907</v>
      </c>
      <c r="D45" s="123" t="n">
        <v>44914</v>
      </c>
      <c r="E45" s="123" t="n">
        <v>44921</v>
      </c>
      <c r="F45" s="124" t="inlineStr">
        <is>
          <t>USOU</t>
        </is>
      </c>
      <c r="G45" s="123" t="n">
        <v>44563</v>
      </c>
      <c r="H45" s="123" t="n">
        <v>44570</v>
      </c>
      <c r="I45" s="123" t="n">
        <v>44577</v>
      </c>
      <c r="J45" s="123" t="n">
        <v>44584</v>
      </c>
      <c r="K45" s="123" t="n">
        <v>44591</v>
      </c>
      <c r="L45" s="124" t="inlineStr">
        <is>
          <t>USOU</t>
        </is>
      </c>
      <c r="M45" s="123" t="n">
        <v>44598</v>
      </c>
      <c r="N45" s="123" t="n">
        <v>44605</v>
      </c>
      <c r="O45" s="123" t="n">
        <v>44612</v>
      </c>
      <c r="P45" s="123" t="n">
        <v>44619</v>
      </c>
      <c r="Q45" s="124" t="inlineStr">
        <is>
          <t>USOU</t>
        </is>
      </c>
      <c r="R45" s="123" t="n">
        <v>44626</v>
      </c>
      <c r="S45" s="123" t="n">
        <v>44633</v>
      </c>
      <c r="T45" s="123" t="n">
        <v>44640</v>
      </c>
      <c r="U45" s="123" t="n">
        <v>44647</v>
      </c>
      <c r="V45" s="124" t="inlineStr">
        <is>
          <t>USOU</t>
        </is>
      </c>
    </row>
    <row r="46" ht="15.75" customHeight="1">
      <c r="A46" s="119" t="inlineStr">
        <is>
          <t>SACOLA PP NATAL</t>
        </is>
      </c>
      <c r="B46" s="115" t="n">
        <v>210</v>
      </c>
      <c r="C46" s="115" t="n">
        <v>49</v>
      </c>
      <c r="D46" s="115" t="n">
        <v>41</v>
      </c>
      <c r="E46" s="115" t="n">
        <v>0</v>
      </c>
      <c r="F46" s="125">
        <f>B46+C46+D46+E46</f>
        <v/>
      </c>
      <c r="G46" s="115" t="n">
        <v>0</v>
      </c>
      <c r="H46" s="115" t="n">
        <v>0</v>
      </c>
      <c r="I46" s="115" t="n">
        <v>0</v>
      </c>
      <c r="J46" s="115" t="n">
        <v>0</v>
      </c>
      <c r="K46" s="115" t="n">
        <v>0</v>
      </c>
      <c r="L46" s="125">
        <f>G46+H46+I46+J46+K46</f>
        <v/>
      </c>
      <c r="M46" s="115" t="n">
        <v>0</v>
      </c>
      <c r="N46" s="115" t="n">
        <v>0</v>
      </c>
      <c r="O46" s="115" t="n">
        <v>0</v>
      </c>
      <c r="P46" s="115" t="n">
        <v>0</v>
      </c>
      <c r="Q46" s="125">
        <f>M46+N46+O46+P46</f>
        <v/>
      </c>
      <c r="R46" s="115" t="n">
        <v>0</v>
      </c>
      <c r="S46" s="115" t="n">
        <v>0</v>
      </c>
      <c r="T46" s="115" t="n">
        <v>0</v>
      </c>
      <c r="U46" s="115" t="n"/>
      <c r="V46" s="125" t="n"/>
    </row>
    <row r="47" ht="15.75" customHeight="1">
      <c r="A47" s="118" t="inlineStr">
        <is>
          <t>SACOLA P NATAL</t>
        </is>
      </c>
      <c r="B47" s="115" t="n">
        <v>174</v>
      </c>
      <c r="C47" s="115" t="n">
        <v>231</v>
      </c>
      <c r="D47" s="115" t="n">
        <v>195</v>
      </c>
      <c r="E47" s="115" t="n">
        <v>0</v>
      </c>
      <c r="F47" s="125">
        <f>B47+C47+D47+E47</f>
        <v/>
      </c>
      <c r="G47" s="115" t="n">
        <v>0</v>
      </c>
      <c r="H47" s="115" t="n">
        <v>0</v>
      </c>
      <c r="I47" s="115" t="n">
        <v>0</v>
      </c>
      <c r="J47" s="115" t="n">
        <v>0</v>
      </c>
      <c r="K47" s="115" t="n">
        <v>0</v>
      </c>
      <c r="L47" s="125">
        <f>G47+H47+I47+J47+K47</f>
        <v/>
      </c>
      <c r="M47" s="115" t="n">
        <v>0</v>
      </c>
      <c r="N47" s="115" t="n">
        <v>0</v>
      </c>
      <c r="O47" s="115" t="n">
        <v>0</v>
      </c>
      <c r="P47" s="115" t="n">
        <v>0</v>
      </c>
      <c r="Q47" s="125">
        <f>M47+N47+O47+P47</f>
        <v/>
      </c>
      <c r="R47" s="115" t="n">
        <v>0</v>
      </c>
      <c r="S47" s="115" t="n">
        <v>0</v>
      </c>
      <c r="T47" s="115" t="n">
        <v>0</v>
      </c>
      <c r="U47" s="115" t="n"/>
      <c r="V47" s="125" t="n"/>
    </row>
    <row r="48" ht="15.75" customHeight="1">
      <c r="A48" s="118" t="inlineStr">
        <is>
          <t>SACOLA M NATAL</t>
        </is>
      </c>
      <c r="B48" s="115" t="n">
        <v>105</v>
      </c>
      <c r="C48" s="115" t="n">
        <v>194</v>
      </c>
      <c r="D48" s="115" t="n">
        <v>61</v>
      </c>
      <c r="E48" s="115" t="n">
        <v>40</v>
      </c>
      <c r="F48" s="125">
        <f>B48+C48+D48+E48</f>
        <v/>
      </c>
      <c r="G48" s="115" t="n">
        <v>0</v>
      </c>
      <c r="H48" s="115" t="n">
        <v>0</v>
      </c>
      <c r="I48" s="115" t="n">
        <v>0</v>
      </c>
      <c r="J48" s="115" t="n">
        <v>0</v>
      </c>
      <c r="K48" s="115" t="n">
        <v>0</v>
      </c>
      <c r="L48" s="125">
        <f>G48+H48+I48+J48+K48</f>
        <v/>
      </c>
      <c r="M48" s="115" t="n">
        <v>0</v>
      </c>
      <c r="N48" s="115" t="n">
        <v>0</v>
      </c>
      <c r="O48" s="115" t="n">
        <v>0</v>
      </c>
      <c r="P48" s="115" t="n">
        <v>0</v>
      </c>
      <c r="Q48" s="125">
        <f>M48+N48+O48+P48</f>
        <v/>
      </c>
      <c r="R48" s="115" t="n">
        <v>0</v>
      </c>
      <c r="S48" s="115" t="n">
        <v>0</v>
      </c>
      <c r="T48" s="115" t="n">
        <v>0</v>
      </c>
      <c r="U48" s="115" t="n"/>
      <c r="V48" s="125" t="n"/>
    </row>
    <row r="49" ht="15.75" customHeight="1">
      <c r="A49" s="118" t="inlineStr">
        <is>
          <t>SACOLA G NATAL</t>
        </is>
      </c>
      <c r="B49" s="115" t="n">
        <v>13</v>
      </c>
      <c r="C49" s="115" t="n">
        <v>17</v>
      </c>
      <c r="D49" s="115" t="n">
        <v>0</v>
      </c>
      <c r="E49" s="115" t="n">
        <v>113</v>
      </c>
      <c r="F49" s="125">
        <f>B49+C49+D49+E49</f>
        <v/>
      </c>
      <c r="G49" s="115" t="n">
        <v>17</v>
      </c>
      <c r="H49" s="115" t="n">
        <v>30</v>
      </c>
      <c r="I49" s="115" t="n">
        <v>10</v>
      </c>
      <c r="J49" s="115" t="n">
        <v>0</v>
      </c>
      <c r="K49" s="115" t="n">
        <v>0</v>
      </c>
      <c r="L49" s="125">
        <f>G49+H49+I49+J49+K49</f>
        <v/>
      </c>
      <c r="M49" s="115" t="n">
        <v>0</v>
      </c>
      <c r="N49" s="115" t="n">
        <v>0</v>
      </c>
      <c r="O49" s="115" t="n">
        <v>0</v>
      </c>
      <c r="P49" s="115" t="n">
        <v>0</v>
      </c>
      <c r="Q49" s="125">
        <f>M49+N49+O49+P49</f>
        <v/>
      </c>
      <c r="R49" s="115" t="n">
        <v>0</v>
      </c>
      <c r="S49" s="115" t="n">
        <v>0</v>
      </c>
      <c r="T49" s="115" t="n">
        <v>0</v>
      </c>
      <c r="U49" s="115" t="n"/>
      <c r="V49" s="125" t="n"/>
    </row>
    <row r="50" ht="15.75" customHeight="1">
      <c r="A50" s="117" t="inlineStr">
        <is>
          <t>AMARRADINHO P NATAL</t>
        </is>
      </c>
      <c r="B50" s="115" t="n">
        <v>0</v>
      </c>
      <c r="C50" s="115" t="n">
        <v>70</v>
      </c>
      <c r="D50" s="115" t="n">
        <v>0</v>
      </c>
      <c r="E50" s="115" t="n">
        <v>0</v>
      </c>
      <c r="F50" s="125">
        <f>B50+C50+D50+E50</f>
        <v/>
      </c>
      <c r="G50" s="115" t="n">
        <v>0</v>
      </c>
      <c r="H50" s="115" t="n">
        <v>0</v>
      </c>
      <c r="I50" s="115" t="n">
        <v>0</v>
      </c>
      <c r="J50" s="115" t="n">
        <v>0</v>
      </c>
      <c r="K50" s="115" t="n">
        <v>0</v>
      </c>
      <c r="L50" s="125">
        <f>G50+H50+I50+J50+K50</f>
        <v/>
      </c>
      <c r="M50" s="115" t="n">
        <v>0</v>
      </c>
      <c r="N50" s="115" t="n">
        <v>0</v>
      </c>
      <c r="O50" s="115" t="n">
        <v>0</v>
      </c>
      <c r="P50" s="115" t="n">
        <v>0</v>
      </c>
      <c r="Q50" s="125">
        <f>M50+N50+O50+P50</f>
        <v/>
      </c>
      <c r="R50" s="115" t="n">
        <v>0</v>
      </c>
      <c r="S50" s="115" t="n">
        <v>0</v>
      </c>
      <c r="T50" s="115" t="n">
        <v>0</v>
      </c>
      <c r="U50" s="115" t="n"/>
      <c r="V50" s="125" t="n"/>
    </row>
    <row r="51" ht="15.75" customHeight="1">
      <c r="A51" s="116" t="inlineStr">
        <is>
          <t>AMARRADINHO M NATAL</t>
        </is>
      </c>
      <c r="B51" s="115" t="n">
        <v>0</v>
      </c>
      <c r="C51" s="115" t="n">
        <v>70</v>
      </c>
      <c r="D51" s="115" t="n">
        <v>0</v>
      </c>
      <c r="E51" s="115" t="n">
        <v>0</v>
      </c>
      <c r="F51" s="125">
        <f>B51+C51+D51+E51</f>
        <v/>
      </c>
      <c r="G51" s="115" t="n">
        <v>0</v>
      </c>
      <c r="H51" s="115" t="n">
        <v>0</v>
      </c>
      <c r="I51" s="115" t="n">
        <v>0</v>
      </c>
      <c r="J51" s="115" t="n">
        <v>0</v>
      </c>
      <c r="K51" s="115" t="n">
        <v>0</v>
      </c>
      <c r="L51" s="125">
        <f>G51+H51+I51+J51+K51</f>
        <v/>
      </c>
      <c r="M51" s="115" t="n">
        <v>0</v>
      </c>
      <c r="N51" s="115" t="n">
        <v>0</v>
      </c>
      <c r="O51" s="115" t="n">
        <v>0</v>
      </c>
      <c r="P51" s="115" t="n">
        <v>0</v>
      </c>
      <c r="Q51" s="125">
        <f>M51+N51+O51+P51</f>
        <v/>
      </c>
      <c r="R51" s="115" t="n">
        <v>0</v>
      </c>
      <c r="S51" s="115" t="n">
        <v>0</v>
      </c>
      <c r="T51" s="115" t="n">
        <v>0</v>
      </c>
      <c r="U51" s="115" t="n"/>
      <c r="V51" s="125" t="n"/>
    </row>
    <row r="52" ht="15.75" customHeight="1">
      <c r="A52" s="116" t="inlineStr">
        <is>
          <t>PAPEL DE SEDA NATAL</t>
        </is>
      </c>
      <c r="B52" s="115" t="n">
        <v>3</v>
      </c>
      <c r="C52" s="115" t="n">
        <v>2</v>
      </c>
      <c r="D52" s="115" t="n">
        <v>1</v>
      </c>
      <c r="E52" s="115" t="n">
        <v>2</v>
      </c>
      <c r="F52" s="125">
        <f>B52+C52+D52+E52</f>
        <v/>
      </c>
      <c r="G52" s="115" t="n">
        <v>0</v>
      </c>
      <c r="H52" s="115" t="n">
        <v>0</v>
      </c>
      <c r="I52" s="115" t="n">
        <v>0</v>
      </c>
      <c r="J52" s="115" t="n">
        <v>0</v>
      </c>
      <c r="K52" s="115" t="n">
        <v>0</v>
      </c>
      <c r="L52" s="125">
        <f>G52+H52+I52+J52+K52</f>
        <v/>
      </c>
      <c r="M52" s="115" t="n">
        <v>0</v>
      </c>
      <c r="N52" s="115" t="n">
        <v>0</v>
      </c>
      <c r="O52" s="115" t="n">
        <v>0</v>
      </c>
      <c r="P52" s="115" t="n">
        <v>0</v>
      </c>
      <c r="Q52" s="125">
        <f>M52+N52+O52+P52</f>
        <v/>
      </c>
      <c r="R52" s="115" t="n">
        <v>0</v>
      </c>
      <c r="S52" s="115" t="n">
        <v>0</v>
      </c>
      <c r="T52" s="115" t="n">
        <v>0</v>
      </c>
      <c r="U52" s="115" t="n"/>
      <c r="V52" s="125" t="n"/>
    </row>
    <row r="53" ht="15.75" customHeight="1">
      <c r="A53" s="116" t="inlineStr">
        <is>
          <t>TAG NATAL</t>
        </is>
      </c>
      <c r="B53" s="115" t="n">
        <v>2</v>
      </c>
      <c r="C53" s="115" t="n">
        <v>1</v>
      </c>
      <c r="D53" s="115" t="n">
        <v>1</v>
      </c>
      <c r="E53" s="115" t="n">
        <v>1</v>
      </c>
      <c r="F53" s="125">
        <f>B53+C53+D53+E53</f>
        <v/>
      </c>
      <c r="G53" s="115" t="n">
        <v>0</v>
      </c>
      <c r="H53" s="115" t="n">
        <v>0</v>
      </c>
      <c r="I53" s="115" t="n">
        <v>0</v>
      </c>
      <c r="J53" s="115" t="n">
        <v>0</v>
      </c>
      <c r="K53" s="115" t="n">
        <v>0</v>
      </c>
      <c r="L53" s="125">
        <f>G53+H53+I53+J53+K53</f>
        <v/>
      </c>
      <c r="M53" s="115" t="n">
        <v>0</v>
      </c>
      <c r="N53" s="115" t="n">
        <v>0</v>
      </c>
      <c r="O53" s="115" t="n">
        <v>0</v>
      </c>
      <c r="P53" s="115" t="n">
        <v>0</v>
      </c>
      <c r="Q53" s="125">
        <f>M53+N53+O53+P53</f>
        <v/>
      </c>
      <c r="R53" s="115" t="n">
        <v>0</v>
      </c>
      <c r="S53" s="115" t="n">
        <v>0</v>
      </c>
      <c r="T53" s="115" t="n">
        <v>0</v>
      </c>
      <c r="U53" s="115" t="n"/>
      <c r="V53" s="125" t="n"/>
    </row>
    <row r="54" ht="15.75" customHeight="1">
      <c r="A54" s="116" t="inlineStr">
        <is>
          <t>ADESIVOS NATAL</t>
        </is>
      </c>
      <c r="B54" s="115" t="n">
        <v>20</v>
      </c>
      <c r="C54" s="115" t="n">
        <v>20</v>
      </c>
      <c r="D54" s="115" t="n">
        <v>15</v>
      </c>
      <c r="E54" s="115" t="n">
        <v>15</v>
      </c>
      <c r="F54" s="125">
        <f>B54+C54+D54+E54</f>
        <v/>
      </c>
      <c r="G54" s="115" t="n">
        <v>0</v>
      </c>
      <c r="H54" s="115" t="n">
        <v>0</v>
      </c>
      <c r="I54" s="115" t="n">
        <v>0</v>
      </c>
      <c r="J54" s="115" t="n">
        <v>0</v>
      </c>
      <c r="K54" s="115" t="n">
        <v>0</v>
      </c>
      <c r="L54" s="125">
        <f>G54+H54+I54+J54+K54</f>
        <v/>
      </c>
      <c r="M54" s="115" t="n">
        <v>0</v>
      </c>
      <c r="N54" s="115" t="n">
        <v>0</v>
      </c>
      <c r="O54" s="115" t="n">
        <v>0</v>
      </c>
      <c r="P54" s="115" t="n">
        <v>0</v>
      </c>
      <c r="Q54" s="125">
        <f>M54+N54+O54+P54</f>
        <v/>
      </c>
      <c r="R54" s="115" t="n">
        <v>0</v>
      </c>
      <c r="S54" s="115" t="n">
        <v>0</v>
      </c>
      <c r="T54" s="115" t="n">
        <v>0</v>
      </c>
      <c r="U54" s="115" t="n"/>
      <c r="V54" s="125" t="n"/>
    </row>
    <row r="55" ht="15.75" customHeight="1">
      <c r="A55" s="127" t="inlineStr">
        <is>
          <t>TOTAL DE SACOLAS</t>
        </is>
      </c>
      <c r="B55" s="126">
        <f>SUM(B46:B49)</f>
        <v/>
      </c>
      <c r="C55" s="126">
        <f>SUM(C46:C49)</f>
        <v/>
      </c>
      <c r="D55" s="126">
        <f>SUM(D46:D49)</f>
        <v/>
      </c>
      <c r="E55" s="126">
        <f>SUM(E46:E49)</f>
        <v/>
      </c>
      <c r="F55" s="126">
        <f>SUM(F46:F49)</f>
        <v/>
      </c>
      <c r="G55" s="126">
        <f>SUM(G46:G50)</f>
        <v/>
      </c>
      <c r="H55" s="126">
        <f>SUM(H46:H50)</f>
        <v/>
      </c>
      <c r="I55" s="126">
        <f>SUM(I46:I50)</f>
        <v/>
      </c>
      <c r="J55" s="126">
        <f>SUM(J46:J50)</f>
        <v/>
      </c>
      <c r="K55" s="126">
        <f>SUM(K46:K50)</f>
        <v/>
      </c>
      <c r="L55" s="126">
        <f>SUM(L46:L50)</f>
        <v/>
      </c>
      <c r="M55" s="126">
        <f>SUM(M46:M50)</f>
        <v/>
      </c>
      <c r="N55" s="126">
        <f>SUM(N46:N50)</f>
        <v/>
      </c>
      <c r="O55" s="126">
        <f>SUM(O46:O50)</f>
        <v/>
      </c>
      <c r="P55" s="126">
        <f>SUM(P46:P50)</f>
        <v/>
      </c>
      <c r="Q55" s="126">
        <f>SUM(Q46:Q50)</f>
        <v/>
      </c>
      <c r="R55" s="126">
        <f>SUM(R46:R50)</f>
        <v/>
      </c>
      <c r="S55" s="126">
        <f>SUM(S46:S50)</f>
        <v/>
      </c>
      <c r="T55" s="126">
        <f>SUM(T46:T50)</f>
        <v/>
      </c>
      <c r="U55" s="126">
        <f>SUM(U46:U50)</f>
        <v/>
      </c>
      <c r="V55" s="126">
        <f>SUM(V46:V50)</f>
        <v/>
      </c>
    </row>
    <row r="57" ht="15.75" customHeight="1">
      <c r="A57" s="585" t="inlineStr">
        <is>
          <t>GASTO DE SACOLAS E ITENS DOADOS NATAL/2022 - MENSAIS</t>
        </is>
      </c>
    </row>
    <row r="58" ht="15.75" customHeight="1">
      <c r="A58" s="851" t="inlineStr">
        <is>
          <t>GETÚLIO</t>
        </is>
      </c>
      <c r="B58" s="851" t="inlineStr">
        <is>
          <t>DEZEMBRO</t>
        </is>
      </c>
      <c r="C58" s="846" t="n"/>
      <c r="D58" s="846" t="n"/>
      <c r="E58" s="846" t="n"/>
      <c r="F58" s="847" t="n"/>
      <c r="G58" s="851" t="inlineStr">
        <is>
          <t>JANEIRO</t>
        </is>
      </c>
      <c r="H58" s="846" t="n"/>
      <c r="I58" s="846" t="n"/>
      <c r="J58" s="846" t="n"/>
      <c r="K58" s="846" t="n"/>
      <c r="L58" s="847" t="n"/>
      <c r="M58" s="851" t="inlineStr">
        <is>
          <t>FEVEREIRO</t>
        </is>
      </c>
      <c r="N58" s="846" t="n"/>
      <c r="O58" s="846" t="n"/>
      <c r="P58" s="846" t="n"/>
      <c r="Q58" s="847" t="n"/>
      <c r="R58" s="851" t="inlineStr">
        <is>
          <t>MARÇO</t>
        </is>
      </c>
      <c r="S58" s="846" t="n"/>
      <c r="T58" s="846" t="n"/>
      <c r="U58" s="846" t="n"/>
      <c r="V58" s="847" t="n"/>
    </row>
    <row r="59" ht="15.75" customHeight="1">
      <c r="A59" s="848" t="n"/>
      <c r="B59" s="123" t="n">
        <v>44900</v>
      </c>
      <c r="C59" s="123" t="n">
        <v>44907</v>
      </c>
      <c r="D59" s="123" t="n">
        <v>44914</v>
      </c>
      <c r="E59" s="123" t="n">
        <v>44921</v>
      </c>
      <c r="F59" s="124" t="inlineStr">
        <is>
          <t>USOU</t>
        </is>
      </c>
      <c r="G59" s="123" t="n">
        <v>44563</v>
      </c>
      <c r="H59" s="123" t="n">
        <v>44570</v>
      </c>
      <c r="I59" s="123" t="n">
        <v>44577</v>
      </c>
      <c r="J59" s="123" t="n">
        <v>44584</v>
      </c>
      <c r="K59" s="123" t="n">
        <v>44591</v>
      </c>
      <c r="L59" s="124" t="inlineStr">
        <is>
          <t>USOU</t>
        </is>
      </c>
      <c r="M59" s="123" t="n">
        <v>44598</v>
      </c>
      <c r="N59" s="123" t="n">
        <v>44605</v>
      </c>
      <c r="O59" s="123" t="n">
        <v>44612</v>
      </c>
      <c r="P59" s="123" t="n">
        <v>44619</v>
      </c>
      <c r="Q59" s="124" t="inlineStr">
        <is>
          <t>USOU</t>
        </is>
      </c>
      <c r="R59" s="123" t="n">
        <v>44626</v>
      </c>
      <c r="S59" s="123" t="n">
        <v>44633</v>
      </c>
      <c r="T59" s="123" t="n">
        <v>44640</v>
      </c>
      <c r="U59" s="123" t="n">
        <v>44647</v>
      </c>
      <c r="V59" s="124" t="inlineStr">
        <is>
          <t>USOU</t>
        </is>
      </c>
    </row>
    <row r="60" ht="15.75" customHeight="1">
      <c r="A60" s="119" t="inlineStr">
        <is>
          <t>SACOLA PP NATAL</t>
        </is>
      </c>
      <c r="B60" s="115" t="n">
        <v>160</v>
      </c>
      <c r="C60" s="115" t="n">
        <v>20</v>
      </c>
      <c r="D60" s="115" t="n">
        <v>120</v>
      </c>
      <c r="E60" s="115" t="n">
        <v>300</v>
      </c>
      <c r="F60" s="125">
        <f>B60+C60+D60+E60</f>
        <v/>
      </c>
      <c r="G60" s="115" t="n">
        <v>0</v>
      </c>
      <c r="H60" s="115" t="n">
        <v>0</v>
      </c>
      <c r="I60" s="115" t="n">
        <v>0</v>
      </c>
      <c r="J60" s="115" t="n">
        <v>0</v>
      </c>
      <c r="K60" s="115" t="n">
        <v>0</v>
      </c>
      <c r="L60" s="125">
        <f>G60+H60+I60+J60+K60</f>
        <v/>
      </c>
      <c r="M60" s="115" t="n">
        <v>0</v>
      </c>
      <c r="N60" s="115" t="n">
        <v>0</v>
      </c>
      <c r="O60" s="115" t="n">
        <v>0</v>
      </c>
      <c r="P60" s="115" t="n">
        <v>0</v>
      </c>
      <c r="Q60" s="125">
        <f>M60+N60+O60+P60</f>
        <v/>
      </c>
      <c r="R60" s="115" t="n">
        <v>0</v>
      </c>
      <c r="S60" s="115" t="n">
        <v>0</v>
      </c>
      <c r="T60" s="115" t="n">
        <v>0</v>
      </c>
      <c r="U60" s="115" t="n"/>
      <c r="V60" s="125">
        <f>R60+S60+T60+U60</f>
        <v/>
      </c>
    </row>
    <row r="61" ht="15.75" customHeight="1">
      <c r="A61" s="118" t="inlineStr">
        <is>
          <t>SACOLA P NATAL</t>
        </is>
      </c>
      <c r="B61" s="115" t="n">
        <v>220</v>
      </c>
      <c r="C61" s="115" t="n">
        <v>180</v>
      </c>
      <c r="D61" s="115" t="n">
        <v>100</v>
      </c>
      <c r="E61" s="115" t="n">
        <v>300</v>
      </c>
      <c r="F61" s="125">
        <f>B61+C61+D61+E61</f>
        <v/>
      </c>
      <c r="G61" s="115" t="n">
        <v>0</v>
      </c>
      <c r="H61" s="115" t="n">
        <v>0</v>
      </c>
      <c r="I61" s="115" t="n">
        <v>0</v>
      </c>
      <c r="J61" s="115" t="n">
        <v>0</v>
      </c>
      <c r="K61" s="115" t="n">
        <v>0</v>
      </c>
      <c r="L61" s="125">
        <f>G61+H61+I61+J61+K61</f>
        <v/>
      </c>
      <c r="M61" s="115" t="n">
        <v>0</v>
      </c>
      <c r="N61" s="115" t="n">
        <v>0</v>
      </c>
      <c r="O61" s="115" t="n">
        <v>0</v>
      </c>
      <c r="P61" s="115" t="n">
        <v>0</v>
      </c>
      <c r="Q61" s="125">
        <f>M61+N61+O61+P61</f>
        <v/>
      </c>
      <c r="R61" s="115" t="n">
        <v>0</v>
      </c>
      <c r="S61" s="115" t="n">
        <v>0</v>
      </c>
      <c r="T61" s="115" t="n">
        <v>0</v>
      </c>
      <c r="U61" s="115" t="n"/>
      <c r="V61" s="125">
        <f>R61+S61+T61+U61</f>
        <v/>
      </c>
    </row>
    <row r="62" ht="15.75" customHeight="1">
      <c r="A62" s="118" t="inlineStr">
        <is>
          <t>SACOLA M NATAL</t>
        </is>
      </c>
      <c r="B62" s="115" t="n">
        <v>80</v>
      </c>
      <c r="C62" s="115" t="n">
        <v>100</v>
      </c>
      <c r="D62" s="115" t="n">
        <v>220</v>
      </c>
      <c r="E62" s="115" t="n">
        <v>400</v>
      </c>
      <c r="F62" s="125">
        <f>B62+C62+D62+E62</f>
        <v/>
      </c>
      <c r="G62" s="115" t="n">
        <v>0</v>
      </c>
      <c r="H62" s="115" t="n">
        <v>0</v>
      </c>
      <c r="I62" s="115" t="n">
        <v>0</v>
      </c>
      <c r="J62" s="115" t="n">
        <v>0</v>
      </c>
      <c r="K62" s="115" t="n">
        <v>0</v>
      </c>
      <c r="L62" s="125">
        <f>G62+H62+I62+J62+K62</f>
        <v/>
      </c>
      <c r="M62" s="115" t="n">
        <v>0</v>
      </c>
      <c r="N62" s="115" t="n">
        <v>0</v>
      </c>
      <c r="O62" s="115" t="n">
        <v>0</v>
      </c>
      <c r="P62" s="115" t="n">
        <v>0</v>
      </c>
      <c r="Q62" s="125">
        <f>M62+N62+O62+P62</f>
        <v/>
      </c>
      <c r="R62" s="115" t="n">
        <v>0</v>
      </c>
      <c r="S62" s="115" t="n">
        <v>0</v>
      </c>
      <c r="T62" s="115" t="n">
        <v>0</v>
      </c>
      <c r="U62" s="115" t="n"/>
      <c r="V62" s="125">
        <f>R62+S62+T62+U62</f>
        <v/>
      </c>
    </row>
    <row r="63" ht="15.75" customHeight="1">
      <c r="A63" s="118" t="inlineStr">
        <is>
          <t>SACOLA G NATAL</t>
        </is>
      </c>
      <c r="B63" s="115" t="n">
        <v>20</v>
      </c>
      <c r="C63" s="115" t="n">
        <v>20</v>
      </c>
      <c r="D63" s="115" t="n">
        <v>20</v>
      </c>
      <c r="E63" s="115" t="n">
        <v>63</v>
      </c>
      <c r="F63" s="125">
        <f>B63+C63+D63+E63</f>
        <v/>
      </c>
      <c r="G63" s="115" t="n">
        <v>0</v>
      </c>
      <c r="H63" s="115" t="n">
        <v>0</v>
      </c>
      <c r="I63" s="115" t="n">
        <v>0</v>
      </c>
      <c r="J63" s="115" t="n">
        <v>0</v>
      </c>
      <c r="K63" s="115" t="n">
        <v>0</v>
      </c>
      <c r="L63" s="125">
        <f>G63+H63+I63+J63+K63</f>
        <v/>
      </c>
      <c r="M63" s="115" t="n">
        <v>0</v>
      </c>
      <c r="N63" s="115" t="n">
        <v>0</v>
      </c>
      <c r="O63" s="115" t="n">
        <v>0</v>
      </c>
      <c r="P63" s="115" t="n">
        <v>0</v>
      </c>
      <c r="Q63" s="125">
        <f>M63+N63+O63+P63</f>
        <v/>
      </c>
      <c r="R63" s="115" t="n">
        <v>0</v>
      </c>
      <c r="S63" s="115" t="n">
        <v>0</v>
      </c>
      <c r="T63" s="115" t="n">
        <v>0</v>
      </c>
      <c r="U63" s="115" t="n"/>
      <c r="V63" s="125">
        <f>R63+S63+T63+U63</f>
        <v/>
      </c>
    </row>
    <row r="64" ht="15.75" customHeight="1">
      <c r="A64" s="117" t="inlineStr">
        <is>
          <t>AMARRADINHO P NATAL</t>
        </is>
      </c>
      <c r="B64" s="115" t="n">
        <v>100</v>
      </c>
      <c r="C64" s="115" t="n">
        <v>0</v>
      </c>
      <c r="D64" s="115" t="n">
        <v>17</v>
      </c>
      <c r="E64" s="115" t="n">
        <v>47</v>
      </c>
      <c r="F64" s="125">
        <f>B64+C64+D64+E64</f>
        <v/>
      </c>
      <c r="G64" s="115" t="n">
        <v>0</v>
      </c>
      <c r="H64" s="115" t="n">
        <v>0</v>
      </c>
      <c r="I64" s="115" t="n">
        <v>0</v>
      </c>
      <c r="J64" s="115" t="n">
        <v>0</v>
      </c>
      <c r="K64" s="115" t="n">
        <v>0</v>
      </c>
      <c r="L64" s="125">
        <f>G64+H64+I64+J64+K64</f>
        <v/>
      </c>
      <c r="M64" s="115" t="n">
        <v>0</v>
      </c>
      <c r="N64" s="115" t="n">
        <v>0</v>
      </c>
      <c r="O64" s="115" t="n">
        <v>0</v>
      </c>
      <c r="P64" s="115" t="n">
        <v>0</v>
      </c>
      <c r="Q64" s="125">
        <f>M64+N64+O64+P64</f>
        <v/>
      </c>
      <c r="R64" s="115" t="n">
        <v>0</v>
      </c>
      <c r="S64" s="115" t="n">
        <v>0</v>
      </c>
      <c r="T64" s="115" t="n">
        <v>0</v>
      </c>
      <c r="U64" s="115" t="n"/>
      <c r="V64" s="125">
        <f>R64+S64+T64+U64</f>
        <v/>
      </c>
    </row>
    <row r="65" ht="15.75" customHeight="1">
      <c r="A65" s="116" t="inlineStr">
        <is>
          <t>AMARRADINHO M NATAL</t>
        </is>
      </c>
      <c r="B65" s="115" t="n">
        <v>75</v>
      </c>
      <c r="C65" s="115" t="n">
        <v>0</v>
      </c>
      <c r="D65" s="115" t="n">
        <v>1</v>
      </c>
      <c r="E65" s="115" t="n">
        <v>69</v>
      </c>
      <c r="F65" s="125">
        <f>B65+C65+D65+E65</f>
        <v/>
      </c>
      <c r="G65" s="115" t="n">
        <v>0</v>
      </c>
      <c r="H65" s="115" t="n">
        <v>0</v>
      </c>
      <c r="I65" s="115" t="n">
        <v>0</v>
      </c>
      <c r="J65" s="115" t="n">
        <v>0</v>
      </c>
      <c r="K65" s="115" t="n">
        <v>0</v>
      </c>
      <c r="L65" s="125">
        <f>G65+H65+I65+J65+K65</f>
        <v/>
      </c>
      <c r="M65" s="115" t="n">
        <v>0</v>
      </c>
      <c r="N65" s="115" t="n">
        <v>0</v>
      </c>
      <c r="O65" s="115" t="n">
        <v>0</v>
      </c>
      <c r="P65" s="115" t="n">
        <v>0</v>
      </c>
      <c r="Q65" s="125">
        <f>M65+N65+O65+P65</f>
        <v/>
      </c>
      <c r="R65" s="115" t="n">
        <v>0</v>
      </c>
      <c r="S65" s="115" t="n">
        <v>0</v>
      </c>
      <c r="T65" s="115" t="n">
        <v>0</v>
      </c>
      <c r="U65" s="115" t="n"/>
      <c r="V65" s="125">
        <f>R65+S65+T65+U65</f>
        <v/>
      </c>
    </row>
    <row r="66" ht="15.75" customHeight="1">
      <c r="A66" s="116" t="inlineStr">
        <is>
          <t>PAPEL DE SEDA NATAL</t>
        </is>
      </c>
      <c r="B66" s="115" t="n">
        <v>12</v>
      </c>
      <c r="C66" s="115" t="n">
        <v>1</v>
      </c>
      <c r="D66" s="115" t="n">
        <v>1</v>
      </c>
      <c r="E66" s="115" t="n">
        <v>4</v>
      </c>
      <c r="F66" s="125">
        <f>B66+C66+D66+E66</f>
        <v/>
      </c>
      <c r="G66" s="115" t="n">
        <v>0</v>
      </c>
      <c r="H66" s="115" t="n">
        <v>0</v>
      </c>
      <c r="I66" s="115" t="n">
        <v>0</v>
      </c>
      <c r="J66" s="115" t="n">
        <v>0</v>
      </c>
      <c r="K66" s="115" t="n">
        <v>0</v>
      </c>
      <c r="L66" s="125">
        <f>G66+H66+I66+J66+K66</f>
        <v/>
      </c>
      <c r="M66" s="115" t="n">
        <v>0</v>
      </c>
      <c r="N66" s="115" t="n">
        <v>0</v>
      </c>
      <c r="O66" s="115" t="n">
        <v>0</v>
      </c>
      <c r="P66" s="115" t="n">
        <v>0</v>
      </c>
      <c r="Q66" s="125">
        <f>M66+N66+O66+P66</f>
        <v/>
      </c>
      <c r="R66" s="115" t="n">
        <v>0</v>
      </c>
      <c r="S66" s="115" t="n">
        <v>0</v>
      </c>
      <c r="T66" s="115" t="n">
        <v>0</v>
      </c>
      <c r="U66" s="115" t="n"/>
      <c r="V66" s="125">
        <f>R66+S66+T66+U66</f>
        <v/>
      </c>
    </row>
    <row r="67" ht="15.75" customHeight="1">
      <c r="A67" s="116" t="inlineStr">
        <is>
          <t>TAG NATAL</t>
        </is>
      </c>
      <c r="B67" s="115" t="n">
        <v>10</v>
      </c>
      <c r="C67" s="115" t="n">
        <v>1</v>
      </c>
      <c r="D67" s="115" t="n">
        <v>2</v>
      </c>
      <c r="E67" s="115" t="n">
        <v>4</v>
      </c>
      <c r="F67" s="125">
        <f>B67+C67+D67+E67</f>
        <v/>
      </c>
      <c r="G67" s="115" t="n">
        <v>0</v>
      </c>
      <c r="H67" s="115" t="n">
        <v>0</v>
      </c>
      <c r="I67" s="115" t="n">
        <v>0</v>
      </c>
      <c r="J67" s="115" t="n">
        <v>0</v>
      </c>
      <c r="K67" s="115" t="n">
        <v>0</v>
      </c>
      <c r="L67" s="125">
        <f>G67+H67+I67+J67+K67</f>
        <v/>
      </c>
      <c r="M67" s="115" t="n">
        <v>0</v>
      </c>
      <c r="N67" s="115" t="n">
        <v>0</v>
      </c>
      <c r="O67" s="115" t="n">
        <v>0</v>
      </c>
      <c r="P67" s="115" t="n">
        <v>0</v>
      </c>
      <c r="Q67" s="125">
        <f>M67+N67+O67+P67</f>
        <v/>
      </c>
      <c r="R67" s="115" t="n">
        <v>0</v>
      </c>
      <c r="S67" s="115" t="n">
        <v>0</v>
      </c>
      <c r="T67" s="115" t="n">
        <v>0</v>
      </c>
      <c r="U67" s="115" t="n"/>
      <c r="V67" s="125">
        <f>R67+S67+T67+U67</f>
        <v/>
      </c>
    </row>
    <row r="68" ht="15.75" customHeight="1">
      <c r="A68" s="116" t="inlineStr">
        <is>
          <t>ADESIVOS NATAL</t>
        </is>
      </c>
      <c r="B68" s="115" t="n">
        <v>70</v>
      </c>
      <c r="C68" s="115" t="n">
        <v>0</v>
      </c>
      <c r="D68" s="115" t="n">
        <v>70</v>
      </c>
      <c r="E68" s="115" t="n">
        <v>0</v>
      </c>
      <c r="F68" s="125">
        <f>B68+C68+D68+E68</f>
        <v/>
      </c>
      <c r="G68" s="115" t="n">
        <v>0</v>
      </c>
      <c r="H68" s="115" t="n">
        <v>0</v>
      </c>
      <c r="I68" s="115" t="n">
        <v>0</v>
      </c>
      <c r="J68" s="115" t="n">
        <v>0</v>
      </c>
      <c r="K68" s="115" t="n">
        <v>0</v>
      </c>
      <c r="L68" s="125">
        <f>G68+H68+I68+J68+K68</f>
        <v/>
      </c>
      <c r="M68" s="115" t="n">
        <v>0</v>
      </c>
      <c r="N68" s="115" t="n">
        <v>0</v>
      </c>
      <c r="O68" s="115" t="n">
        <v>0</v>
      </c>
      <c r="P68" s="115" t="n">
        <v>0</v>
      </c>
      <c r="Q68" s="125">
        <f>M68+N68+O68+P68</f>
        <v/>
      </c>
      <c r="R68" s="115" t="n">
        <v>0</v>
      </c>
      <c r="S68" s="115" t="n">
        <v>0</v>
      </c>
      <c r="T68" s="115" t="n">
        <v>0</v>
      </c>
      <c r="U68" s="115" t="n"/>
      <c r="V68" s="125">
        <f>R68+S68+T68+U68</f>
        <v/>
      </c>
    </row>
    <row r="69" ht="15.75" customHeight="1">
      <c r="A69" s="127" t="inlineStr">
        <is>
          <t>TOTAL DE SACOLAS</t>
        </is>
      </c>
      <c r="B69" s="126">
        <f>SUM(B60:B63)</f>
        <v/>
      </c>
      <c r="C69" s="126">
        <f>SUM(C60:C63)</f>
        <v/>
      </c>
      <c r="D69" s="126">
        <f>SUM(D60:D63)</f>
        <v/>
      </c>
      <c r="E69" s="126">
        <f>SUM(E60:E63)</f>
        <v/>
      </c>
      <c r="F69" s="126">
        <f>SUM(F60:F63)</f>
        <v/>
      </c>
      <c r="G69" s="126">
        <f>SUM(G60:G64)</f>
        <v/>
      </c>
      <c r="H69" s="126">
        <f>SUM(H60:H64)</f>
        <v/>
      </c>
      <c r="I69" s="126">
        <f>SUM(I60:I64)</f>
        <v/>
      </c>
      <c r="J69" s="126">
        <f>SUM(J60:J64)</f>
        <v/>
      </c>
      <c r="K69" s="126">
        <f>SUM(K60:K64)</f>
        <v/>
      </c>
      <c r="L69" s="126">
        <f>SUM(L60:L64)</f>
        <v/>
      </c>
      <c r="M69" s="126">
        <f>SUM(M60:M64)</f>
        <v/>
      </c>
      <c r="N69" s="126">
        <f>SUM(N60:N64)</f>
        <v/>
      </c>
      <c r="O69" s="126">
        <f>SUM(O60:O64)</f>
        <v/>
      </c>
      <c r="P69" s="126">
        <f>SUM(P60:P64)</f>
        <v/>
      </c>
      <c r="Q69" s="126">
        <f>SUM(Q60:Q64)</f>
        <v/>
      </c>
      <c r="R69" s="126">
        <f>SUM(R60:R64)</f>
        <v/>
      </c>
      <c r="S69" s="126">
        <f>SUM(S60:S64)</f>
        <v/>
      </c>
      <c r="T69" s="126">
        <f>SUM(T60:T64)</f>
        <v/>
      </c>
      <c r="U69" s="126">
        <f>SUM(U60:U64)</f>
        <v/>
      </c>
      <c r="V69" s="126">
        <f>SUM(V60:V64)</f>
        <v/>
      </c>
    </row>
    <row r="71" ht="15.75" customHeight="1">
      <c r="A71" s="585" t="inlineStr">
        <is>
          <t>GASTO DE SACOLAS E ITENS DOADOS NATAL/2022 - MENSAIS</t>
        </is>
      </c>
    </row>
    <row r="72" ht="15.75" customHeight="1">
      <c r="A72" s="851" t="inlineStr">
        <is>
          <t>QUADRA 7</t>
        </is>
      </c>
      <c r="B72" s="851" t="inlineStr">
        <is>
          <t>DEZEMBRO</t>
        </is>
      </c>
      <c r="C72" s="846" t="n"/>
      <c r="D72" s="846" t="n"/>
      <c r="E72" s="846" t="n"/>
      <c r="F72" s="847" t="n"/>
      <c r="G72" s="851" t="inlineStr">
        <is>
          <t>JANEIRO</t>
        </is>
      </c>
      <c r="H72" s="846" t="n"/>
      <c r="I72" s="846" t="n"/>
      <c r="J72" s="846" t="n"/>
      <c r="K72" s="846" t="n"/>
      <c r="L72" s="847" t="n"/>
      <c r="M72" s="851" t="inlineStr">
        <is>
          <t>FEVEREIRO</t>
        </is>
      </c>
      <c r="N72" s="846" t="n"/>
      <c r="O72" s="846" t="n"/>
      <c r="P72" s="846" t="n"/>
      <c r="Q72" s="847" t="n"/>
      <c r="R72" s="851" t="inlineStr">
        <is>
          <t>MARÇO</t>
        </is>
      </c>
      <c r="S72" s="846" t="n"/>
      <c r="T72" s="846" t="n"/>
      <c r="U72" s="846" t="n"/>
      <c r="V72" s="847" t="n"/>
    </row>
    <row r="73" ht="15.75" customHeight="1">
      <c r="A73" s="848" t="n"/>
      <c r="B73" s="123" t="n">
        <v>44900</v>
      </c>
      <c r="C73" s="123" t="n">
        <v>44907</v>
      </c>
      <c r="D73" s="123" t="n">
        <v>44914</v>
      </c>
      <c r="E73" s="123" t="n">
        <v>44921</v>
      </c>
      <c r="F73" s="124" t="inlineStr">
        <is>
          <t>USOU</t>
        </is>
      </c>
      <c r="G73" s="123" t="n">
        <v>44563</v>
      </c>
      <c r="H73" s="123" t="n">
        <v>44570</v>
      </c>
      <c r="I73" s="123" t="n">
        <v>44577</v>
      </c>
      <c r="J73" s="123" t="n">
        <v>44584</v>
      </c>
      <c r="K73" s="123" t="n">
        <v>44591</v>
      </c>
      <c r="L73" s="124" t="inlineStr">
        <is>
          <t>USOU</t>
        </is>
      </c>
      <c r="M73" s="123" t="n">
        <v>44598</v>
      </c>
      <c r="N73" s="123" t="n">
        <v>44605</v>
      </c>
      <c r="O73" s="123" t="n">
        <v>44612</v>
      </c>
      <c r="P73" s="123" t="n">
        <v>44619</v>
      </c>
      <c r="Q73" s="124" t="inlineStr">
        <is>
          <t>USOU</t>
        </is>
      </c>
      <c r="R73" s="123" t="n">
        <v>44626</v>
      </c>
      <c r="S73" s="123" t="n">
        <v>44633</v>
      </c>
      <c r="T73" s="123" t="n">
        <v>44640</v>
      </c>
      <c r="U73" s="123" t="n">
        <v>44647</v>
      </c>
      <c r="V73" s="124" t="inlineStr">
        <is>
          <t>USOU</t>
        </is>
      </c>
    </row>
    <row r="74" ht="15.75" customHeight="1">
      <c r="A74" s="119" t="inlineStr">
        <is>
          <t>SACOLA PP NATAL</t>
        </is>
      </c>
      <c r="B74" s="115" t="n">
        <v>120</v>
      </c>
      <c r="C74" s="115" t="n">
        <v>200</v>
      </c>
      <c r="D74" s="115" t="n">
        <v>240</v>
      </c>
      <c r="E74" s="115" t="n">
        <v>340</v>
      </c>
      <c r="F74" s="125">
        <f>B74+C74+D74+E74</f>
        <v/>
      </c>
      <c r="G74" s="115" t="n">
        <v>0</v>
      </c>
      <c r="H74" s="115" t="n">
        <v>0</v>
      </c>
      <c r="I74" s="115" t="n">
        <v>0</v>
      </c>
      <c r="J74" s="115" t="n">
        <v>0</v>
      </c>
      <c r="K74" s="115" t="n">
        <v>0</v>
      </c>
      <c r="L74" s="125">
        <f>G74+H74+I74+J74+K74</f>
        <v/>
      </c>
      <c r="M74" s="115" t="n">
        <v>0</v>
      </c>
      <c r="N74" s="115" t="n">
        <v>0</v>
      </c>
      <c r="O74" s="115" t="n">
        <v>0</v>
      </c>
      <c r="P74" s="115" t="n">
        <v>0</v>
      </c>
      <c r="Q74" s="125">
        <f>M74+N74+O74+P74</f>
        <v/>
      </c>
      <c r="R74" s="115" t="n">
        <v>0</v>
      </c>
      <c r="S74" s="115" t="n">
        <v>0</v>
      </c>
      <c r="T74" s="115" t="n">
        <v>0</v>
      </c>
      <c r="U74" s="115" t="n"/>
      <c r="V74" s="125" t="n"/>
    </row>
    <row r="75" ht="15.75" customHeight="1">
      <c r="A75" s="118" t="inlineStr">
        <is>
          <t>SACOLA P NATAL</t>
        </is>
      </c>
      <c r="B75" s="115" t="n">
        <v>300</v>
      </c>
      <c r="C75" s="115" t="n">
        <v>300</v>
      </c>
      <c r="D75" s="115" t="n">
        <v>200</v>
      </c>
      <c r="E75" s="115" t="n">
        <v>0</v>
      </c>
      <c r="F75" s="125">
        <f>B75+C75+D75+E75</f>
        <v/>
      </c>
      <c r="G75" s="115" t="n">
        <v>0</v>
      </c>
      <c r="H75" s="115" t="n">
        <v>0</v>
      </c>
      <c r="I75" s="115" t="n">
        <v>0</v>
      </c>
      <c r="J75" s="115" t="n">
        <v>0</v>
      </c>
      <c r="K75" s="115" t="n">
        <v>0</v>
      </c>
      <c r="L75" s="125">
        <f>G75+H75+I75+J75+K75</f>
        <v/>
      </c>
      <c r="M75" s="115" t="n">
        <v>0</v>
      </c>
      <c r="N75" s="115" t="n">
        <v>0</v>
      </c>
      <c r="O75" s="115" t="n">
        <v>0</v>
      </c>
      <c r="P75" s="115" t="n">
        <v>0</v>
      </c>
      <c r="Q75" s="125">
        <f>M75+N75+O75+P75</f>
        <v/>
      </c>
      <c r="R75" s="115" t="n">
        <v>0</v>
      </c>
      <c r="S75" s="115" t="n">
        <v>0</v>
      </c>
      <c r="T75" s="115" t="n">
        <v>0</v>
      </c>
      <c r="U75" s="115" t="n"/>
      <c r="V75" s="125" t="n"/>
    </row>
    <row r="76" ht="15.75" customHeight="1">
      <c r="A76" s="118" t="inlineStr">
        <is>
          <t>SACOLA M NATAL</t>
        </is>
      </c>
      <c r="B76" s="115" t="n">
        <v>120</v>
      </c>
      <c r="C76" s="115" t="n">
        <v>280</v>
      </c>
      <c r="D76" s="115" t="n">
        <v>400</v>
      </c>
      <c r="E76" s="115" t="n">
        <v>200</v>
      </c>
      <c r="F76" s="125">
        <f>B76+C76+D76+E76</f>
        <v/>
      </c>
      <c r="G76" s="115" t="n">
        <v>0</v>
      </c>
      <c r="H76" s="115" t="n">
        <v>0</v>
      </c>
      <c r="I76" s="115" t="n">
        <v>0</v>
      </c>
      <c r="J76" s="115" t="n">
        <v>0</v>
      </c>
      <c r="K76" s="115" t="n">
        <v>0</v>
      </c>
      <c r="L76" s="125">
        <f>G76+H76+I76+J76+K76</f>
        <v/>
      </c>
      <c r="M76" s="115" t="n">
        <v>0</v>
      </c>
      <c r="N76" s="115" t="n">
        <v>0</v>
      </c>
      <c r="O76" s="115" t="n">
        <v>0</v>
      </c>
      <c r="P76" s="115" t="n">
        <v>0</v>
      </c>
      <c r="Q76" s="125">
        <f>M76+N76+O76+P76</f>
        <v/>
      </c>
      <c r="R76" s="115" t="n">
        <v>0</v>
      </c>
      <c r="S76" s="115" t="n">
        <v>0</v>
      </c>
      <c r="T76" s="115" t="n">
        <v>0</v>
      </c>
      <c r="U76" s="115" t="n"/>
      <c r="V76" s="125" t="n"/>
    </row>
    <row r="77" ht="15.75" customHeight="1">
      <c r="A77" s="118" t="inlineStr">
        <is>
          <t>SACOLA G NATAL</t>
        </is>
      </c>
      <c r="B77" s="115" t="n">
        <v>0</v>
      </c>
      <c r="C77" s="115" t="n">
        <v>100</v>
      </c>
      <c r="D77" s="115" t="n">
        <v>100</v>
      </c>
      <c r="E77" s="115" t="n">
        <v>200</v>
      </c>
      <c r="F77" s="125">
        <f>B77+C77+D77+E77</f>
        <v/>
      </c>
      <c r="G77" s="115" t="n">
        <v>0</v>
      </c>
      <c r="H77" s="115" t="n">
        <v>0</v>
      </c>
      <c r="I77" s="115" t="n">
        <v>0</v>
      </c>
      <c r="J77" s="115" t="n">
        <v>0</v>
      </c>
      <c r="K77" s="115" t="n">
        <v>0</v>
      </c>
      <c r="L77" s="125">
        <f>G77+H77+I77+J77+K77</f>
        <v/>
      </c>
      <c r="M77" s="115" t="n">
        <v>5</v>
      </c>
      <c r="N77" s="115" t="n">
        <v>95</v>
      </c>
      <c r="O77" s="115" t="n">
        <v>0</v>
      </c>
      <c r="P77" s="115" t="n">
        <v>0</v>
      </c>
      <c r="Q77" s="125">
        <f>M77+N77+O77+P77</f>
        <v/>
      </c>
      <c r="R77" s="115" t="n">
        <v>0</v>
      </c>
      <c r="S77" s="115" t="n">
        <v>0</v>
      </c>
      <c r="T77" s="115" t="n">
        <v>0</v>
      </c>
      <c r="U77" s="115" t="n"/>
      <c r="V77" s="125" t="n"/>
    </row>
    <row r="78" ht="15.75" customHeight="1">
      <c r="A78" s="117" t="inlineStr">
        <is>
          <t>AMARRADINHO P NATAL</t>
        </is>
      </c>
      <c r="B78" s="115" t="n">
        <v>0</v>
      </c>
      <c r="C78" s="115" t="n">
        <v>10</v>
      </c>
      <c r="D78" s="115" t="n">
        <v>20</v>
      </c>
      <c r="E78" s="115" t="n">
        <v>100</v>
      </c>
      <c r="F78" s="125">
        <f>B78+C78+D78+E78</f>
        <v/>
      </c>
      <c r="G78" s="115" t="n">
        <v>0</v>
      </c>
      <c r="H78" s="115" t="n">
        <v>0</v>
      </c>
      <c r="I78" s="115" t="n">
        <v>0</v>
      </c>
      <c r="J78" s="115" t="n">
        <v>0</v>
      </c>
      <c r="K78" s="115" t="n">
        <v>0</v>
      </c>
      <c r="L78" s="125">
        <f>G78+H78+I78+J78+K78</f>
        <v/>
      </c>
      <c r="M78" s="115" t="n">
        <v>0</v>
      </c>
      <c r="N78" s="115" t="n">
        <v>0</v>
      </c>
      <c r="O78" s="115" t="n">
        <v>0</v>
      </c>
      <c r="P78" s="115" t="n">
        <v>0</v>
      </c>
      <c r="Q78" s="125">
        <f>M78+N78+O78+P78</f>
        <v/>
      </c>
      <c r="R78" s="115" t="n">
        <v>0</v>
      </c>
      <c r="S78" s="115" t="n">
        <v>0</v>
      </c>
      <c r="T78" s="115" t="n">
        <v>0</v>
      </c>
      <c r="U78" s="115" t="n"/>
      <c r="V78" s="125" t="n"/>
    </row>
    <row r="79" ht="15.75" customHeight="1">
      <c r="A79" s="116" t="inlineStr">
        <is>
          <t>AMARRADINHO M NATAL</t>
        </is>
      </c>
      <c r="B79" s="115" t="n">
        <v>0</v>
      </c>
      <c r="C79" s="115" t="n">
        <v>2</v>
      </c>
      <c r="D79" s="115" t="n">
        <v>28</v>
      </c>
      <c r="E79" s="115" t="n">
        <v>70</v>
      </c>
      <c r="F79" s="125">
        <f>B79+C79+D79+E79</f>
        <v/>
      </c>
      <c r="G79" s="115" t="n">
        <v>0</v>
      </c>
      <c r="H79" s="115" t="n">
        <v>0</v>
      </c>
      <c r="I79" s="115" t="n">
        <v>0</v>
      </c>
      <c r="J79" s="115" t="n">
        <v>0</v>
      </c>
      <c r="K79" s="115" t="n">
        <v>0</v>
      </c>
      <c r="L79" s="125">
        <f>G79+H79+I79+J79+K79</f>
        <v/>
      </c>
      <c r="M79" s="115" t="n">
        <v>0</v>
      </c>
      <c r="N79" s="115" t="n">
        <v>0</v>
      </c>
      <c r="O79" s="115" t="n">
        <v>0</v>
      </c>
      <c r="P79" s="115" t="n">
        <v>0</v>
      </c>
      <c r="Q79" s="125">
        <f>M79+N79+O79+P79</f>
        <v/>
      </c>
      <c r="R79" s="115" t="n">
        <v>0</v>
      </c>
      <c r="S79" s="115" t="n">
        <v>0</v>
      </c>
      <c r="T79" s="115" t="n">
        <v>0</v>
      </c>
      <c r="U79" s="115" t="n"/>
      <c r="V79" s="125" t="n"/>
    </row>
    <row r="80" ht="15.75" customHeight="1">
      <c r="A80" s="116" t="inlineStr">
        <is>
          <t>PAPEL DE SEDA NATAL</t>
        </is>
      </c>
      <c r="B80" s="115" t="n">
        <v>2</v>
      </c>
      <c r="C80" s="115" t="n">
        <v>3</v>
      </c>
      <c r="D80" s="115" t="n">
        <v>7</v>
      </c>
      <c r="E80" s="115" t="n">
        <v>3</v>
      </c>
      <c r="F80" s="125">
        <f>B80+C80+D80+E80</f>
        <v/>
      </c>
      <c r="G80" s="115" t="n">
        <v>0</v>
      </c>
      <c r="H80" s="115" t="n">
        <v>0</v>
      </c>
      <c r="I80" s="115" t="n">
        <v>0</v>
      </c>
      <c r="J80" s="115" t="n">
        <v>0</v>
      </c>
      <c r="K80" s="115" t="n">
        <v>0</v>
      </c>
      <c r="L80" s="125">
        <f>G80+H80+I80+J80+K80</f>
        <v/>
      </c>
      <c r="M80" s="115" t="n">
        <v>0</v>
      </c>
      <c r="N80" s="115" t="n">
        <v>0</v>
      </c>
      <c r="O80" s="115" t="n">
        <v>0</v>
      </c>
      <c r="P80" s="115" t="n">
        <v>0</v>
      </c>
      <c r="Q80" s="125">
        <f>M80+N80+O80+P80</f>
        <v/>
      </c>
      <c r="R80" s="115" t="n">
        <v>0</v>
      </c>
      <c r="S80" s="115" t="n">
        <v>0</v>
      </c>
      <c r="T80" s="115" t="n">
        <v>0</v>
      </c>
      <c r="U80" s="115" t="n"/>
      <c r="V80" s="125" t="n"/>
    </row>
    <row r="81" ht="15.75" customHeight="1">
      <c r="A81" s="116" t="inlineStr">
        <is>
          <t>TAG NATAL</t>
        </is>
      </c>
      <c r="B81" s="115" t="n">
        <v>1</v>
      </c>
      <c r="C81" s="115" t="n">
        <v>2</v>
      </c>
      <c r="D81" s="115" t="n">
        <v>3</v>
      </c>
      <c r="E81" s="115" t="n">
        <v>6</v>
      </c>
      <c r="F81" s="125">
        <f>B81+C81+D81+E81</f>
        <v/>
      </c>
      <c r="G81" s="115" t="n">
        <v>0</v>
      </c>
      <c r="H81" s="115" t="n">
        <v>0</v>
      </c>
      <c r="I81" s="115" t="n">
        <v>0</v>
      </c>
      <c r="J81" s="115" t="n">
        <v>0</v>
      </c>
      <c r="K81" s="115" t="n">
        <v>0</v>
      </c>
      <c r="L81" s="125">
        <f>G81+H81+I81+J81+K81</f>
        <v/>
      </c>
      <c r="M81" s="115" t="n">
        <v>0</v>
      </c>
      <c r="N81" s="115" t="n">
        <v>0</v>
      </c>
      <c r="O81" s="115" t="n">
        <v>0</v>
      </c>
      <c r="P81" s="115" t="n">
        <v>0</v>
      </c>
      <c r="Q81" s="125">
        <f>M81+N81+O81+P81</f>
        <v/>
      </c>
      <c r="R81" s="115" t="n">
        <v>0</v>
      </c>
      <c r="S81" s="115" t="n">
        <v>0</v>
      </c>
      <c r="T81" s="115" t="n">
        <v>0</v>
      </c>
      <c r="U81" s="115" t="n"/>
      <c r="V81" s="125" t="n"/>
    </row>
    <row r="82" ht="15.75" customHeight="1">
      <c r="A82" s="116" t="inlineStr">
        <is>
          <t>ADESIVOS NATAL</t>
        </is>
      </c>
      <c r="B82" s="115" t="n">
        <v>2</v>
      </c>
      <c r="C82" s="115" t="n">
        <v>8</v>
      </c>
      <c r="D82" s="115" t="n">
        <v>60</v>
      </c>
      <c r="E82" s="115" t="n">
        <v>0</v>
      </c>
      <c r="F82" s="125">
        <f>B82+C82+D82+E82</f>
        <v/>
      </c>
      <c r="G82" s="115" t="n">
        <v>0</v>
      </c>
      <c r="H82" s="115" t="n">
        <v>0</v>
      </c>
      <c r="I82" s="115" t="n">
        <v>0</v>
      </c>
      <c r="J82" s="115" t="n">
        <v>0</v>
      </c>
      <c r="K82" s="115" t="n">
        <v>0</v>
      </c>
      <c r="L82" s="125">
        <f>G82+H82+I82+J82+K82</f>
        <v/>
      </c>
      <c r="M82" s="115" t="n">
        <v>0</v>
      </c>
      <c r="N82" s="115" t="n">
        <v>0</v>
      </c>
      <c r="O82" s="115" t="n">
        <v>0</v>
      </c>
      <c r="P82" s="115" t="n">
        <v>0</v>
      </c>
      <c r="Q82" s="125">
        <f>M82+N82+O82+P82</f>
        <v/>
      </c>
      <c r="R82" s="115" t="n">
        <v>0</v>
      </c>
      <c r="S82" s="115" t="n">
        <v>0</v>
      </c>
      <c r="T82" s="115" t="n">
        <v>0</v>
      </c>
      <c r="U82" s="115" t="n"/>
      <c r="V82" s="125" t="n"/>
    </row>
    <row r="83" ht="15.75" customHeight="1">
      <c r="A83" s="127" t="inlineStr">
        <is>
          <t>TOTAL DE SACOLAS</t>
        </is>
      </c>
      <c r="B83" s="126">
        <f>SUM(B74:B77)</f>
        <v/>
      </c>
      <c r="C83" s="126">
        <f>SUM(C74:C77)</f>
        <v/>
      </c>
      <c r="D83" s="126">
        <f>SUM(D74:D77)</f>
        <v/>
      </c>
      <c r="E83" s="126">
        <f>SUM(E74:E77)</f>
        <v/>
      </c>
      <c r="F83" s="126">
        <f>SUM(F74:F77)</f>
        <v/>
      </c>
      <c r="G83" s="126">
        <f>SUM(G74:G78)</f>
        <v/>
      </c>
      <c r="H83" s="126">
        <f>SUM(H74:H78)</f>
        <v/>
      </c>
      <c r="I83" s="126">
        <f>SUM(I74:I78)</f>
        <v/>
      </c>
      <c r="J83" s="126">
        <f>SUM(J74:J78)</f>
        <v/>
      </c>
      <c r="K83" s="126">
        <f>SUM(K74:K78)</f>
        <v/>
      </c>
      <c r="L83" s="126">
        <f>SUM(L74:L78)</f>
        <v/>
      </c>
      <c r="M83" s="126">
        <f>SUM(M74:M78)</f>
        <v/>
      </c>
      <c r="N83" s="126">
        <f>SUM(N74:N78)</f>
        <v/>
      </c>
      <c r="O83" s="126">
        <f>SUM(O74:O78)</f>
        <v/>
      </c>
      <c r="P83" s="126">
        <f>SUM(P74:P78)</f>
        <v/>
      </c>
      <c r="Q83" s="126">
        <f>SUM(Q74:Q78)</f>
        <v/>
      </c>
      <c r="R83" s="126">
        <f>SUM(R74:R78)</f>
        <v/>
      </c>
      <c r="S83" s="126">
        <f>SUM(S74:S78)</f>
        <v/>
      </c>
      <c r="T83" s="126">
        <f>SUM(T74:T78)</f>
        <v/>
      </c>
      <c r="U83" s="126">
        <f>SUM(U74:U78)</f>
        <v/>
      </c>
      <c r="V83" s="126">
        <f>SUM(V74:V78)</f>
        <v/>
      </c>
    </row>
    <row r="85" ht="15.75" customHeight="1">
      <c r="A85" s="585" t="inlineStr">
        <is>
          <t>GASTO DE SACOLAS E ITENS DOADOS NATAL/2022 - MENSAIS</t>
        </is>
      </c>
    </row>
    <row r="86" ht="15.75" customHeight="1">
      <c r="A86" s="851" t="inlineStr">
        <is>
          <t>QUADRA 2</t>
        </is>
      </c>
      <c r="B86" s="851" t="inlineStr">
        <is>
          <t>DEZEMBRO</t>
        </is>
      </c>
      <c r="C86" s="846" t="n"/>
      <c r="D86" s="846" t="n"/>
      <c r="E86" s="846" t="n"/>
      <c r="F86" s="847" t="n"/>
      <c r="G86" s="851" t="inlineStr">
        <is>
          <t>JANEIRO</t>
        </is>
      </c>
      <c r="H86" s="846" t="n"/>
      <c r="I86" s="846" t="n"/>
      <c r="J86" s="846" t="n"/>
      <c r="K86" s="846" t="n"/>
      <c r="L86" s="847" t="n"/>
      <c r="M86" s="851" t="inlineStr">
        <is>
          <t>FEVEREIRO</t>
        </is>
      </c>
      <c r="N86" s="846" t="n"/>
      <c r="O86" s="846" t="n"/>
      <c r="P86" s="846" t="n"/>
      <c r="Q86" s="847" t="n"/>
      <c r="R86" s="851" t="inlineStr">
        <is>
          <t>MARÇO</t>
        </is>
      </c>
      <c r="S86" s="846" t="n"/>
      <c r="T86" s="846" t="n"/>
      <c r="U86" s="846" t="n"/>
      <c r="V86" s="847" t="n"/>
    </row>
    <row r="87" ht="15.75" customHeight="1">
      <c r="A87" s="848" t="n"/>
      <c r="B87" s="123" t="n">
        <v>44900</v>
      </c>
      <c r="C87" s="123" t="n">
        <v>44907</v>
      </c>
      <c r="D87" s="123" t="n">
        <v>44914</v>
      </c>
      <c r="E87" s="123" t="n">
        <v>44921</v>
      </c>
      <c r="F87" s="124" t="inlineStr">
        <is>
          <t>USOU</t>
        </is>
      </c>
      <c r="G87" s="123" t="n">
        <v>44563</v>
      </c>
      <c r="H87" s="123" t="n">
        <v>44570</v>
      </c>
      <c r="I87" s="123" t="n">
        <v>44577</v>
      </c>
      <c r="J87" s="123" t="n">
        <v>44584</v>
      </c>
      <c r="K87" s="123" t="n">
        <v>44591</v>
      </c>
      <c r="L87" s="124" t="inlineStr">
        <is>
          <t>USOU</t>
        </is>
      </c>
      <c r="M87" s="123" t="n">
        <v>44598</v>
      </c>
      <c r="N87" s="123" t="n">
        <v>44605</v>
      </c>
      <c r="O87" s="123" t="n">
        <v>44612</v>
      </c>
      <c r="P87" s="123" t="n">
        <v>44619</v>
      </c>
      <c r="Q87" s="124" t="inlineStr">
        <is>
          <t>USOU</t>
        </is>
      </c>
      <c r="R87" s="123" t="n">
        <v>44626</v>
      </c>
      <c r="S87" s="123" t="n">
        <v>44633</v>
      </c>
      <c r="T87" s="123" t="n">
        <v>44640</v>
      </c>
      <c r="U87" s="123" t="n">
        <v>44647</v>
      </c>
      <c r="V87" s="124" t="inlineStr">
        <is>
          <t>USOU</t>
        </is>
      </c>
    </row>
    <row r="88" ht="15.75" customHeight="1">
      <c r="A88" s="119" t="inlineStr">
        <is>
          <t>SACOLA PP NATAL</t>
        </is>
      </c>
      <c r="B88" s="115" t="n">
        <v>68</v>
      </c>
      <c r="C88" s="115" t="n">
        <v>47</v>
      </c>
      <c r="D88" s="115" t="n">
        <v>110</v>
      </c>
      <c r="E88" s="115" t="n">
        <v>372</v>
      </c>
      <c r="F88" s="125">
        <f>B88+C88+D88+E88</f>
        <v/>
      </c>
      <c r="G88" s="115" t="n">
        <v>3</v>
      </c>
      <c r="H88" s="115" t="n">
        <v>0</v>
      </c>
      <c r="I88" s="115" t="n">
        <v>0</v>
      </c>
      <c r="J88" s="115" t="n">
        <v>0</v>
      </c>
      <c r="K88" s="115" t="n">
        <v>0</v>
      </c>
      <c r="L88" s="125">
        <f>G88+H88+I88+J88+K88</f>
        <v/>
      </c>
      <c r="M88" s="115" t="n">
        <v>0</v>
      </c>
      <c r="N88" s="115" t="n">
        <v>0</v>
      </c>
      <c r="O88" s="115" t="n">
        <v>0</v>
      </c>
      <c r="P88" s="115" t="n">
        <v>0</v>
      </c>
      <c r="Q88" s="125">
        <f>M88+N88+O88+P88</f>
        <v/>
      </c>
      <c r="R88" s="115" t="n">
        <v>0</v>
      </c>
      <c r="S88" s="115" t="n">
        <v>0</v>
      </c>
      <c r="T88" s="115" t="n">
        <v>0</v>
      </c>
      <c r="U88" s="115" t="n"/>
      <c r="V88" s="125" t="n"/>
    </row>
    <row r="89" ht="15.75" customHeight="1">
      <c r="A89" s="118" t="inlineStr">
        <is>
          <t>SACOLA P NATAL</t>
        </is>
      </c>
      <c r="B89" s="115" t="n">
        <v>77</v>
      </c>
      <c r="C89" s="115" t="n">
        <v>129</v>
      </c>
      <c r="D89" s="115" t="n">
        <v>286</v>
      </c>
      <c r="E89" s="115" t="n">
        <v>108</v>
      </c>
      <c r="F89" s="125">
        <f>B89+C89+D89+E89</f>
        <v/>
      </c>
      <c r="G89" s="115" t="n">
        <v>0</v>
      </c>
      <c r="H89" s="115" t="n">
        <v>0</v>
      </c>
      <c r="I89" s="115" t="n">
        <v>0</v>
      </c>
      <c r="J89" s="115" t="n">
        <v>0</v>
      </c>
      <c r="K89" s="115" t="n">
        <v>0</v>
      </c>
      <c r="L89" s="125">
        <f>G89+H89+I89+J89+K89</f>
        <v/>
      </c>
      <c r="M89" s="115" t="n">
        <v>0</v>
      </c>
      <c r="N89" s="115" t="n">
        <v>0</v>
      </c>
      <c r="O89" s="115" t="n">
        <v>0</v>
      </c>
      <c r="P89" s="115" t="n">
        <v>0</v>
      </c>
      <c r="Q89" s="125">
        <f>M89+N89+O89+P89</f>
        <v/>
      </c>
      <c r="R89" s="115" t="n">
        <v>0</v>
      </c>
      <c r="S89" s="115" t="n">
        <v>0</v>
      </c>
      <c r="T89" s="115" t="n">
        <v>0</v>
      </c>
      <c r="U89" s="115" t="n"/>
      <c r="V89" s="125" t="n"/>
    </row>
    <row r="90" ht="15.75" customHeight="1">
      <c r="A90" s="118" t="inlineStr">
        <is>
          <t>SACOLA M NATAL</t>
        </is>
      </c>
      <c r="B90" s="115" t="n">
        <v>37</v>
      </c>
      <c r="C90" s="115" t="n">
        <v>99</v>
      </c>
      <c r="D90" s="115" t="n">
        <v>137</v>
      </c>
      <c r="E90" s="115" t="n">
        <v>327</v>
      </c>
      <c r="F90" s="125">
        <f>B90+C90+D90+E90</f>
        <v/>
      </c>
      <c r="G90" s="115" t="n">
        <v>0</v>
      </c>
      <c r="H90" s="115" t="n">
        <v>0</v>
      </c>
      <c r="I90" s="115" t="n">
        <v>0</v>
      </c>
      <c r="J90" s="115" t="n">
        <v>0</v>
      </c>
      <c r="K90" s="115" t="n">
        <v>0</v>
      </c>
      <c r="L90" s="125">
        <f>G90+H90+I90+J90+K90</f>
        <v/>
      </c>
      <c r="M90" s="115" t="n">
        <v>0</v>
      </c>
      <c r="N90" s="115" t="n">
        <v>0</v>
      </c>
      <c r="O90" s="115" t="n">
        <v>0</v>
      </c>
      <c r="P90" s="115" t="n">
        <v>0</v>
      </c>
      <c r="Q90" s="125">
        <f>M90+N90+O90+P90</f>
        <v/>
      </c>
      <c r="R90" s="115" t="n">
        <v>0</v>
      </c>
      <c r="S90" s="115" t="n">
        <v>0</v>
      </c>
      <c r="T90" s="115" t="n">
        <v>0</v>
      </c>
      <c r="U90" s="115" t="n"/>
      <c r="V90" s="125" t="n"/>
    </row>
    <row r="91" ht="15.75" customHeight="1">
      <c r="A91" s="118" t="inlineStr">
        <is>
          <t>SACOLA G NATAL</t>
        </is>
      </c>
      <c r="B91" s="115" t="n">
        <v>12</v>
      </c>
      <c r="C91" s="115" t="n">
        <v>32</v>
      </c>
      <c r="D91" s="115" t="n">
        <v>146</v>
      </c>
      <c r="E91" s="115" t="n">
        <v>36</v>
      </c>
      <c r="F91" s="125">
        <f>B91+C91+D91+E91</f>
        <v/>
      </c>
      <c r="G91" s="115" t="n">
        <v>15</v>
      </c>
      <c r="H91" s="115" t="n">
        <v>13</v>
      </c>
      <c r="I91" s="115" t="n">
        <v>8</v>
      </c>
      <c r="J91" s="115" t="n">
        <v>10</v>
      </c>
      <c r="K91" s="115" t="n">
        <v>8</v>
      </c>
      <c r="L91" s="125">
        <f>G91+H91+I91+J91+K91</f>
        <v/>
      </c>
      <c r="M91" s="115" t="n">
        <v>6</v>
      </c>
      <c r="N91" s="115" t="n">
        <v>8</v>
      </c>
      <c r="O91" s="115" t="n">
        <v>3</v>
      </c>
      <c r="P91" s="115" t="n">
        <v>3</v>
      </c>
      <c r="Q91" s="125">
        <f>M91+N91+O91+P91</f>
        <v/>
      </c>
      <c r="R91" s="115" t="n">
        <v>0</v>
      </c>
      <c r="S91" s="115" t="n">
        <v>0</v>
      </c>
      <c r="T91" s="115" t="n">
        <v>0</v>
      </c>
      <c r="U91" s="115" t="n"/>
      <c r="V91" s="125" t="n"/>
    </row>
    <row r="92" ht="15.75" customHeight="1">
      <c r="A92" s="117" t="inlineStr">
        <is>
          <t>AMARRADINHO P NATAL</t>
        </is>
      </c>
      <c r="B92" s="115" t="n">
        <v>0</v>
      </c>
      <c r="C92" s="115" t="n">
        <v>9</v>
      </c>
      <c r="D92" s="115" t="n">
        <v>12</v>
      </c>
      <c r="E92" s="115" t="n">
        <v>31</v>
      </c>
      <c r="F92" s="125">
        <f>B92+C92+D92+E92</f>
        <v/>
      </c>
      <c r="G92" s="115" t="n">
        <v>3</v>
      </c>
      <c r="H92" s="115" t="n">
        <v>0</v>
      </c>
      <c r="I92" s="115" t="n">
        <v>0</v>
      </c>
      <c r="J92" s="115" t="n">
        <v>0</v>
      </c>
      <c r="K92" s="115" t="n">
        <v>0</v>
      </c>
      <c r="L92" s="125">
        <f>G92+H92+I92+J92+K92</f>
        <v/>
      </c>
      <c r="M92" s="115" t="n">
        <v>0</v>
      </c>
      <c r="N92" s="115" t="n">
        <v>0</v>
      </c>
      <c r="O92" s="115" t="n">
        <v>0</v>
      </c>
      <c r="P92" s="115" t="n">
        <v>0</v>
      </c>
      <c r="Q92" s="125">
        <f>M92+N92+O92+P92</f>
        <v/>
      </c>
      <c r="R92" s="115" t="n">
        <v>0</v>
      </c>
      <c r="S92" s="115" t="n">
        <v>0</v>
      </c>
      <c r="T92" s="115" t="n">
        <v>15</v>
      </c>
      <c r="U92" s="115" t="n"/>
      <c r="V92" s="125" t="n"/>
    </row>
    <row r="93" ht="15.75" customHeight="1">
      <c r="A93" s="116" t="inlineStr">
        <is>
          <t>AMARRADINHO M NATAL</t>
        </is>
      </c>
      <c r="B93" s="115" t="n">
        <v>0</v>
      </c>
      <c r="C93" s="115" t="n">
        <v>8</v>
      </c>
      <c r="D93" s="115" t="n">
        <v>4</v>
      </c>
      <c r="E93" s="115" t="n">
        <v>7</v>
      </c>
      <c r="F93" s="125">
        <f>B93+C93+D93+E93</f>
        <v/>
      </c>
      <c r="G93" s="115" t="n">
        <v>0</v>
      </c>
      <c r="H93" s="115" t="n">
        <v>0</v>
      </c>
      <c r="I93" s="115" t="n">
        <v>0</v>
      </c>
      <c r="J93" s="115" t="n">
        <v>0</v>
      </c>
      <c r="K93" s="115" t="n">
        <v>0</v>
      </c>
      <c r="L93" s="125">
        <f>G93+H93+I93+J93+K93</f>
        <v/>
      </c>
      <c r="M93" s="115" t="n">
        <v>0</v>
      </c>
      <c r="N93" s="115" t="n">
        <v>0</v>
      </c>
      <c r="O93" s="115" t="n">
        <v>0</v>
      </c>
      <c r="P93" s="115" t="n">
        <v>0</v>
      </c>
      <c r="Q93" s="125">
        <f>M93+N93+O93+P93</f>
        <v/>
      </c>
      <c r="R93" s="115" t="n">
        <v>0</v>
      </c>
      <c r="S93" s="115" t="n">
        <v>0</v>
      </c>
      <c r="T93" s="115" t="n">
        <v>0</v>
      </c>
      <c r="U93" s="115" t="n"/>
      <c r="V93" s="125" t="n"/>
    </row>
    <row r="94" ht="15.75" customHeight="1">
      <c r="A94" s="116" t="inlineStr">
        <is>
          <t>PAPEL DE SEDA NATAL</t>
        </is>
      </c>
      <c r="B94" s="115" t="n">
        <v>1</v>
      </c>
      <c r="C94" s="115" t="n">
        <v>2</v>
      </c>
      <c r="D94" s="115" t="n">
        <v>2</v>
      </c>
      <c r="E94" s="115" t="n">
        <v>1</v>
      </c>
      <c r="F94" s="125">
        <f>B94+C94+D94+E94</f>
        <v/>
      </c>
      <c r="G94" s="115" t="n">
        <v>0</v>
      </c>
      <c r="H94" s="115" t="n">
        <v>0</v>
      </c>
      <c r="I94" s="115" t="n">
        <v>0</v>
      </c>
      <c r="J94" s="115" t="n">
        <v>0</v>
      </c>
      <c r="K94" s="115" t="n">
        <v>0</v>
      </c>
      <c r="L94" s="125">
        <f>G94+H94+I94+J94+K94</f>
        <v/>
      </c>
      <c r="M94" s="115" t="n">
        <v>0</v>
      </c>
      <c r="N94" s="115" t="n">
        <v>0</v>
      </c>
      <c r="O94" s="115" t="n">
        <v>0</v>
      </c>
      <c r="P94" s="115" t="n">
        <v>0</v>
      </c>
      <c r="Q94" s="125">
        <f>M94+N94+O94+P94</f>
        <v/>
      </c>
      <c r="R94" s="115" t="n">
        <v>0</v>
      </c>
      <c r="S94" s="115" t="n">
        <v>0</v>
      </c>
      <c r="T94" s="115" t="n">
        <v>0</v>
      </c>
      <c r="U94" s="115" t="n"/>
      <c r="V94" s="125" t="n"/>
    </row>
    <row r="95" ht="15.75" customHeight="1">
      <c r="A95" s="116" t="inlineStr">
        <is>
          <t>TAG NATAL</t>
        </is>
      </c>
      <c r="B95" s="115" t="n">
        <v>1</v>
      </c>
      <c r="C95" s="115" t="n">
        <v>1</v>
      </c>
      <c r="D95" s="115" t="n">
        <v>3</v>
      </c>
      <c r="E95" s="115" t="n">
        <v>1</v>
      </c>
      <c r="F95" s="125">
        <f>B95+C95+D95+E95</f>
        <v/>
      </c>
      <c r="G95" s="115" t="n">
        <v>0</v>
      </c>
      <c r="H95" s="115" t="n">
        <v>0</v>
      </c>
      <c r="I95" s="115" t="n">
        <v>0</v>
      </c>
      <c r="J95" s="115" t="n">
        <v>0</v>
      </c>
      <c r="K95" s="115" t="n">
        <v>0</v>
      </c>
      <c r="L95" s="125">
        <f>G95+H95+I95+J95+K95</f>
        <v/>
      </c>
      <c r="M95" s="115" t="n">
        <v>0</v>
      </c>
      <c r="N95" s="115" t="n">
        <v>0</v>
      </c>
      <c r="O95" s="115" t="n">
        <v>0</v>
      </c>
      <c r="P95" s="115" t="n">
        <v>0</v>
      </c>
      <c r="Q95" s="125">
        <f>M95+N95+O95+P95</f>
        <v/>
      </c>
      <c r="R95" s="115" t="n">
        <v>0</v>
      </c>
      <c r="S95" s="115" t="n">
        <v>0</v>
      </c>
      <c r="T95" s="115" t="n">
        <v>0</v>
      </c>
      <c r="U95" s="115" t="n"/>
      <c r="V95" s="125" t="n"/>
    </row>
    <row r="96" ht="15.75" customHeight="1">
      <c r="A96" s="116" t="inlineStr">
        <is>
          <t>ADESIVOS NATAL</t>
        </is>
      </c>
      <c r="B96" s="115" t="n">
        <v>5</v>
      </c>
      <c r="C96" s="115" t="n">
        <v>12</v>
      </c>
      <c r="D96" s="115" t="n">
        <v>29</v>
      </c>
      <c r="E96" s="115" t="n">
        <v>24</v>
      </c>
      <c r="F96" s="125">
        <f>B96+C96+D96+E96</f>
        <v/>
      </c>
      <c r="G96" s="115" t="n">
        <v>0</v>
      </c>
      <c r="H96" s="115" t="n">
        <v>0</v>
      </c>
      <c r="I96" s="115" t="n">
        <v>0</v>
      </c>
      <c r="J96" s="115" t="n">
        <v>0</v>
      </c>
      <c r="K96" s="115" t="n">
        <v>0</v>
      </c>
      <c r="L96" s="125">
        <f>G96+H96+I96+J96+K96</f>
        <v/>
      </c>
      <c r="M96" s="115" t="n">
        <v>0</v>
      </c>
      <c r="N96" s="115" t="n">
        <v>0</v>
      </c>
      <c r="O96" s="115" t="n">
        <v>0</v>
      </c>
      <c r="P96" s="115" t="n">
        <v>0</v>
      </c>
      <c r="Q96" s="125">
        <f>M96+N96+O96+P96</f>
        <v/>
      </c>
      <c r="R96" s="115" t="n">
        <v>0</v>
      </c>
      <c r="S96" s="115" t="n">
        <v>0</v>
      </c>
      <c r="T96" s="115" t="n">
        <v>0</v>
      </c>
      <c r="U96" s="115" t="n"/>
      <c r="V96" s="125" t="n"/>
    </row>
    <row r="97" ht="15.75" customHeight="1">
      <c r="A97" s="127" t="inlineStr">
        <is>
          <t>TOTAL DE SACOLAS</t>
        </is>
      </c>
      <c r="B97" s="126">
        <f>SUM(B88:B91)</f>
        <v/>
      </c>
      <c r="C97" s="126">
        <f>SUM(C88:C91)</f>
        <v/>
      </c>
      <c r="D97" s="126">
        <f>SUM(D88:D91)</f>
        <v/>
      </c>
      <c r="E97" s="126">
        <f>SUM(E88:E91)</f>
        <v/>
      </c>
      <c r="F97" s="126">
        <f>SUM(F88:F91)</f>
        <v/>
      </c>
      <c r="G97" s="126">
        <f>SUM(G88:G92)</f>
        <v/>
      </c>
      <c r="H97" s="126">
        <f>SUM(H88:H92)</f>
        <v/>
      </c>
      <c r="I97" s="126">
        <f>SUM(I88:I92)</f>
        <v/>
      </c>
      <c r="J97" s="126">
        <f>SUM(J88:J92)</f>
        <v/>
      </c>
      <c r="K97" s="126">
        <f>SUM(K88:K92)</f>
        <v/>
      </c>
      <c r="L97" s="126">
        <f>SUM(L88:L92)</f>
        <v/>
      </c>
      <c r="M97" s="126">
        <f>SUM(M88:M92)</f>
        <v/>
      </c>
      <c r="N97" s="126">
        <f>SUM(N88:N92)</f>
        <v/>
      </c>
      <c r="O97" s="126">
        <f>SUM(O88:O92)</f>
        <v/>
      </c>
      <c r="P97" s="126">
        <f>SUM(P88:P92)</f>
        <v/>
      </c>
      <c r="Q97" s="126">
        <f>SUM(Q88:Q92)</f>
        <v/>
      </c>
      <c r="R97" s="126">
        <f>SUM(R88:R92)</f>
        <v/>
      </c>
      <c r="S97" s="126">
        <f>SUM(S88:S92)</f>
        <v/>
      </c>
      <c r="T97" s="126">
        <f>SUM(T88:T92)</f>
        <v/>
      </c>
      <c r="U97" s="126">
        <f>SUM(U88:U92)</f>
        <v/>
      </c>
      <c r="V97" s="126">
        <f>SUM(V88:V92)</f>
        <v/>
      </c>
    </row>
    <row r="99" ht="15.75" customHeight="1">
      <c r="A99" s="585" t="inlineStr">
        <is>
          <t>GASTO DE SACOLAS E ITENS DOADOS NATAL/2022 - MENSAIS</t>
        </is>
      </c>
    </row>
    <row r="100" ht="15.75" customHeight="1">
      <c r="A100" s="851" t="inlineStr">
        <is>
          <t>MARY DOTA</t>
        </is>
      </c>
      <c r="B100" s="851" t="inlineStr">
        <is>
          <t>DEZEMBRO</t>
        </is>
      </c>
      <c r="C100" s="846" t="n"/>
      <c r="D100" s="846" t="n"/>
      <c r="E100" s="846" t="n"/>
      <c r="F100" s="847" t="n"/>
      <c r="G100" s="851" t="inlineStr">
        <is>
          <t>JANEIRO</t>
        </is>
      </c>
      <c r="H100" s="846" t="n"/>
      <c r="I100" s="846" t="n"/>
      <c r="J100" s="846" t="n"/>
      <c r="K100" s="846" t="n"/>
      <c r="L100" s="847" t="n"/>
      <c r="M100" s="851" t="inlineStr">
        <is>
          <t>FEVEREIRO</t>
        </is>
      </c>
      <c r="N100" s="846" t="n"/>
      <c r="O100" s="846" t="n"/>
      <c r="P100" s="846" t="n"/>
      <c r="Q100" s="847" t="n"/>
      <c r="R100" s="851" t="inlineStr">
        <is>
          <t>MARÇO</t>
        </is>
      </c>
      <c r="S100" s="846" t="n"/>
      <c r="T100" s="846" t="n"/>
      <c r="U100" s="846" t="n"/>
      <c r="V100" s="847" t="n"/>
    </row>
    <row r="101" ht="15.75" customHeight="1">
      <c r="A101" s="848" t="n"/>
      <c r="B101" s="123" t="n">
        <v>44900</v>
      </c>
      <c r="C101" s="123" t="n">
        <v>44907</v>
      </c>
      <c r="D101" s="123" t="n">
        <v>44914</v>
      </c>
      <c r="E101" s="123" t="n">
        <v>44921</v>
      </c>
      <c r="F101" s="124" t="inlineStr">
        <is>
          <t>USOU</t>
        </is>
      </c>
      <c r="G101" s="123" t="n">
        <v>44563</v>
      </c>
      <c r="H101" s="123" t="n">
        <v>44570</v>
      </c>
      <c r="I101" s="123" t="n">
        <v>44577</v>
      </c>
      <c r="J101" s="123" t="n">
        <v>44584</v>
      </c>
      <c r="K101" s="123" t="n">
        <v>44591</v>
      </c>
      <c r="L101" s="124" t="inlineStr">
        <is>
          <t>USOU</t>
        </is>
      </c>
      <c r="M101" s="123" t="n">
        <v>44598</v>
      </c>
      <c r="N101" s="123" t="n">
        <v>44605</v>
      </c>
      <c r="O101" s="123" t="n">
        <v>44612</v>
      </c>
      <c r="P101" s="123" t="n">
        <v>44619</v>
      </c>
      <c r="Q101" s="124" t="inlineStr">
        <is>
          <t>USOU</t>
        </is>
      </c>
      <c r="R101" s="123" t="n">
        <v>44626</v>
      </c>
      <c r="S101" s="123" t="n">
        <v>44633</v>
      </c>
      <c r="T101" s="123" t="n">
        <v>44640</v>
      </c>
      <c r="U101" s="123" t="n">
        <v>44647</v>
      </c>
      <c r="V101" s="124" t="inlineStr">
        <is>
          <t>USOU</t>
        </is>
      </c>
    </row>
    <row r="102" ht="15.75" customHeight="1">
      <c r="A102" s="119" t="inlineStr">
        <is>
          <t>SACOLA PP NATAL</t>
        </is>
      </c>
      <c r="B102" s="115" t="n">
        <v>100</v>
      </c>
      <c r="C102" s="115" t="n">
        <v>80</v>
      </c>
      <c r="D102" s="115" t="n">
        <v>0</v>
      </c>
      <c r="E102" s="115" t="n">
        <v>120</v>
      </c>
      <c r="F102" s="125">
        <f>B102+C102+D102+E102</f>
        <v/>
      </c>
      <c r="G102" s="115" t="n">
        <v>0</v>
      </c>
      <c r="H102" s="115" t="n">
        <v>0</v>
      </c>
      <c r="I102" s="115" t="n">
        <v>0</v>
      </c>
      <c r="J102" s="115" t="n">
        <v>0</v>
      </c>
      <c r="K102" s="115" t="n">
        <v>0</v>
      </c>
      <c r="L102" s="125">
        <f>G102+H102+I102+J102+K102</f>
        <v/>
      </c>
      <c r="M102" s="115" t="n">
        <v>0</v>
      </c>
      <c r="N102" s="115" t="n">
        <v>0</v>
      </c>
      <c r="O102" s="115" t="n">
        <v>0</v>
      </c>
      <c r="P102" s="115" t="n">
        <v>0</v>
      </c>
      <c r="Q102" s="125">
        <f>M102+N102+O102+P102</f>
        <v/>
      </c>
      <c r="R102" s="115" t="n">
        <v>0</v>
      </c>
      <c r="S102" s="115" t="n">
        <v>0</v>
      </c>
      <c r="T102" s="115" t="n">
        <v>0</v>
      </c>
      <c r="U102" s="115" t="n"/>
      <c r="V102" s="125" t="n"/>
    </row>
    <row r="103" ht="15.75" customHeight="1">
      <c r="A103" s="118" t="inlineStr">
        <is>
          <t>SACOLA P NATAL</t>
        </is>
      </c>
      <c r="B103" s="115" t="n">
        <v>110</v>
      </c>
      <c r="C103" s="115" t="n">
        <v>130</v>
      </c>
      <c r="D103" s="115" t="n">
        <v>110</v>
      </c>
      <c r="E103" s="115" t="n">
        <v>200</v>
      </c>
      <c r="F103" s="125">
        <f>B103+C103+D103+E103</f>
        <v/>
      </c>
      <c r="G103" s="115" t="n">
        <v>0</v>
      </c>
      <c r="H103" s="115" t="n">
        <v>0</v>
      </c>
      <c r="I103" s="115" t="n">
        <v>0</v>
      </c>
      <c r="J103" s="115" t="n">
        <v>0</v>
      </c>
      <c r="K103" s="115" t="n">
        <v>0</v>
      </c>
      <c r="L103" s="125">
        <f>G103+H103+I103+J103+K103</f>
        <v/>
      </c>
      <c r="M103" s="115" t="n">
        <v>0</v>
      </c>
      <c r="N103" s="115" t="n">
        <v>0</v>
      </c>
      <c r="O103" s="115" t="n">
        <v>0</v>
      </c>
      <c r="P103" s="115" t="n">
        <v>0</v>
      </c>
      <c r="Q103" s="125">
        <f>M103+N103+O103+P103</f>
        <v/>
      </c>
      <c r="R103" s="115" t="n">
        <v>0</v>
      </c>
      <c r="S103" s="115" t="n">
        <v>0</v>
      </c>
      <c r="T103" s="115" t="n">
        <v>0</v>
      </c>
      <c r="U103" s="115" t="n"/>
      <c r="V103" s="125" t="n"/>
    </row>
    <row r="104" ht="15.75" customHeight="1">
      <c r="A104" s="118" t="inlineStr">
        <is>
          <t>SACOLA M NATAL</t>
        </is>
      </c>
      <c r="B104" s="115" t="n">
        <v>100</v>
      </c>
      <c r="C104" s="115" t="n">
        <v>60</v>
      </c>
      <c r="D104" s="115" t="n">
        <v>40</v>
      </c>
      <c r="E104" s="115" t="n">
        <v>200</v>
      </c>
      <c r="F104" s="125">
        <f>B104+C104+D104+E104</f>
        <v/>
      </c>
      <c r="G104" s="115" t="n">
        <v>0</v>
      </c>
      <c r="H104" s="115" t="n">
        <v>0</v>
      </c>
      <c r="I104" s="115" t="n">
        <v>0</v>
      </c>
      <c r="J104" s="115" t="n">
        <v>0</v>
      </c>
      <c r="K104" s="115" t="n">
        <v>0</v>
      </c>
      <c r="L104" s="125">
        <f>G104+H104+I104+J104+K104</f>
        <v/>
      </c>
      <c r="M104" s="115" t="n">
        <v>0</v>
      </c>
      <c r="N104" s="115" t="n">
        <v>0</v>
      </c>
      <c r="O104" s="115" t="n">
        <v>0</v>
      </c>
      <c r="P104" s="115" t="n">
        <v>0</v>
      </c>
      <c r="Q104" s="125">
        <f>M104+N104+O104+P104</f>
        <v/>
      </c>
      <c r="R104" s="115" t="n">
        <v>0</v>
      </c>
      <c r="S104" s="115" t="n">
        <v>0</v>
      </c>
      <c r="T104" s="115" t="n">
        <v>0</v>
      </c>
      <c r="U104" s="115" t="n"/>
      <c r="V104" s="125" t="n"/>
    </row>
    <row r="105" ht="15.75" customHeight="1">
      <c r="A105" s="118" t="inlineStr">
        <is>
          <t>SACOLA G NATAL</t>
        </is>
      </c>
      <c r="B105" s="115" t="n">
        <v>20</v>
      </c>
      <c r="C105" s="115" t="n">
        <v>0</v>
      </c>
      <c r="D105" s="115" t="n">
        <v>60</v>
      </c>
      <c r="E105" s="115" t="n">
        <v>20</v>
      </c>
      <c r="F105" s="125">
        <f>B105+C105+D105+E105</f>
        <v/>
      </c>
      <c r="G105" s="115" t="n">
        <v>0</v>
      </c>
      <c r="H105" s="115" t="n">
        <v>0</v>
      </c>
      <c r="I105" s="115" t="n">
        <v>0</v>
      </c>
      <c r="J105" s="115" t="n">
        <v>0</v>
      </c>
      <c r="K105" s="115" t="n">
        <v>0</v>
      </c>
      <c r="L105" s="125">
        <f>G105+H105+I105+J105+K105</f>
        <v/>
      </c>
      <c r="M105" s="115" t="n">
        <v>0</v>
      </c>
      <c r="N105" s="115" t="n">
        <v>0</v>
      </c>
      <c r="O105" s="115" t="n">
        <v>0</v>
      </c>
      <c r="P105" s="115" t="n">
        <v>0</v>
      </c>
      <c r="Q105" s="125">
        <f>M105+N105+O105+P105</f>
        <v/>
      </c>
      <c r="R105" s="115" t="n">
        <v>0</v>
      </c>
      <c r="S105" s="115" t="n">
        <v>0</v>
      </c>
      <c r="T105" s="115" t="n">
        <v>0</v>
      </c>
      <c r="U105" s="115" t="n"/>
      <c r="V105" s="125" t="n"/>
    </row>
    <row r="106" ht="15.75" customHeight="1">
      <c r="A106" s="117" t="inlineStr">
        <is>
          <t>AMARRADINHO P NATAL</t>
        </is>
      </c>
      <c r="B106" s="115" t="n">
        <v>18</v>
      </c>
      <c r="C106" s="115" t="n">
        <v>0</v>
      </c>
      <c r="D106" s="115" t="n">
        <v>7</v>
      </c>
      <c r="E106" s="115" t="n">
        <v>25</v>
      </c>
      <c r="F106" s="125">
        <f>B106+C106+D106+E106</f>
        <v/>
      </c>
      <c r="G106" s="115" t="n">
        <v>0</v>
      </c>
      <c r="H106" s="115" t="n">
        <v>0</v>
      </c>
      <c r="I106" s="115" t="n">
        <v>0</v>
      </c>
      <c r="J106" s="115" t="n">
        <v>0</v>
      </c>
      <c r="K106" s="115" t="n">
        <v>0</v>
      </c>
      <c r="L106" s="125">
        <f>G106+H106+I106+J106+K106</f>
        <v/>
      </c>
      <c r="M106" s="115" t="n">
        <v>0</v>
      </c>
      <c r="N106" s="115" t="n">
        <v>0</v>
      </c>
      <c r="O106" s="115" t="n">
        <v>0</v>
      </c>
      <c r="P106" s="115" t="n">
        <v>0</v>
      </c>
      <c r="Q106" s="125">
        <f>M106+N106+O106+P106</f>
        <v/>
      </c>
      <c r="R106" s="115" t="n">
        <v>0</v>
      </c>
      <c r="S106" s="115" t="n">
        <v>0</v>
      </c>
      <c r="T106" s="115" t="n">
        <v>0</v>
      </c>
      <c r="U106" s="115" t="n"/>
      <c r="V106" s="125" t="n"/>
    </row>
    <row r="107" ht="15.75" customHeight="1">
      <c r="A107" s="116" t="inlineStr">
        <is>
          <t>AMARRADINHO M NATAL</t>
        </is>
      </c>
      <c r="B107" s="115" t="n">
        <v>3</v>
      </c>
      <c r="C107" s="115" t="n">
        <v>0</v>
      </c>
      <c r="D107" s="115" t="n">
        <v>11</v>
      </c>
      <c r="E107" s="115" t="n">
        <v>36</v>
      </c>
      <c r="F107" s="125">
        <f>B107+C107+D107+E107</f>
        <v/>
      </c>
      <c r="G107" s="115" t="n">
        <v>0</v>
      </c>
      <c r="H107" s="115" t="n">
        <v>0</v>
      </c>
      <c r="I107" s="115" t="n">
        <v>0</v>
      </c>
      <c r="J107" s="115" t="n">
        <v>0</v>
      </c>
      <c r="K107" s="115" t="n">
        <v>0</v>
      </c>
      <c r="L107" s="125">
        <f>G107+H107+I107+J107+K107</f>
        <v/>
      </c>
      <c r="M107" s="115" t="n">
        <v>0</v>
      </c>
      <c r="N107" s="115" t="n">
        <v>0</v>
      </c>
      <c r="O107" s="115" t="n">
        <v>0</v>
      </c>
      <c r="P107" s="115" t="n">
        <v>0</v>
      </c>
      <c r="Q107" s="125">
        <f>M107+N107+O107+P107</f>
        <v/>
      </c>
      <c r="R107" s="115" t="n">
        <v>0</v>
      </c>
      <c r="S107" s="115" t="n">
        <v>0</v>
      </c>
      <c r="T107" s="115" t="n">
        <v>0</v>
      </c>
      <c r="U107" s="115" t="n"/>
      <c r="V107" s="125" t="n"/>
    </row>
    <row r="108" ht="15.75" customHeight="1">
      <c r="A108" s="116" t="inlineStr">
        <is>
          <t>PAPEL DE SEDA NATAL</t>
        </is>
      </c>
      <c r="B108" s="115" t="n">
        <v>1</v>
      </c>
      <c r="C108" s="115" t="n">
        <v>1</v>
      </c>
      <c r="D108" s="115" t="n">
        <v>0</v>
      </c>
      <c r="E108" s="115" t="n">
        <v>4</v>
      </c>
      <c r="F108" s="125">
        <f>B108+C108+D108+E108</f>
        <v/>
      </c>
      <c r="G108" s="115" t="n">
        <v>0</v>
      </c>
      <c r="H108" s="115" t="n">
        <v>0</v>
      </c>
      <c r="I108" s="115" t="n">
        <v>0</v>
      </c>
      <c r="J108" s="115" t="n">
        <v>0</v>
      </c>
      <c r="K108" s="115" t="n">
        <v>0</v>
      </c>
      <c r="L108" s="125">
        <f>G108+H108+I108+J108+K108</f>
        <v/>
      </c>
      <c r="M108" s="115" t="n">
        <v>0</v>
      </c>
      <c r="N108" s="115" t="n">
        <v>0</v>
      </c>
      <c r="O108" s="115" t="n">
        <v>0</v>
      </c>
      <c r="P108" s="115" t="n">
        <v>0</v>
      </c>
      <c r="Q108" s="125">
        <f>M108+N108+O108+P108</f>
        <v/>
      </c>
      <c r="R108" s="115" t="n">
        <v>0</v>
      </c>
      <c r="S108" s="115" t="n">
        <v>0</v>
      </c>
      <c r="T108" s="115" t="n">
        <v>0</v>
      </c>
      <c r="U108" s="115" t="n"/>
      <c r="V108" s="125" t="n"/>
    </row>
    <row r="109" ht="15.75" customHeight="1">
      <c r="A109" s="116" t="inlineStr">
        <is>
          <t>TAG NATAL</t>
        </is>
      </c>
      <c r="B109" s="115" t="n">
        <v>0</v>
      </c>
      <c r="C109" s="115" t="n">
        <v>0</v>
      </c>
      <c r="D109" s="115" t="n">
        <v>2</v>
      </c>
      <c r="E109" s="115" t="n">
        <v>1</v>
      </c>
      <c r="F109" s="125">
        <f>B109+C109+D109+E109</f>
        <v/>
      </c>
      <c r="G109" s="115" t="n">
        <v>0</v>
      </c>
      <c r="H109" s="115" t="n">
        <v>0</v>
      </c>
      <c r="I109" s="115" t="n">
        <v>0</v>
      </c>
      <c r="J109" s="115" t="n">
        <v>0</v>
      </c>
      <c r="K109" s="115" t="n">
        <v>0</v>
      </c>
      <c r="L109" s="125">
        <f>G109+H109+I109+J109+K109</f>
        <v/>
      </c>
      <c r="M109" s="115" t="n">
        <v>0</v>
      </c>
      <c r="N109" s="115" t="n">
        <v>0</v>
      </c>
      <c r="O109" s="115" t="n">
        <v>0</v>
      </c>
      <c r="P109" s="115" t="n">
        <v>0</v>
      </c>
      <c r="Q109" s="125">
        <f>M109+N109+O109+P109</f>
        <v/>
      </c>
      <c r="R109" s="115" t="n">
        <v>0</v>
      </c>
      <c r="S109" s="115" t="n">
        <v>0</v>
      </c>
      <c r="T109" s="115" t="n">
        <v>0</v>
      </c>
      <c r="U109" s="115" t="n"/>
      <c r="V109" s="125" t="n"/>
    </row>
    <row r="110" ht="15.75" customHeight="1">
      <c r="A110" s="116" t="inlineStr">
        <is>
          <t>ADESIVOS NATAL</t>
        </is>
      </c>
      <c r="B110" s="115" t="n">
        <v>0</v>
      </c>
      <c r="C110" s="115" t="n">
        <v>10</v>
      </c>
      <c r="D110" s="115" t="n">
        <v>20</v>
      </c>
      <c r="E110" s="115" t="n">
        <v>40</v>
      </c>
      <c r="F110" s="125">
        <f>B110+C110+D110+E110</f>
        <v/>
      </c>
      <c r="G110" s="115" t="n">
        <v>0</v>
      </c>
      <c r="H110" s="115" t="n">
        <v>0</v>
      </c>
      <c r="I110" s="115" t="n">
        <v>0</v>
      </c>
      <c r="J110" s="115" t="n">
        <v>0</v>
      </c>
      <c r="K110" s="115" t="n">
        <v>0</v>
      </c>
      <c r="L110" s="125">
        <f>G110+H110+I110+J110+K110</f>
        <v/>
      </c>
      <c r="M110" s="115" t="n">
        <v>0</v>
      </c>
      <c r="N110" s="115" t="n">
        <v>0</v>
      </c>
      <c r="O110" s="115" t="n">
        <v>0</v>
      </c>
      <c r="P110" s="115" t="n">
        <v>0</v>
      </c>
      <c r="Q110" s="125">
        <f>M110+N110+O110+P110</f>
        <v/>
      </c>
      <c r="R110" s="115" t="n">
        <v>0</v>
      </c>
      <c r="S110" s="115" t="n">
        <v>0</v>
      </c>
      <c r="T110" s="115" t="n">
        <v>0</v>
      </c>
      <c r="U110" s="115" t="n"/>
      <c r="V110" s="125" t="n"/>
    </row>
    <row r="111" ht="15.75" customHeight="1">
      <c r="A111" s="127" t="inlineStr">
        <is>
          <t>TOTAL DE SACOLAS</t>
        </is>
      </c>
      <c r="B111" s="126">
        <f>SUM(B102:B105)</f>
        <v/>
      </c>
      <c r="C111" s="126">
        <f>SUM(C102:C105)</f>
        <v/>
      </c>
      <c r="D111" s="126">
        <f>SUM(D102:D105)</f>
        <v/>
      </c>
      <c r="E111" s="126">
        <f>SUM(E102:E105)</f>
        <v/>
      </c>
      <c r="F111" s="126">
        <f>SUM(F102:F105)</f>
        <v/>
      </c>
      <c r="G111" s="126">
        <f>SUM(G102:G106)</f>
        <v/>
      </c>
      <c r="H111" s="126">
        <f>SUM(H102:H106)</f>
        <v/>
      </c>
      <c r="I111" s="126">
        <f>SUM(I102:I106)</f>
        <v/>
      </c>
      <c r="J111" s="126">
        <f>SUM(J102:J106)</f>
        <v/>
      </c>
      <c r="K111" s="126">
        <f>SUM(K102:K106)</f>
        <v/>
      </c>
      <c r="L111" s="126">
        <f>SUM(L102:L106)</f>
        <v/>
      </c>
      <c r="M111" s="126">
        <f>SUM(M102:M106)</f>
        <v/>
      </c>
      <c r="N111" s="126">
        <f>SUM(N102:N106)</f>
        <v/>
      </c>
      <c r="O111" s="126">
        <f>SUM(O102:O106)</f>
        <v/>
      </c>
      <c r="P111" s="126">
        <f>SUM(P102:P106)</f>
        <v/>
      </c>
      <c r="Q111" s="126">
        <f>SUM(Q102:Q106)</f>
        <v/>
      </c>
      <c r="R111" s="126">
        <f>SUM(R102:R106)</f>
        <v/>
      </c>
      <c r="S111" s="126">
        <f>SUM(S102:S106)</f>
        <v/>
      </c>
      <c r="T111" s="126">
        <f>SUM(T102:T106)</f>
        <v/>
      </c>
      <c r="U111" s="126">
        <f>SUM(U102:U106)</f>
        <v/>
      </c>
      <c r="V111" s="126">
        <f>SUM(V102:V106)</f>
        <v/>
      </c>
    </row>
    <row r="113" ht="15.75" customHeight="1">
      <c r="A113" s="585" t="inlineStr">
        <is>
          <t>GASTO DE SACOLAS E ITENS DOADOS NATAL/2022 - MENSAIS</t>
        </is>
      </c>
    </row>
    <row r="114" ht="15.75" customHeight="1">
      <c r="A114" s="851" t="inlineStr">
        <is>
          <t>VD BAURU</t>
        </is>
      </c>
      <c r="B114" s="851" t="inlineStr">
        <is>
          <t>DEZEMBRO</t>
        </is>
      </c>
      <c r="C114" s="846" t="n"/>
      <c r="D114" s="846" t="n"/>
      <c r="E114" s="846" t="n"/>
      <c r="F114" s="847" t="n"/>
      <c r="G114" s="851" t="inlineStr">
        <is>
          <t>JANEIRO</t>
        </is>
      </c>
      <c r="H114" s="846" t="n"/>
      <c r="I114" s="846" t="n"/>
      <c r="J114" s="846" t="n"/>
      <c r="K114" s="846" t="n"/>
      <c r="L114" s="847" t="n"/>
      <c r="M114" s="851" t="inlineStr">
        <is>
          <t>FEVEREIRO</t>
        </is>
      </c>
      <c r="N114" s="846" t="n"/>
      <c r="O114" s="846" t="n"/>
      <c r="P114" s="846" t="n"/>
      <c r="Q114" s="847" t="n"/>
      <c r="R114" s="851" t="inlineStr">
        <is>
          <t>MARÇO</t>
        </is>
      </c>
      <c r="S114" s="846" t="n"/>
      <c r="T114" s="846" t="n"/>
      <c r="U114" s="846" t="n"/>
      <c r="V114" s="847" t="n"/>
    </row>
    <row r="115" ht="15.75" customHeight="1">
      <c r="A115" s="848" t="n"/>
      <c r="B115" s="123" t="n">
        <v>44900</v>
      </c>
      <c r="C115" s="123" t="n">
        <v>44907</v>
      </c>
      <c r="D115" s="123" t="n">
        <v>44914</v>
      </c>
      <c r="E115" s="123" t="n">
        <v>44921</v>
      </c>
      <c r="F115" s="124" t="inlineStr">
        <is>
          <t>USOU</t>
        </is>
      </c>
      <c r="G115" s="123" t="n">
        <v>44563</v>
      </c>
      <c r="H115" s="123" t="n">
        <v>44570</v>
      </c>
      <c r="I115" s="123" t="n">
        <v>44577</v>
      </c>
      <c r="J115" s="123" t="n">
        <v>44584</v>
      </c>
      <c r="K115" s="123" t="n">
        <v>44591</v>
      </c>
      <c r="L115" s="124" t="inlineStr">
        <is>
          <t>USOU</t>
        </is>
      </c>
      <c r="M115" s="123" t="n">
        <v>44598</v>
      </c>
      <c r="N115" s="123" t="n">
        <v>44605</v>
      </c>
      <c r="O115" s="123" t="n">
        <v>44612</v>
      </c>
      <c r="P115" s="123" t="n">
        <v>44619</v>
      </c>
      <c r="Q115" s="124" t="inlineStr">
        <is>
          <t>USOU</t>
        </is>
      </c>
      <c r="R115" s="123" t="n">
        <v>44626</v>
      </c>
      <c r="S115" s="123" t="n">
        <v>44633</v>
      </c>
      <c r="T115" s="123" t="n">
        <v>44640</v>
      </c>
      <c r="U115" s="123" t="n">
        <v>44647</v>
      </c>
      <c r="V115" s="124" t="inlineStr">
        <is>
          <t>USOU</t>
        </is>
      </c>
    </row>
    <row r="116" ht="15.75" customHeight="1">
      <c r="A116" s="119" t="inlineStr">
        <is>
          <t>SACOLA PP NATAL</t>
        </is>
      </c>
      <c r="B116" s="115" t="n">
        <v>600</v>
      </c>
      <c r="C116" s="115" t="n">
        <v>300</v>
      </c>
      <c r="D116" s="115" t="n">
        <v>0</v>
      </c>
      <c r="E116" s="115" t="n">
        <v>300</v>
      </c>
      <c r="F116" s="125">
        <f>B116+C116+D116+E116</f>
        <v/>
      </c>
      <c r="G116" s="115" t="n">
        <v>0</v>
      </c>
      <c r="H116" s="115" t="n">
        <v>0</v>
      </c>
      <c r="I116" s="115" t="n">
        <v>0</v>
      </c>
      <c r="J116" s="115" t="n">
        <v>0</v>
      </c>
      <c r="K116" s="115" t="n">
        <v>0</v>
      </c>
      <c r="L116" s="125">
        <f>G116+H116+I116+J116+K116</f>
        <v/>
      </c>
      <c r="M116" s="115" t="n">
        <v>0</v>
      </c>
      <c r="N116" s="115" t="n">
        <v>0</v>
      </c>
      <c r="O116" s="115" t="n">
        <v>0</v>
      </c>
      <c r="P116" s="115" t="n">
        <v>0</v>
      </c>
      <c r="Q116" s="125">
        <f>M116+N116+O116+P116</f>
        <v/>
      </c>
      <c r="R116" s="115" t="n">
        <v>0</v>
      </c>
      <c r="S116" s="115" t="n">
        <v>0</v>
      </c>
      <c r="T116" s="115" t="n">
        <v>0</v>
      </c>
      <c r="U116" s="115" t="n"/>
      <c r="V116" s="125" t="n"/>
    </row>
    <row r="117" ht="15.75" customHeight="1">
      <c r="A117" s="118" t="inlineStr">
        <is>
          <t>SACOLA P NATAL</t>
        </is>
      </c>
      <c r="B117" s="115" t="n">
        <v>1200</v>
      </c>
      <c r="C117" s="115" t="n">
        <v>0</v>
      </c>
      <c r="D117" s="115" t="n">
        <v>0</v>
      </c>
      <c r="E117" s="115" t="n">
        <v>400</v>
      </c>
      <c r="F117" s="125">
        <f>B117+C117+D117+E117</f>
        <v/>
      </c>
      <c r="G117" s="115" t="n">
        <v>0</v>
      </c>
      <c r="H117" s="115" t="n">
        <v>0</v>
      </c>
      <c r="I117" s="115" t="n">
        <v>0</v>
      </c>
      <c r="J117" s="115" t="n">
        <v>0</v>
      </c>
      <c r="K117" s="115" t="n">
        <v>0</v>
      </c>
      <c r="L117" s="125">
        <f>G117+H117+I117+J117+K117</f>
        <v/>
      </c>
      <c r="M117" s="115" t="n">
        <v>0</v>
      </c>
      <c r="N117" s="115" t="n">
        <v>0</v>
      </c>
      <c r="O117" s="115" t="n">
        <v>0</v>
      </c>
      <c r="P117" s="115" t="n">
        <v>0</v>
      </c>
      <c r="Q117" s="125">
        <f>M117+N117+O117+P117</f>
        <v/>
      </c>
      <c r="R117" s="115" t="n">
        <v>0</v>
      </c>
      <c r="S117" s="115" t="n">
        <v>0</v>
      </c>
      <c r="T117" s="115" t="n">
        <v>0</v>
      </c>
      <c r="U117" s="115" t="n"/>
      <c r="V117" s="125" t="n"/>
    </row>
    <row r="118" ht="15.75" customHeight="1">
      <c r="A118" s="118" t="inlineStr">
        <is>
          <t>SACOLA M NATAL</t>
        </is>
      </c>
      <c r="B118" s="115" t="n">
        <v>600</v>
      </c>
      <c r="C118" s="115" t="n">
        <v>300</v>
      </c>
      <c r="D118" s="115" t="n">
        <v>300</v>
      </c>
      <c r="E118" s="115" t="n">
        <v>600</v>
      </c>
      <c r="F118" s="125">
        <f>B118+C118+D118+E118</f>
        <v/>
      </c>
      <c r="G118" s="115" t="n">
        <v>0</v>
      </c>
      <c r="H118" s="115" t="n">
        <v>0</v>
      </c>
      <c r="I118" s="115" t="n">
        <v>0</v>
      </c>
      <c r="J118" s="115" t="n">
        <v>0</v>
      </c>
      <c r="K118" s="115" t="n">
        <v>0</v>
      </c>
      <c r="L118" s="125">
        <f>G118+H118+I118+J118+K118</f>
        <v/>
      </c>
      <c r="M118" s="115" t="n">
        <v>0</v>
      </c>
      <c r="N118" s="115" t="n">
        <v>0</v>
      </c>
      <c r="O118" s="115" t="n">
        <v>0</v>
      </c>
      <c r="P118" s="115" t="n">
        <v>0</v>
      </c>
      <c r="Q118" s="125">
        <f>M118+N118+O118+P118</f>
        <v/>
      </c>
      <c r="R118" s="115" t="n">
        <v>0</v>
      </c>
      <c r="S118" s="115" t="n">
        <v>0</v>
      </c>
      <c r="T118" s="115" t="n">
        <v>0</v>
      </c>
      <c r="U118" s="115" t="n"/>
      <c r="V118" s="125" t="n"/>
    </row>
    <row r="119" ht="15.75" customHeight="1">
      <c r="A119" s="118" t="inlineStr">
        <is>
          <t>SACOLA G NATAL</t>
        </is>
      </c>
      <c r="B119" s="115" t="n">
        <v>0</v>
      </c>
      <c r="C119" s="115" t="n">
        <v>300</v>
      </c>
      <c r="D119" s="115" t="n">
        <v>400</v>
      </c>
      <c r="E119" s="115" t="n">
        <v>200</v>
      </c>
      <c r="F119" s="125">
        <f>B119+C119+D119+E119</f>
        <v/>
      </c>
      <c r="G119" s="115" t="n">
        <v>200</v>
      </c>
      <c r="H119" s="115" t="n">
        <v>0</v>
      </c>
      <c r="I119" s="115" t="n">
        <v>100</v>
      </c>
      <c r="J119" s="115" t="n">
        <v>300</v>
      </c>
      <c r="K119" s="115" t="n">
        <v>0</v>
      </c>
      <c r="L119" s="125">
        <f>G119+H119+I119+J119+K119</f>
        <v/>
      </c>
      <c r="M119" s="115" t="n">
        <v>0</v>
      </c>
      <c r="N119" s="115" t="n">
        <v>517</v>
      </c>
      <c r="O119" s="115" t="n">
        <v>300</v>
      </c>
      <c r="P119" s="115" t="n">
        <v>100</v>
      </c>
      <c r="Q119" s="125">
        <f>M119+N119+O119+P119</f>
        <v/>
      </c>
      <c r="R119" s="115" t="n">
        <v>200</v>
      </c>
      <c r="S119" s="115" t="n">
        <v>100</v>
      </c>
      <c r="T119" s="115" t="n">
        <v>100</v>
      </c>
      <c r="U119" s="115" t="n"/>
      <c r="V119" s="125" t="n"/>
    </row>
    <row r="120" ht="15.75" customHeight="1">
      <c r="A120" s="117" t="inlineStr">
        <is>
          <t>CARTUCHO P NATAL/2022</t>
        </is>
      </c>
      <c r="B120" s="115" t="n">
        <v>45</v>
      </c>
      <c r="C120" s="115" t="n">
        <v>62</v>
      </c>
      <c r="D120" s="115" t="n">
        <v>101</v>
      </c>
      <c r="E120" s="115" t="n">
        <v>90</v>
      </c>
      <c r="F120" s="125">
        <f>B120+C120+D120+E120</f>
        <v/>
      </c>
      <c r="G120" s="115" t="n">
        <v>0</v>
      </c>
      <c r="H120" s="115" t="n">
        <v>2</v>
      </c>
      <c r="I120" s="115" t="n">
        <v>1</v>
      </c>
      <c r="J120" s="115" t="n">
        <v>6</v>
      </c>
      <c r="K120" s="115" t="n">
        <v>10</v>
      </c>
      <c r="L120" s="125">
        <f>G120+H120+I120+J120+K120</f>
        <v/>
      </c>
      <c r="M120" s="115" t="n">
        <v>0</v>
      </c>
      <c r="N120" s="115" t="n">
        <v>0</v>
      </c>
      <c r="O120" s="115" t="n">
        <v>3</v>
      </c>
      <c r="P120" s="115" t="n">
        <v>4</v>
      </c>
      <c r="Q120" s="125">
        <f>M120+N120+O120+P120</f>
        <v/>
      </c>
      <c r="R120" s="115" t="n">
        <v>0</v>
      </c>
      <c r="S120" s="115" t="n">
        <v>5</v>
      </c>
      <c r="T120" s="115" t="n">
        <v>12</v>
      </c>
      <c r="U120" s="115" t="n"/>
      <c r="V120" s="125" t="n"/>
    </row>
    <row r="121" ht="15.75" customHeight="1">
      <c r="A121" s="116" t="inlineStr">
        <is>
          <t>CARTUCHO M NATAL/2022</t>
        </is>
      </c>
      <c r="B121" s="115" t="n">
        <v>76</v>
      </c>
      <c r="C121" s="115" t="n">
        <v>51</v>
      </c>
      <c r="D121" s="115" t="n">
        <v>61</v>
      </c>
      <c r="E121" s="115" t="n">
        <v>46</v>
      </c>
      <c r="F121" s="125">
        <f>B121+C121+D121+E121</f>
        <v/>
      </c>
      <c r="G121" s="115" t="n">
        <v>13</v>
      </c>
      <c r="H121" s="115" t="n">
        <v>0</v>
      </c>
      <c r="I121" s="115" t="n">
        <v>0</v>
      </c>
      <c r="J121" s="115" t="n">
        <v>0</v>
      </c>
      <c r="K121" s="115" t="n">
        <v>3</v>
      </c>
      <c r="L121" s="125">
        <f>G121+H121+I121+J121+K121</f>
        <v/>
      </c>
      <c r="M121" s="115" t="n">
        <v>0</v>
      </c>
      <c r="N121" s="115" t="n">
        <v>0</v>
      </c>
      <c r="O121" s="115" t="n">
        <v>0</v>
      </c>
      <c r="P121" s="115" t="n">
        <v>0</v>
      </c>
      <c r="Q121" s="125">
        <f>M121+N121+O121+P121</f>
        <v/>
      </c>
      <c r="R121" s="115" t="n">
        <v>0</v>
      </c>
      <c r="S121" s="115" t="n">
        <v>0</v>
      </c>
      <c r="T121" s="115" t="n">
        <v>0</v>
      </c>
      <c r="U121" s="115" t="n"/>
      <c r="V121" s="125" t="n"/>
    </row>
    <row r="122" ht="15.75" customHeight="1">
      <c r="A122" s="116" t="inlineStr">
        <is>
          <t>TAG NATAL/2022</t>
        </is>
      </c>
      <c r="B122" s="115" t="n">
        <v>4</v>
      </c>
      <c r="C122" s="115" t="n">
        <v>1</v>
      </c>
      <c r="D122" s="115" t="n">
        <v>4</v>
      </c>
      <c r="E122" s="115" t="n">
        <v>8</v>
      </c>
      <c r="F122" s="125">
        <f>B122+C122+D122+E122</f>
        <v/>
      </c>
      <c r="G122" s="115" t="n">
        <v>0</v>
      </c>
      <c r="H122" s="115" t="n">
        <v>0</v>
      </c>
      <c r="I122" s="115" t="n">
        <v>0</v>
      </c>
      <c r="J122" s="115" t="n">
        <v>0</v>
      </c>
      <c r="K122" s="115" t="n">
        <v>0</v>
      </c>
      <c r="L122" s="125">
        <f>G122+H122+I122+J122+K122</f>
        <v/>
      </c>
      <c r="M122" s="115" t="n">
        <v>0</v>
      </c>
      <c r="N122" s="115" t="n">
        <v>0</v>
      </c>
      <c r="O122" s="115" t="n">
        <v>0</v>
      </c>
      <c r="P122" s="115" t="n">
        <v>0</v>
      </c>
      <c r="Q122" s="125">
        <f>M122+N122+O122+P122</f>
        <v/>
      </c>
      <c r="R122" s="115" t="n">
        <v>0</v>
      </c>
      <c r="S122" s="115" t="n">
        <v>0</v>
      </c>
      <c r="T122" s="115" t="n">
        <v>0</v>
      </c>
      <c r="U122" s="115" t="n"/>
      <c r="V122" s="125" t="n"/>
    </row>
    <row r="123" ht="15.75" customHeight="1">
      <c r="A123" s="116" t="inlineStr">
        <is>
          <t>PAPEL DE SEDA NATAL/2022</t>
        </is>
      </c>
      <c r="B123" s="115" t="n">
        <v>0</v>
      </c>
      <c r="C123" s="115" t="n">
        <v>0</v>
      </c>
      <c r="D123" s="115" t="n">
        <v>0</v>
      </c>
      <c r="E123" s="115" t="n">
        <v>0</v>
      </c>
      <c r="F123" s="125">
        <f>B123+C123+D123+E123</f>
        <v/>
      </c>
      <c r="G123" s="115" t="n">
        <v>0</v>
      </c>
      <c r="H123" s="115" t="n">
        <v>0</v>
      </c>
      <c r="I123" s="115" t="n">
        <v>0</v>
      </c>
      <c r="J123" s="115" t="n">
        <v>0</v>
      </c>
      <c r="K123" s="115" t="n">
        <v>0</v>
      </c>
      <c r="L123" s="125">
        <f>G123+H123+I123+J123+K123</f>
        <v/>
      </c>
      <c r="M123" s="115" t="n">
        <v>0</v>
      </c>
      <c r="N123" s="115" t="n">
        <v>0</v>
      </c>
      <c r="O123" s="115" t="n">
        <v>0</v>
      </c>
      <c r="P123" s="115" t="n">
        <v>0</v>
      </c>
      <c r="Q123" s="125">
        <f>M123+N123+O123+P123</f>
        <v/>
      </c>
      <c r="R123" s="115" t="n">
        <v>0</v>
      </c>
      <c r="S123" s="115" t="n">
        <v>0</v>
      </c>
      <c r="T123" s="115" t="n">
        <v>0</v>
      </c>
      <c r="U123" s="115" t="n"/>
      <c r="V123" s="125" t="n"/>
    </row>
    <row r="124" ht="15.75" customHeight="1">
      <c r="A124" s="116" t="inlineStr">
        <is>
          <t>KIT PAPEL DE SEDA NATAL/2022</t>
        </is>
      </c>
      <c r="B124" s="115" t="n">
        <v>18</v>
      </c>
      <c r="C124" s="115" t="n">
        <v>12</v>
      </c>
      <c r="D124" s="115" t="n">
        <v>1</v>
      </c>
      <c r="E124" s="115" t="n">
        <v>10</v>
      </c>
      <c r="F124" s="125">
        <f>B124+C124+D124+E124</f>
        <v/>
      </c>
      <c r="G124" s="115" t="n">
        <v>0</v>
      </c>
      <c r="H124" s="115" t="n">
        <v>0</v>
      </c>
      <c r="I124" s="115" t="n">
        <v>0</v>
      </c>
      <c r="J124" s="115" t="n">
        <v>0</v>
      </c>
      <c r="K124" s="115" t="n">
        <v>0</v>
      </c>
      <c r="L124" s="125">
        <f>G124+H124+I124+J124+K124</f>
        <v/>
      </c>
      <c r="M124" s="115" t="n">
        <v>0</v>
      </c>
      <c r="N124" s="115" t="n">
        <v>0</v>
      </c>
      <c r="O124" s="115" t="n">
        <v>0</v>
      </c>
      <c r="P124" s="115" t="n">
        <v>0</v>
      </c>
      <c r="Q124" s="125">
        <f>M124+N124+O124+P124</f>
        <v/>
      </c>
      <c r="R124" s="115" t="n">
        <v>0</v>
      </c>
      <c r="S124" s="115" t="n">
        <v>0</v>
      </c>
      <c r="T124" s="115" t="n">
        <v>0</v>
      </c>
      <c r="U124" s="115" t="n"/>
      <c r="V124" s="125" t="n"/>
    </row>
    <row r="125" ht="15.75" customHeight="1">
      <c r="A125" s="130" t="inlineStr">
        <is>
          <t>KIT DE TAG NATAL/2021</t>
        </is>
      </c>
      <c r="B125" s="115" t="n">
        <v>10</v>
      </c>
      <c r="C125" s="115" t="n">
        <v>5</v>
      </c>
      <c r="D125" s="115" t="n">
        <v>1</v>
      </c>
      <c r="E125" s="115" t="n">
        <v>25</v>
      </c>
      <c r="F125" s="125">
        <f>B125+C125+D125+E125</f>
        <v/>
      </c>
      <c r="G125" s="115" t="n">
        <v>0</v>
      </c>
      <c r="H125" s="115" t="n">
        <v>0</v>
      </c>
      <c r="I125" s="115" t="n">
        <v>0</v>
      </c>
      <c r="J125" s="115" t="n">
        <v>0</v>
      </c>
      <c r="K125" s="115" t="n">
        <v>0</v>
      </c>
      <c r="L125" s="125">
        <f>G125+H125+I125+J125+K125</f>
        <v/>
      </c>
      <c r="M125" s="115" t="n">
        <v>0</v>
      </c>
      <c r="N125" s="115" t="n">
        <v>0</v>
      </c>
      <c r="O125" s="115" t="n">
        <v>0</v>
      </c>
      <c r="P125" s="115" t="n">
        <v>0</v>
      </c>
      <c r="Q125" s="125">
        <f>M125+N125+O125+P125</f>
        <v/>
      </c>
      <c r="R125" s="115" t="n">
        <v>0</v>
      </c>
      <c r="S125" s="115" t="n">
        <v>0</v>
      </c>
      <c r="T125" s="115" t="n">
        <v>0</v>
      </c>
      <c r="U125" s="115" t="n"/>
      <c r="V125" s="125" t="n"/>
    </row>
    <row r="126" ht="15.75" customHeight="1">
      <c r="A126" s="127" t="inlineStr">
        <is>
          <t>TOTAL DE SACOLAS</t>
        </is>
      </c>
      <c r="B126" s="126">
        <f>SUM(B116:B119)</f>
        <v/>
      </c>
      <c r="C126" s="126">
        <f>SUM(C116:C119)</f>
        <v/>
      </c>
      <c r="D126" s="126">
        <f>SUM(D116:D119)</f>
        <v/>
      </c>
      <c r="E126" s="126">
        <f>SUM(E116:E119)</f>
        <v/>
      </c>
      <c r="F126" s="126">
        <f>SUM(F116:F119)</f>
        <v/>
      </c>
      <c r="G126" s="126">
        <f>SUM(G116:G120)</f>
        <v/>
      </c>
      <c r="H126" s="126">
        <f>SUM(H116:H120)</f>
        <v/>
      </c>
      <c r="I126" s="126">
        <f>SUM(I116:I120)</f>
        <v/>
      </c>
      <c r="J126" s="126">
        <f>SUM(J116:J120)</f>
        <v/>
      </c>
      <c r="K126" s="126">
        <f>SUM(K116:K120)</f>
        <v/>
      </c>
      <c r="L126" s="126">
        <f>SUM(L116:L120)</f>
        <v/>
      </c>
      <c r="M126" s="126">
        <f>SUM(M116:M120)</f>
        <v/>
      </c>
      <c r="N126" s="126">
        <f>SUM(N116:N120)</f>
        <v/>
      </c>
      <c r="O126" s="126">
        <f>SUM(O116:O120)</f>
        <v/>
      </c>
      <c r="P126" s="126">
        <f>SUM(P116:P120)</f>
        <v/>
      </c>
      <c r="Q126" s="126">
        <f>SUM(Q116:Q120)</f>
        <v/>
      </c>
      <c r="R126" s="126">
        <f>SUM(R116:R120)</f>
        <v/>
      </c>
      <c r="S126" s="126">
        <f>SUM(S116:S120)</f>
        <v/>
      </c>
      <c r="T126" s="126">
        <f>SUM(T116:T120)</f>
        <v/>
      </c>
      <c r="U126" s="126">
        <f>SUM(U116:U120)</f>
        <v/>
      </c>
      <c r="V126" s="126">
        <f>SUM(V116:V120)</f>
        <v/>
      </c>
    </row>
  </sheetData>
  <mergeCells count="54">
    <mergeCell ref="M58:Q58"/>
    <mergeCell ref="A71:V71"/>
    <mergeCell ref="B16:F16"/>
    <mergeCell ref="B100:F100"/>
    <mergeCell ref="A85:V85"/>
    <mergeCell ref="R44:V44"/>
    <mergeCell ref="B72:F72"/>
    <mergeCell ref="M114:Q114"/>
    <mergeCell ref="M44:Q44"/>
    <mergeCell ref="A16:A17"/>
    <mergeCell ref="A30:A31"/>
    <mergeCell ref="A29:V29"/>
    <mergeCell ref="B58:F58"/>
    <mergeCell ref="A43:V43"/>
    <mergeCell ref="G30:L30"/>
    <mergeCell ref="M2:Q2"/>
    <mergeCell ref="B2:F2"/>
    <mergeCell ref="R16:V16"/>
    <mergeCell ref="G58:L58"/>
    <mergeCell ref="R30:V30"/>
    <mergeCell ref="B86:F86"/>
    <mergeCell ref="A86:A87"/>
    <mergeCell ref="G114:L114"/>
    <mergeCell ref="A2:A3"/>
    <mergeCell ref="A113:V113"/>
    <mergeCell ref="A15:V15"/>
    <mergeCell ref="R114:V114"/>
    <mergeCell ref="G100:L100"/>
    <mergeCell ref="B44:F44"/>
    <mergeCell ref="M16:Q16"/>
    <mergeCell ref="G16:L16"/>
    <mergeCell ref="M30:Q30"/>
    <mergeCell ref="R86:V86"/>
    <mergeCell ref="A100:A101"/>
    <mergeCell ref="A1:V1"/>
    <mergeCell ref="G44:L44"/>
    <mergeCell ref="M86:Q86"/>
    <mergeCell ref="R100:V100"/>
    <mergeCell ref="A72:A73"/>
    <mergeCell ref="G72:L72"/>
    <mergeCell ref="A44:A45"/>
    <mergeCell ref="G86:L86"/>
    <mergeCell ref="B30:F30"/>
    <mergeCell ref="A99:V99"/>
    <mergeCell ref="G2:L2"/>
    <mergeCell ref="M100:Q100"/>
    <mergeCell ref="R72:V72"/>
    <mergeCell ref="B114:F114"/>
    <mergeCell ref="M72:Q72"/>
    <mergeCell ref="R2:V2"/>
    <mergeCell ref="A58:A59"/>
    <mergeCell ref="R58:V58"/>
    <mergeCell ref="A57:V57"/>
    <mergeCell ref="A114:A115"/>
  </mergeCells>
  <pageMargins left="0.511811024" right="0.511811024" top="0.787401575" bottom="0.787401575" header="0.31496062" footer="0.31496062"/>
</worksheet>
</file>

<file path=xl/worksheets/sheet28.xml><?xml version="1.0" encoding="utf-8"?>
<worksheet xmlns="http://schemas.openxmlformats.org/spreadsheetml/2006/main">
  <sheetPr codeName="Planilha12">
    <tabColor rgb="FFFF0000"/>
    <outlinePr summaryBelow="1" summaryRight="1"/>
    <pageSetUpPr/>
  </sheetPr>
  <dimension ref="A1:K89"/>
  <sheetViews>
    <sheetView topLeftCell="A34" zoomScale="85" zoomScaleNormal="85" workbookViewId="0">
      <selection activeCell="H17" sqref="H17"/>
    </sheetView>
  </sheetViews>
  <sheetFormatPr baseColWidth="8" defaultRowHeight="15"/>
  <cols>
    <col width="29" customWidth="1" min="1" max="1"/>
    <col width="7.85546875" bestFit="1" customWidth="1" min="7" max="7"/>
    <col width="15.5703125" customWidth="1" min="10" max="10"/>
    <col width="10.28515625" customWidth="1" min="11" max="11"/>
    <col width="17.5703125" bestFit="1" customWidth="1" min="16" max="16"/>
    <col width="14.42578125" bestFit="1" customWidth="1" min="17" max="17"/>
  </cols>
  <sheetData>
    <row r="1" ht="18" customHeight="1">
      <c r="A1" s="592" t="inlineStr">
        <is>
          <t>GASTO DE SACOLAS E ITENS DOADOS NAMORADOS/2025 - MENSAIS</t>
        </is>
      </c>
      <c r="B1" s="731" t="n"/>
      <c r="C1" s="731" t="n"/>
      <c r="D1" s="731" t="n"/>
      <c r="E1" s="731" t="n"/>
      <c r="F1" s="731" t="n"/>
      <c r="G1" s="731" t="n"/>
      <c r="H1" s="731" t="n"/>
      <c r="I1" s="731" t="n"/>
      <c r="J1" s="731" t="n"/>
      <c r="K1" s="775" t="n"/>
    </row>
    <row r="2" ht="18" customHeight="1">
      <c r="A2" s="592" t="inlineStr">
        <is>
          <t>BAURU SHOPPING</t>
        </is>
      </c>
      <c r="B2" s="592" t="inlineStr">
        <is>
          <t>MAIO</t>
        </is>
      </c>
      <c r="C2" s="852" t="inlineStr">
        <is>
          <t>JUNHO</t>
        </is>
      </c>
      <c r="D2" s="782" t="n"/>
      <c r="E2" s="782" t="n"/>
      <c r="F2" s="782" t="n"/>
      <c r="G2" s="782" t="n"/>
      <c r="H2" s="782" t="n"/>
      <c r="I2" s="853" t="n"/>
      <c r="J2" s="596" t="inlineStr">
        <is>
          <t>USOU ATÉ NAMORADOS</t>
        </is>
      </c>
      <c r="K2" s="596" t="inlineStr">
        <is>
          <t>TOTAL GERAL</t>
        </is>
      </c>
    </row>
    <row r="3" ht="22.5" customHeight="1">
      <c r="A3" s="745" t="n"/>
      <c r="B3" s="360" t="n">
        <v>45803</v>
      </c>
      <c r="C3" s="596" t="inlineStr">
        <is>
          <t>USOU</t>
        </is>
      </c>
      <c r="D3" s="360" t="n">
        <v>45810</v>
      </c>
      <c r="E3" s="360" t="n">
        <v>45817</v>
      </c>
      <c r="F3" s="360" t="n">
        <v>45824</v>
      </c>
      <c r="G3" s="360" t="n">
        <v>45831</v>
      </c>
      <c r="H3" s="360" t="n">
        <v>45838</v>
      </c>
      <c r="I3" s="596" t="inlineStr">
        <is>
          <t>USOU</t>
        </is>
      </c>
      <c r="J3" s="745" t="n"/>
      <c r="K3" s="745" t="n"/>
    </row>
    <row r="4" ht="15.75" customHeight="1">
      <c r="A4" s="204" t="inlineStr">
        <is>
          <t>SACOLA M</t>
        </is>
      </c>
      <c r="B4" s="395" t="n">
        <v>0</v>
      </c>
      <c r="C4" s="206">
        <f>B4</f>
        <v/>
      </c>
      <c r="D4" s="205" t="n">
        <v>400</v>
      </c>
      <c r="E4" s="205" t="n">
        <v>280</v>
      </c>
      <c r="F4" s="205" t="n">
        <v>120</v>
      </c>
      <c r="G4" s="205" t="n">
        <v>0</v>
      </c>
      <c r="H4" s="205" t="n">
        <v>0</v>
      </c>
      <c r="I4" s="206">
        <f>D4+E4+F4+G4+H4</f>
        <v/>
      </c>
      <c r="J4" s="361">
        <f>B4+D4+E4+F4</f>
        <v/>
      </c>
      <c r="K4" s="215">
        <f>I4</f>
        <v/>
      </c>
    </row>
    <row r="5" ht="15.75" customHeight="1">
      <c r="A5" s="204" t="inlineStr">
        <is>
          <t>SACOLA G</t>
        </is>
      </c>
      <c r="B5" s="395" t="n">
        <v>0</v>
      </c>
      <c r="C5" s="206">
        <f>B5</f>
        <v/>
      </c>
      <c r="D5" s="115" t="n">
        <v>0</v>
      </c>
      <c r="E5" s="115" t="n">
        <v>0</v>
      </c>
      <c r="F5" s="205" t="n">
        <v>0</v>
      </c>
      <c r="G5" s="205" t="n">
        <v>0</v>
      </c>
      <c r="H5" s="205" t="n">
        <v>0</v>
      </c>
      <c r="I5" s="206">
        <f>D5+E5+F5+G5+H5</f>
        <v/>
      </c>
      <c r="J5" s="361">
        <f>B5+D5+E5+F5</f>
        <v/>
      </c>
      <c r="K5" s="215">
        <f>I5</f>
        <v/>
      </c>
    </row>
    <row r="6" ht="15.75" customHeight="1">
      <c r="A6" s="134" t="inlineStr">
        <is>
          <t>PAPEL DE SEDA</t>
        </is>
      </c>
      <c r="B6" s="396" t="n">
        <v>0</v>
      </c>
      <c r="C6" s="206">
        <f>B6</f>
        <v/>
      </c>
      <c r="D6" s="115" t="n">
        <v>3</v>
      </c>
      <c r="E6" s="115" t="n">
        <v>2</v>
      </c>
      <c r="F6" s="205" t="n">
        <v>0</v>
      </c>
      <c r="G6" s="205" t="n">
        <v>0</v>
      </c>
      <c r="H6" s="205" t="n">
        <v>0</v>
      </c>
      <c r="I6" s="206">
        <f>D6+E6+F6+G6+H6</f>
        <v/>
      </c>
      <c r="J6" s="361">
        <f>B6+D6+E6+F6</f>
        <v/>
      </c>
      <c r="K6" s="215">
        <f>I6</f>
        <v/>
      </c>
    </row>
    <row r="7" ht="15.75" customHeight="1">
      <c r="A7" s="134" t="inlineStr">
        <is>
          <t xml:space="preserve">TAGS </t>
        </is>
      </c>
      <c r="B7" s="396" t="n">
        <v>0</v>
      </c>
      <c r="C7" s="206">
        <f>B7</f>
        <v/>
      </c>
      <c r="D7" s="115" t="n">
        <v>1</v>
      </c>
      <c r="E7" s="115" t="n">
        <v>0</v>
      </c>
      <c r="F7" s="205" t="n">
        <v>1</v>
      </c>
      <c r="G7" s="205" t="n">
        <v>0</v>
      </c>
      <c r="H7" s="205" t="n">
        <v>0</v>
      </c>
      <c r="I7" s="206">
        <f>D7+E7+F7+G7+H7</f>
        <v/>
      </c>
      <c r="J7" s="361">
        <f>B7+D7+E7+F7</f>
        <v/>
      </c>
      <c r="K7" s="215">
        <f>I7</f>
        <v/>
      </c>
    </row>
    <row r="8" ht="15.75" customHeight="1">
      <c r="A8" s="127" t="inlineStr">
        <is>
          <t>TOTAL DE SACOLAS</t>
        </is>
      </c>
      <c r="B8" s="362">
        <f>B4+B5</f>
        <v/>
      </c>
      <c r="C8" s="126">
        <f>C4+C5</f>
        <v/>
      </c>
      <c r="D8" s="126">
        <f>D4+D5</f>
        <v/>
      </c>
      <c r="E8" s="126">
        <f>E4+E5</f>
        <v/>
      </c>
      <c r="F8" s="126">
        <f>F4+F5</f>
        <v/>
      </c>
      <c r="G8" s="126">
        <f>G4+G5</f>
        <v/>
      </c>
      <c r="H8" s="126">
        <f>H4+H5</f>
        <v/>
      </c>
      <c r="I8" s="126">
        <f>I4+I5</f>
        <v/>
      </c>
      <c r="J8" s="215">
        <f>J4+J5</f>
        <v/>
      </c>
      <c r="K8" s="215">
        <f>K4+K5</f>
        <v/>
      </c>
    </row>
    <row r="10" ht="15.75" customHeight="1">
      <c r="A10" s="592" t="inlineStr">
        <is>
          <t>GASTO DE SACOLAS E ITENS DOADOS NAMORADOS/2025 - MENSAIS</t>
        </is>
      </c>
      <c r="B10" s="731" t="n"/>
      <c r="C10" s="731" t="n"/>
      <c r="D10" s="731" t="n"/>
      <c r="E10" s="731" t="n"/>
      <c r="F10" s="731" t="n"/>
      <c r="G10" s="731" t="n"/>
      <c r="H10" s="731" t="n"/>
      <c r="I10" s="731" t="n"/>
      <c r="J10" s="731" t="n"/>
      <c r="K10" s="775" t="n"/>
    </row>
    <row r="11" ht="15.75" customHeight="1">
      <c r="A11" s="592" t="inlineStr">
        <is>
          <t>SHOPPING NAÇÕES</t>
        </is>
      </c>
      <c r="B11" s="592" t="inlineStr">
        <is>
          <t>MAIO</t>
        </is>
      </c>
      <c r="C11" s="852" t="inlineStr">
        <is>
          <t>JUNHO</t>
        </is>
      </c>
      <c r="D11" s="782" t="n"/>
      <c r="E11" s="782" t="n"/>
      <c r="F11" s="782" t="n"/>
      <c r="G11" s="782" t="n"/>
      <c r="H11" s="782" t="n"/>
      <c r="I11" s="853" t="n"/>
      <c r="J11" s="596" t="inlineStr">
        <is>
          <t>USOU ATÉ NAMORADOS</t>
        </is>
      </c>
      <c r="K11" s="596" t="inlineStr">
        <is>
          <t>TOTAL GERAL</t>
        </is>
      </c>
    </row>
    <row r="12" ht="15.75" customHeight="1">
      <c r="A12" s="745" t="n"/>
      <c r="B12" s="360" t="n">
        <v>45803</v>
      </c>
      <c r="C12" s="596" t="inlineStr">
        <is>
          <t>USOU</t>
        </is>
      </c>
      <c r="D12" s="360" t="n">
        <v>45810</v>
      </c>
      <c r="E12" s="360" t="n">
        <v>45817</v>
      </c>
      <c r="F12" s="360" t="n">
        <v>45824</v>
      </c>
      <c r="G12" s="360" t="n">
        <v>45831</v>
      </c>
      <c r="H12" s="360" t="n">
        <v>45838</v>
      </c>
      <c r="I12" s="596" t="inlineStr">
        <is>
          <t>USOU</t>
        </is>
      </c>
      <c r="J12" s="745" t="n"/>
      <c r="K12" s="745" t="n"/>
    </row>
    <row r="13" ht="18" customHeight="1">
      <c r="A13" s="204" t="inlineStr">
        <is>
          <t>SACOLA M</t>
        </is>
      </c>
      <c r="B13" s="395" t="n">
        <v>10</v>
      </c>
      <c r="C13" s="206">
        <f>B13</f>
        <v/>
      </c>
      <c r="D13" s="205" t="n">
        <v>160</v>
      </c>
      <c r="E13" s="205" t="n">
        <v>360</v>
      </c>
      <c r="F13" s="205" t="n">
        <v>350</v>
      </c>
      <c r="G13" s="205" t="n">
        <v>120</v>
      </c>
      <c r="H13" s="205" t="n">
        <v>0</v>
      </c>
      <c r="I13" s="206">
        <f>D13+E13+F13+G13+H13</f>
        <v/>
      </c>
      <c r="J13" s="361">
        <f>B13+D13+E13+F13</f>
        <v/>
      </c>
      <c r="K13" s="215">
        <f>I13</f>
        <v/>
      </c>
    </row>
    <row r="14" ht="18" customHeight="1">
      <c r="A14" s="204" t="inlineStr">
        <is>
          <t>SACOLA G</t>
        </is>
      </c>
      <c r="B14" s="395" t="n">
        <v>0</v>
      </c>
      <c r="C14" s="206">
        <f>B14</f>
        <v/>
      </c>
      <c r="D14" s="115" t="n">
        <v>0</v>
      </c>
      <c r="E14" s="115" t="n">
        <v>0</v>
      </c>
      <c r="F14" s="205" t="n">
        <v>0</v>
      </c>
      <c r="G14" s="205" t="n">
        <v>0</v>
      </c>
      <c r="H14" s="205" t="n">
        <v>0</v>
      </c>
      <c r="I14" s="206">
        <f>D14+E14+F14+G14+H14</f>
        <v/>
      </c>
      <c r="J14" s="361">
        <f>B14+D14+E14+F14</f>
        <v/>
      </c>
      <c r="K14" s="215">
        <f>I14</f>
        <v/>
      </c>
    </row>
    <row r="15" ht="15.75" customHeight="1">
      <c r="A15" s="134" t="inlineStr">
        <is>
          <t>PAPEL DE SEDA</t>
        </is>
      </c>
      <c r="B15" s="396" t="n">
        <v>0</v>
      </c>
      <c r="C15" s="206">
        <f>B15</f>
        <v/>
      </c>
      <c r="D15" s="115" t="n">
        <v>2</v>
      </c>
      <c r="E15" s="115" t="n">
        <v>2</v>
      </c>
      <c r="F15" s="205" t="n">
        <v>1</v>
      </c>
      <c r="G15" s="205" t="n">
        <v>1</v>
      </c>
      <c r="H15" s="205" t="n">
        <v>0</v>
      </c>
      <c r="I15" s="206">
        <f>D15+E15+F15+G15+H15</f>
        <v/>
      </c>
      <c r="J15" s="361">
        <f>B15+D15+E15+F15</f>
        <v/>
      </c>
      <c r="K15" s="215">
        <f>I15</f>
        <v/>
      </c>
    </row>
    <row r="16" ht="15.75" customHeight="1">
      <c r="A16" s="134" t="inlineStr">
        <is>
          <t xml:space="preserve">TAGS </t>
        </is>
      </c>
      <c r="B16" s="396" t="n">
        <v>0</v>
      </c>
      <c r="C16" s="206">
        <f>B16</f>
        <v/>
      </c>
      <c r="D16" s="115" t="n">
        <v>1</v>
      </c>
      <c r="E16" s="115" t="n">
        <v>0</v>
      </c>
      <c r="F16" s="205" t="n">
        <v>1</v>
      </c>
      <c r="G16" s="205" t="n">
        <v>1</v>
      </c>
      <c r="H16" s="205" t="n">
        <v>0</v>
      </c>
      <c r="I16" s="206">
        <f>D16+E16+F16+G16+H16</f>
        <v/>
      </c>
      <c r="J16" s="361">
        <f>B16+D16+E16+F16</f>
        <v/>
      </c>
      <c r="K16" s="215">
        <f>I16</f>
        <v/>
      </c>
    </row>
    <row r="17" ht="15.75" customHeight="1">
      <c r="A17" s="127" t="inlineStr">
        <is>
          <t>TOTAL DE SACOLAS</t>
        </is>
      </c>
      <c r="B17" s="362">
        <f>B13+B14</f>
        <v/>
      </c>
      <c r="C17" s="126">
        <f>C13+C14</f>
        <v/>
      </c>
      <c r="D17" s="126">
        <f>D13+D14</f>
        <v/>
      </c>
      <c r="E17" s="126">
        <f>E13+E14</f>
        <v/>
      </c>
      <c r="F17" s="126">
        <f>F13+F14</f>
        <v/>
      </c>
      <c r="G17" s="126">
        <f>G13+G14</f>
        <v/>
      </c>
      <c r="H17" s="126">
        <f>H13+H14</f>
        <v/>
      </c>
      <c r="I17" s="126">
        <f>I13+I14</f>
        <v/>
      </c>
      <c r="J17" s="215">
        <f>J13+J14</f>
        <v/>
      </c>
      <c r="K17" s="215">
        <f>K13+K14</f>
        <v/>
      </c>
    </row>
    <row r="19" ht="15.75" customHeight="1">
      <c r="A19" s="592" t="inlineStr">
        <is>
          <t>GASTO DE SACOLAS E ITENS DOADOS NAMORADOS/2025 - MENSAIS</t>
        </is>
      </c>
      <c r="B19" s="731" t="n"/>
      <c r="C19" s="731" t="n"/>
      <c r="D19" s="731" t="n"/>
      <c r="E19" s="731" t="n"/>
      <c r="F19" s="731" t="n"/>
      <c r="G19" s="731" t="n"/>
      <c r="H19" s="731" t="n"/>
      <c r="I19" s="731" t="n"/>
      <c r="J19" s="731" t="n"/>
      <c r="K19" s="775" t="n"/>
    </row>
    <row r="20" ht="15.75" customHeight="1">
      <c r="A20" s="592" t="inlineStr">
        <is>
          <t>TAUSTE RIO</t>
        </is>
      </c>
      <c r="B20" s="592" t="inlineStr">
        <is>
          <t>MAIO</t>
        </is>
      </c>
      <c r="C20" s="852" t="inlineStr">
        <is>
          <t>JUNHO</t>
        </is>
      </c>
      <c r="D20" s="782" t="n"/>
      <c r="E20" s="782" t="n"/>
      <c r="F20" s="782" t="n"/>
      <c r="G20" s="782" t="n"/>
      <c r="H20" s="782" t="n"/>
      <c r="I20" s="853" t="n"/>
      <c r="J20" s="596" t="inlineStr">
        <is>
          <t>USOU ATÉ NAMORADOS</t>
        </is>
      </c>
      <c r="K20" s="596" t="inlineStr">
        <is>
          <t>TOTAL GERAL</t>
        </is>
      </c>
    </row>
    <row r="21" ht="15.75" customHeight="1">
      <c r="A21" s="745" t="n"/>
      <c r="B21" s="360" t="n">
        <v>45803</v>
      </c>
      <c r="C21" s="596" t="inlineStr">
        <is>
          <t>USOU</t>
        </is>
      </c>
      <c r="D21" s="360" t="n">
        <v>45810</v>
      </c>
      <c r="E21" s="360" t="n">
        <v>45817</v>
      </c>
      <c r="F21" s="360" t="n">
        <v>45824</v>
      </c>
      <c r="G21" s="360" t="n">
        <v>45831</v>
      </c>
      <c r="H21" s="360" t="n">
        <v>45838</v>
      </c>
      <c r="I21" s="596" t="inlineStr">
        <is>
          <t>USOU</t>
        </is>
      </c>
      <c r="J21" s="745" t="n"/>
      <c r="K21" s="745" t="n"/>
    </row>
    <row r="22" ht="15.75" customHeight="1">
      <c r="A22" s="204" t="inlineStr">
        <is>
          <t>SACOLA M</t>
        </is>
      </c>
      <c r="B22" s="395" t="n">
        <v>0</v>
      </c>
      <c r="C22" s="206">
        <f>B22</f>
        <v/>
      </c>
      <c r="D22" s="205" t="n">
        <v>240</v>
      </c>
      <c r="E22" s="205" t="n">
        <v>160</v>
      </c>
      <c r="F22" s="205" t="n">
        <v>80</v>
      </c>
      <c r="G22" s="205" t="n">
        <v>120</v>
      </c>
      <c r="H22" s="205" t="n">
        <v>0</v>
      </c>
      <c r="I22" s="206">
        <f>D22+E22+F22+G22+H22</f>
        <v/>
      </c>
      <c r="J22" s="361">
        <f>B22+D22+E22+F22</f>
        <v/>
      </c>
      <c r="K22" s="215">
        <f>I22</f>
        <v/>
      </c>
    </row>
    <row r="23" ht="15.75" customHeight="1">
      <c r="A23" s="204" t="inlineStr">
        <is>
          <t>SACOLA G</t>
        </is>
      </c>
      <c r="B23" s="395" t="n">
        <v>0</v>
      </c>
      <c r="C23" s="206">
        <f>B23</f>
        <v/>
      </c>
      <c r="D23" s="115" t="n">
        <v>0</v>
      </c>
      <c r="E23" s="115" t="n">
        <v>0</v>
      </c>
      <c r="F23" s="205" t="n">
        <v>0</v>
      </c>
      <c r="G23" s="205" t="n">
        <v>0</v>
      </c>
      <c r="H23" s="205" t="n">
        <v>0</v>
      </c>
      <c r="I23" s="206">
        <f>D23+E23+F23+G23+H23</f>
        <v/>
      </c>
      <c r="J23" s="361">
        <f>B23+D23+E23+F23</f>
        <v/>
      </c>
      <c r="K23" s="215">
        <f>I23</f>
        <v/>
      </c>
    </row>
    <row r="24" ht="15.75" customHeight="1">
      <c r="A24" s="134" t="inlineStr">
        <is>
          <t>PAPEL DE SEDA</t>
        </is>
      </c>
      <c r="B24" s="396" t="n">
        <v>0</v>
      </c>
      <c r="C24" s="206">
        <f>B24</f>
        <v/>
      </c>
      <c r="D24" s="115" t="n">
        <v>1</v>
      </c>
      <c r="E24" s="115" t="n">
        <v>0</v>
      </c>
      <c r="F24" s="205" t="n">
        <v>1</v>
      </c>
      <c r="G24" s="205" t="n">
        <v>0</v>
      </c>
      <c r="H24" s="205" t="n">
        <v>0</v>
      </c>
      <c r="I24" s="206">
        <f>D24+E24+F24+G24+H24</f>
        <v/>
      </c>
      <c r="J24" s="361">
        <f>B24+D24+E24+F24</f>
        <v/>
      </c>
      <c r="K24" s="215">
        <f>I24</f>
        <v/>
      </c>
    </row>
    <row r="25" ht="15.75" customHeight="1">
      <c r="A25" s="134" t="inlineStr">
        <is>
          <t xml:space="preserve">TAGS </t>
        </is>
      </c>
      <c r="B25" s="396" t="n">
        <v>0</v>
      </c>
      <c r="C25" s="206">
        <f>B25</f>
        <v/>
      </c>
      <c r="D25" s="115" t="n">
        <v>1</v>
      </c>
      <c r="E25" s="115" t="n">
        <v>0</v>
      </c>
      <c r="F25" s="205" t="n">
        <v>0</v>
      </c>
      <c r="G25" s="205" t="n">
        <v>0</v>
      </c>
      <c r="H25" s="205" t="n">
        <v>0</v>
      </c>
      <c r="I25" s="206">
        <f>D25+E25+F25+G25+H25</f>
        <v/>
      </c>
      <c r="J25" s="361">
        <f>B25+D25+E25+F25</f>
        <v/>
      </c>
      <c r="K25" s="215">
        <f>I25</f>
        <v/>
      </c>
    </row>
    <row r="26" ht="15.75" customHeight="1">
      <c r="A26" s="127" t="inlineStr">
        <is>
          <t>TOTAL DE SACOLAS</t>
        </is>
      </c>
      <c r="B26" s="362">
        <f>B22+B23</f>
        <v/>
      </c>
      <c r="C26" s="126">
        <f>C22+C23</f>
        <v/>
      </c>
      <c r="D26" s="126">
        <f>D22+D23</f>
        <v/>
      </c>
      <c r="E26" s="126">
        <f>E22+E23</f>
        <v/>
      </c>
      <c r="F26" s="126">
        <f>F22+F23</f>
        <v/>
      </c>
      <c r="G26" s="126">
        <f>G22+G23</f>
        <v/>
      </c>
      <c r="H26" s="126">
        <f>H22+H23</f>
        <v/>
      </c>
      <c r="I26" s="126">
        <f>I22+I23</f>
        <v/>
      </c>
      <c r="J26" s="215">
        <f>J22+J23</f>
        <v/>
      </c>
      <c r="K26" s="215">
        <f>K22+K23</f>
        <v/>
      </c>
    </row>
    <row r="28" ht="15.75" customHeight="1">
      <c r="A28" s="592" t="inlineStr">
        <is>
          <t>GASTO DE SACOLAS E ITENS DOADOS NAMORADOS/2025 - MENSAIS</t>
        </is>
      </c>
      <c r="B28" s="731" t="n"/>
      <c r="C28" s="731" t="n"/>
      <c r="D28" s="731" t="n"/>
      <c r="E28" s="731" t="n"/>
      <c r="F28" s="731" t="n"/>
      <c r="G28" s="731" t="n"/>
      <c r="H28" s="731" t="n"/>
      <c r="I28" s="731" t="n"/>
      <c r="J28" s="731" t="n"/>
      <c r="K28" s="775" t="n"/>
    </row>
    <row r="29" ht="15.75" customHeight="1">
      <c r="A29" s="592" t="inlineStr">
        <is>
          <t>TAUSTE DUQUE</t>
        </is>
      </c>
      <c r="B29" s="592" t="inlineStr">
        <is>
          <t>MAIO</t>
        </is>
      </c>
      <c r="C29" s="852" t="inlineStr">
        <is>
          <t>JUNHO</t>
        </is>
      </c>
      <c r="D29" s="782" t="n"/>
      <c r="E29" s="782" t="n"/>
      <c r="F29" s="782" t="n"/>
      <c r="G29" s="782" t="n"/>
      <c r="H29" s="782" t="n"/>
      <c r="I29" s="853" t="n"/>
      <c r="J29" s="596" t="inlineStr">
        <is>
          <t>USOU ATÉ NAMORADOS</t>
        </is>
      </c>
      <c r="K29" s="596" t="inlineStr">
        <is>
          <t>TOTAL GERAL</t>
        </is>
      </c>
    </row>
    <row r="30" ht="15.75" customHeight="1">
      <c r="A30" s="745" t="n"/>
      <c r="B30" s="360" t="n">
        <v>45803</v>
      </c>
      <c r="C30" s="596" t="inlineStr">
        <is>
          <t>USOU</t>
        </is>
      </c>
      <c r="D30" s="360" t="n">
        <v>45810</v>
      </c>
      <c r="E30" s="360" t="n">
        <v>45817</v>
      </c>
      <c r="F30" s="360" t="n">
        <v>45824</v>
      </c>
      <c r="G30" s="360" t="n">
        <v>45831</v>
      </c>
      <c r="H30" s="360" t="n">
        <v>45838</v>
      </c>
      <c r="I30" s="596" t="inlineStr">
        <is>
          <t>USOU</t>
        </is>
      </c>
      <c r="J30" s="745" t="n"/>
      <c r="K30" s="745" t="n"/>
    </row>
    <row r="31" ht="15.75" customHeight="1">
      <c r="A31" s="204" t="inlineStr">
        <is>
          <t>SACOLA M</t>
        </is>
      </c>
      <c r="B31" s="395" t="n">
        <v>140</v>
      </c>
      <c r="C31" s="206">
        <f>B31</f>
        <v/>
      </c>
      <c r="D31" s="205" t="n">
        <v>180</v>
      </c>
      <c r="E31" s="205" t="n">
        <v>140</v>
      </c>
      <c r="F31" s="205" t="n"/>
      <c r="G31" s="205" t="n"/>
      <c r="H31" s="205" t="n"/>
      <c r="I31" s="206">
        <f>D31+E31+F31+G31+H31</f>
        <v/>
      </c>
      <c r="J31" s="361">
        <f>B31+D31+E31+F31</f>
        <v/>
      </c>
      <c r="K31" s="215">
        <f>I31</f>
        <v/>
      </c>
    </row>
    <row r="32" ht="15.75" customHeight="1">
      <c r="A32" s="204" t="inlineStr">
        <is>
          <t>SACOLA G</t>
        </is>
      </c>
      <c r="B32" s="395" t="n">
        <v>0</v>
      </c>
      <c r="C32" s="206">
        <f>B32</f>
        <v/>
      </c>
      <c r="D32" s="115" t="n">
        <v>0</v>
      </c>
      <c r="E32" s="115" t="n">
        <v>0</v>
      </c>
      <c r="F32" s="205" t="n"/>
      <c r="G32" s="205" t="n"/>
      <c r="H32" s="205" t="n"/>
      <c r="I32" s="206">
        <f>D32+E32+F32+G32+H32</f>
        <v/>
      </c>
      <c r="J32" s="361">
        <f>B32+D32+E32+F32</f>
        <v/>
      </c>
      <c r="K32" s="215">
        <f>I32</f>
        <v/>
      </c>
    </row>
    <row r="33" ht="15.75" customHeight="1">
      <c r="A33" s="134" t="inlineStr">
        <is>
          <t>PAPEL DE SEDA</t>
        </is>
      </c>
      <c r="B33" s="396" t="n">
        <v>1</v>
      </c>
      <c r="C33" s="206">
        <f>B33</f>
        <v/>
      </c>
      <c r="D33" s="115" t="n">
        <v>0</v>
      </c>
      <c r="E33" s="115" t="n">
        <v>1</v>
      </c>
      <c r="F33" s="205" t="n"/>
      <c r="G33" s="205" t="n"/>
      <c r="H33" s="205" t="n"/>
      <c r="I33" s="206">
        <f>D33+E33+F33+G33+H33</f>
        <v/>
      </c>
      <c r="J33" s="361">
        <f>B33+D33+E33+F33</f>
        <v/>
      </c>
      <c r="K33" s="215">
        <f>I33</f>
        <v/>
      </c>
    </row>
    <row r="34" ht="15.75" customHeight="1">
      <c r="A34" s="134" t="inlineStr">
        <is>
          <t xml:space="preserve">TAGS </t>
        </is>
      </c>
      <c r="B34" s="396" t="n">
        <v>1</v>
      </c>
      <c r="C34" s="206">
        <f>B34</f>
        <v/>
      </c>
      <c r="D34" s="115" t="n">
        <v>0</v>
      </c>
      <c r="E34" s="115" t="n">
        <v>1</v>
      </c>
      <c r="F34" s="205" t="n"/>
      <c r="G34" s="205" t="n"/>
      <c r="H34" s="205" t="n"/>
      <c r="I34" s="206">
        <f>D34+E34+F34+G34+H34</f>
        <v/>
      </c>
      <c r="J34" s="361">
        <f>B34+D34+E34+F34</f>
        <v/>
      </c>
      <c r="K34" s="215">
        <f>I34</f>
        <v/>
      </c>
    </row>
    <row r="35" ht="15.75" customHeight="1">
      <c r="A35" s="127" t="inlineStr">
        <is>
          <t>TOTAL DE SACOLAS</t>
        </is>
      </c>
      <c r="B35" s="362">
        <f>B31+B32</f>
        <v/>
      </c>
      <c r="C35" s="126">
        <f>C31+C32</f>
        <v/>
      </c>
      <c r="D35" s="126">
        <f>D31+D32</f>
        <v/>
      </c>
      <c r="E35" s="126">
        <f>E31+E32</f>
        <v/>
      </c>
      <c r="F35" s="126">
        <f>F31+F32</f>
        <v/>
      </c>
      <c r="G35" s="126">
        <f>G31+G32</f>
        <v/>
      </c>
      <c r="H35" s="126">
        <f>H31+H32</f>
        <v/>
      </c>
      <c r="I35" s="126">
        <f>I31+I32</f>
        <v/>
      </c>
      <c r="J35" s="215">
        <f>J31+J32</f>
        <v/>
      </c>
      <c r="K35" s="215">
        <f>K31+K32</f>
        <v/>
      </c>
    </row>
    <row r="37" ht="15.75" customHeight="1">
      <c r="A37" s="592" t="inlineStr">
        <is>
          <t>GASTO DE SACOLAS E ITENS DOADOS NAMORADOS/2025 - MENSAIS</t>
        </is>
      </c>
      <c r="B37" s="731" t="n"/>
      <c r="C37" s="731" t="n"/>
      <c r="D37" s="731" t="n"/>
      <c r="E37" s="731" t="n"/>
      <c r="F37" s="731" t="n"/>
      <c r="G37" s="731" t="n"/>
      <c r="H37" s="731" t="n"/>
      <c r="I37" s="731" t="n"/>
      <c r="J37" s="731" t="n"/>
      <c r="K37" s="775" t="n"/>
    </row>
    <row r="38" ht="15.75" customHeight="1">
      <c r="A38" s="592" t="inlineStr">
        <is>
          <t>GETÚLIO</t>
        </is>
      </c>
      <c r="B38" s="592" t="inlineStr">
        <is>
          <t>MAIO</t>
        </is>
      </c>
      <c r="C38" s="852" t="inlineStr">
        <is>
          <t>JUNHO</t>
        </is>
      </c>
      <c r="D38" s="782" t="n"/>
      <c r="E38" s="782" t="n"/>
      <c r="F38" s="782" t="n"/>
      <c r="G38" s="782" t="n"/>
      <c r="H38" s="782" t="n"/>
      <c r="I38" s="853" t="n"/>
      <c r="J38" s="596" t="inlineStr">
        <is>
          <t>USOU ATÉ NAMORADOS</t>
        </is>
      </c>
      <c r="K38" s="596" t="inlineStr">
        <is>
          <t>TOTAL GERAL</t>
        </is>
      </c>
    </row>
    <row r="39" ht="15.75" customHeight="1">
      <c r="A39" s="745" t="n"/>
      <c r="B39" s="360" t="n">
        <v>45803</v>
      </c>
      <c r="C39" s="596" t="inlineStr">
        <is>
          <t>USOU</t>
        </is>
      </c>
      <c r="D39" s="360" t="n">
        <v>45810</v>
      </c>
      <c r="E39" s="360" t="n">
        <v>45817</v>
      </c>
      <c r="F39" s="360" t="n">
        <v>45824</v>
      </c>
      <c r="G39" s="360" t="n">
        <v>45831</v>
      </c>
      <c r="H39" s="360" t="n">
        <v>45838</v>
      </c>
      <c r="I39" s="596" t="inlineStr">
        <is>
          <t>USOU</t>
        </is>
      </c>
      <c r="J39" s="745" t="n"/>
      <c r="K39" s="745" t="n"/>
    </row>
    <row r="40" ht="15.75" customHeight="1">
      <c r="A40" s="204" t="inlineStr">
        <is>
          <t>SACOLA M</t>
        </is>
      </c>
      <c r="B40" s="395" t="n">
        <v>60</v>
      </c>
      <c r="C40" s="206">
        <f>B40</f>
        <v/>
      </c>
      <c r="D40" s="205" t="n">
        <v>0</v>
      </c>
      <c r="E40" s="205" t="n">
        <v>40</v>
      </c>
      <c r="F40" s="205" t="n">
        <v>180</v>
      </c>
      <c r="G40" s="205" t="n">
        <v>20</v>
      </c>
      <c r="H40" s="205" t="n">
        <v>60</v>
      </c>
      <c r="I40" s="206">
        <f>D40+E40+F40+G40+H40</f>
        <v/>
      </c>
      <c r="J40" s="361">
        <f>B40+D40+E40+F40</f>
        <v/>
      </c>
      <c r="K40" s="215">
        <f>I40</f>
        <v/>
      </c>
    </row>
    <row r="41" ht="15.75" customHeight="1">
      <c r="A41" s="204" t="inlineStr">
        <is>
          <t>SACOLA G</t>
        </is>
      </c>
      <c r="B41" s="395" t="n">
        <v>0</v>
      </c>
      <c r="C41" s="206">
        <f>B41</f>
        <v/>
      </c>
      <c r="D41" s="115" t="n">
        <v>0</v>
      </c>
      <c r="E41" s="115" t="n">
        <v>0</v>
      </c>
      <c r="F41" s="205" t="n">
        <v>0</v>
      </c>
      <c r="G41" s="205" t="n">
        <v>0</v>
      </c>
      <c r="H41" s="205" t="n">
        <v>0</v>
      </c>
      <c r="I41" s="206">
        <f>D41+E41+F41+G41+H41</f>
        <v/>
      </c>
      <c r="J41" s="361">
        <f>B41+D41+E41+F41</f>
        <v/>
      </c>
      <c r="K41" s="215">
        <f>I41</f>
        <v/>
      </c>
    </row>
    <row r="42" ht="15.75" customHeight="1">
      <c r="A42" s="134" t="inlineStr">
        <is>
          <t>PAPEL DE SEDA</t>
        </is>
      </c>
      <c r="B42" s="396" t="n">
        <v>1</v>
      </c>
      <c r="C42" s="206">
        <f>B42</f>
        <v/>
      </c>
      <c r="D42" s="115" t="n">
        <v>0</v>
      </c>
      <c r="E42" s="115" t="n">
        <v>0</v>
      </c>
      <c r="F42" s="205" t="n">
        <v>0</v>
      </c>
      <c r="G42" s="205" t="n">
        <v>0</v>
      </c>
      <c r="H42" s="205" t="n">
        <v>0</v>
      </c>
      <c r="I42" s="206">
        <f>D42+E42+F42+G42+H42</f>
        <v/>
      </c>
      <c r="J42" s="361">
        <f>B42+D42+E42+F42</f>
        <v/>
      </c>
      <c r="K42" s="215">
        <f>I42</f>
        <v/>
      </c>
    </row>
    <row r="43" ht="15.75" customHeight="1">
      <c r="A43" s="134" t="inlineStr">
        <is>
          <t xml:space="preserve">TAGS </t>
        </is>
      </c>
      <c r="B43" s="396" t="n">
        <v>1</v>
      </c>
      <c r="C43" s="206">
        <f>B43</f>
        <v/>
      </c>
      <c r="D43" s="115" t="n">
        <v>0</v>
      </c>
      <c r="E43" s="115" t="n">
        <v>0</v>
      </c>
      <c r="F43" s="205" t="n">
        <v>0</v>
      </c>
      <c r="G43" s="205" t="n">
        <v>0</v>
      </c>
      <c r="H43" s="205" t="n">
        <v>0</v>
      </c>
      <c r="I43" s="206">
        <f>D43+E43+F43+G43+H43</f>
        <v/>
      </c>
      <c r="J43" s="361">
        <f>B43+D43+E43+F43</f>
        <v/>
      </c>
      <c r="K43" s="215">
        <f>I43</f>
        <v/>
      </c>
    </row>
    <row r="44" ht="15.75" customHeight="1">
      <c r="A44" s="127" t="inlineStr">
        <is>
          <t>TOTAL DE SACOLAS</t>
        </is>
      </c>
      <c r="B44" s="362">
        <f>B40+B41</f>
        <v/>
      </c>
      <c r="C44" s="126">
        <f>C40+C41</f>
        <v/>
      </c>
      <c r="D44" s="126">
        <f>D40+D41</f>
        <v/>
      </c>
      <c r="E44" s="126">
        <f>E40+E41</f>
        <v/>
      </c>
      <c r="F44" s="126">
        <f>F40+F41</f>
        <v/>
      </c>
      <c r="G44" s="126">
        <f>G40+G41</f>
        <v/>
      </c>
      <c r="H44" s="126">
        <f>H40+H41</f>
        <v/>
      </c>
      <c r="I44" s="126">
        <f>I40+I41</f>
        <v/>
      </c>
      <c r="J44" s="215">
        <f>J40+J41</f>
        <v/>
      </c>
      <c r="K44" s="215">
        <f>K40+K41</f>
        <v/>
      </c>
    </row>
    <row r="46" ht="15.75" customHeight="1">
      <c r="A46" s="592" t="inlineStr">
        <is>
          <t>GASTO DE SACOLAS E ITENS DOADOS NAMORADOS/2025 - MENSAIS</t>
        </is>
      </c>
      <c r="B46" s="731" t="n"/>
      <c r="C46" s="731" t="n"/>
      <c r="D46" s="731" t="n"/>
      <c r="E46" s="731" t="n"/>
      <c r="F46" s="731" t="n"/>
      <c r="G46" s="731" t="n"/>
      <c r="H46" s="731" t="n"/>
      <c r="I46" s="731" t="n"/>
      <c r="J46" s="731" t="n"/>
      <c r="K46" s="775" t="n"/>
    </row>
    <row r="47" ht="15.75" customHeight="1">
      <c r="A47" s="592" t="inlineStr">
        <is>
          <t>QUADRA 7</t>
        </is>
      </c>
      <c r="B47" s="592" t="inlineStr">
        <is>
          <t>MAIO</t>
        </is>
      </c>
      <c r="C47" s="852" t="inlineStr">
        <is>
          <t>JUNHO</t>
        </is>
      </c>
      <c r="D47" s="782" t="n"/>
      <c r="E47" s="782" t="n"/>
      <c r="F47" s="782" t="n"/>
      <c r="G47" s="782" t="n"/>
      <c r="H47" s="782" t="n"/>
      <c r="I47" s="853" t="n"/>
      <c r="J47" s="596" t="inlineStr">
        <is>
          <t>USOU ATÉ NAMORADOS</t>
        </is>
      </c>
      <c r="K47" s="596" t="inlineStr">
        <is>
          <t>TOTAL GERAL</t>
        </is>
      </c>
    </row>
    <row r="48" ht="15.75" customHeight="1">
      <c r="A48" s="745" t="n"/>
      <c r="B48" s="360" t="n">
        <v>45803</v>
      </c>
      <c r="C48" s="596" t="inlineStr">
        <is>
          <t>USOU</t>
        </is>
      </c>
      <c r="D48" s="360" t="n">
        <v>45810</v>
      </c>
      <c r="E48" s="360" t="n">
        <v>45817</v>
      </c>
      <c r="F48" s="360" t="n">
        <v>45824</v>
      </c>
      <c r="G48" s="360" t="n">
        <v>45831</v>
      </c>
      <c r="H48" s="360" t="n">
        <v>45838</v>
      </c>
      <c r="I48" s="596" t="inlineStr">
        <is>
          <t>USOU</t>
        </is>
      </c>
      <c r="J48" s="745" t="n"/>
      <c r="K48" s="745" t="n"/>
    </row>
    <row r="49" ht="15.75" customHeight="1">
      <c r="A49" s="204" t="inlineStr">
        <is>
          <t>SACOLA M</t>
        </is>
      </c>
      <c r="B49" s="395" t="n">
        <v>0</v>
      </c>
      <c r="C49" s="206">
        <f>B49</f>
        <v/>
      </c>
      <c r="D49" s="205" t="n">
        <v>320</v>
      </c>
      <c r="E49" s="205" t="n">
        <v>140</v>
      </c>
      <c r="F49" s="205" t="n">
        <v>140</v>
      </c>
      <c r="G49" s="205" t="n">
        <v>0</v>
      </c>
      <c r="H49" s="205" t="n">
        <v>0</v>
      </c>
      <c r="I49" s="206">
        <f>D49+E49+F49+G49+H49</f>
        <v/>
      </c>
      <c r="J49" s="361">
        <f>B49+D49+E49+F49</f>
        <v/>
      </c>
      <c r="K49" s="215">
        <f>I49</f>
        <v/>
      </c>
    </row>
    <row r="50" ht="15.75" customHeight="1">
      <c r="A50" s="204" t="inlineStr">
        <is>
          <t>SACOLA G</t>
        </is>
      </c>
      <c r="B50" s="395" t="n">
        <v>0</v>
      </c>
      <c r="C50" s="206">
        <f>B50</f>
        <v/>
      </c>
      <c r="D50" s="115" t="n">
        <v>0</v>
      </c>
      <c r="E50" s="115" t="n">
        <v>0</v>
      </c>
      <c r="F50" s="205" t="n">
        <v>0</v>
      </c>
      <c r="G50" s="205" t="n">
        <v>0</v>
      </c>
      <c r="H50" s="205" t="n">
        <v>0</v>
      </c>
      <c r="I50" s="206">
        <f>D50+E50+F50+G50+H50</f>
        <v/>
      </c>
      <c r="J50" s="361">
        <f>B50+D50+E50+F50</f>
        <v/>
      </c>
      <c r="K50" s="215">
        <f>I50</f>
        <v/>
      </c>
    </row>
    <row r="51" ht="15.75" customHeight="1">
      <c r="A51" s="134" t="inlineStr">
        <is>
          <t>PAPEL DE SEDA</t>
        </is>
      </c>
      <c r="B51" s="396" t="n">
        <v>1</v>
      </c>
      <c r="C51" s="206">
        <f>B51</f>
        <v/>
      </c>
      <c r="D51" s="115" t="n">
        <v>0</v>
      </c>
      <c r="E51" s="115" t="n">
        <v>1</v>
      </c>
      <c r="F51" s="205" t="n">
        <v>0</v>
      </c>
      <c r="G51" s="205" t="n">
        <v>0</v>
      </c>
      <c r="H51" s="205" t="n">
        <v>0</v>
      </c>
      <c r="I51" s="206">
        <f>D51+E51+F51+G51+H51</f>
        <v/>
      </c>
      <c r="J51" s="361">
        <f>B51+D51+E51+F51</f>
        <v/>
      </c>
      <c r="K51" s="215">
        <f>I51</f>
        <v/>
      </c>
    </row>
    <row r="52" ht="15.75" customHeight="1">
      <c r="A52" s="134" t="inlineStr">
        <is>
          <t xml:space="preserve">TAGS </t>
        </is>
      </c>
      <c r="B52" s="396" t="n">
        <v>0</v>
      </c>
      <c r="C52" s="206">
        <f>B52</f>
        <v/>
      </c>
      <c r="D52" s="115" t="n">
        <v>1</v>
      </c>
      <c r="E52" s="115" t="n">
        <v>0</v>
      </c>
      <c r="F52" s="205" t="n">
        <v>1</v>
      </c>
      <c r="G52" s="205" t="n">
        <v>0</v>
      </c>
      <c r="H52" s="205" t="n">
        <v>0</v>
      </c>
      <c r="I52" s="206">
        <f>D52+E52+F52+G52+H52</f>
        <v/>
      </c>
      <c r="J52" s="361">
        <f>B52+D52+E52+F52</f>
        <v/>
      </c>
      <c r="K52" s="215">
        <f>I52</f>
        <v/>
      </c>
    </row>
    <row r="53" ht="15.75" customHeight="1">
      <c r="A53" s="127" t="inlineStr">
        <is>
          <t>TOTAL DE SACOLAS</t>
        </is>
      </c>
      <c r="B53" s="362">
        <f>B49+B50</f>
        <v/>
      </c>
      <c r="C53" s="126">
        <f>C49+C50</f>
        <v/>
      </c>
      <c r="D53" s="126">
        <f>D49+D50</f>
        <v/>
      </c>
      <c r="E53" s="126">
        <f>E49+E50</f>
        <v/>
      </c>
      <c r="F53" s="126">
        <f>F49+F50</f>
        <v/>
      </c>
      <c r="G53" s="126">
        <f>G49+G50</f>
        <v/>
      </c>
      <c r="H53" s="126">
        <f>H49+H50</f>
        <v/>
      </c>
      <c r="I53" s="126">
        <f>I49+I50</f>
        <v/>
      </c>
      <c r="J53" s="215">
        <f>J49+J50</f>
        <v/>
      </c>
      <c r="K53" s="215">
        <f>K49+K50</f>
        <v/>
      </c>
    </row>
    <row r="55" ht="15.75" customHeight="1">
      <c r="A55" s="592" t="inlineStr">
        <is>
          <t>GASTO DE SACOLAS E ITENS DOADOS NAMORADOS/2025 - MENSAIS</t>
        </is>
      </c>
      <c r="B55" s="731" t="n"/>
      <c r="C55" s="731" t="n"/>
      <c r="D55" s="731" t="n"/>
      <c r="E55" s="731" t="n"/>
      <c r="F55" s="731" t="n"/>
      <c r="G55" s="731" t="n"/>
      <c r="H55" s="731" t="n"/>
      <c r="I55" s="731" t="n"/>
      <c r="J55" s="731" t="n"/>
      <c r="K55" s="775" t="n"/>
    </row>
    <row r="56" ht="15.75" customHeight="1">
      <c r="A56" s="592" t="inlineStr">
        <is>
          <t>QUADRA 2</t>
        </is>
      </c>
      <c r="B56" s="592" t="inlineStr">
        <is>
          <t>MAIO</t>
        </is>
      </c>
      <c r="C56" s="852" t="inlineStr">
        <is>
          <t>JUNHO</t>
        </is>
      </c>
      <c r="D56" s="782" t="n"/>
      <c r="E56" s="782" t="n"/>
      <c r="F56" s="782" t="n"/>
      <c r="G56" s="782" t="n"/>
      <c r="H56" s="782" t="n"/>
      <c r="I56" s="853" t="n"/>
      <c r="J56" s="596" t="inlineStr">
        <is>
          <t>USOU ATÉ NAMORADOS</t>
        </is>
      </c>
      <c r="K56" s="596" t="inlineStr">
        <is>
          <t>TOTAL GERAL</t>
        </is>
      </c>
    </row>
    <row r="57" ht="15.75" customHeight="1">
      <c r="A57" s="745" t="n"/>
      <c r="B57" s="360" t="n">
        <v>45803</v>
      </c>
      <c r="C57" s="596" t="inlineStr">
        <is>
          <t>USOU</t>
        </is>
      </c>
      <c r="D57" s="360" t="n">
        <v>45810</v>
      </c>
      <c r="E57" s="360" t="n">
        <v>45817</v>
      </c>
      <c r="F57" s="360" t="n">
        <v>45824</v>
      </c>
      <c r="G57" s="360" t="n">
        <v>45831</v>
      </c>
      <c r="H57" s="360" t="n">
        <v>45838</v>
      </c>
      <c r="I57" s="596" t="inlineStr">
        <is>
          <t>USOU</t>
        </is>
      </c>
      <c r="J57" s="745" t="n"/>
      <c r="K57" s="745" t="n"/>
    </row>
    <row r="58" ht="15.75" customHeight="1">
      <c r="A58" s="204" t="inlineStr">
        <is>
          <t>SACOLA M</t>
        </is>
      </c>
      <c r="B58" s="395" t="n">
        <v>0</v>
      </c>
      <c r="C58" s="206">
        <f>B58</f>
        <v/>
      </c>
      <c r="D58" s="205" t="n">
        <v>80</v>
      </c>
      <c r="E58" s="205" t="n">
        <v>60</v>
      </c>
      <c r="F58" s="205" t="n">
        <v>140</v>
      </c>
      <c r="G58" s="205" t="n">
        <v>100</v>
      </c>
      <c r="H58" s="205" t="n">
        <v>20</v>
      </c>
      <c r="I58" s="206">
        <f>D58+E58+F58+G58+H58</f>
        <v/>
      </c>
      <c r="J58" s="361">
        <f>B58+D58+E58+F58</f>
        <v/>
      </c>
      <c r="K58" s="215">
        <f>I58</f>
        <v/>
      </c>
    </row>
    <row r="59" ht="15.75" customHeight="1">
      <c r="A59" s="204" t="inlineStr">
        <is>
          <t>SACOLA G</t>
        </is>
      </c>
      <c r="B59" s="395" t="n">
        <v>0</v>
      </c>
      <c r="C59" s="206">
        <f>B59</f>
        <v/>
      </c>
      <c r="D59" s="115" t="n">
        <v>0</v>
      </c>
      <c r="E59" s="115" t="n">
        <v>0</v>
      </c>
      <c r="F59" s="205" t="n">
        <v>0</v>
      </c>
      <c r="G59" s="205" t="n">
        <v>0</v>
      </c>
      <c r="H59" s="205" t="n">
        <v>0</v>
      </c>
      <c r="I59" s="206">
        <f>D59+E59+F59+G59+H59</f>
        <v/>
      </c>
      <c r="J59" s="361">
        <f>B59+D59+E59+F59</f>
        <v/>
      </c>
      <c r="K59" s="215">
        <f>I59</f>
        <v/>
      </c>
    </row>
    <row r="60" ht="15.75" customHeight="1">
      <c r="A60" s="134" t="inlineStr">
        <is>
          <t>PAPEL DE SEDA</t>
        </is>
      </c>
      <c r="B60" s="396" t="n">
        <v>0</v>
      </c>
      <c r="C60" s="206">
        <f>B60</f>
        <v/>
      </c>
      <c r="D60" s="115" t="n">
        <v>1</v>
      </c>
      <c r="E60" s="115" t="n">
        <v>0</v>
      </c>
      <c r="F60" s="205" t="n">
        <v>0</v>
      </c>
      <c r="G60" s="205" t="n">
        <v>0</v>
      </c>
      <c r="H60" s="205" t="n">
        <v>0</v>
      </c>
      <c r="I60" s="206">
        <f>D60+E60+F60+G60+H60</f>
        <v/>
      </c>
      <c r="J60" s="361">
        <f>B60+D60+E60+F60</f>
        <v/>
      </c>
      <c r="K60" s="215">
        <f>I60</f>
        <v/>
      </c>
    </row>
    <row r="61" ht="15.75" customHeight="1">
      <c r="A61" s="134" t="inlineStr">
        <is>
          <t xml:space="preserve">TAGS </t>
        </is>
      </c>
      <c r="B61" s="396" t="n">
        <v>0</v>
      </c>
      <c r="C61" s="206">
        <f>B61</f>
        <v/>
      </c>
      <c r="D61" s="115" t="n">
        <v>1</v>
      </c>
      <c r="E61" s="115" t="n">
        <v>0</v>
      </c>
      <c r="F61" s="205" t="n">
        <v>1</v>
      </c>
      <c r="G61" s="205" t="n">
        <v>0</v>
      </c>
      <c r="H61" s="205" t="n">
        <v>0</v>
      </c>
      <c r="I61" s="206">
        <f>D61+E61+F61+G61+H61</f>
        <v/>
      </c>
      <c r="J61" s="361">
        <f>B61+D61+E61+F61</f>
        <v/>
      </c>
      <c r="K61" s="215">
        <f>I61</f>
        <v/>
      </c>
    </row>
    <row r="62" ht="15.75" customHeight="1">
      <c r="A62" s="127" t="inlineStr">
        <is>
          <t>TOTAL DE SACOLAS</t>
        </is>
      </c>
      <c r="B62" s="362">
        <f>B58+B59</f>
        <v/>
      </c>
      <c r="C62" s="126">
        <f>C58+C59</f>
        <v/>
      </c>
      <c r="D62" s="126">
        <f>D58+D59</f>
        <v/>
      </c>
      <c r="E62" s="126">
        <f>E58+E59</f>
        <v/>
      </c>
      <c r="F62" s="126">
        <f>F58+F59</f>
        <v/>
      </c>
      <c r="G62" s="126">
        <f>G58+G59</f>
        <v/>
      </c>
      <c r="H62" s="126">
        <f>H58+H59</f>
        <v/>
      </c>
      <c r="I62" s="126">
        <f>I58+I59</f>
        <v/>
      </c>
      <c r="J62" s="215">
        <f>J58+J59</f>
        <v/>
      </c>
      <c r="K62" s="215">
        <f>K58+K59</f>
        <v/>
      </c>
    </row>
    <row r="64" ht="15.75" customHeight="1">
      <c r="A64" s="592" t="inlineStr">
        <is>
          <t>GASTO DE SACOLAS E ITENS DOADOS NAMORADOS/2025 - MENSAIS</t>
        </is>
      </c>
      <c r="B64" s="731" t="n"/>
      <c r="C64" s="731" t="n"/>
      <c r="D64" s="731" t="n"/>
      <c r="E64" s="731" t="n"/>
      <c r="F64" s="731" t="n"/>
      <c r="G64" s="731" t="n"/>
      <c r="H64" s="731" t="n"/>
      <c r="I64" s="731" t="n"/>
      <c r="J64" s="731" t="n"/>
      <c r="K64" s="775" t="n"/>
    </row>
    <row r="65" ht="15.75" customHeight="1">
      <c r="A65" s="592" t="inlineStr">
        <is>
          <t>MARY DOTA</t>
        </is>
      </c>
      <c r="B65" s="592" t="inlineStr">
        <is>
          <t>MAIO</t>
        </is>
      </c>
      <c r="C65" s="852" t="inlineStr">
        <is>
          <t>JUNHO</t>
        </is>
      </c>
      <c r="D65" s="782" t="n"/>
      <c r="E65" s="782" t="n"/>
      <c r="F65" s="782" t="n"/>
      <c r="G65" s="782" t="n"/>
      <c r="H65" s="782" t="n"/>
      <c r="I65" s="853" t="n"/>
      <c r="J65" s="596" t="inlineStr">
        <is>
          <t>USOU ATÉ NAMORADOS</t>
        </is>
      </c>
      <c r="K65" s="596" t="inlineStr">
        <is>
          <t>TOTAL GERAL</t>
        </is>
      </c>
    </row>
    <row r="66" ht="15.75" customHeight="1">
      <c r="A66" s="745" t="n"/>
      <c r="B66" s="360" t="n">
        <v>45803</v>
      </c>
      <c r="C66" s="596" t="inlineStr">
        <is>
          <t>USOU</t>
        </is>
      </c>
      <c r="D66" s="360" t="n">
        <v>45810</v>
      </c>
      <c r="E66" s="360" t="n">
        <v>45817</v>
      </c>
      <c r="F66" s="360" t="n">
        <v>45824</v>
      </c>
      <c r="G66" s="360" t="n">
        <v>45831</v>
      </c>
      <c r="H66" s="360" t="n">
        <v>45838</v>
      </c>
      <c r="I66" s="596" t="inlineStr">
        <is>
          <t>USOU</t>
        </is>
      </c>
      <c r="J66" s="745" t="n"/>
      <c r="K66" s="745" t="n"/>
    </row>
    <row r="67" ht="15.75" customHeight="1">
      <c r="A67" s="204" t="inlineStr">
        <is>
          <t>SACOLA M</t>
        </is>
      </c>
      <c r="B67" s="395" t="n">
        <v>100</v>
      </c>
      <c r="C67" s="206">
        <f>B67</f>
        <v/>
      </c>
      <c r="D67" s="205" t="n">
        <v>100</v>
      </c>
      <c r="E67" s="205" t="n">
        <v>0</v>
      </c>
      <c r="F67" s="205" t="n">
        <v>0</v>
      </c>
      <c r="G67" s="205" t="n">
        <v>0</v>
      </c>
      <c r="H67" s="205" t="n">
        <v>0</v>
      </c>
      <c r="I67" s="206">
        <f>D67+E67+F67+G67+H67</f>
        <v/>
      </c>
      <c r="J67" s="361">
        <f>B67+D67+E67+F67</f>
        <v/>
      </c>
      <c r="K67" s="215">
        <f>I67</f>
        <v/>
      </c>
    </row>
    <row r="68" ht="15.75" customHeight="1">
      <c r="A68" s="204" t="inlineStr">
        <is>
          <t>SACOLA G</t>
        </is>
      </c>
      <c r="B68" s="395" t="n">
        <v>0</v>
      </c>
      <c r="C68" s="206">
        <f>B68</f>
        <v/>
      </c>
      <c r="D68" s="115" t="n">
        <v>0</v>
      </c>
      <c r="E68" s="115" t="n">
        <v>0</v>
      </c>
      <c r="F68" s="205" t="n">
        <v>0</v>
      </c>
      <c r="G68" s="205" t="n">
        <v>0</v>
      </c>
      <c r="H68" s="205" t="n">
        <v>0</v>
      </c>
      <c r="I68" s="206">
        <f>D68+E68+F68+G68+H68</f>
        <v/>
      </c>
      <c r="J68" s="361">
        <f>B68+D68+E68+F68</f>
        <v/>
      </c>
      <c r="K68" s="215">
        <f>I68</f>
        <v/>
      </c>
    </row>
    <row r="69" ht="15.75" customHeight="1">
      <c r="A69" s="134" t="inlineStr">
        <is>
          <t>PAPEL DE SEDA</t>
        </is>
      </c>
      <c r="B69" s="396" t="n">
        <v>0</v>
      </c>
      <c r="C69" s="206">
        <f>B69</f>
        <v/>
      </c>
      <c r="D69" s="115" t="n">
        <v>1</v>
      </c>
      <c r="E69" s="115" t="n">
        <v>0</v>
      </c>
      <c r="F69" s="205" t="n">
        <v>0</v>
      </c>
      <c r="G69" s="205" t="n">
        <v>0</v>
      </c>
      <c r="H69" s="205" t="n">
        <v>0</v>
      </c>
      <c r="I69" s="206">
        <f>D69+E69+F69+G69+H69</f>
        <v/>
      </c>
      <c r="J69" s="361">
        <f>B69+D69+E69+F69</f>
        <v/>
      </c>
      <c r="K69" s="215">
        <f>I69</f>
        <v/>
      </c>
    </row>
    <row r="70" ht="15.75" customHeight="1">
      <c r="A70" s="134" t="inlineStr">
        <is>
          <t xml:space="preserve">TAGS </t>
        </is>
      </c>
      <c r="B70" s="396" t="n">
        <v>1</v>
      </c>
      <c r="C70" s="206">
        <f>B70</f>
        <v/>
      </c>
      <c r="D70" s="115" t="n">
        <v>0</v>
      </c>
      <c r="E70" s="115" t="n">
        <v>0</v>
      </c>
      <c r="F70" s="205" t="n">
        <v>0</v>
      </c>
      <c r="G70" s="205" t="n">
        <v>0</v>
      </c>
      <c r="H70" s="205" t="n">
        <v>0</v>
      </c>
      <c r="I70" s="206">
        <f>D70+E70+F70+G70+H70</f>
        <v/>
      </c>
      <c r="J70" s="361">
        <f>B70+D70+E70+F70</f>
        <v/>
      </c>
      <c r="K70" s="215">
        <f>I70</f>
        <v/>
      </c>
    </row>
    <row r="71" ht="15.75" customHeight="1">
      <c r="A71" s="127" t="inlineStr">
        <is>
          <t>TOTAL DE SACOLAS</t>
        </is>
      </c>
      <c r="B71" s="362">
        <f>B67+B68</f>
        <v/>
      </c>
      <c r="C71" s="126">
        <f>C67+C68</f>
        <v/>
      </c>
      <c r="D71" s="126">
        <f>D67+D68</f>
        <v/>
      </c>
      <c r="E71" s="126">
        <f>E67+E68</f>
        <v/>
      </c>
      <c r="F71" s="126">
        <f>F67+F68</f>
        <v/>
      </c>
      <c r="G71" s="126">
        <f>G67+G68</f>
        <v/>
      </c>
      <c r="H71" s="126">
        <f>H67+H68</f>
        <v/>
      </c>
      <c r="I71" s="126">
        <f>I67+I68</f>
        <v/>
      </c>
      <c r="J71" s="215">
        <f>J67+J68</f>
        <v/>
      </c>
      <c r="K71" s="215">
        <f>K67+K68</f>
        <v/>
      </c>
    </row>
    <row r="73" ht="15.75" customHeight="1">
      <c r="A73" s="592" t="inlineStr">
        <is>
          <t>GASTO DE SACOLAS E ITENS DOADOS NAMORADOS/2025 - MENSAIS</t>
        </is>
      </c>
      <c r="B73" s="731" t="n"/>
      <c r="C73" s="731" t="n"/>
      <c r="D73" s="731" t="n"/>
      <c r="E73" s="731" t="n"/>
      <c r="F73" s="731" t="n"/>
      <c r="G73" s="731" t="n"/>
      <c r="H73" s="731" t="n"/>
      <c r="I73" s="731" t="n"/>
      <c r="J73" s="731" t="n"/>
      <c r="K73" s="775" t="n"/>
    </row>
    <row r="74" ht="15.75" customHeight="1">
      <c r="A74" s="592" t="inlineStr">
        <is>
          <t>CD BAURU</t>
        </is>
      </c>
      <c r="B74" s="592" t="inlineStr">
        <is>
          <t>MAIO</t>
        </is>
      </c>
      <c r="C74" s="852" t="inlineStr">
        <is>
          <t>JUNHO</t>
        </is>
      </c>
      <c r="D74" s="782" t="n"/>
      <c r="E74" s="782" t="n"/>
      <c r="F74" s="782" t="n"/>
      <c r="G74" s="782" t="n"/>
      <c r="H74" s="782" t="n"/>
      <c r="I74" s="853" t="n"/>
      <c r="J74" s="596" t="inlineStr">
        <is>
          <t>USOU ATÉ NAMORADOS</t>
        </is>
      </c>
      <c r="K74" s="596" t="inlineStr">
        <is>
          <t>TOTAL GERAL</t>
        </is>
      </c>
    </row>
    <row r="75" ht="15.75" customHeight="1">
      <c r="A75" s="745" t="n"/>
      <c r="B75" s="360" t="n">
        <v>45803</v>
      </c>
      <c r="C75" s="596" t="inlineStr">
        <is>
          <t>USOU</t>
        </is>
      </c>
      <c r="D75" s="360" t="n">
        <v>45810</v>
      </c>
      <c r="E75" s="360" t="n">
        <v>45817</v>
      </c>
      <c r="F75" s="360" t="n">
        <v>45824</v>
      </c>
      <c r="G75" s="360" t="n">
        <v>45831</v>
      </c>
      <c r="H75" s="360" t="n">
        <v>45838</v>
      </c>
      <c r="I75" s="596" t="inlineStr">
        <is>
          <t>USOU</t>
        </is>
      </c>
      <c r="J75" s="745" t="n"/>
      <c r="K75" s="745" t="n"/>
    </row>
    <row r="76" ht="15.75" customHeight="1">
      <c r="A76" s="204" t="inlineStr">
        <is>
          <t>SACOLA M</t>
        </is>
      </c>
      <c r="B76" s="395" t="n">
        <v>0</v>
      </c>
      <c r="C76" s="206">
        <f>B76</f>
        <v/>
      </c>
      <c r="D76" s="205" t="n">
        <v>0</v>
      </c>
      <c r="E76" s="205" t="n">
        <v>0</v>
      </c>
      <c r="F76" s="205" t="n">
        <v>0</v>
      </c>
      <c r="G76" s="205" t="n">
        <v>0</v>
      </c>
      <c r="H76" s="205" t="n">
        <v>0</v>
      </c>
      <c r="I76" s="206">
        <f>D76+E76+F76+G76+H76</f>
        <v/>
      </c>
      <c r="J76" s="361">
        <f>B76+D76+E76+F76</f>
        <v/>
      </c>
      <c r="K76" s="215">
        <f>I76</f>
        <v/>
      </c>
    </row>
    <row r="77" ht="15.75" customHeight="1">
      <c r="A77" s="204" t="inlineStr">
        <is>
          <t>SACOLA G</t>
        </is>
      </c>
      <c r="B77" s="395" t="n">
        <v>0</v>
      </c>
      <c r="C77" s="206">
        <f>B77</f>
        <v/>
      </c>
      <c r="D77" s="115" t="n">
        <v>0</v>
      </c>
      <c r="E77" s="115" t="n">
        <v>0</v>
      </c>
      <c r="F77" s="115" t="n">
        <v>0</v>
      </c>
      <c r="G77" s="115" t="n">
        <v>0</v>
      </c>
      <c r="H77" s="115" t="n">
        <v>0</v>
      </c>
      <c r="I77" s="206">
        <f>D77+E77+F77+G77+H77</f>
        <v/>
      </c>
      <c r="J77" s="361">
        <f>B77+D77+E77+F77</f>
        <v/>
      </c>
      <c r="K77" s="215">
        <f>I77</f>
        <v/>
      </c>
    </row>
    <row r="78" ht="15.75" customHeight="1">
      <c r="A78" s="134" t="inlineStr">
        <is>
          <t>PAPEL DE SEDA</t>
        </is>
      </c>
      <c r="B78" s="396" t="n">
        <v>0</v>
      </c>
      <c r="C78" s="206">
        <f>B78</f>
        <v/>
      </c>
      <c r="D78" s="115" t="n">
        <v>0</v>
      </c>
      <c r="E78" s="115" t="n">
        <v>0</v>
      </c>
      <c r="F78" s="115" t="n">
        <v>0</v>
      </c>
      <c r="G78" s="115" t="n">
        <v>0</v>
      </c>
      <c r="H78" s="115" t="n">
        <v>0</v>
      </c>
      <c r="I78" s="206">
        <f>D78+E78+F78+G78+H78</f>
        <v/>
      </c>
      <c r="J78" s="361">
        <f>B78+D78+E78+F78</f>
        <v/>
      </c>
      <c r="K78" s="215">
        <f>I78</f>
        <v/>
      </c>
    </row>
    <row r="79" ht="15.75" customHeight="1">
      <c r="A79" s="134" t="inlineStr">
        <is>
          <t xml:space="preserve">TAGS </t>
        </is>
      </c>
      <c r="B79" s="396" t="n">
        <v>0</v>
      </c>
      <c r="C79" s="206">
        <f>B79</f>
        <v/>
      </c>
      <c r="D79" s="115" t="n">
        <v>0</v>
      </c>
      <c r="E79" s="115" t="n">
        <v>0</v>
      </c>
      <c r="F79" s="115" t="n">
        <v>0</v>
      </c>
      <c r="G79" s="115" t="n">
        <v>0</v>
      </c>
      <c r="H79" s="115" t="n">
        <v>0</v>
      </c>
      <c r="I79" s="206">
        <f>D79+E79+F79+G79+H79</f>
        <v/>
      </c>
      <c r="J79" s="361">
        <f>B79+D79+E79+F79</f>
        <v/>
      </c>
      <c r="K79" s="215">
        <f>I79</f>
        <v/>
      </c>
    </row>
    <row r="80" ht="15.75" customHeight="1">
      <c r="A80" s="127" t="inlineStr">
        <is>
          <t>TOTAL DE SACOLAS</t>
        </is>
      </c>
      <c r="B80" s="362">
        <f>B76+B77</f>
        <v/>
      </c>
      <c r="C80" s="126">
        <f>C76+C77</f>
        <v/>
      </c>
      <c r="D80" s="126">
        <f>D76+D77</f>
        <v/>
      </c>
      <c r="E80" s="126">
        <f>E76+E77</f>
        <v/>
      </c>
      <c r="F80" s="126">
        <f>F76+F77</f>
        <v/>
      </c>
      <c r="G80" s="126">
        <f>G76+G77</f>
        <v/>
      </c>
      <c r="H80" s="126">
        <f>H76+H77</f>
        <v/>
      </c>
      <c r="I80" s="126">
        <f>I76+I77</f>
        <v/>
      </c>
      <c r="J80" s="215">
        <f>J76+J77</f>
        <v/>
      </c>
      <c r="K80" s="215">
        <f>K76+K77</f>
        <v/>
      </c>
    </row>
    <row r="82" ht="15.75" customHeight="1">
      <c r="A82" s="592" t="inlineStr">
        <is>
          <t>GASTO DE SACOLAS E ITENS DOADOS NAMORADOS/2025 - MENSAIS</t>
        </is>
      </c>
      <c r="B82" s="731" t="n"/>
      <c r="C82" s="731" t="n"/>
      <c r="D82" s="731" t="n"/>
      <c r="E82" s="731" t="n"/>
      <c r="F82" s="731" t="n"/>
      <c r="G82" s="731" t="n"/>
      <c r="H82" s="731" t="n"/>
      <c r="I82" s="731" t="n"/>
      <c r="J82" s="731" t="n"/>
      <c r="K82" s="775" t="n"/>
    </row>
    <row r="83" ht="15.75" customHeight="1">
      <c r="A83" s="592" t="inlineStr">
        <is>
          <t>ER BAURU</t>
        </is>
      </c>
      <c r="B83" s="592" t="inlineStr">
        <is>
          <t>MAIO</t>
        </is>
      </c>
      <c r="C83" s="852" t="inlineStr">
        <is>
          <t>JUNHO</t>
        </is>
      </c>
      <c r="D83" s="782" t="n"/>
      <c r="E83" s="782" t="n"/>
      <c r="F83" s="782" t="n"/>
      <c r="G83" s="782" t="n"/>
      <c r="H83" s="782" t="n"/>
      <c r="I83" s="853" t="n"/>
      <c r="J83" s="596" t="inlineStr">
        <is>
          <t>USOU ATÉ NAMORADOS</t>
        </is>
      </c>
      <c r="K83" s="596" t="inlineStr">
        <is>
          <t>TOTAL GERAL</t>
        </is>
      </c>
    </row>
    <row r="84" ht="15.75" customHeight="1">
      <c r="A84" s="745" t="n"/>
      <c r="B84" s="360" t="n">
        <v>45803</v>
      </c>
      <c r="C84" s="596" t="inlineStr">
        <is>
          <t>USOU</t>
        </is>
      </c>
      <c r="D84" s="360" t="n">
        <v>45810</v>
      </c>
      <c r="E84" s="360" t="n">
        <v>45817</v>
      </c>
      <c r="F84" s="360" t="n">
        <v>45824</v>
      </c>
      <c r="G84" s="360" t="n">
        <v>45831</v>
      </c>
      <c r="H84" s="360" t="n">
        <v>45838</v>
      </c>
      <c r="I84" s="596" t="inlineStr">
        <is>
          <t>USOU</t>
        </is>
      </c>
      <c r="J84" s="745" t="n"/>
      <c r="K84" s="745" t="n"/>
    </row>
    <row r="85" ht="15.75" customHeight="1">
      <c r="A85" s="204" t="inlineStr">
        <is>
          <t>SACOLA M</t>
        </is>
      </c>
      <c r="B85" s="395" t="n">
        <v>0</v>
      </c>
      <c r="C85" s="206">
        <f>B85</f>
        <v/>
      </c>
      <c r="D85" s="205" t="n">
        <v>100</v>
      </c>
      <c r="E85" s="205" t="n">
        <v>0</v>
      </c>
      <c r="F85" s="205" t="n">
        <v>0</v>
      </c>
      <c r="G85" s="205" t="n">
        <v>0</v>
      </c>
      <c r="H85" s="205" t="n">
        <v>0</v>
      </c>
      <c r="I85" s="206">
        <f>D85+E85+F85+G85+H85</f>
        <v/>
      </c>
      <c r="J85" s="361">
        <f>B85+D85+E85+F85</f>
        <v/>
      </c>
      <c r="K85" s="215">
        <f>I85</f>
        <v/>
      </c>
    </row>
    <row r="86" ht="15.75" customHeight="1">
      <c r="A86" s="204" t="inlineStr">
        <is>
          <t>SACOLA G</t>
        </is>
      </c>
      <c r="B86" s="395" t="n">
        <v>0</v>
      </c>
      <c r="C86" s="206">
        <f>B86</f>
        <v/>
      </c>
      <c r="D86" s="115" t="n">
        <v>20</v>
      </c>
      <c r="E86" s="115" t="n">
        <v>50</v>
      </c>
      <c r="F86" s="205" t="n">
        <v>0</v>
      </c>
      <c r="G86" s="205" t="n">
        <v>0</v>
      </c>
      <c r="H86" s="205" t="n">
        <v>0</v>
      </c>
      <c r="I86" s="206">
        <f>D86+E86+F86+G86+H86</f>
        <v/>
      </c>
      <c r="J86" s="361">
        <f>B86+D86+E86+F86</f>
        <v/>
      </c>
      <c r="K86" s="215">
        <f>I86</f>
        <v/>
      </c>
    </row>
    <row r="87" ht="15.75" customHeight="1">
      <c r="A87" s="134" t="inlineStr">
        <is>
          <t>PAPEL DE SEDA</t>
        </is>
      </c>
      <c r="B87" s="396" t="n">
        <v>0</v>
      </c>
      <c r="C87" s="206">
        <f>B87</f>
        <v/>
      </c>
      <c r="D87" s="115" t="n">
        <v>0</v>
      </c>
      <c r="E87" s="115" t="n">
        <v>0</v>
      </c>
      <c r="F87" s="205" t="n">
        <v>0</v>
      </c>
      <c r="G87" s="205" t="n">
        <v>0</v>
      </c>
      <c r="H87" s="205" t="n">
        <v>0</v>
      </c>
      <c r="I87" s="206">
        <f>D87+E87+F87+G87+H87</f>
        <v/>
      </c>
      <c r="J87" s="361">
        <f>B87+D87+E87+F87</f>
        <v/>
      </c>
      <c r="K87" s="215">
        <f>I87</f>
        <v/>
      </c>
    </row>
    <row r="88" ht="15.75" customHeight="1">
      <c r="A88" s="134" t="inlineStr">
        <is>
          <t xml:space="preserve">TAGS </t>
        </is>
      </c>
      <c r="B88" s="396" t="n">
        <v>0</v>
      </c>
      <c r="C88" s="206">
        <f>B88</f>
        <v/>
      </c>
      <c r="D88" s="115" t="n">
        <v>0</v>
      </c>
      <c r="E88" s="115" t="n">
        <v>0</v>
      </c>
      <c r="F88" s="205" t="n">
        <v>0</v>
      </c>
      <c r="G88" s="205" t="n">
        <v>0</v>
      </c>
      <c r="H88" s="205" t="n">
        <v>0</v>
      </c>
      <c r="I88" s="206">
        <f>D88+E88+F88+G88+H88</f>
        <v/>
      </c>
      <c r="J88" s="361">
        <f>B88+D88+E88+F88</f>
        <v/>
      </c>
      <c r="K88" s="215">
        <f>I88</f>
        <v/>
      </c>
    </row>
    <row r="89" ht="15.75" customHeight="1">
      <c r="A89" s="127" t="inlineStr">
        <is>
          <t>TOTAL DE SACOLAS</t>
        </is>
      </c>
      <c r="B89" s="362">
        <f>B85+B86</f>
        <v/>
      </c>
      <c r="C89" s="126">
        <f>C85+C86</f>
        <v/>
      </c>
      <c r="D89" s="126">
        <f>D85+D86</f>
        <v/>
      </c>
      <c r="E89" s="126">
        <f>E85+E86</f>
        <v/>
      </c>
      <c r="F89" s="126">
        <f>F85+F86</f>
        <v/>
      </c>
      <c r="G89" s="126">
        <f>G85+G86</f>
        <v/>
      </c>
      <c r="H89" s="126">
        <f>H85+H86</f>
        <v/>
      </c>
      <c r="I89" s="126">
        <f>I85+I86</f>
        <v/>
      </c>
      <c r="J89" s="215">
        <f>J85+J86</f>
        <v/>
      </c>
      <c r="K89" s="215">
        <f>K85+K86</f>
        <v/>
      </c>
    </row>
  </sheetData>
  <mergeCells count="50">
    <mergeCell ref="A64:K64"/>
    <mergeCell ref="A82:K82"/>
    <mergeCell ref="J38:J39"/>
    <mergeCell ref="A73:K73"/>
    <mergeCell ref="J74:J75"/>
    <mergeCell ref="C38:I38"/>
    <mergeCell ref="A1:K1"/>
    <mergeCell ref="J11:J12"/>
    <mergeCell ref="J65:J66"/>
    <mergeCell ref="A65:A66"/>
    <mergeCell ref="J83:J84"/>
    <mergeCell ref="A74:A75"/>
    <mergeCell ref="K11:K12"/>
    <mergeCell ref="A56:A57"/>
    <mergeCell ref="K56:K57"/>
    <mergeCell ref="K47:K48"/>
    <mergeCell ref="C83:I83"/>
    <mergeCell ref="J20:J21"/>
    <mergeCell ref="A46:K46"/>
    <mergeCell ref="A2:A3"/>
    <mergeCell ref="A37:K37"/>
    <mergeCell ref="K2:K3"/>
    <mergeCell ref="C74:I74"/>
    <mergeCell ref="K29:K30"/>
    <mergeCell ref="J56:J57"/>
    <mergeCell ref="A55:K55"/>
    <mergeCell ref="K20:K21"/>
    <mergeCell ref="J47:J48"/>
    <mergeCell ref="A47:A48"/>
    <mergeCell ref="A29:A30"/>
    <mergeCell ref="C20:I20"/>
    <mergeCell ref="A20:A21"/>
    <mergeCell ref="K38:K39"/>
    <mergeCell ref="C47:I47"/>
    <mergeCell ref="C29:I29"/>
    <mergeCell ref="C65:I65"/>
    <mergeCell ref="J2:J3"/>
    <mergeCell ref="A38:A39"/>
    <mergeCell ref="C56:I56"/>
    <mergeCell ref="K65:K66"/>
    <mergeCell ref="K83:K84"/>
    <mergeCell ref="A83:A84"/>
    <mergeCell ref="A19:K19"/>
    <mergeCell ref="K74:K75"/>
    <mergeCell ref="A10:K10"/>
    <mergeCell ref="A28:K28"/>
    <mergeCell ref="C2:I2"/>
    <mergeCell ref="J29:J30"/>
    <mergeCell ref="C11:I11"/>
    <mergeCell ref="A11:A12"/>
  </mergeCells>
  <pageMargins left="0.511811024" right="0.511811024" top="0.787401575" bottom="0.787401575" header="0.31496062" footer="0.31496062"/>
  <pageSetup orientation="portrait" paperSize="9"/>
</worksheet>
</file>

<file path=xl/worksheets/sheet29.xml><?xml version="1.0" encoding="utf-8"?>
<worksheet xmlns="http://schemas.openxmlformats.org/spreadsheetml/2006/main">
  <sheetPr codeName="Planilha14">
    <tabColor rgb="FFFFCCFF"/>
    <outlinePr summaryBelow="1" summaryRight="1"/>
    <pageSetUpPr/>
  </sheetPr>
  <dimension ref="A1:S109"/>
  <sheetViews>
    <sheetView topLeftCell="A73" zoomScaleNormal="100" workbookViewId="0">
      <pane xSplit="1" topLeftCell="J1" activePane="topRight" state="frozen"/>
      <selection pane="topRight" activeCell="N81" sqref="N81:N86"/>
    </sheetView>
  </sheetViews>
  <sheetFormatPr baseColWidth="8" defaultRowHeight="15"/>
  <cols>
    <col width="32.85546875" customWidth="1" min="1" max="1"/>
    <col width="17.5703125" bestFit="1" customWidth="1" min="15" max="16"/>
    <col width="8.140625" customWidth="1" min="17" max="17"/>
    <col width="10.85546875" bestFit="1" customWidth="1" min="19" max="19"/>
  </cols>
  <sheetData>
    <row r="1" ht="18" customHeight="1">
      <c r="A1" s="602" t="inlineStr">
        <is>
          <t>GASTO DE SACOLAS E ITENS DOADOS MÃES/2025 - MENSAIS</t>
        </is>
      </c>
      <c r="B1" s="854" t="n"/>
      <c r="C1" s="854" t="n"/>
      <c r="D1" s="854" t="n"/>
      <c r="E1" s="854" t="n"/>
      <c r="F1" s="854" t="n"/>
      <c r="G1" s="854" t="n"/>
      <c r="H1" s="854" t="n"/>
      <c r="I1" s="854" t="n"/>
      <c r="J1" s="854" t="n"/>
      <c r="K1" s="854" t="n"/>
      <c r="L1" s="854" t="n"/>
      <c r="M1" s="854" t="n"/>
      <c r="N1" s="854" t="n"/>
      <c r="O1" s="854" t="n"/>
      <c r="P1" s="855" t="n"/>
      <c r="R1" s="856" t="inlineStr">
        <is>
          <t>INÍCIO UTILIZAÇÃO</t>
        </is>
      </c>
      <c r="S1" s="775" t="n"/>
    </row>
    <row r="2" ht="15.75" customHeight="1">
      <c r="A2" s="602" t="inlineStr">
        <is>
          <t>BAURU SHOPPING</t>
        </is>
      </c>
      <c r="B2" s="602" t="inlineStr">
        <is>
          <t>MARÇO</t>
        </is>
      </c>
      <c r="C2" s="854" t="n"/>
      <c r="D2" s="855" t="n"/>
      <c r="E2" s="602" t="inlineStr">
        <is>
          <t>ABRIL</t>
        </is>
      </c>
      <c r="F2" s="854" t="n"/>
      <c r="G2" s="854" t="n"/>
      <c r="H2" s="854" t="n"/>
      <c r="I2" s="855" t="n"/>
      <c r="J2" s="602" t="inlineStr">
        <is>
          <t>MAIO</t>
        </is>
      </c>
      <c r="K2" s="854" t="n"/>
      <c r="L2" s="854" t="n"/>
      <c r="M2" s="854" t="n"/>
      <c r="N2" s="855" t="n"/>
      <c r="O2" s="603" t="inlineStr">
        <is>
          <t>USOU ATÉ MÃES</t>
        </is>
      </c>
      <c r="P2" s="603" t="inlineStr">
        <is>
          <t>TOTAL GERAL</t>
        </is>
      </c>
      <c r="R2" s="338" t="inlineStr">
        <is>
          <t>LOJA</t>
        </is>
      </c>
      <c r="S2" s="339" t="n">
        <v>45761</v>
      </c>
    </row>
    <row r="3" ht="15.75" customHeight="1">
      <c r="A3" s="857" t="n"/>
      <c r="B3" s="335" t="n">
        <v>45740</v>
      </c>
      <c r="C3" s="335" t="n">
        <v>45747</v>
      </c>
      <c r="D3" s="603" t="inlineStr">
        <is>
          <t>USOU</t>
        </is>
      </c>
      <c r="E3" s="335" t="n">
        <v>45754</v>
      </c>
      <c r="F3" s="335" t="n">
        <v>45761</v>
      </c>
      <c r="G3" s="335" t="n">
        <v>45768</v>
      </c>
      <c r="H3" s="335" t="n">
        <v>45775</v>
      </c>
      <c r="I3" s="603" t="inlineStr">
        <is>
          <t>USOU</t>
        </is>
      </c>
      <c r="J3" s="335" t="n">
        <v>45782</v>
      </c>
      <c r="K3" s="335" t="n">
        <v>45789</v>
      </c>
      <c r="L3" s="335" t="n">
        <v>45796</v>
      </c>
      <c r="M3" s="335" t="n">
        <v>45803</v>
      </c>
      <c r="N3" s="603" t="inlineStr">
        <is>
          <t>USOU</t>
        </is>
      </c>
      <c r="O3" s="857" t="n"/>
      <c r="P3" s="857" t="n"/>
      <c r="R3" s="338" t="inlineStr">
        <is>
          <t>VD</t>
        </is>
      </c>
      <c r="S3" s="339" t="n">
        <v>45740</v>
      </c>
    </row>
    <row r="4" ht="15.75" customHeight="1">
      <c r="A4" s="204" t="inlineStr">
        <is>
          <t>SACOLA P</t>
        </is>
      </c>
      <c r="B4" s="115" t="n"/>
      <c r="C4" s="115" t="n"/>
      <c r="D4" s="206">
        <f>B4+C4</f>
        <v/>
      </c>
      <c r="E4" s="115" t="n"/>
      <c r="F4" s="115" t="n">
        <v>0</v>
      </c>
      <c r="G4" s="115" t="n">
        <v>800</v>
      </c>
      <c r="H4" s="115" t="n">
        <v>400</v>
      </c>
      <c r="I4" s="206">
        <f>E4+F4+G4+H4</f>
        <v/>
      </c>
      <c r="J4" s="115" t="n">
        <v>800</v>
      </c>
      <c r="K4" s="115" t="n">
        <v>600</v>
      </c>
      <c r="L4" s="115" t="n">
        <v>0</v>
      </c>
      <c r="M4" s="115" t="n">
        <v>0</v>
      </c>
      <c r="N4" s="206">
        <f>J4+K4+L4+M4</f>
        <v/>
      </c>
      <c r="O4" s="231">
        <f>B4+C4+E4+F4+G4+H4+J4+K4</f>
        <v/>
      </c>
      <c r="P4" s="336">
        <f>D4+I4+N4</f>
        <v/>
      </c>
    </row>
    <row r="5" ht="15.75" customHeight="1">
      <c r="A5" s="204" t="inlineStr">
        <is>
          <t>SACOLA M</t>
        </is>
      </c>
      <c r="B5" s="115" t="n"/>
      <c r="C5" s="115" t="n"/>
      <c r="D5" s="206">
        <f>B5+C5</f>
        <v/>
      </c>
      <c r="E5" s="115" t="n"/>
      <c r="F5" s="115" t="n">
        <v>0</v>
      </c>
      <c r="G5" s="115" t="n">
        <v>400</v>
      </c>
      <c r="H5" s="115" t="n">
        <v>0</v>
      </c>
      <c r="I5" s="206">
        <f>E5+F5+G5+H5</f>
        <v/>
      </c>
      <c r="J5" s="115" t="n">
        <v>600</v>
      </c>
      <c r="K5" s="115" t="n">
        <v>400</v>
      </c>
      <c r="L5" s="115" t="n">
        <v>0</v>
      </c>
      <c r="M5" s="115" t="n">
        <v>0</v>
      </c>
      <c r="N5" s="206">
        <f>J5+K5+L5+M5</f>
        <v/>
      </c>
      <c r="O5" s="231">
        <f>B5+C5+E5+F5+G5+H5+J5+K5</f>
        <v/>
      </c>
      <c r="P5" s="336">
        <f>D5+I5+N5</f>
        <v/>
      </c>
    </row>
    <row r="6" ht="15.75" customHeight="1">
      <c r="A6" s="204" t="inlineStr">
        <is>
          <t>SACOLA G</t>
        </is>
      </c>
      <c r="B6" s="115" t="n"/>
      <c r="C6" s="115" t="n"/>
      <c r="D6" s="206">
        <f>B6+C6</f>
        <v/>
      </c>
      <c r="E6" s="115" t="n"/>
      <c r="F6" s="115" t="n">
        <v>0</v>
      </c>
      <c r="G6" s="115" t="n">
        <v>0</v>
      </c>
      <c r="H6" s="115" t="n">
        <v>75</v>
      </c>
      <c r="I6" s="206">
        <f>E6+F6+G6+H6</f>
        <v/>
      </c>
      <c r="J6" s="115" t="n">
        <v>125</v>
      </c>
      <c r="K6" s="115" t="n">
        <v>0</v>
      </c>
      <c r="L6" s="115" t="n">
        <v>0</v>
      </c>
      <c r="M6" s="115" t="n">
        <v>0</v>
      </c>
      <c r="N6" s="206">
        <f>J6+K6+L6+M6</f>
        <v/>
      </c>
      <c r="O6" s="231">
        <f>B6+C6+E6+F6+G6+H6+J6+K6</f>
        <v/>
      </c>
      <c r="P6" s="336">
        <f>D6+I6+N6</f>
        <v/>
      </c>
    </row>
    <row r="7" ht="15.75" customHeight="1">
      <c r="A7" s="134" t="inlineStr">
        <is>
          <t xml:space="preserve">PAPEL DE SEDA </t>
        </is>
      </c>
      <c r="B7" s="115" t="n"/>
      <c r="C7" s="115" t="n"/>
      <c r="D7" s="206">
        <f>B7+C7</f>
        <v/>
      </c>
      <c r="E7" s="115" t="n"/>
      <c r="F7" s="115" t="n">
        <v>0</v>
      </c>
      <c r="G7" s="115" t="n">
        <v>3</v>
      </c>
      <c r="H7" s="115" t="n">
        <v>2</v>
      </c>
      <c r="I7" s="206">
        <f>E7+F7+G7+H7</f>
        <v/>
      </c>
      <c r="J7" s="115" t="n">
        <v>3</v>
      </c>
      <c r="K7" s="115" t="n">
        <v>2</v>
      </c>
      <c r="L7" s="115" t="n">
        <v>0</v>
      </c>
      <c r="M7" s="115" t="n">
        <v>0</v>
      </c>
      <c r="N7" s="206">
        <f>J7+K7+L7+M7</f>
        <v/>
      </c>
      <c r="O7" s="231">
        <f>B7+C7+E7+F7+G7+H7+J7+K7</f>
        <v/>
      </c>
      <c r="P7" s="336">
        <f>D7+I7+N7</f>
        <v/>
      </c>
    </row>
    <row r="8" ht="15.75" customHeight="1">
      <c r="A8" s="134" t="inlineStr">
        <is>
          <t>ADESIVOS</t>
        </is>
      </c>
      <c r="B8" s="115" t="n"/>
      <c r="C8" s="115" t="n"/>
      <c r="D8" s="206">
        <f>B8+C8</f>
        <v/>
      </c>
      <c r="E8" s="115" t="n"/>
      <c r="F8" s="115" t="n">
        <v>0</v>
      </c>
      <c r="G8" s="115" t="n">
        <v>0</v>
      </c>
      <c r="H8" s="115" t="n">
        <v>0</v>
      </c>
      <c r="I8" s="206">
        <f>E8+F8+G8+H8</f>
        <v/>
      </c>
      <c r="J8" s="115" t="n">
        <v>0</v>
      </c>
      <c r="K8" s="115" t="n">
        <v>0</v>
      </c>
      <c r="L8" s="115" t="n">
        <v>0</v>
      </c>
      <c r="M8" s="115" t="n">
        <v>0</v>
      </c>
      <c r="N8" s="206">
        <f>J8+K8+L8+M8</f>
        <v/>
      </c>
      <c r="O8" s="231">
        <f>B8+C8+E8+F8+G8+H8+J8+K8</f>
        <v/>
      </c>
      <c r="P8" s="336">
        <f>D8+I8+N8</f>
        <v/>
      </c>
    </row>
    <row r="9" ht="15.75" customHeight="1">
      <c r="A9" s="134" t="inlineStr">
        <is>
          <t xml:space="preserve">TAGS </t>
        </is>
      </c>
      <c r="B9" s="115" t="n"/>
      <c r="C9" s="115" t="n"/>
      <c r="D9" s="206">
        <f>B9+C9</f>
        <v/>
      </c>
      <c r="E9" s="115" t="n"/>
      <c r="F9" s="115" t="n">
        <v>0</v>
      </c>
      <c r="G9" s="115" t="n">
        <v>1</v>
      </c>
      <c r="H9" s="115" t="n">
        <v>0</v>
      </c>
      <c r="I9" s="206">
        <f>E9+F9+G9+H9</f>
        <v/>
      </c>
      <c r="J9" s="115" t="n">
        <v>2</v>
      </c>
      <c r="K9" s="115" t="n">
        <v>0</v>
      </c>
      <c r="L9" s="115" t="n">
        <v>0</v>
      </c>
      <c r="M9" s="115" t="n">
        <v>0</v>
      </c>
      <c r="N9" s="206">
        <f>J9+K9+L9+M9</f>
        <v/>
      </c>
      <c r="O9" s="231">
        <f>B9+C9+E9+F9+G9+H9+J9+K9</f>
        <v/>
      </c>
      <c r="P9" s="336">
        <f>D9+I9+N9</f>
        <v/>
      </c>
    </row>
    <row r="10" ht="15.75" customHeight="1">
      <c r="A10" s="127" t="inlineStr">
        <is>
          <t>TOTAL DE SACOLAS</t>
        </is>
      </c>
      <c r="B10" s="126">
        <f>B4+B5+B6</f>
        <v/>
      </c>
      <c r="C10" s="126">
        <f>C4+C5+C6</f>
        <v/>
      </c>
      <c r="D10" s="126">
        <f>D4+D5+D6</f>
        <v/>
      </c>
      <c r="E10" s="126">
        <f>E4+E5+E6</f>
        <v/>
      </c>
      <c r="F10" s="126">
        <f>F4+F5+F6</f>
        <v/>
      </c>
      <c r="G10" s="126">
        <f>G4+G5+G6</f>
        <v/>
      </c>
      <c r="H10" s="126">
        <f>H4+H5+H6</f>
        <v/>
      </c>
      <c r="I10" s="126">
        <f>I4+I5+I6</f>
        <v/>
      </c>
      <c r="J10" s="126">
        <f>J4+J5+J6</f>
        <v/>
      </c>
      <c r="K10" s="126">
        <f>K4+K5+K6</f>
        <v/>
      </c>
      <c r="L10" s="126">
        <f>L4+L5+L6</f>
        <v/>
      </c>
      <c r="M10" s="126">
        <f>M4+M5+M6</f>
        <v/>
      </c>
      <c r="N10" s="126">
        <f>N4+N5+N6</f>
        <v/>
      </c>
      <c r="O10" s="337">
        <f>O4+O5+O6</f>
        <v/>
      </c>
      <c r="P10" s="337">
        <f>P4+P5+P6</f>
        <v/>
      </c>
    </row>
    <row r="12" ht="15.75" customHeight="1">
      <c r="A12" s="602" t="inlineStr">
        <is>
          <t>GASTO DE SACOLAS E ITENS DOADOS MÃES/2025 - MENSAIS</t>
        </is>
      </c>
      <c r="B12" s="854" t="n"/>
      <c r="C12" s="854" t="n"/>
      <c r="D12" s="854" t="n"/>
      <c r="E12" s="854" t="n"/>
      <c r="F12" s="854" t="n"/>
      <c r="G12" s="854" t="n"/>
      <c r="H12" s="854" t="n"/>
      <c r="I12" s="854" t="n"/>
      <c r="J12" s="854" t="n"/>
      <c r="K12" s="854" t="n"/>
      <c r="L12" s="854" t="n"/>
      <c r="M12" s="854" t="n"/>
      <c r="N12" s="854" t="n"/>
      <c r="O12" s="854" t="n"/>
      <c r="P12" s="855" t="n"/>
    </row>
    <row r="13" ht="18" customHeight="1">
      <c r="A13" s="602" t="inlineStr">
        <is>
          <t>BOULEVARD</t>
        </is>
      </c>
      <c r="B13" s="602" t="inlineStr">
        <is>
          <t>MARÇO</t>
        </is>
      </c>
      <c r="C13" s="854" t="n"/>
      <c r="D13" s="855" t="n"/>
      <c r="E13" s="602" t="inlineStr">
        <is>
          <t>ABRIL</t>
        </is>
      </c>
      <c r="F13" s="854" t="n"/>
      <c r="G13" s="854" t="n"/>
      <c r="H13" s="854" t="n"/>
      <c r="I13" s="855" t="n"/>
      <c r="J13" s="602" t="inlineStr">
        <is>
          <t>MAIO</t>
        </is>
      </c>
      <c r="K13" s="854" t="n"/>
      <c r="L13" s="854" t="n"/>
      <c r="M13" s="854" t="n"/>
      <c r="N13" s="855" t="n"/>
      <c r="O13" s="603" t="inlineStr">
        <is>
          <t>USOU ATÉ MÃES</t>
        </is>
      </c>
      <c r="P13" s="603" t="inlineStr">
        <is>
          <t>TOTAL GERAL</t>
        </is>
      </c>
    </row>
    <row r="14" ht="18" customHeight="1">
      <c r="A14" s="857" t="n"/>
      <c r="B14" s="335" t="n">
        <v>45740</v>
      </c>
      <c r="C14" s="335" t="n">
        <v>45747</v>
      </c>
      <c r="D14" s="603" t="inlineStr">
        <is>
          <t>USOU</t>
        </is>
      </c>
      <c r="E14" s="335" t="n">
        <v>45754</v>
      </c>
      <c r="F14" s="335" t="n">
        <v>45761</v>
      </c>
      <c r="G14" s="335" t="n">
        <v>45768</v>
      </c>
      <c r="H14" s="335" t="n">
        <v>45775</v>
      </c>
      <c r="I14" s="603" t="inlineStr">
        <is>
          <t>USOU</t>
        </is>
      </c>
      <c r="J14" s="335" t="n">
        <v>45782</v>
      </c>
      <c r="K14" s="335" t="n">
        <v>45789</v>
      </c>
      <c r="L14" s="335" t="n">
        <v>45796</v>
      </c>
      <c r="M14" s="335" t="n">
        <v>45803</v>
      </c>
      <c r="N14" s="603" t="inlineStr">
        <is>
          <t>USOU</t>
        </is>
      </c>
      <c r="O14" s="857" t="n"/>
      <c r="P14" s="857" t="n"/>
    </row>
    <row r="15" ht="15.75" customHeight="1">
      <c r="A15" s="204" t="inlineStr">
        <is>
          <t>SACOLA P</t>
        </is>
      </c>
      <c r="B15" s="115" t="n"/>
      <c r="C15" s="115" t="n"/>
      <c r="D15" s="206">
        <f>B15+C15</f>
        <v/>
      </c>
      <c r="E15" s="115" t="n"/>
      <c r="F15" s="115" t="n">
        <v>110</v>
      </c>
      <c r="G15" s="115" t="n">
        <v>270</v>
      </c>
      <c r="H15" s="115" t="n">
        <v>300</v>
      </c>
      <c r="I15" s="206">
        <f>E15+F15+G15+H15</f>
        <v/>
      </c>
      <c r="J15" s="115" t="n">
        <v>350</v>
      </c>
      <c r="K15" s="115" t="n">
        <v>780</v>
      </c>
      <c r="L15" s="115" t="n">
        <v>190</v>
      </c>
      <c r="M15" s="115" t="n">
        <v>0</v>
      </c>
      <c r="N15" s="206">
        <f>J15+K15+L15+M15</f>
        <v/>
      </c>
      <c r="O15" s="231">
        <f>B15+C15+E15+F15+G15+H15+J15+K15</f>
        <v/>
      </c>
      <c r="P15" s="336">
        <f>D15+I15+N15</f>
        <v/>
      </c>
    </row>
    <row r="16" ht="15.75" customHeight="1">
      <c r="A16" s="204" t="inlineStr">
        <is>
          <t>SACOLA M</t>
        </is>
      </c>
      <c r="B16" s="115" t="n"/>
      <c r="C16" s="115" t="n"/>
      <c r="D16" s="206">
        <f>B16+C16</f>
        <v/>
      </c>
      <c r="E16" s="115" t="n"/>
      <c r="F16" s="115" t="n">
        <v>120</v>
      </c>
      <c r="G16" s="115" t="n">
        <v>170</v>
      </c>
      <c r="H16" s="115" t="n">
        <v>160</v>
      </c>
      <c r="I16" s="206">
        <f>E16+F16+G16+H16</f>
        <v/>
      </c>
      <c r="J16" s="115" t="n">
        <v>260</v>
      </c>
      <c r="K16" s="115" t="n">
        <v>690</v>
      </c>
      <c r="L16" s="115" t="n">
        <v>0</v>
      </c>
      <c r="M16" s="115" t="n">
        <v>0</v>
      </c>
      <c r="N16" s="206">
        <f>J16+K16+L16+M16</f>
        <v/>
      </c>
      <c r="O16" s="231">
        <f>B16+C16+E16+F16+G16+H16+J16+K16</f>
        <v/>
      </c>
      <c r="P16" s="336">
        <f>D16+I16+N16</f>
        <v/>
      </c>
    </row>
    <row r="17" ht="15.75" customHeight="1">
      <c r="A17" s="204" t="inlineStr">
        <is>
          <t>SACOLA G</t>
        </is>
      </c>
      <c r="B17" s="115" t="n"/>
      <c r="C17" s="115" t="n"/>
      <c r="D17" s="206">
        <f>B17+C17</f>
        <v/>
      </c>
      <c r="E17" s="115" t="n"/>
      <c r="F17" s="115" t="n">
        <v>10</v>
      </c>
      <c r="G17" s="115" t="n">
        <v>10</v>
      </c>
      <c r="H17" s="115" t="n">
        <v>20</v>
      </c>
      <c r="I17" s="206">
        <f>E17+F17+G17+H17</f>
        <v/>
      </c>
      <c r="J17" s="115" t="n">
        <v>20</v>
      </c>
      <c r="K17" s="115" t="n">
        <v>90</v>
      </c>
      <c r="L17" s="115" t="n">
        <v>0</v>
      </c>
      <c r="M17" s="115" t="n">
        <v>50</v>
      </c>
      <c r="N17" s="206">
        <f>J17+K17+L17+M17</f>
        <v/>
      </c>
      <c r="O17" s="231">
        <f>B17+C17+E17+F17+G17+H17+J17+K17</f>
        <v/>
      </c>
      <c r="P17" s="336">
        <f>D17+I17+N17</f>
        <v/>
      </c>
    </row>
    <row r="18" ht="15.75" customHeight="1">
      <c r="A18" s="134" t="inlineStr">
        <is>
          <t xml:space="preserve">PAPEL DE SEDA </t>
        </is>
      </c>
      <c r="B18" s="115" t="n"/>
      <c r="C18" s="115" t="n"/>
      <c r="D18" s="206">
        <f>B18+C18</f>
        <v/>
      </c>
      <c r="E18" s="115" t="n"/>
      <c r="F18" s="115" t="n">
        <v>1</v>
      </c>
      <c r="G18" s="115" t="n">
        <v>0</v>
      </c>
      <c r="H18" s="115" t="n">
        <v>0</v>
      </c>
      <c r="I18" s="206">
        <f>E18+F18+G18+H18</f>
        <v/>
      </c>
      <c r="J18" s="115" t="n">
        <v>2</v>
      </c>
      <c r="K18" s="115" t="n">
        <v>7</v>
      </c>
      <c r="L18" s="115" t="n">
        <v>0</v>
      </c>
      <c r="M18" s="115" t="n">
        <v>0</v>
      </c>
      <c r="N18" s="206">
        <f>J18+K18+L18+M18</f>
        <v/>
      </c>
      <c r="O18" s="231">
        <f>B18+C18+E18+F18+G18+H18+J18+K18</f>
        <v/>
      </c>
      <c r="P18" s="336">
        <f>D18+I18+N18</f>
        <v/>
      </c>
    </row>
    <row r="19" ht="15.75" customHeight="1">
      <c r="A19" s="134" t="inlineStr">
        <is>
          <t>ADESIVOS</t>
        </is>
      </c>
      <c r="B19" s="115" t="n"/>
      <c r="C19" s="115" t="n"/>
      <c r="D19" s="206">
        <f>B19+C19</f>
        <v/>
      </c>
      <c r="E19" s="115" t="n"/>
      <c r="F19" s="115" t="n">
        <v>0</v>
      </c>
      <c r="G19" s="115" t="n">
        <v>0</v>
      </c>
      <c r="H19" s="115" t="n">
        <v>0</v>
      </c>
      <c r="I19" s="206">
        <f>E19+F19+G19+H19</f>
        <v/>
      </c>
      <c r="J19" s="115" t="n">
        <v>0</v>
      </c>
      <c r="K19" s="115" t="n">
        <v>0</v>
      </c>
      <c r="L19" s="115" t="n">
        <v>0</v>
      </c>
      <c r="M19" s="115" t="n">
        <v>0</v>
      </c>
      <c r="N19" s="206">
        <f>J19+K19+L19+M19</f>
        <v/>
      </c>
      <c r="O19" s="231">
        <f>B19+C19+E19+F19+G19+H19+J19+K19</f>
        <v/>
      </c>
      <c r="P19" s="336">
        <f>D19+I19+N19</f>
        <v/>
      </c>
    </row>
    <row r="20" ht="15.75" customHeight="1">
      <c r="A20" s="134" t="inlineStr">
        <is>
          <t xml:space="preserve">TAGS </t>
        </is>
      </c>
      <c r="B20" s="115" t="n"/>
      <c r="C20" s="115" t="n"/>
      <c r="D20" s="206">
        <f>B20+C20</f>
        <v/>
      </c>
      <c r="E20" s="115" t="n"/>
      <c r="F20" s="115" t="n">
        <v>1</v>
      </c>
      <c r="G20" s="115" t="n">
        <v>0</v>
      </c>
      <c r="H20" s="115" t="n">
        <v>0</v>
      </c>
      <c r="I20" s="206">
        <f>E20+F20+G20+H20</f>
        <v/>
      </c>
      <c r="J20" s="115" t="n">
        <v>0</v>
      </c>
      <c r="K20" s="115" t="n">
        <v>2</v>
      </c>
      <c r="L20" s="115" t="n">
        <v>0</v>
      </c>
      <c r="M20" s="115" t="n">
        <v>0</v>
      </c>
      <c r="N20" s="206">
        <f>J20+K20+L20+M20</f>
        <v/>
      </c>
      <c r="O20" s="231">
        <f>B20+C20+E20+F20+G20+H20+J20+K20</f>
        <v/>
      </c>
      <c r="P20" s="336">
        <f>D20+I20+N20</f>
        <v/>
      </c>
    </row>
    <row r="21" ht="15.75" customHeight="1">
      <c r="A21" s="127" t="inlineStr">
        <is>
          <t>TOTAL DE SACOLAS</t>
        </is>
      </c>
      <c r="B21" s="126">
        <f>B15+B16+B17</f>
        <v/>
      </c>
      <c r="C21" s="126">
        <f>C15+C16+C17</f>
        <v/>
      </c>
      <c r="D21" s="126">
        <f>D15+D16+D17</f>
        <v/>
      </c>
      <c r="E21" s="126">
        <f>E15+E16+E17</f>
        <v/>
      </c>
      <c r="F21" s="126">
        <f>F15+F16+F17</f>
        <v/>
      </c>
      <c r="G21" s="126">
        <f>G15+G16+G17</f>
        <v/>
      </c>
      <c r="H21" s="126">
        <f>H15+H16+H17</f>
        <v/>
      </c>
      <c r="I21" s="126">
        <f>I15+I16+I17</f>
        <v/>
      </c>
      <c r="J21" s="126">
        <f>J15+J16+J17</f>
        <v/>
      </c>
      <c r="K21" s="126">
        <f>K15+K16+K17</f>
        <v/>
      </c>
      <c r="L21" s="126">
        <f>L15+L16+L17</f>
        <v/>
      </c>
      <c r="M21" s="126">
        <f>M15+M16+M17</f>
        <v/>
      </c>
      <c r="N21" s="126">
        <f>N15+N16+N17</f>
        <v/>
      </c>
      <c r="O21" s="337">
        <f>O15+O16+O17</f>
        <v/>
      </c>
      <c r="P21" s="337">
        <f>P15+P16+P17</f>
        <v/>
      </c>
    </row>
    <row r="23" ht="15.75" customHeight="1">
      <c r="A23" s="602" t="inlineStr">
        <is>
          <t>GASTO DE SACOLAS E ITENS DOADOS MÃES/2025 - MENSAIS</t>
        </is>
      </c>
      <c r="B23" s="854" t="n"/>
      <c r="C23" s="854" t="n"/>
      <c r="D23" s="854" t="n"/>
      <c r="E23" s="854" t="n"/>
      <c r="F23" s="854" t="n"/>
      <c r="G23" s="854" t="n"/>
      <c r="H23" s="854" t="n"/>
      <c r="I23" s="854" t="n"/>
      <c r="J23" s="854" t="n"/>
      <c r="K23" s="854" t="n"/>
      <c r="L23" s="854" t="n"/>
      <c r="M23" s="854" t="n"/>
      <c r="N23" s="854" t="n"/>
      <c r="O23" s="854" t="n"/>
      <c r="P23" s="855" t="n"/>
    </row>
    <row r="24" ht="15.75" customHeight="1">
      <c r="A24" s="602" t="inlineStr">
        <is>
          <t>TAUSTE RIO</t>
        </is>
      </c>
      <c r="B24" s="602" t="inlineStr">
        <is>
          <t>MARÇO</t>
        </is>
      </c>
      <c r="C24" s="854" t="n"/>
      <c r="D24" s="855" t="n"/>
      <c r="E24" s="602" t="inlineStr">
        <is>
          <t>ABRIL</t>
        </is>
      </c>
      <c r="F24" s="854" t="n"/>
      <c r="G24" s="854" t="n"/>
      <c r="H24" s="854" t="n"/>
      <c r="I24" s="855" t="n"/>
      <c r="J24" s="602" t="inlineStr">
        <is>
          <t>MAIO</t>
        </is>
      </c>
      <c r="K24" s="854" t="n"/>
      <c r="L24" s="854" t="n"/>
      <c r="M24" s="854" t="n"/>
      <c r="N24" s="855" t="n"/>
      <c r="O24" s="603" t="inlineStr">
        <is>
          <t>USOU ATÉ MÃES</t>
        </is>
      </c>
      <c r="P24" s="603" t="inlineStr">
        <is>
          <t>TOTAL GERAL</t>
        </is>
      </c>
    </row>
    <row r="25" ht="15.75" customHeight="1">
      <c r="A25" s="857" t="n"/>
      <c r="B25" s="335" t="n">
        <v>45740</v>
      </c>
      <c r="C25" s="335" t="n">
        <v>45747</v>
      </c>
      <c r="D25" s="603" t="inlineStr">
        <is>
          <t>USOU</t>
        </is>
      </c>
      <c r="E25" s="335" t="n">
        <v>45754</v>
      </c>
      <c r="F25" s="335" t="n">
        <v>45761</v>
      </c>
      <c r="G25" s="335" t="n">
        <v>45768</v>
      </c>
      <c r="H25" s="335" t="n">
        <v>45775</v>
      </c>
      <c r="I25" s="603" t="inlineStr">
        <is>
          <t>USOU</t>
        </is>
      </c>
      <c r="J25" s="335" t="n">
        <v>45782</v>
      </c>
      <c r="K25" s="335" t="n">
        <v>45789</v>
      </c>
      <c r="L25" s="335" t="n">
        <v>45796</v>
      </c>
      <c r="M25" s="335" t="n">
        <v>45803</v>
      </c>
      <c r="N25" s="603" t="inlineStr">
        <is>
          <t>USOU</t>
        </is>
      </c>
      <c r="O25" s="857" t="n"/>
      <c r="P25" s="857" t="n"/>
    </row>
    <row r="26" ht="15.75" customHeight="1">
      <c r="A26" s="204" t="inlineStr">
        <is>
          <t>SACOLA P</t>
        </is>
      </c>
      <c r="B26" s="115" t="n"/>
      <c r="C26" s="115" t="n"/>
      <c r="D26" s="206">
        <f>B26+C26</f>
        <v/>
      </c>
      <c r="E26" s="115" t="n"/>
      <c r="F26" s="115" t="n">
        <v>0</v>
      </c>
      <c r="G26" s="115" t="n">
        <v>800</v>
      </c>
      <c r="H26" s="115" t="n">
        <v>180</v>
      </c>
      <c r="I26" s="206">
        <f>E26+F26+G26+H26</f>
        <v/>
      </c>
      <c r="J26" s="115" t="n">
        <v>340</v>
      </c>
      <c r="K26" s="115" t="n">
        <v>480</v>
      </c>
      <c r="L26" s="115" t="n">
        <v>0</v>
      </c>
      <c r="M26" s="115" t="n">
        <v>0</v>
      </c>
      <c r="N26" s="206">
        <f>J26+K26+L26+M26</f>
        <v/>
      </c>
      <c r="O26" s="231">
        <f>B26+C26+E26+F26+G26+H26+J26+K26</f>
        <v/>
      </c>
      <c r="P26" s="336">
        <f>D26+I26+N26</f>
        <v/>
      </c>
    </row>
    <row r="27" ht="15.75" customHeight="1">
      <c r="A27" s="204" t="inlineStr">
        <is>
          <t>SACOLA M</t>
        </is>
      </c>
      <c r="B27" s="115" t="n"/>
      <c r="C27" s="115" t="n"/>
      <c r="D27" s="206">
        <f>B27+C27</f>
        <v/>
      </c>
      <c r="E27" s="115" t="n"/>
      <c r="F27" s="115" t="n">
        <v>0</v>
      </c>
      <c r="G27" s="115" t="n">
        <v>200</v>
      </c>
      <c r="H27" s="115" t="n">
        <v>80</v>
      </c>
      <c r="I27" s="206">
        <f>E27+F27+G27+H27</f>
        <v/>
      </c>
      <c r="J27" s="115" t="n">
        <v>120</v>
      </c>
      <c r="K27" s="115" t="n">
        <v>600</v>
      </c>
      <c r="L27" s="115" t="n">
        <v>0</v>
      </c>
      <c r="M27" s="115" t="n">
        <v>0</v>
      </c>
      <c r="N27" s="206">
        <f>J27+K27+L27+M27</f>
        <v/>
      </c>
      <c r="O27" s="231">
        <f>B27+C27+E27+F27+G27+H27+J27+K27</f>
        <v/>
      </c>
      <c r="P27" s="336">
        <f>D27+I27+N27</f>
        <v/>
      </c>
    </row>
    <row r="28" ht="15.75" customHeight="1">
      <c r="A28" s="204" t="inlineStr">
        <is>
          <t>SACOLA G</t>
        </is>
      </c>
      <c r="B28" s="115" t="n"/>
      <c r="C28" s="115" t="n"/>
      <c r="D28" s="206">
        <f>B28+C28</f>
        <v/>
      </c>
      <c r="E28" s="115" t="n"/>
      <c r="F28" s="115" t="n">
        <v>0</v>
      </c>
      <c r="G28" s="115" t="n">
        <v>0</v>
      </c>
      <c r="H28" s="115" t="n">
        <v>40</v>
      </c>
      <c r="I28" s="206">
        <f>E28+F28+G28+H28</f>
        <v/>
      </c>
      <c r="J28" s="115" t="n">
        <v>0</v>
      </c>
      <c r="K28" s="115" t="n">
        <v>60</v>
      </c>
      <c r="L28" s="115" t="n">
        <v>0</v>
      </c>
      <c r="M28" s="115" t="n">
        <v>0</v>
      </c>
      <c r="N28" s="206">
        <f>J28+K28+L28+M28</f>
        <v/>
      </c>
      <c r="O28" s="231">
        <f>B28+C28+E28+F28+G28+H28+J28+K28</f>
        <v/>
      </c>
      <c r="P28" s="336">
        <f>D28+I28+N28</f>
        <v/>
      </c>
    </row>
    <row r="29" ht="15.75" customHeight="1">
      <c r="A29" s="134" t="inlineStr">
        <is>
          <t xml:space="preserve">PAPEL DE SEDA </t>
        </is>
      </c>
      <c r="B29" s="115" t="n"/>
      <c r="C29" s="115" t="n"/>
      <c r="D29" s="206">
        <f>B29+C29</f>
        <v/>
      </c>
      <c r="E29" s="115" t="n"/>
      <c r="F29" s="115" t="n">
        <v>0</v>
      </c>
      <c r="G29" s="115" t="n">
        <v>1</v>
      </c>
      <c r="H29" s="115" t="n">
        <v>2</v>
      </c>
      <c r="I29" s="206">
        <f>E29+F29+G29+H29</f>
        <v/>
      </c>
      <c r="J29" s="115" t="n">
        <v>1</v>
      </c>
      <c r="K29" s="115" t="n">
        <v>4</v>
      </c>
      <c r="L29" s="115" t="n">
        <v>0</v>
      </c>
      <c r="M29" s="115" t="n">
        <v>0</v>
      </c>
      <c r="N29" s="206">
        <f>J29+K29+L29+M29</f>
        <v/>
      </c>
      <c r="O29" s="231">
        <f>B29+C29+E29+F29+G29+H29+J29+K29</f>
        <v/>
      </c>
      <c r="P29" s="336">
        <f>D29+I29+N29</f>
        <v/>
      </c>
    </row>
    <row r="30" ht="15.75" customHeight="1">
      <c r="A30" s="134" t="inlineStr">
        <is>
          <t>ADESIVOS</t>
        </is>
      </c>
      <c r="B30" s="115" t="n"/>
      <c r="C30" s="115" t="n"/>
      <c r="D30" s="206">
        <f>B30+C30</f>
        <v/>
      </c>
      <c r="E30" s="115" t="n"/>
      <c r="F30" s="115" t="n">
        <v>0</v>
      </c>
      <c r="G30" s="115" t="n">
        <v>0</v>
      </c>
      <c r="H30" s="115" t="n">
        <v>0</v>
      </c>
      <c r="I30" s="206">
        <f>E30+F30+G30+H30</f>
        <v/>
      </c>
      <c r="J30" s="115" t="n">
        <v>0</v>
      </c>
      <c r="K30" s="115" t="n">
        <v>0</v>
      </c>
      <c r="L30" s="115" t="n">
        <v>0</v>
      </c>
      <c r="M30" s="115" t="n">
        <v>0</v>
      </c>
      <c r="N30" s="206">
        <f>J30+K30+L30+M30</f>
        <v/>
      </c>
      <c r="O30" s="231">
        <f>B30+C30+E30+F30+G30+H30+J30+K30</f>
        <v/>
      </c>
      <c r="P30" s="336">
        <f>D30+I30+N30</f>
        <v/>
      </c>
    </row>
    <row r="31" ht="15.75" customHeight="1">
      <c r="A31" s="134" t="inlineStr">
        <is>
          <t xml:space="preserve">TAGS </t>
        </is>
      </c>
      <c r="B31" s="115" t="n"/>
      <c r="C31" s="115" t="n"/>
      <c r="D31" s="206">
        <f>B31+C31</f>
        <v/>
      </c>
      <c r="E31" s="115" t="n"/>
      <c r="F31" s="115" t="n">
        <v>0</v>
      </c>
      <c r="G31" s="115" t="n">
        <v>0</v>
      </c>
      <c r="H31" s="115" t="n">
        <v>0</v>
      </c>
      <c r="I31" s="206">
        <f>E31+F31+G31+H31</f>
        <v/>
      </c>
      <c r="J31" s="115" t="n">
        <v>1</v>
      </c>
      <c r="K31" s="115" t="n">
        <v>1</v>
      </c>
      <c r="L31" s="115" t="n">
        <v>0</v>
      </c>
      <c r="M31" s="115" t="n">
        <v>0</v>
      </c>
      <c r="N31" s="206">
        <f>J31+K31+L31+M31</f>
        <v/>
      </c>
      <c r="O31" s="231">
        <f>B31+C31+E31+F31+G31+H31+J31+K31</f>
        <v/>
      </c>
      <c r="P31" s="336">
        <f>D31+I31+N31</f>
        <v/>
      </c>
    </row>
    <row r="32" ht="15.75" customHeight="1">
      <c r="A32" s="127" t="inlineStr">
        <is>
          <t>TOTAL DE SACOLAS</t>
        </is>
      </c>
      <c r="B32" s="126">
        <f>B26+B27+B28</f>
        <v/>
      </c>
      <c r="C32" s="126">
        <f>C26+C27+C28</f>
        <v/>
      </c>
      <c r="D32" s="126">
        <f>D26+D27+D28</f>
        <v/>
      </c>
      <c r="E32" s="126">
        <f>E26+E27+E28</f>
        <v/>
      </c>
      <c r="F32" s="126">
        <f>F26+F27+F28</f>
        <v/>
      </c>
      <c r="G32" s="126">
        <f>G26+G27+G28</f>
        <v/>
      </c>
      <c r="H32" s="126">
        <f>H26+H27+H28</f>
        <v/>
      </c>
      <c r="I32" s="126">
        <f>I26+I27+I28</f>
        <v/>
      </c>
      <c r="J32" s="126">
        <f>J26+J27+J28</f>
        <v/>
      </c>
      <c r="K32" s="126">
        <f>K26+K27+K28</f>
        <v/>
      </c>
      <c r="L32" s="126">
        <f>L26+L27+L28</f>
        <v/>
      </c>
      <c r="M32" s="126">
        <f>M26+M27+M28</f>
        <v/>
      </c>
      <c r="N32" s="126">
        <f>N26+N27+N28</f>
        <v/>
      </c>
      <c r="O32" s="337">
        <f>O26+O27+O28</f>
        <v/>
      </c>
      <c r="P32" s="337">
        <f>P26+P27+P28</f>
        <v/>
      </c>
    </row>
    <row r="34" ht="15.75" customHeight="1">
      <c r="A34" s="602" t="inlineStr">
        <is>
          <t>GASTO DE SACOLAS E ITENS DOADOS MÃES/2025 - MENSAIS</t>
        </is>
      </c>
      <c r="B34" s="854" t="n"/>
      <c r="C34" s="854" t="n"/>
      <c r="D34" s="854" t="n"/>
      <c r="E34" s="854" t="n"/>
      <c r="F34" s="854" t="n"/>
      <c r="G34" s="854" t="n"/>
      <c r="H34" s="854" t="n"/>
      <c r="I34" s="854" t="n"/>
      <c r="J34" s="854" t="n"/>
      <c r="K34" s="854" t="n"/>
      <c r="L34" s="854" t="n"/>
      <c r="M34" s="854" t="n"/>
      <c r="N34" s="854" t="n"/>
      <c r="O34" s="854" t="n"/>
      <c r="P34" s="855" t="n"/>
    </row>
    <row r="35" ht="15.75" customHeight="1">
      <c r="A35" s="602" t="inlineStr">
        <is>
          <t>TAUSTE DUQUE</t>
        </is>
      </c>
      <c r="B35" s="602" t="inlineStr">
        <is>
          <t>MARÇO</t>
        </is>
      </c>
      <c r="C35" s="854" t="n"/>
      <c r="D35" s="855" t="n"/>
      <c r="E35" s="602" t="inlineStr">
        <is>
          <t>ABRIL</t>
        </is>
      </c>
      <c r="F35" s="854" t="n"/>
      <c r="G35" s="854" t="n"/>
      <c r="H35" s="854" t="n"/>
      <c r="I35" s="855" t="n"/>
      <c r="J35" s="602" t="inlineStr">
        <is>
          <t>MAIO</t>
        </is>
      </c>
      <c r="K35" s="854" t="n"/>
      <c r="L35" s="854" t="n"/>
      <c r="M35" s="854" t="n"/>
      <c r="N35" s="855" t="n"/>
      <c r="O35" s="603" t="inlineStr">
        <is>
          <t>USOU ATÉ MÃES</t>
        </is>
      </c>
      <c r="P35" s="603" t="inlineStr">
        <is>
          <t>TOTAL GERAL</t>
        </is>
      </c>
    </row>
    <row r="36" ht="15.75" customHeight="1">
      <c r="A36" s="857" t="n"/>
      <c r="B36" s="335" t="n">
        <v>45740</v>
      </c>
      <c r="C36" s="335" t="n">
        <v>45747</v>
      </c>
      <c r="D36" s="603" t="inlineStr">
        <is>
          <t>USOU</t>
        </is>
      </c>
      <c r="E36" s="335" t="n">
        <v>45754</v>
      </c>
      <c r="F36" s="335" t="n">
        <v>45761</v>
      </c>
      <c r="G36" s="335" t="n">
        <v>45768</v>
      </c>
      <c r="H36" s="335" t="n">
        <v>45775</v>
      </c>
      <c r="I36" s="603" t="inlineStr">
        <is>
          <t>USOU</t>
        </is>
      </c>
      <c r="J36" s="335" t="n">
        <v>45782</v>
      </c>
      <c r="K36" s="335" t="n">
        <v>45789</v>
      </c>
      <c r="L36" s="335" t="n">
        <v>45796</v>
      </c>
      <c r="M36" s="335" t="n">
        <v>45803</v>
      </c>
      <c r="N36" s="603" t="inlineStr">
        <is>
          <t>USOU</t>
        </is>
      </c>
      <c r="O36" s="857" t="n"/>
      <c r="P36" s="857" t="n"/>
    </row>
    <row r="37" ht="15.75" customHeight="1">
      <c r="A37" s="204" t="inlineStr">
        <is>
          <t>SACOLA P</t>
        </is>
      </c>
      <c r="B37" s="115" t="n"/>
      <c r="C37" s="115" t="n"/>
      <c r="D37" s="206">
        <f>B37+C37</f>
        <v/>
      </c>
      <c r="E37" s="115" t="n"/>
      <c r="F37" s="115" t="n">
        <v>200</v>
      </c>
      <c r="G37" s="115" t="n">
        <v>200</v>
      </c>
      <c r="H37" s="115" t="n">
        <v>200</v>
      </c>
      <c r="I37" s="206">
        <f>E37+F37+G37+H37</f>
        <v/>
      </c>
      <c r="J37" s="115" t="n">
        <v>200</v>
      </c>
      <c r="K37" s="115" t="n">
        <v>900</v>
      </c>
      <c r="L37" s="115" t="n">
        <v>100</v>
      </c>
      <c r="M37" s="115" t="n">
        <v>0</v>
      </c>
      <c r="N37" s="206">
        <f>J37+K37+L37+M37</f>
        <v/>
      </c>
      <c r="O37" s="231">
        <f>B37+C37+E37+F37+G37+H37+J37+K37</f>
        <v/>
      </c>
      <c r="P37" s="336">
        <f>D37+I37+N37</f>
        <v/>
      </c>
    </row>
    <row r="38" ht="15.75" customHeight="1">
      <c r="A38" s="204" t="inlineStr">
        <is>
          <t>SACOLA M</t>
        </is>
      </c>
      <c r="B38" s="115" t="n"/>
      <c r="C38" s="115" t="n"/>
      <c r="D38" s="206">
        <f>B38+C38</f>
        <v/>
      </c>
      <c r="E38" s="115" t="n"/>
      <c r="F38" s="115" t="n">
        <v>120</v>
      </c>
      <c r="G38" s="115" t="n">
        <v>190</v>
      </c>
      <c r="H38" s="115" t="n">
        <v>200</v>
      </c>
      <c r="I38" s="206">
        <f>E38+F38+G38+H38</f>
        <v/>
      </c>
      <c r="J38" s="115" t="n">
        <v>50</v>
      </c>
      <c r="K38" s="115" t="n">
        <v>440</v>
      </c>
      <c r="L38" s="115" t="n">
        <v>0</v>
      </c>
      <c r="M38" s="115" t="n">
        <v>0</v>
      </c>
      <c r="N38" s="206">
        <f>J38+K38+L38+M38</f>
        <v/>
      </c>
      <c r="O38" s="231">
        <f>B38+C38+E38+F38+G38+H38+J38+K38</f>
        <v/>
      </c>
      <c r="P38" s="336">
        <f>D38+I38+N38</f>
        <v/>
      </c>
    </row>
    <row r="39" ht="15.75" customHeight="1">
      <c r="A39" s="204" t="inlineStr">
        <is>
          <t>SACOLA G</t>
        </is>
      </c>
      <c r="B39" s="115" t="n"/>
      <c r="C39" s="115" t="n"/>
      <c r="D39" s="206">
        <f>B39+C39</f>
        <v/>
      </c>
      <c r="E39" s="115" t="n"/>
      <c r="F39" s="115" t="n">
        <v>40</v>
      </c>
      <c r="G39" s="115" t="n">
        <v>0</v>
      </c>
      <c r="H39" s="115" t="n">
        <v>0</v>
      </c>
      <c r="I39" s="206">
        <f>E39+F39+G39+H39</f>
        <v/>
      </c>
      <c r="J39" s="115" t="n">
        <v>0</v>
      </c>
      <c r="K39" s="115" t="n">
        <v>60</v>
      </c>
      <c r="L39" s="115" t="n">
        <v>0</v>
      </c>
      <c r="M39" s="115" t="n">
        <v>0</v>
      </c>
      <c r="N39" s="206">
        <f>J39+K39+L39+M39</f>
        <v/>
      </c>
      <c r="O39" s="231">
        <f>B39+C39+E39+F39+G39+H39+J39+K39</f>
        <v/>
      </c>
      <c r="P39" s="336">
        <f>D39+I39+N39</f>
        <v/>
      </c>
    </row>
    <row r="40" ht="15.75" customHeight="1">
      <c r="A40" s="134" t="inlineStr">
        <is>
          <t xml:space="preserve">PAPEL DE SEDA </t>
        </is>
      </c>
      <c r="B40" s="115" t="n"/>
      <c r="C40" s="115" t="n"/>
      <c r="D40" s="206">
        <f>B40+C40</f>
        <v/>
      </c>
      <c r="E40" s="115" t="n"/>
      <c r="F40" s="115" t="n">
        <v>4</v>
      </c>
      <c r="G40" s="115" t="n">
        <v>2</v>
      </c>
      <c r="H40" s="115" t="n">
        <v>2</v>
      </c>
      <c r="I40" s="206">
        <f>E40+F40+G40+H40</f>
        <v/>
      </c>
      <c r="J40" s="115" t="n">
        <v>0</v>
      </c>
      <c r="K40" s="115" t="n">
        <v>0</v>
      </c>
      <c r="L40" s="115" t="n">
        <v>0</v>
      </c>
      <c r="M40" s="115" t="n">
        <v>0</v>
      </c>
      <c r="N40" s="206">
        <f>J40+K40+L40+M40</f>
        <v/>
      </c>
      <c r="O40" s="231">
        <f>B40+C40+E40+F40+G40+H40+J40+K40</f>
        <v/>
      </c>
      <c r="P40" s="336">
        <f>D40+I40+N40</f>
        <v/>
      </c>
    </row>
    <row r="41" ht="15.75" customHeight="1">
      <c r="A41" s="134" t="inlineStr">
        <is>
          <t>ADESIVOS</t>
        </is>
      </c>
      <c r="B41" s="115" t="n"/>
      <c r="C41" s="115" t="n"/>
      <c r="D41" s="206">
        <f>B41+C41</f>
        <v/>
      </c>
      <c r="E41" s="115" t="n"/>
      <c r="F41" s="115" t="n">
        <v>0</v>
      </c>
      <c r="G41" s="115" t="n">
        <v>0</v>
      </c>
      <c r="H41" s="115" t="n">
        <v>0</v>
      </c>
      <c r="I41" s="206">
        <f>E41+F41+G41+H41</f>
        <v/>
      </c>
      <c r="J41" s="115" t="n">
        <v>0</v>
      </c>
      <c r="K41" s="115" t="n">
        <v>0</v>
      </c>
      <c r="L41" s="115" t="n">
        <v>0</v>
      </c>
      <c r="M41" s="115" t="n">
        <v>0</v>
      </c>
      <c r="N41" s="206">
        <f>J41+K41+L41+M41</f>
        <v/>
      </c>
      <c r="O41" s="231">
        <f>B41+C41+E41+F41+G41+H41+J41+K41</f>
        <v/>
      </c>
      <c r="P41" s="336">
        <f>D41+I41+N41</f>
        <v/>
      </c>
    </row>
    <row r="42" ht="15.75" customHeight="1">
      <c r="A42" s="134" t="inlineStr">
        <is>
          <t xml:space="preserve">TAGS </t>
        </is>
      </c>
      <c r="B42" s="115" t="n"/>
      <c r="C42" s="115" t="n"/>
      <c r="D42" s="206">
        <f>B42+C42</f>
        <v/>
      </c>
      <c r="E42" s="115" t="n"/>
      <c r="F42" s="115" t="n">
        <v>1</v>
      </c>
      <c r="G42" s="115" t="n">
        <v>0</v>
      </c>
      <c r="H42" s="115" t="n">
        <v>0</v>
      </c>
      <c r="I42" s="206">
        <f>E42+F42+G42+H42</f>
        <v/>
      </c>
      <c r="J42" s="115" t="n">
        <v>0</v>
      </c>
      <c r="K42" s="115" t="n">
        <v>2</v>
      </c>
      <c r="L42" s="115" t="n">
        <v>0</v>
      </c>
      <c r="M42" s="115" t="n">
        <v>0</v>
      </c>
      <c r="N42" s="206">
        <f>J42+K42+L42+M42</f>
        <v/>
      </c>
      <c r="O42" s="231">
        <f>B42+C42+E42+F42+G42+H42+J42+K42</f>
        <v/>
      </c>
      <c r="P42" s="336">
        <f>D42+I42+N42</f>
        <v/>
      </c>
    </row>
    <row r="43" ht="15.75" customHeight="1">
      <c r="A43" s="127" t="inlineStr">
        <is>
          <t>TOTAL DE SACOLAS</t>
        </is>
      </c>
      <c r="B43" s="126">
        <f>B37+B38+B39</f>
        <v/>
      </c>
      <c r="C43" s="126">
        <f>C37+C38+C39</f>
        <v/>
      </c>
      <c r="D43" s="126">
        <f>D37+D38+D39</f>
        <v/>
      </c>
      <c r="E43" s="126">
        <f>E37+E38+E39</f>
        <v/>
      </c>
      <c r="F43" s="126">
        <f>F37+F38+F39</f>
        <v/>
      </c>
      <c r="G43" s="126">
        <f>G37+G38+G39</f>
        <v/>
      </c>
      <c r="H43" s="126">
        <f>H37+H38+H39</f>
        <v/>
      </c>
      <c r="I43" s="126">
        <f>I37+I38+I39</f>
        <v/>
      </c>
      <c r="J43" s="126">
        <f>J37+J38+J39</f>
        <v/>
      </c>
      <c r="K43" s="126">
        <f>K37+K38+K39</f>
        <v/>
      </c>
      <c r="L43" s="126">
        <f>L37+L38+L39</f>
        <v/>
      </c>
      <c r="M43" s="126">
        <f>M37+M38+M39</f>
        <v/>
      </c>
      <c r="N43" s="126">
        <f>N37+N38+N39</f>
        <v/>
      </c>
      <c r="O43" s="337">
        <f>O37+O38+O39</f>
        <v/>
      </c>
      <c r="P43" s="337">
        <f>P37+P38+P39</f>
        <v/>
      </c>
    </row>
    <row r="45" ht="15.75" customHeight="1">
      <c r="A45" s="602" t="inlineStr">
        <is>
          <t>GASTO DE SACOLAS E ITENS DOADOS MÃES/2025 - MENSAIS</t>
        </is>
      </c>
      <c r="B45" s="854" t="n"/>
      <c r="C45" s="854" t="n"/>
      <c r="D45" s="854" t="n"/>
      <c r="E45" s="854" t="n"/>
      <c r="F45" s="854" t="n"/>
      <c r="G45" s="854" t="n"/>
      <c r="H45" s="854" t="n"/>
      <c r="I45" s="854" t="n"/>
      <c r="J45" s="854" t="n"/>
      <c r="K45" s="854" t="n"/>
      <c r="L45" s="854" t="n"/>
      <c r="M45" s="854" t="n"/>
      <c r="N45" s="854" t="n"/>
      <c r="O45" s="854" t="n"/>
      <c r="P45" s="855" t="n"/>
    </row>
    <row r="46" ht="15.75" customHeight="1">
      <c r="A46" s="602" t="inlineStr">
        <is>
          <t>GETÚLIO</t>
        </is>
      </c>
      <c r="B46" s="602" t="inlineStr">
        <is>
          <t>MARÇO</t>
        </is>
      </c>
      <c r="C46" s="854" t="n"/>
      <c r="D46" s="855" t="n"/>
      <c r="E46" s="602" t="inlineStr">
        <is>
          <t>ABRIL</t>
        </is>
      </c>
      <c r="F46" s="854" t="n"/>
      <c r="G46" s="854" t="n"/>
      <c r="H46" s="854" t="n"/>
      <c r="I46" s="855" t="n"/>
      <c r="J46" s="602" t="inlineStr">
        <is>
          <t>MAIO</t>
        </is>
      </c>
      <c r="K46" s="854" t="n"/>
      <c r="L46" s="854" t="n"/>
      <c r="M46" s="854" t="n"/>
      <c r="N46" s="855" t="n"/>
      <c r="O46" s="603" t="inlineStr">
        <is>
          <t>USOU ATÉ MÃES</t>
        </is>
      </c>
      <c r="P46" s="603" t="inlineStr">
        <is>
          <t>TOTAL GERAL</t>
        </is>
      </c>
    </row>
    <row r="47" ht="15.75" customHeight="1">
      <c r="A47" s="857" t="n"/>
      <c r="B47" s="335" t="n">
        <v>45740</v>
      </c>
      <c r="C47" s="335" t="n">
        <v>45747</v>
      </c>
      <c r="D47" s="603" t="inlineStr">
        <is>
          <t>USOU</t>
        </is>
      </c>
      <c r="E47" s="335" t="n">
        <v>45754</v>
      </c>
      <c r="F47" s="335" t="n">
        <v>45761</v>
      </c>
      <c r="G47" s="335" t="n">
        <v>45768</v>
      </c>
      <c r="H47" s="335" t="n">
        <v>45775</v>
      </c>
      <c r="I47" s="603" t="inlineStr">
        <is>
          <t>USOU</t>
        </is>
      </c>
      <c r="J47" s="335" t="n">
        <v>45782</v>
      </c>
      <c r="K47" s="335" t="n">
        <v>45789</v>
      </c>
      <c r="L47" s="335" t="n">
        <v>45796</v>
      </c>
      <c r="M47" s="335" t="n">
        <v>45803</v>
      </c>
      <c r="N47" s="603" t="inlineStr">
        <is>
          <t>USOU</t>
        </is>
      </c>
      <c r="O47" s="857" t="n"/>
      <c r="P47" s="857" t="n"/>
    </row>
    <row r="48" ht="15.75" customHeight="1">
      <c r="A48" s="204" t="inlineStr">
        <is>
          <t>SACOLA P</t>
        </is>
      </c>
      <c r="B48" s="115" t="n"/>
      <c r="C48" s="115" t="n"/>
      <c r="D48" s="206">
        <f>B48+C48</f>
        <v/>
      </c>
      <c r="E48" s="115" t="n"/>
      <c r="F48" s="115" t="n">
        <v>100</v>
      </c>
      <c r="G48" s="115" t="n">
        <v>160</v>
      </c>
      <c r="H48" s="115" t="n">
        <v>140</v>
      </c>
      <c r="I48" s="206">
        <f>E48+F48+G48+H48</f>
        <v/>
      </c>
      <c r="J48" s="115" t="n">
        <v>200</v>
      </c>
      <c r="K48" s="115" t="n">
        <v>400</v>
      </c>
      <c r="L48" s="115" t="n">
        <v>0</v>
      </c>
      <c r="M48" s="115" t="n">
        <v>0</v>
      </c>
      <c r="N48" s="206">
        <f>J48+K48+L48+M48</f>
        <v/>
      </c>
      <c r="O48" s="231">
        <f>B48+C48+E48+F48+G48+H48+J48+K48</f>
        <v/>
      </c>
      <c r="P48" s="336">
        <f>D48+I48+N48</f>
        <v/>
      </c>
    </row>
    <row r="49" ht="15.75" customHeight="1">
      <c r="A49" s="204" t="inlineStr">
        <is>
          <t>SACOLA M</t>
        </is>
      </c>
      <c r="B49" s="115" t="n"/>
      <c r="C49" s="115" t="n"/>
      <c r="D49" s="206">
        <f>B49+C49</f>
        <v/>
      </c>
      <c r="E49" s="115" t="n"/>
      <c r="F49" s="115" t="n">
        <v>60</v>
      </c>
      <c r="G49" s="115" t="n">
        <v>80</v>
      </c>
      <c r="H49" s="115" t="n">
        <v>60</v>
      </c>
      <c r="I49" s="206">
        <f>E49+F49+G49+H49</f>
        <v/>
      </c>
      <c r="J49" s="115" t="n">
        <v>100</v>
      </c>
      <c r="K49" s="115" t="n">
        <v>500</v>
      </c>
      <c r="L49" s="115" t="n">
        <v>0</v>
      </c>
      <c r="M49" s="115" t="n">
        <v>0</v>
      </c>
      <c r="N49" s="206">
        <f>J49+K49+L49+M49</f>
        <v/>
      </c>
      <c r="O49" s="231">
        <f>B49+C49+E49+F49+G49+H49+J49+K49</f>
        <v/>
      </c>
      <c r="P49" s="336">
        <f>D49+I49+N49</f>
        <v/>
      </c>
    </row>
    <row r="50" ht="15.75" customHeight="1">
      <c r="A50" s="204" t="inlineStr">
        <is>
          <t>SACOLA G</t>
        </is>
      </c>
      <c r="B50" s="115" t="n"/>
      <c r="C50" s="115" t="n"/>
      <c r="D50" s="206">
        <f>B50+C50</f>
        <v/>
      </c>
      <c r="E50" s="115" t="n"/>
      <c r="F50" s="115" t="n">
        <v>20</v>
      </c>
      <c r="G50" s="115" t="n">
        <v>0</v>
      </c>
      <c r="H50" s="115" t="n">
        <v>0</v>
      </c>
      <c r="I50" s="206">
        <f>E50+F50+G50+H50</f>
        <v/>
      </c>
      <c r="J50" s="115" t="n">
        <v>20</v>
      </c>
      <c r="K50" s="115" t="n">
        <v>60</v>
      </c>
      <c r="L50" s="115" t="n">
        <v>0</v>
      </c>
      <c r="M50" s="115" t="n">
        <v>0</v>
      </c>
      <c r="N50" s="206">
        <f>J50+K50+L50+M50</f>
        <v/>
      </c>
      <c r="O50" s="231">
        <f>B50+C50+E50+F50+G50+H50+J50+K50</f>
        <v/>
      </c>
      <c r="P50" s="336">
        <f>D50+I50+N50</f>
        <v/>
      </c>
    </row>
    <row r="51" ht="15.75" customHeight="1">
      <c r="A51" s="134" t="inlineStr">
        <is>
          <t xml:space="preserve">PAPEL DE SEDA </t>
        </is>
      </c>
      <c r="B51" s="115" t="n"/>
      <c r="C51" s="115" t="n"/>
      <c r="D51" s="206">
        <f>B51+C51</f>
        <v/>
      </c>
      <c r="E51" s="115" t="n"/>
      <c r="F51" s="115" t="n">
        <v>1</v>
      </c>
      <c r="G51" s="115" t="n">
        <v>1</v>
      </c>
      <c r="H51" s="115" t="n">
        <v>0</v>
      </c>
      <c r="I51" s="206">
        <f>E51+F51+G51+H51</f>
        <v/>
      </c>
      <c r="J51" s="115" t="n">
        <v>2</v>
      </c>
      <c r="K51" s="115" t="n">
        <v>1</v>
      </c>
      <c r="L51" s="115" t="n">
        <v>0</v>
      </c>
      <c r="M51" s="115" t="n">
        <v>0</v>
      </c>
      <c r="N51" s="206">
        <f>J51+K51+L51+M51</f>
        <v/>
      </c>
      <c r="O51" s="231">
        <f>B51+C51+E51+F51+G51+H51+J51+K51</f>
        <v/>
      </c>
      <c r="P51" s="336">
        <f>D51+I51+N51</f>
        <v/>
      </c>
    </row>
    <row r="52" ht="15.75" customHeight="1">
      <c r="A52" s="134" t="inlineStr">
        <is>
          <t>ADESIVOS</t>
        </is>
      </c>
      <c r="B52" s="115" t="n"/>
      <c r="C52" s="115" t="n"/>
      <c r="D52" s="206">
        <f>B52+C52</f>
        <v/>
      </c>
      <c r="E52" s="115" t="n"/>
      <c r="F52" s="115" t="n">
        <v>0</v>
      </c>
      <c r="G52" s="115" t="n">
        <v>0</v>
      </c>
      <c r="H52" s="115" t="n">
        <v>0</v>
      </c>
      <c r="I52" s="206">
        <f>E52+F52+G52+H52</f>
        <v/>
      </c>
      <c r="J52" s="115" t="n">
        <v>0</v>
      </c>
      <c r="K52" s="115" t="n">
        <v>0</v>
      </c>
      <c r="L52" s="115" t="n">
        <v>0</v>
      </c>
      <c r="M52" s="115" t="n">
        <v>0</v>
      </c>
      <c r="N52" s="206">
        <f>J52+K52+L52+M52</f>
        <v/>
      </c>
      <c r="O52" s="231">
        <f>B52+C52+E52+F52+G52+H52+J52+K52</f>
        <v/>
      </c>
      <c r="P52" s="336">
        <f>D52+I52+N52</f>
        <v/>
      </c>
    </row>
    <row r="53" ht="15.75" customHeight="1">
      <c r="A53" s="134" t="inlineStr">
        <is>
          <t xml:space="preserve">TAGS </t>
        </is>
      </c>
      <c r="B53" s="115" t="n"/>
      <c r="C53" s="115" t="n"/>
      <c r="D53" s="206">
        <f>B53+C53</f>
        <v/>
      </c>
      <c r="E53" s="115" t="n"/>
      <c r="F53" s="115" t="n">
        <v>0</v>
      </c>
      <c r="G53" s="115" t="n">
        <v>1</v>
      </c>
      <c r="H53" s="115" t="n">
        <v>0</v>
      </c>
      <c r="I53" s="206">
        <f>E53+F53+G53+H53</f>
        <v/>
      </c>
      <c r="J53" s="115" t="n">
        <v>0</v>
      </c>
      <c r="K53" s="115" t="n">
        <v>1</v>
      </c>
      <c r="L53" s="115" t="n">
        <v>0</v>
      </c>
      <c r="M53" s="115" t="n">
        <v>0</v>
      </c>
      <c r="N53" s="206">
        <f>J53+K53+L53+M53</f>
        <v/>
      </c>
      <c r="O53" s="231">
        <f>B53+C53+E53+F53+G53+H53+J53+K53</f>
        <v/>
      </c>
      <c r="P53" s="336">
        <f>D53+I53+N53</f>
        <v/>
      </c>
    </row>
    <row r="54" ht="15.75" customHeight="1">
      <c r="A54" s="127" t="inlineStr">
        <is>
          <t>TOTAL DE SACOLAS</t>
        </is>
      </c>
      <c r="B54" s="126">
        <f>B48+B49+B50</f>
        <v/>
      </c>
      <c r="C54" s="126">
        <f>C48+C49+C50</f>
        <v/>
      </c>
      <c r="D54" s="126">
        <f>D48+D49+D50</f>
        <v/>
      </c>
      <c r="E54" s="126">
        <f>E48+E49+E50</f>
        <v/>
      </c>
      <c r="F54" s="126">
        <f>F48+F49+F50</f>
        <v/>
      </c>
      <c r="G54" s="126">
        <f>G48+G49+G50</f>
        <v/>
      </c>
      <c r="H54" s="126">
        <f>H48+H49+H50</f>
        <v/>
      </c>
      <c r="I54" s="126">
        <f>I48+I49+I50</f>
        <v/>
      </c>
      <c r="J54" s="126">
        <f>J48+J49+J50</f>
        <v/>
      </c>
      <c r="K54" s="126">
        <f>K48+K49+K50</f>
        <v/>
      </c>
      <c r="L54" s="126">
        <f>L48+L49+L50</f>
        <v/>
      </c>
      <c r="M54" s="126">
        <f>M48+M49+M50</f>
        <v/>
      </c>
      <c r="N54" s="126">
        <f>N48+N49+N50</f>
        <v/>
      </c>
      <c r="O54" s="337">
        <f>O48+O49+O50</f>
        <v/>
      </c>
      <c r="P54" s="337">
        <f>P48+P49+P50</f>
        <v/>
      </c>
    </row>
    <row r="56" ht="15.75" customHeight="1">
      <c r="A56" s="602" t="inlineStr">
        <is>
          <t>GASTO DE SACOLAS E ITENS DOADOS MÃES/2025 - MENSAIS</t>
        </is>
      </c>
      <c r="B56" s="854" t="n"/>
      <c r="C56" s="854" t="n"/>
      <c r="D56" s="854" t="n"/>
      <c r="E56" s="854" t="n"/>
      <c r="F56" s="854" t="n"/>
      <c r="G56" s="854" t="n"/>
      <c r="H56" s="854" t="n"/>
      <c r="I56" s="854" t="n"/>
      <c r="J56" s="854" t="n"/>
      <c r="K56" s="854" t="n"/>
      <c r="L56" s="854" t="n"/>
      <c r="M56" s="854" t="n"/>
      <c r="N56" s="854" t="n"/>
      <c r="O56" s="854" t="n"/>
      <c r="P56" s="855" t="n"/>
    </row>
    <row r="57" ht="15.75" customHeight="1">
      <c r="A57" s="602" t="inlineStr">
        <is>
          <t>QUADRA 7</t>
        </is>
      </c>
      <c r="B57" s="602" t="inlineStr">
        <is>
          <t>MARÇO</t>
        </is>
      </c>
      <c r="C57" s="854" t="n"/>
      <c r="D57" s="855" t="n"/>
      <c r="E57" s="602" t="inlineStr">
        <is>
          <t>ABRIL</t>
        </is>
      </c>
      <c r="F57" s="854" t="n"/>
      <c r="G57" s="854" t="n"/>
      <c r="H57" s="854" t="n"/>
      <c r="I57" s="855" t="n"/>
      <c r="J57" s="602" t="inlineStr">
        <is>
          <t>MAIO</t>
        </is>
      </c>
      <c r="K57" s="854" t="n"/>
      <c r="L57" s="854" t="n"/>
      <c r="M57" s="854" t="n"/>
      <c r="N57" s="855" t="n"/>
      <c r="O57" s="603" t="inlineStr">
        <is>
          <t>USOU ATÉ MÃES</t>
        </is>
      </c>
      <c r="P57" s="603" t="inlineStr">
        <is>
          <t>TOTAL GERAL</t>
        </is>
      </c>
    </row>
    <row r="58" ht="15.75" customHeight="1">
      <c r="A58" s="857" t="n"/>
      <c r="B58" s="335" t="n">
        <v>45740</v>
      </c>
      <c r="C58" s="335" t="n">
        <v>45747</v>
      </c>
      <c r="D58" s="603" t="inlineStr">
        <is>
          <t>USOU</t>
        </is>
      </c>
      <c r="E58" s="335" t="n">
        <v>45754</v>
      </c>
      <c r="F58" s="335" t="n">
        <v>45761</v>
      </c>
      <c r="G58" s="335" t="n">
        <v>45768</v>
      </c>
      <c r="H58" s="335" t="n">
        <v>45775</v>
      </c>
      <c r="I58" s="603" t="inlineStr">
        <is>
          <t>USOU</t>
        </is>
      </c>
      <c r="J58" s="335" t="n">
        <v>45782</v>
      </c>
      <c r="K58" s="335" t="n">
        <v>45789</v>
      </c>
      <c r="L58" s="335" t="n">
        <v>45796</v>
      </c>
      <c r="M58" s="335" t="n">
        <v>45803</v>
      </c>
      <c r="N58" s="603" t="inlineStr">
        <is>
          <t>USOU</t>
        </is>
      </c>
      <c r="O58" s="857" t="n"/>
      <c r="P58" s="857" t="n"/>
    </row>
    <row r="59" ht="15.75" customHeight="1">
      <c r="A59" s="204" t="inlineStr">
        <is>
          <t>SACOLA P</t>
        </is>
      </c>
      <c r="B59" s="115" t="n"/>
      <c r="C59" s="115" t="n"/>
      <c r="D59" s="206">
        <f>B59+C59</f>
        <v/>
      </c>
      <c r="E59" s="115" t="n"/>
      <c r="F59" s="115" t="n">
        <v>100</v>
      </c>
      <c r="G59" s="115" t="n">
        <v>180</v>
      </c>
      <c r="H59" s="115" t="n">
        <v>140</v>
      </c>
      <c r="I59" s="206">
        <f>E59+F59+G59+H59</f>
        <v/>
      </c>
      <c r="J59" s="115" t="n">
        <v>200</v>
      </c>
      <c r="K59" s="115" t="n">
        <v>620</v>
      </c>
      <c r="L59" s="115" t="n">
        <v>160</v>
      </c>
      <c r="M59" s="115" t="n">
        <v>0</v>
      </c>
      <c r="N59" s="206">
        <f>J59+K59+L59+M59</f>
        <v/>
      </c>
      <c r="O59" s="231">
        <f>B59+C59+E59+F59+G59+H59+J59+K59</f>
        <v/>
      </c>
      <c r="P59" s="336">
        <f>D59+I59+N59</f>
        <v/>
      </c>
    </row>
    <row r="60" ht="15.75" customHeight="1">
      <c r="A60" s="204" t="inlineStr">
        <is>
          <t>SACOLA M</t>
        </is>
      </c>
      <c r="B60" s="115" t="n"/>
      <c r="C60" s="115" t="n"/>
      <c r="D60" s="206">
        <f>B60+C60</f>
        <v/>
      </c>
      <c r="E60" s="115" t="n"/>
      <c r="F60" s="115" t="n">
        <v>200</v>
      </c>
      <c r="G60" s="115" t="n">
        <v>120</v>
      </c>
      <c r="H60" s="115" t="n">
        <v>80</v>
      </c>
      <c r="I60" s="206">
        <f>E60+F60+G60+H60</f>
        <v/>
      </c>
      <c r="J60" s="115" t="n">
        <v>160</v>
      </c>
      <c r="K60" s="115" t="n">
        <v>440</v>
      </c>
      <c r="L60" s="115" t="n">
        <v>0</v>
      </c>
      <c r="M60" s="115" t="n">
        <v>0</v>
      </c>
      <c r="N60" s="206">
        <f>J60+K60+L60+M60</f>
        <v/>
      </c>
      <c r="O60" s="231">
        <f>B60+C60+E60+F60+G60+H60+J60+K60</f>
        <v/>
      </c>
      <c r="P60" s="336">
        <f>D60+I60+N60</f>
        <v/>
      </c>
    </row>
    <row r="61" ht="15.75" customHeight="1">
      <c r="A61" s="204" t="inlineStr">
        <is>
          <t>SACOLA G</t>
        </is>
      </c>
      <c r="B61" s="115" t="n"/>
      <c r="C61" s="115" t="n"/>
      <c r="D61" s="206">
        <f>B61+C61</f>
        <v/>
      </c>
      <c r="E61" s="115" t="n"/>
      <c r="F61" s="115" t="n">
        <v>20</v>
      </c>
      <c r="G61" s="115" t="n">
        <v>0</v>
      </c>
      <c r="H61" s="115" t="n">
        <v>20</v>
      </c>
      <c r="I61" s="206">
        <f>E61+F61+G61+H61</f>
        <v/>
      </c>
      <c r="J61" s="115" t="n">
        <v>20</v>
      </c>
      <c r="K61" s="115" t="n">
        <v>40</v>
      </c>
      <c r="L61" s="115" t="n">
        <v>0</v>
      </c>
      <c r="M61" s="115" t="n">
        <v>0</v>
      </c>
      <c r="N61" s="206">
        <f>J61+K61+L61+M61</f>
        <v/>
      </c>
      <c r="O61" s="231">
        <f>B61+C61+E61+F61+G61+H61+J61+K61</f>
        <v/>
      </c>
      <c r="P61" s="336">
        <f>D61+I61+N61</f>
        <v/>
      </c>
    </row>
    <row r="62" ht="15.75" customHeight="1">
      <c r="A62" s="134" t="inlineStr">
        <is>
          <t xml:space="preserve">PAPEL DE SEDA </t>
        </is>
      </c>
      <c r="B62" s="115" t="n"/>
      <c r="C62" s="115" t="n"/>
      <c r="D62" s="206">
        <f>B62+C62</f>
        <v/>
      </c>
      <c r="E62" s="115" t="n"/>
      <c r="F62" s="115" t="n">
        <v>2</v>
      </c>
      <c r="G62" s="115" t="n">
        <v>1</v>
      </c>
      <c r="H62" s="115" t="n">
        <v>1</v>
      </c>
      <c r="I62" s="206">
        <f>E62+F62+G62+H62</f>
        <v/>
      </c>
      <c r="J62" s="115" t="n">
        <v>3</v>
      </c>
      <c r="K62" s="115" t="n">
        <v>0</v>
      </c>
      <c r="L62" s="115" t="n">
        <v>0</v>
      </c>
      <c r="M62" s="115" t="n">
        <v>0</v>
      </c>
      <c r="N62" s="206">
        <f>J62+K62+L62+M62</f>
        <v/>
      </c>
      <c r="O62" s="231">
        <f>B62+C62+E62+F62+G62+H62+J62+K62</f>
        <v/>
      </c>
      <c r="P62" s="336">
        <f>D62+I62+N62</f>
        <v/>
      </c>
    </row>
    <row r="63" ht="15.75" customHeight="1">
      <c r="A63" s="134" t="inlineStr">
        <is>
          <t>ADESIVOS</t>
        </is>
      </c>
      <c r="B63" s="115" t="n"/>
      <c r="C63" s="115" t="n"/>
      <c r="D63" s="206">
        <f>B63+C63</f>
        <v/>
      </c>
      <c r="E63" s="115" t="n"/>
      <c r="F63" s="115" t="n">
        <v>0</v>
      </c>
      <c r="G63" s="115" t="n">
        <v>0</v>
      </c>
      <c r="H63" s="115" t="n">
        <v>0</v>
      </c>
      <c r="I63" s="206">
        <f>E63+F63+G63+H63</f>
        <v/>
      </c>
      <c r="J63" s="115" t="n">
        <v>0</v>
      </c>
      <c r="K63" s="115" t="n">
        <v>0</v>
      </c>
      <c r="L63" s="115" t="n">
        <v>0</v>
      </c>
      <c r="M63" s="115" t="n">
        <v>0</v>
      </c>
      <c r="N63" s="206">
        <f>J63+K63+L63+M63</f>
        <v/>
      </c>
      <c r="O63" s="231">
        <f>B63+C63+E63+F63+G63+H63+J63+K63</f>
        <v/>
      </c>
      <c r="P63" s="336">
        <f>D63+I63+N63</f>
        <v/>
      </c>
    </row>
    <row r="64" ht="15.75" customHeight="1">
      <c r="A64" s="134" t="inlineStr">
        <is>
          <t xml:space="preserve">TAGS </t>
        </is>
      </c>
      <c r="B64" s="115" t="n"/>
      <c r="C64" s="115" t="n"/>
      <c r="D64" s="206">
        <f>B64+C64</f>
        <v/>
      </c>
      <c r="E64" s="115" t="n"/>
      <c r="F64" s="115" t="n">
        <v>0</v>
      </c>
      <c r="G64" s="115" t="n">
        <v>0</v>
      </c>
      <c r="H64" s="115" t="n">
        <v>0</v>
      </c>
      <c r="I64" s="206">
        <f>E64+F64+G64+H64</f>
        <v/>
      </c>
      <c r="J64" s="115" t="n">
        <v>2</v>
      </c>
      <c r="K64" s="115" t="n">
        <v>1</v>
      </c>
      <c r="L64" s="115" t="n">
        <v>0</v>
      </c>
      <c r="M64" s="115" t="n">
        <v>0</v>
      </c>
      <c r="N64" s="206">
        <f>J64+K64+L64+M64</f>
        <v/>
      </c>
      <c r="O64" s="231">
        <f>B64+C64+E64+F64+G64+H64+J64+K64</f>
        <v/>
      </c>
      <c r="P64" s="336">
        <f>D64+I64+N64</f>
        <v/>
      </c>
    </row>
    <row r="65" ht="15.75" customHeight="1">
      <c r="A65" s="127" t="inlineStr">
        <is>
          <t>TOTAL DE SACOLAS</t>
        </is>
      </c>
      <c r="B65" s="126">
        <f>B59+B60+B61</f>
        <v/>
      </c>
      <c r="C65" s="126">
        <f>C59+C60+C61</f>
        <v/>
      </c>
      <c r="D65" s="126">
        <f>D59+D60+D61</f>
        <v/>
      </c>
      <c r="E65" s="126">
        <f>E59+E60+E61</f>
        <v/>
      </c>
      <c r="F65" s="126">
        <f>F59+F60+F61</f>
        <v/>
      </c>
      <c r="G65" s="126">
        <f>G59+G60+G61</f>
        <v/>
      </c>
      <c r="H65" s="126">
        <f>H59+H60+H61</f>
        <v/>
      </c>
      <c r="I65" s="126">
        <f>I59+I60+I61</f>
        <v/>
      </c>
      <c r="J65" s="126">
        <f>J59+J60+J61</f>
        <v/>
      </c>
      <c r="K65" s="126">
        <f>K59+K60+K61</f>
        <v/>
      </c>
      <c r="L65" s="126">
        <f>L59+L60+L61</f>
        <v/>
      </c>
      <c r="M65" s="126">
        <f>M59+M60+M61</f>
        <v/>
      </c>
      <c r="N65" s="126">
        <f>N59+N60+N61</f>
        <v/>
      </c>
      <c r="O65" s="337">
        <f>O59+O60+O61</f>
        <v/>
      </c>
      <c r="P65" s="337">
        <f>P59+P60+P61</f>
        <v/>
      </c>
    </row>
    <row r="67" ht="15.75" customHeight="1">
      <c r="A67" s="602" t="inlineStr">
        <is>
          <t>GASTO DE SACOLAS E ITENS DOADOS MÃES/2025 - MENSAIS</t>
        </is>
      </c>
      <c r="B67" s="854" t="n"/>
      <c r="C67" s="854" t="n"/>
      <c r="D67" s="854" t="n"/>
      <c r="E67" s="854" t="n"/>
      <c r="F67" s="854" t="n"/>
      <c r="G67" s="854" t="n"/>
      <c r="H67" s="854" t="n"/>
      <c r="I67" s="854" t="n"/>
      <c r="J67" s="854" t="n"/>
      <c r="K67" s="854" t="n"/>
      <c r="L67" s="854" t="n"/>
      <c r="M67" s="854" t="n"/>
      <c r="N67" s="854" t="n"/>
      <c r="O67" s="854" t="n"/>
      <c r="P67" s="855" t="n"/>
    </row>
    <row r="68" ht="15.75" customHeight="1">
      <c r="A68" s="602" t="inlineStr">
        <is>
          <t>QUADRA 2</t>
        </is>
      </c>
      <c r="B68" s="602" t="inlineStr">
        <is>
          <t>MARÇO</t>
        </is>
      </c>
      <c r="C68" s="854" t="n"/>
      <c r="D68" s="855" t="n"/>
      <c r="E68" s="602" t="inlineStr">
        <is>
          <t>ABRIL</t>
        </is>
      </c>
      <c r="F68" s="854" t="n"/>
      <c r="G68" s="854" t="n"/>
      <c r="H68" s="854" t="n"/>
      <c r="I68" s="855" t="n"/>
      <c r="J68" s="602" t="inlineStr">
        <is>
          <t>MAIO</t>
        </is>
      </c>
      <c r="K68" s="854" t="n"/>
      <c r="L68" s="854" t="n"/>
      <c r="M68" s="854" t="n"/>
      <c r="N68" s="855" t="n"/>
      <c r="O68" s="603" t="inlineStr">
        <is>
          <t>USOU ATÉ MÃES</t>
        </is>
      </c>
      <c r="P68" s="603" t="inlineStr">
        <is>
          <t>TOTAL GERAL</t>
        </is>
      </c>
    </row>
    <row r="69" ht="15.75" customHeight="1">
      <c r="A69" s="857" t="n"/>
      <c r="B69" s="335" t="n">
        <v>45740</v>
      </c>
      <c r="C69" s="335" t="n">
        <v>45747</v>
      </c>
      <c r="D69" s="603" t="inlineStr">
        <is>
          <t>USOU</t>
        </is>
      </c>
      <c r="E69" s="335" t="n">
        <v>45754</v>
      </c>
      <c r="F69" s="335" t="n">
        <v>45761</v>
      </c>
      <c r="G69" s="335" t="n">
        <v>45768</v>
      </c>
      <c r="H69" s="335" t="n">
        <v>45775</v>
      </c>
      <c r="I69" s="603" t="inlineStr">
        <is>
          <t>USOU</t>
        </is>
      </c>
      <c r="J69" s="335" t="n">
        <v>45782</v>
      </c>
      <c r="K69" s="335" t="n">
        <v>45789</v>
      </c>
      <c r="L69" s="335" t="n">
        <v>45796</v>
      </c>
      <c r="M69" s="335" t="n">
        <v>45803</v>
      </c>
      <c r="N69" s="603" t="inlineStr">
        <is>
          <t>USOU</t>
        </is>
      </c>
      <c r="O69" s="857" t="n"/>
      <c r="P69" s="857" t="n"/>
    </row>
    <row r="70" ht="15.75" customHeight="1">
      <c r="A70" s="204" t="inlineStr">
        <is>
          <t>SACOLA P</t>
        </is>
      </c>
      <c r="B70" s="115" t="n"/>
      <c r="C70" s="115" t="n"/>
      <c r="D70" s="206">
        <f>B70+C70</f>
        <v/>
      </c>
      <c r="E70" s="115" t="n"/>
      <c r="F70" s="115" t="n">
        <v>200</v>
      </c>
      <c r="G70" s="115" t="n">
        <v>100</v>
      </c>
      <c r="H70" s="115" t="n">
        <v>80</v>
      </c>
      <c r="I70" s="206">
        <f>E70+F70+G70+H70</f>
        <v/>
      </c>
      <c r="J70" s="115" t="n">
        <v>100</v>
      </c>
      <c r="K70" s="115" t="n">
        <v>200</v>
      </c>
      <c r="L70" s="115" t="n">
        <v>120</v>
      </c>
      <c r="M70" s="115" t="n">
        <v>0</v>
      </c>
      <c r="N70" s="206">
        <f>J70+K70+L70+M70</f>
        <v/>
      </c>
      <c r="O70" s="231">
        <f>B70+C70+E70+F70+G70+H70+J70+K70</f>
        <v/>
      </c>
      <c r="P70" s="336">
        <f>D70+I70+N70</f>
        <v/>
      </c>
    </row>
    <row r="71" ht="15.75" customHeight="1">
      <c r="A71" s="204" t="inlineStr">
        <is>
          <t>SACOLA M</t>
        </is>
      </c>
      <c r="B71" s="115" t="n"/>
      <c r="C71" s="115" t="n"/>
      <c r="D71" s="206">
        <f>B71+C71</f>
        <v/>
      </c>
      <c r="E71" s="115" t="n"/>
      <c r="F71" s="115" t="n">
        <v>140</v>
      </c>
      <c r="G71" s="115" t="n">
        <v>40</v>
      </c>
      <c r="H71" s="115" t="n">
        <v>20</v>
      </c>
      <c r="I71" s="206">
        <f>E71+F71+G71+H71</f>
        <v/>
      </c>
      <c r="J71" s="115" t="n">
        <v>80</v>
      </c>
      <c r="K71" s="115" t="n">
        <v>120</v>
      </c>
      <c r="L71" s="115" t="n">
        <v>0</v>
      </c>
      <c r="M71" s="115" t="n">
        <v>0</v>
      </c>
      <c r="N71" s="206">
        <f>J71+K71+L71+M71</f>
        <v/>
      </c>
      <c r="O71" s="231">
        <f>B71+C71+E71+F71+G71+H71+J71+K71</f>
        <v/>
      </c>
      <c r="P71" s="336">
        <f>D71+I71+N71</f>
        <v/>
      </c>
    </row>
    <row r="72" ht="15.75" customHeight="1">
      <c r="A72" s="204" t="inlineStr">
        <is>
          <t>SACOLA G</t>
        </is>
      </c>
      <c r="B72" s="115" t="n"/>
      <c r="C72" s="115" t="n"/>
      <c r="D72" s="206">
        <f>B72+C72</f>
        <v/>
      </c>
      <c r="E72" s="115" t="n"/>
      <c r="F72" s="115" t="n">
        <v>80</v>
      </c>
      <c r="G72" s="115" t="n">
        <v>0</v>
      </c>
      <c r="H72" s="115" t="n">
        <v>0</v>
      </c>
      <c r="I72" s="206">
        <f>E72+F72+G72+H72</f>
        <v/>
      </c>
      <c r="J72" s="115" t="n">
        <v>20</v>
      </c>
      <c r="K72" s="115" t="n">
        <v>0</v>
      </c>
      <c r="L72" s="115" t="n">
        <v>0</v>
      </c>
      <c r="M72" s="115" t="n">
        <v>0</v>
      </c>
      <c r="N72" s="206">
        <f>J72+K72+L72+M72</f>
        <v/>
      </c>
      <c r="O72" s="231">
        <f>B72+C72+E72+F72+G72+H72+J72+K72</f>
        <v/>
      </c>
      <c r="P72" s="336">
        <f>D72+I72+N72</f>
        <v/>
      </c>
    </row>
    <row r="73" ht="15.75" customHeight="1">
      <c r="A73" s="134" t="inlineStr">
        <is>
          <t xml:space="preserve">PAPEL DE SEDA </t>
        </is>
      </c>
      <c r="B73" s="115" t="n"/>
      <c r="C73" s="115" t="n"/>
      <c r="D73" s="206">
        <f>B73+C73</f>
        <v/>
      </c>
      <c r="E73" s="115" t="n"/>
      <c r="F73" s="115" t="n">
        <v>2</v>
      </c>
      <c r="G73" s="115" t="n">
        <v>2</v>
      </c>
      <c r="H73" s="115" t="n">
        <v>0</v>
      </c>
      <c r="I73" s="206">
        <f>E73+F73+G73+H73</f>
        <v/>
      </c>
      <c r="J73" s="115" t="n">
        <v>1</v>
      </c>
      <c r="K73" s="115" t="n">
        <v>0</v>
      </c>
      <c r="L73" s="115" t="n">
        <v>0</v>
      </c>
      <c r="M73" s="115" t="n">
        <v>0</v>
      </c>
      <c r="N73" s="206">
        <f>J73+K73+L73+M73</f>
        <v/>
      </c>
      <c r="O73" s="231">
        <f>B73+C73+E73+F73+G73+H73+J73+K73</f>
        <v/>
      </c>
      <c r="P73" s="336">
        <f>D73+I73+N73</f>
        <v/>
      </c>
    </row>
    <row r="74" ht="15.75" customHeight="1">
      <c r="A74" s="134" t="inlineStr">
        <is>
          <t>ADESIVOS</t>
        </is>
      </c>
      <c r="B74" s="115" t="n"/>
      <c r="C74" s="115" t="n"/>
      <c r="D74" s="206">
        <f>B74+C74</f>
        <v/>
      </c>
      <c r="E74" s="115" t="n"/>
      <c r="F74" s="115" t="n">
        <v>0</v>
      </c>
      <c r="G74" s="115" t="n">
        <v>0</v>
      </c>
      <c r="H74" s="115" t="n">
        <v>0</v>
      </c>
      <c r="I74" s="206">
        <f>E74+F74+G74+H74</f>
        <v/>
      </c>
      <c r="J74" s="115" t="n">
        <v>0</v>
      </c>
      <c r="K74" s="115" t="n">
        <v>0</v>
      </c>
      <c r="L74" s="115" t="n">
        <v>0</v>
      </c>
      <c r="M74" s="115" t="n">
        <v>0</v>
      </c>
      <c r="N74" s="206">
        <f>J74+K74+L74+M74</f>
        <v/>
      </c>
      <c r="O74" s="231">
        <f>B74+C74+E74+F74+G74+H74+J74+K74</f>
        <v/>
      </c>
      <c r="P74" s="336">
        <f>D74+I74+N74</f>
        <v/>
      </c>
    </row>
    <row r="75" ht="15.75" customHeight="1">
      <c r="A75" s="134" t="inlineStr">
        <is>
          <t xml:space="preserve">TAGS </t>
        </is>
      </c>
      <c r="B75" s="115" t="n"/>
      <c r="C75" s="115" t="n"/>
      <c r="D75" s="206">
        <f>B75+C75</f>
        <v/>
      </c>
      <c r="E75" s="115" t="n"/>
      <c r="F75" s="115" t="n">
        <v>1</v>
      </c>
      <c r="G75" s="115" t="n">
        <v>0</v>
      </c>
      <c r="H75" s="115" t="n">
        <v>0</v>
      </c>
      <c r="I75" s="206">
        <f>E75+F75+G75+H75</f>
        <v/>
      </c>
      <c r="J75" s="115" t="n">
        <v>0</v>
      </c>
      <c r="K75" s="115" t="n">
        <v>1</v>
      </c>
      <c r="L75" s="115" t="n">
        <v>0</v>
      </c>
      <c r="M75" s="115" t="n">
        <v>0</v>
      </c>
      <c r="N75" s="206">
        <f>J75+K75+L75+M75</f>
        <v/>
      </c>
      <c r="O75" s="231">
        <f>B75+C75+E75+F75+G75+H75+J75+K75</f>
        <v/>
      </c>
      <c r="P75" s="336">
        <f>D75+I75+N75</f>
        <v/>
      </c>
    </row>
    <row r="76" ht="15.75" customHeight="1">
      <c r="A76" s="127" t="inlineStr">
        <is>
          <t>TOTAL DE SACOLAS</t>
        </is>
      </c>
      <c r="B76" s="126">
        <f>B70+B71+B72</f>
        <v/>
      </c>
      <c r="C76" s="126">
        <f>C70+C71+C72</f>
        <v/>
      </c>
      <c r="D76" s="126">
        <f>D70+D71+D72</f>
        <v/>
      </c>
      <c r="E76" s="126">
        <f>E70+E71+E72</f>
        <v/>
      </c>
      <c r="F76" s="126">
        <f>F70+F71+F72</f>
        <v/>
      </c>
      <c r="G76" s="126">
        <f>G70+G71+G72</f>
        <v/>
      </c>
      <c r="H76" s="126">
        <f>H70+H71+H72</f>
        <v/>
      </c>
      <c r="I76" s="126">
        <f>I70+I71+I72</f>
        <v/>
      </c>
      <c r="J76" s="126">
        <f>J70+J71+J72</f>
        <v/>
      </c>
      <c r="K76" s="126">
        <f>K70+K71+K72</f>
        <v/>
      </c>
      <c r="L76" s="126">
        <f>L70+L71+L72</f>
        <v/>
      </c>
      <c r="M76" s="126">
        <f>M70+M71+M72</f>
        <v/>
      </c>
      <c r="N76" s="126">
        <f>N70+N71+N72</f>
        <v/>
      </c>
      <c r="O76" s="337">
        <f>O70+O71+O72</f>
        <v/>
      </c>
      <c r="P76" s="337">
        <f>P70+P71+P72</f>
        <v/>
      </c>
    </row>
    <row r="78" ht="15.75" customHeight="1">
      <c r="A78" s="602" t="inlineStr">
        <is>
          <t>GASTO DE SACOLAS E ITENS DOADOS MÃES/2025 - MENSAIS</t>
        </is>
      </c>
      <c r="B78" s="854" t="n"/>
      <c r="C78" s="854" t="n"/>
      <c r="D78" s="854" t="n"/>
      <c r="E78" s="854" t="n"/>
      <c r="F78" s="854" t="n"/>
      <c r="G78" s="854" t="n"/>
      <c r="H78" s="854" t="n"/>
      <c r="I78" s="854" t="n"/>
      <c r="J78" s="854" t="n"/>
      <c r="K78" s="854" t="n"/>
      <c r="L78" s="854" t="n"/>
      <c r="M78" s="854" t="n"/>
      <c r="N78" s="854" t="n"/>
      <c r="O78" s="854" t="n"/>
      <c r="P78" s="855" t="n"/>
    </row>
    <row r="79" ht="15.75" customHeight="1">
      <c r="A79" s="602" t="inlineStr">
        <is>
          <t>MARY DOTA</t>
        </is>
      </c>
      <c r="B79" s="602" t="inlineStr">
        <is>
          <t>MARÇO</t>
        </is>
      </c>
      <c r="C79" s="854" t="n"/>
      <c r="D79" s="855" t="n"/>
      <c r="E79" s="602" t="inlineStr">
        <is>
          <t>ABRIL</t>
        </is>
      </c>
      <c r="F79" s="854" t="n"/>
      <c r="G79" s="854" t="n"/>
      <c r="H79" s="854" t="n"/>
      <c r="I79" s="855" t="n"/>
      <c r="J79" s="602" t="inlineStr">
        <is>
          <t>MAIO</t>
        </is>
      </c>
      <c r="K79" s="854" t="n"/>
      <c r="L79" s="854" t="n"/>
      <c r="M79" s="854" t="n"/>
      <c r="N79" s="855" t="n"/>
      <c r="O79" s="603" t="inlineStr">
        <is>
          <t>USOU ATÉ MÃES</t>
        </is>
      </c>
      <c r="P79" s="603" t="inlineStr">
        <is>
          <t>TOTAL GERAL</t>
        </is>
      </c>
    </row>
    <row r="80" ht="15.75" customHeight="1">
      <c r="A80" s="857" t="n"/>
      <c r="B80" s="335" t="n">
        <v>45740</v>
      </c>
      <c r="C80" s="335" t="n">
        <v>45747</v>
      </c>
      <c r="D80" s="603" t="inlineStr">
        <is>
          <t>USOU</t>
        </is>
      </c>
      <c r="E80" s="335" t="n">
        <v>45754</v>
      </c>
      <c r="F80" s="335" t="n">
        <v>45761</v>
      </c>
      <c r="G80" s="335" t="n">
        <v>45768</v>
      </c>
      <c r="H80" s="335" t="n">
        <v>45775</v>
      </c>
      <c r="I80" s="603" t="inlineStr">
        <is>
          <t>USOU</t>
        </is>
      </c>
      <c r="J80" s="335" t="n">
        <v>45782</v>
      </c>
      <c r="K80" s="335" t="n">
        <v>45789</v>
      </c>
      <c r="L80" s="335" t="n">
        <v>45796</v>
      </c>
      <c r="M80" s="335" t="n">
        <v>45803</v>
      </c>
      <c r="N80" s="603" t="inlineStr">
        <is>
          <t>USOU</t>
        </is>
      </c>
      <c r="O80" s="857" t="n"/>
      <c r="P80" s="857" t="n"/>
    </row>
    <row r="81" ht="15.75" customHeight="1">
      <c r="A81" s="204" t="inlineStr">
        <is>
          <t>SACOLA P</t>
        </is>
      </c>
      <c r="B81" s="115" t="n"/>
      <c r="C81" s="115" t="n"/>
      <c r="D81" s="206">
        <f>B81+C81</f>
        <v/>
      </c>
      <c r="E81" s="115" t="n"/>
      <c r="F81" s="115" t="n">
        <v>200</v>
      </c>
      <c r="G81" s="115" t="n">
        <v>100</v>
      </c>
      <c r="H81" s="115" t="n">
        <v>0</v>
      </c>
      <c r="I81" s="206">
        <f>E81+F81+G81+H81</f>
        <v/>
      </c>
      <c r="J81" s="115" t="n">
        <v>150</v>
      </c>
      <c r="K81" s="115" t="n">
        <v>150</v>
      </c>
      <c r="L81" s="115" t="n">
        <v>0</v>
      </c>
      <c r="M81" s="115" t="n">
        <v>0</v>
      </c>
      <c r="N81" s="206">
        <f>J81+K81+L81+M81</f>
        <v/>
      </c>
      <c r="O81" s="231">
        <f>B81+C81+E81+F81+G81+H81+J81+K81</f>
        <v/>
      </c>
      <c r="P81" s="336">
        <f>D81+I81+N81</f>
        <v/>
      </c>
    </row>
    <row r="82" ht="15.75" customHeight="1">
      <c r="A82" s="204" t="inlineStr">
        <is>
          <t>SACOLA M</t>
        </is>
      </c>
      <c r="B82" s="115" t="n"/>
      <c r="C82" s="115" t="n"/>
      <c r="D82" s="206">
        <f>B82+C82</f>
        <v/>
      </c>
      <c r="E82" s="115" t="n"/>
      <c r="F82" s="115" t="n">
        <v>0</v>
      </c>
      <c r="G82" s="115" t="n">
        <v>100</v>
      </c>
      <c r="H82" s="115" t="n">
        <v>50</v>
      </c>
      <c r="I82" s="206">
        <f>E82+F82+G82+H82</f>
        <v/>
      </c>
      <c r="J82" s="115" t="n">
        <v>100</v>
      </c>
      <c r="K82" s="115" t="n">
        <v>150</v>
      </c>
      <c r="L82" s="115" t="n">
        <v>0</v>
      </c>
      <c r="M82" s="115" t="n">
        <v>0</v>
      </c>
      <c r="N82" s="206">
        <f>J82+K82+L82+M82</f>
        <v/>
      </c>
      <c r="O82" s="231">
        <f>B82+C82+E82+F82+G82+H82+J82+K82</f>
        <v/>
      </c>
      <c r="P82" s="336">
        <f>D82+I82+N82</f>
        <v/>
      </c>
    </row>
    <row r="83" ht="15.75" customHeight="1">
      <c r="A83" s="204" t="inlineStr">
        <is>
          <t>SACOLA G</t>
        </is>
      </c>
      <c r="B83" s="115" t="n"/>
      <c r="C83" s="115" t="n"/>
      <c r="D83" s="206">
        <f>B83+C83</f>
        <v/>
      </c>
      <c r="E83" s="115" t="n"/>
      <c r="F83" s="115" t="n">
        <v>0</v>
      </c>
      <c r="G83" s="115" t="n">
        <v>50</v>
      </c>
      <c r="H83" s="115" t="n">
        <v>0</v>
      </c>
      <c r="I83" s="206">
        <f>E83+F83+G83+H83</f>
        <v/>
      </c>
      <c r="J83" s="115" t="n">
        <v>0</v>
      </c>
      <c r="K83" s="115" t="n">
        <v>50</v>
      </c>
      <c r="L83" s="115" t="n">
        <v>0</v>
      </c>
      <c r="M83" s="115" t="n">
        <v>0</v>
      </c>
      <c r="N83" s="206">
        <f>J83+K83+L83+M83</f>
        <v/>
      </c>
      <c r="O83" s="231">
        <f>B83+C83+E83+F83+G83+H83+J83+K83</f>
        <v/>
      </c>
      <c r="P83" s="336">
        <f>D83+I83+N83</f>
        <v/>
      </c>
    </row>
    <row r="84" ht="15.75" customHeight="1">
      <c r="A84" s="134" t="inlineStr">
        <is>
          <t xml:space="preserve">PAPEL DE SEDA </t>
        </is>
      </c>
      <c r="B84" s="115" t="n"/>
      <c r="C84" s="115" t="n"/>
      <c r="D84" s="206">
        <f>B84+C84</f>
        <v/>
      </c>
      <c r="E84" s="115" t="n"/>
      <c r="F84" s="115" t="n">
        <v>0</v>
      </c>
      <c r="G84" s="115" t="n">
        <v>1</v>
      </c>
      <c r="H84" s="115" t="n">
        <v>0</v>
      </c>
      <c r="I84" s="206">
        <f>E84+F84+G84+H84</f>
        <v/>
      </c>
      <c r="J84" s="115" t="n">
        <v>1</v>
      </c>
      <c r="K84" s="115" t="n">
        <v>2</v>
      </c>
      <c r="L84" s="115" t="n">
        <v>0</v>
      </c>
      <c r="M84" s="115" t="n">
        <v>0</v>
      </c>
      <c r="N84" s="206">
        <f>J84+K84+L84+M84</f>
        <v/>
      </c>
      <c r="O84" s="231">
        <f>B84+C84+E84+F84+G84+H84+J84+K84</f>
        <v/>
      </c>
      <c r="P84" s="336">
        <f>D84+I84+N84</f>
        <v/>
      </c>
    </row>
    <row r="85" ht="15.75" customHeight="1">
      <c r="A85" s="134" t="inlineStr">
        <is>
          <t>ADESIVOS</t>
        </is>
      </c>
      <c r="B85" s="115" t="n"/>
      <c r="C85" s="115" t="n"/>
      <c r="D85" s="206">
        <f>B85+C85</f>
        <v/>
      </c>
      <c r="E85" s="115" t="n"/>
      <c r="F85" s="115" t="n">
        <v>0</v>
      </c>
      <c r="G85" s="115" t="n">
        <v>0</v>
      </c>
      <c r="H85" s="115" t="n">
        <v>0</v>
      </c>
      <c r="I85" s="206">
        <f>E85+F85+G85+H85</f>
        <v/>
      </c>
      <c r="J85" s="115" t="n">
        <v>0</v>
      </c>
      <c r="K85" s="115" t="n">
        <v>0</v>
      </c>
      <c r="L85" s="115" t="n">
        <v>0</v>
      </c>
      <c r="M85" s="115" t="n">
        <v>0</v>
      </c>
      <c r="N85" s="206">
        <f>J85+K85+L85+M85</f>
        <v/>
      </c>
      <c r="O85" s="231">
        <f>B85+C85+E85+F85+G85+H85+J85+K85</f>
        <v/>
      </c>
      <c r="P85" s="336">
        <f>D85+I85+N85</f>
        <v/>
      </c>
    </row>
    <row r="86" ht="15.75" customHeight="1">
      <c r="A86" s="134" t="inlineStr">
        <is>
          <t xml:space="preserve">TAGS </t>
        </is>
      </c>
      <c r="B86" s="115" t="n"/>
      <c r="C86" s="115" t="n"/>
      <c r="D86" s="206">
        <f>B86+C86</f>
        <v/>
      </c>
      <c r="E86" s="115" t="n"/>
      <c r="F86" s="115" t="n">
        <v>0</v>
      </c>
      <c r="G86" s="115" t="n">
        <v>0</v>
      </c>
      <c r="H86" s="115" t="n">
        <v>0</v>
      </c>
      <c r="I86" s="206">
        <f>E86+F86+G86+H86</f>
        <v/>
      </c>
      <c r="J86" s="115" t="n">
        <v>50</v>
      </c>
      <c r="K86" s="115" t="n">
        <v>100</v>
      </c>
      <c r="L86" s="115" t="n">
        <v>0</v>
      </c>
      <c r="M86" s="115" t="n">
        <v>0</v>
      </c>
      <c r="N86" s="206">
        <f>J86+K86+L86+M86</f>
        <v/>
      </c>
      <c r="O86" s="231">
        <f>B86+C86+E86+F86+G86+H86+J86+K86</f>
        <v/>
      </c>
      <c r="P86" s="336">
        <f>D86+I86+N86</f>
        <v/>
      </c>
    </row>
    <row r="87" ht="15.75" customHeight="1">
      <c r="A87" s="127" t="inlineStr">
        <is>
          <t>TOTAL DE SACOLAS</t>
        </is>
      </c>
      <c r="B87" s="126">
        <f>B81+B82+B83</f>
        <v/>
      </c>
      <c r="C87" s="126">
        <f>C81+C82+C83</f>
        <v/>
      </c>
      <c r="D87" s="126">
        <f>D81+D82+D83</f>
        <v/>
      </c>
      <c r="E87" s="126">
        <f>E81+E82+E83</f>
        <v/>
      </c>
      <c r="F87" s="126">
        <f>F81+F82+F83</f>
        <v/>
      </c>
      <c r="G87" s="126">
        <f>G81+G82+G83</f>
        <v/>
      </c>
      <c r="H87" s="126">
        <f>H81+H82+H83</f>
        <v/>
      </c>
      <c r="I87" s="126">
        <f>I81+I82+I83</f>
        <v/>
      </c>
      <c r="J87" s="126">
        <f>J81+J82+J83</f>
        <v/>
      </c>
      <c r="K87" s="126">
        <f>K81+K82+K83</f>
        <v/>
      </c>
      <c r="L87" s="126">
        <f>L81+L82+L83</f>
        <v/>
      </c>
      <c r="M87" s="126">
        <f>M81+M82+M83</f>
        <v/>
      </c>
      <c r="N87" s="126">
        <f>N81+N82+N83</f>
        <v/>
      </c>
      <c r="O87" s="337">
        <f>O81+O82+O83</f>
        <v/>
      </c>
      <c r="P87" s="337">
        <f>P81+P82+P83</f>
        <v/>
      </c>
    </row>
    <row r="89" ht="15.75" customHeight="1">
      <c r="A89" s="602" t="inlineStr">
        <is>
          <t>GASTO DE SACOLAS E ITENS DOADOS MÃES/2025 - MENSAIS</t>
        </is>
      </c>
      <c r="B89" s="854" t="n"/>
      <c r="C89" s="854" t="n"/>
      <c r="D89" s="854" t="n"/>
      <c r="E89" s="854" t="n"/>
      <c r="F89" s="854" t="n"/>
      <c r="G89" s="854" t="n"/>
      <c r="H89" s="854" t="n"/>
      <c r="I89" s="854" t="n"/>
      <c r="J89" s="854" t="n"/>
      <c r="K89" s="854" t="n"/>
      <c r="L89" s="854" t="n"/>
      <c r="M89" s="854" t="n"/>
      <c r="N89" s="854" t="n"/>
      <c r="O89" s="854" t="n"/>
      <c r="P89" s="855" t="n"/>
    </row>
    <row r="90" ht="15.75" customHeight="1">
      <c r="A90" s="602" t="inlineStr">
        <is>
          <t>CD BAURU</t>
        </is>
      </c>
      <c r="B90" s="602" t="inlineStr">
        <is>
          <t>MARÇO</t>
        </is>
      </c>
      <c r="C90" s="854" t="n"/>
      <c r="D90" s="855" t="n"/>
      <c r="E90" s="602" t="inlineStr">
        <is>
          <t>ABRIL</t>
        </is>
      </c>
      <c r="F90" s="854" t="n"/>
      <c r="G90" s="854" t="n"/>
      <c r="H90" s="854" t="n"/>
      <c r="I90" s="855" t="n"/>
      <c r="J90" s="602" t="inlineStr">
        <is>
          <t>MAIO</t>
        </is>
      </c>
      <c r="K90" s="854" t="n"/>
      <c r="L90" s="854" t="n"/>
      <c r="M90" s="854" t="n"/>
      <c r="N90" s="855" t="n"/>
      <c r="O90" s="603" t="inlineStr">
        <is>
          <t>USOU ATÉ MÃES</t>
        </is>
      </c>
      <c r="P90" s="603" t="inlineStr">
        <is>
          <t>TOTAL GERAL</t>
        </is>
      </c>
    </row>
    <row r="91" ht="15.75" customHeight="1">
      <c r="A91" s="857" t="n"/>
      <c r="B91" s="335" t="n">
        <v>45740</v>
      </c>
      <c r="C91" s="335" t="n">
        <v>45747</v>
      </c>
      <c r="D91" s="603" t="inlineStr">
        <is>
          <t>USOU</t>
        </is>
      </c>
      <c r="E91" s="335" t="n">
        <v>45754</v>
      </c>
      <c r="F91" s="335" t="n">
        <v>45761</v>
      </c>
      <c r="G91" s="335" t="n">
        <v>45768</v>
      </c>
      <c r="H91" s="335" t="n">
        <v>45775</v>
      </c>
      <c r="I91" s="603" t="inlineStr">
        <is>
          <t>USOU</t>
        </is>
      </c>
      <c r="J91" s="335" t="n">
        <v>45782</v>
      </c>
      <c r="K91" s="335" t="n">
        <v>45789</v>
      </c>
      <c r="L91" s="335" t="n">
        <v>45796</v>
      </c>
      <c r="M91" s="335" t="n">
        <v>45803</v>
      </c>
      <c r="N91" s="603" t="inlineStr">
        <is>
          <t>USOU</t>
        </is>
      </c>
      <c r="O91" s="857" t="n"/>
      <c r="P91" s="857" t="n"/>
    </row>
    <row r="92" ht="15.75" customHeight="1">
      <c r="A92" s="204" t="inlineStr">
        <is>
          <t>SACOLA P</t>
        </is>
      </c>
      <c r="B92" s="115" t="n"/>
      <c r="C92" s="115" t="n"/>
      <c r="D92" s="206">
        <f>B92+C92</f>
        <v/>
      </c>
      <c r="E92" s="115" t="n"/>
      <c r="F92" s="115" t="n">
        <v>0</v>
      </c>
      <c r="G92" s="115" t="n">
        <v>1600</v>
      </c>
      <c r="H92" s="115" t="n">
        <v>200</v>
      </c>
      <c r="I92" s="206">
        <f>E92+F92+G92+H92</f>
        <v/>
      </c>
      <c r="J92" s="115" t="n">
        <v>200</v>
      </c>
      <c r="K92" s="115" t="n">
        <v>1200</v>
      </c>
      <c r="L92" s="115" t="n">
        <v>0</v>
      </c>
      <c r="M92" s="115" t="n">
        <v>0</v>
      </c>
      <c r="N92" s="206">
        <f>J92+K92+L92+M92</f>
        <v/>
      </c>
      <c r="O92" s="231">
        <f>B92+C92+E92+F92+G92+H92+J92+K92</f>
        <v/>
      </c>
      <c r="P92" s="336">
        <f>D92+I92+N92</f>
        <v/>
      </c>
    </row>
    <row r="93" ht="15.75" customHeight="1">
      <c r="A93" s="204" t="inlineStr">
        <is>
          <t>SACOLA M</t>
        </is>
      </c>
      <c r="B93" s="115" t="n"/>
      <c r="C93" s="115" t="n"/>
      <c r="D93" s="206">
        <f>B93+C93</f>
        <v/>
      </c>
      <c r="E93" s="115" t="n"/>
      <c r="F93" s="115" t="n">
        <v>0</v>
      </c>
      <c r="G93" s="115" t="n">
        <v>400</v>
      </c>
      <c r="H93" s="115" t="n">
        <v>200</v>
      </c>
      <c r="I93" s="206">
        <f>E93+F93+G93+H93</f>
        <v/>
      </c>
      <c r="J93" s="115" t="n">
        <v>0</v>
      </c>
      <c r="K93" s="115" t="n">
        <v>200</v>
      </c>
      <c r="L93" s="115" t="n">
        <v>0</v>
      </c>
      <c r="M93" s="115" t="n">
        <v>0</v>
      </c>
      <c r="N93" s="206">
        <f>J93+K93+L93+M93</f>
        <v/>
      </c>
      <c r="O93" s="231">
        <f>B93+C93+E93+F93+G93+H93+J93+K93</f>
        <v/>
      </c>
      <c r="P93" s="336">
        <f>D93+I93+N93</f>
        <v/>
      </c>
    </row>
    <row r="94" ht="15.75" customHeight="1">
      <c r="A94" s="204" t="inlineStr">
        <is>
          <t>SACOLA G</t>
        </is>
      </c>
      <c r="B94" s="115" t="n"/>
      <c r="C94" s="115" t="n"/>
      <c r="D94" s="206">
        <f>B94+C94</f>
        <v/>
      </c>
      <c r="E94" s="115" t="n"/>
      <c r="F94" s="115" t="n">
        <v>0</v>
      </c>
      <c r="G94" s="115" t="n">
        <v>0</v>
      </c>
      <c r="H94" s="115" t="n">
        <v>0</v>
      </c>
      <c r="I94" s="206">
        <f>E94+F94+G94+H94</f>
        <v/>
      </c>
      <c r="J94" s="115" t="n">
        <v>0</v>
      </c>
      <c r="K94" s="115" t="n">
        <v>100</v>
      </c>
      <c r="L94" s="115" t="n">
        <v>0</v>
      </c>
      <c r="M94" s="115" t="n">
        <v>0</v>
      </c>
      <c r="N94" s="206">
        <f>J94+K94+L94+M94</f>
        <v/>
      </c>
      <c r="O94" s="231">
        <f>B94+C94+E94+F94+G94+H94+J94+K94</f>
        <v/>
      </c>
      <c r="P94" s="336">
        <f>D94+I94+N94</f>
        <v/>
      </c>
    </row>
    <row r="95" ht="15.75" customHeight="1">
      <c r="A95" s="134" t="inlineStr">
        <is>
          <t xml:space="preserve">PAPEL DE SEDA </t>
        </is>
      </c>
      <c r="B95" s="115" t="n"/>
      <c r="C95" s="115" t="n"/>
      <c r="D95" s="206">
        <f>B95+C95</f>
        <v/>
      </c>
      <c r="E95" s="115" t="n"/>
      <c r="F95" s="115" t="n">
        <v>0</v>
      </c>
      <c r="G95" s="115" t="n">
        <v>0</v>
      </c>
      <c r="H95" s="115" t="n">
        <v>0</v>
      </c>
      <c r="I95" s="206">
        <f>E95+F95+G95+H95</f>
        <v/>
      </c>
      <c r="J95" s="115" t="n">
        <v>0</v>
      </c>
      <c r="K95" s="115" t="n">
        <v>0</v>
      </c>
      <c r="L95" s="115" t="n">
        <v>0</v>
      </c>
      <c r="M95" s="115" t="n">
        <v>0</v>
      </c>
      <c r="N95" s="206">
        <f>J95+K95+L95+M95</f>
        <v/>
      </c>
      <c r="O95" s="231">
        <f>B95+C95+E95+F95+G95+H95+J95+K95</f>
        <v/>
      </c>
      <c r="P95" s="336">
        <f>D95+I95+N95</f>
        <v/>
      </c>
    </row>
    <row r="96" ht="15.75" customHeight="1">
      <c r="A96" s="134" t="inlineStr">
        <is>
          <t>ADESIVOS</t>
        </is>
      </c>
      <c r="B96" s="115" t="n"/>
      <c r="C96" s="115" t="n"/>
      <c r="D96" s="206">
        <f>B96+C96</f>
        <v/>
      </c>
      <c r="E96" s="115" t="n"/>
      <c r="F96" s="115" t="n">
        <v>0</v>
      </c>
      <c r="G96" s="115" t="n">
        <v>0</v>
      </c>
      <c r="H96" s="115" t="n">
        <v>0</v>
      </c>
      <c r="I96" s="206">
        <f>E96+F96+G96+H96</f>
        <v/>
      </c>
      <c r="J96" s="115" t="n">
        <v>0</v>
      </c>
      <c r="K96" s="115" t="n">
        <v>0</v>
      </c>
      <c r="L96" s="115" t="n">
        <v>0</v>
      </c>
      <c r="M96" s="115" t="n">
        <v>0</v>
      </c>
      <c r="N96" s="206">
        <f>J96+K96+L96+M96</f>
        <v/>
      </c>
      <c r="O96" s="231">
        <f>B96+C96+E96+F96+G96+H96+J96+K96</f>
        <v/>
      </c>
      <c r="P96" s="336">
        <f>D96+I96+N96</f>
        <v/>
      </c>
    </row>
    <row r="97" ht="15.75" customHeight="1">
      <c r="A97" s="134" t="inlineStr">
        <is>
          <t xml:space="preserve">TAGS </t>
        </is>
      </c>
      <c r="B97" s="115" t="n"/>
      <c r="C97" s="115" t="n"/>
      <c r="D97" s="206">
        <f>B97+C97</f>
        <v/>
      </c>
      <c r="E97" s="115" t="n"/>
      <c r="F97" s="115" t="n">
        <v>0</v>
      </c>
      <c r="G97" s="115" t="n">
        <v>0</v>
      </c>
      <c r="H97" s="115" t="n">
        <v>0</v>
      </c>
      <c r="I97" s="206">
        <f>E97+F97+G97+H97</f>
        <v/>
      </c>
      <c r="J97" s="115" t="n">
        <v>0</v>
      </c>
      <c r="K97" s="115" t="n">
        <v>0</v>
      </c>
      <c r="L97" s="115" t="n">
        <v>0</v>
      </c>
      <c r="M97" s="115" t="n">
        <v>0</v>
      </c>
      <c r="N97" s="206">
        <f>J97+K97+L97+M97</f>
        <v/>
      </c>
      <c r="O97" s="231">
        <f>B97+C97+E97+F97+G97+H97+J97+K97</f>
        <v/>
      </c>
      <c r="P97" s="336">
        <f>D97+I97+N97</f>
        <v/>
      </c>
    </row>
    <row r="98" ht="15.75" customHeight="1">
      <c r="A98" s="127" t="inlineStr">
        <is>
          <t>TOTAL DE SACOLAS</t>
        </is>
      </c>
      <c r="B98" s="126">
        <f>B92+B93+B94</f>
        <v/>
      </c>
      <c r="C98" s="126">
        <f>C92+C93+C94</f>
        <v/>
      </c>
      <c r="D98" s="126">
        <f>D92+D93+D94</f>
        <v/>
      </c>
      <c r="E98" s="126">
        <f>E92+E93+E94</f>
        <v/>
      </c>
      <c r="F98" s="126">
        <f>F92+F93+F94</f>
        <v/>
      </c>
      <c r="G98" s="126">
        <f>G92+G93+G94</f>
        <v/>
      </c>
      <c r="H98" s="126">
        <f>H92+H93+H94</f>
        <v/>
      </c>
      <c r="I98" s="126">
        <f>I92+I93+I94</f>
        <v/>
      </c>
      <c r="J98" s="126">
        <f>J92+J93+J94</f>
        <v/>
      </c>
      <c r="K98" s="126">
        <f>K92+K93+K94</f>
        <v/>
      </c>
      <c r="L98" s="126">
        <f>L92+L93+L94</f>
        <v/>
      </c>
      <c r="M98" s="126">
        <f>M92+M93+M94</f>
        <v/>
      </c>
      <c r="N98" s="126">
        <f>N92+N93+N94</f>
        <v/>
      </c>
      <c r="O98" s="337">
        <f>O92+O93+O94</f>
        <v/>
      </c>
      <c r="P98" s="337">
        <f>P92+P93+P94</f>
        <v/>
      </c>
    </row>
    <row r="100" ht="15.75" customHeight="1">
      <c r="A100" s="602" t="inlineStr">
        <is>
          <t>GASTO DE SACOLAS E ITENS DOADOS MÃES/2025 - MENSAIS</t>
        </is>
      </c>
      <c r="B100" s="854" t="n"/>
      <c r="C100" s="854" t="n"/>
      <c r="D100" s="854" t="n"/>
      <c r="E100" s="854" t="n"/>
      <c r="F100" s="854" t="n"/>
      <c r="G100" s="854" t="n"/>
      <c r="H100" s="854" t="n"/>
      <c r="I100" s="854" t="n"/>
      <c r="J100" s="854" t="n"/>
      <c r="K100" s="854" t="n"/>
      <c r="L100" s="854" t="n"/>
      <c r="M100" s="854" t="n"/>
      <c r="N100" s="854" t="n"/>
      <c r="O100" s="854" t="n"/>
      <c r="P100" s="855" t="n"/>
    </row>
    <row r="101" ht="15.75" customHeight="1">
      <c r="A101" s="602" t="inlineStr">
        <is>
          <t>ER BAURU</t>
        </is>
      </c>
      <c r="B101" s="602" t="inlineStr">
        <is>
          <t>MARÇO</t>
        </is>
      </c>
      <c r="C101" s="854" t="n"/>
      <c r="D101" s="855" t="n"/>
      <c r="E101" s="602" t="inlineStr">
        <is>
          <t>ABRIL</t>
        </is>
      </c>
      <c r="F101" s="854" t="n"/>
      <c r="G101" s="854" t="n"/>
      <c r="H101" s="854" t="n"/>
      <c r="I101" s="855" t="n"/>
      <c r="J101" s="602" t="inlineStr">
        <is>
          <t>MAIO</t>
        </is>
      </c>
      <c r="K101" s="854" t="n"/>
      <c r="L101" s="854" t="n"/>
      <c r="M101" s="854" t="n"/>
      <c r="N101" s="855" t="n"/>
      <c r="O101" s="603" t="inlineStr">
        <is>
          <t>USOU ATÉ MÃES</t>
        </is>
      </c>
      <c r="P101" s="603" t="inlineStr">
        <is>
          <t>TOTAL GERAL</t>
        </is>
      </c>
    </row>
    <row r="102" ht="15.75" customHeight="1">
      <c r="A102" s="857" t="n"/>
      <c r="B102" s="335" t="n">
        <v>45740</v>
      </c>
      <c r="C102" s="335" t="n">
        <v>45747</v>
      </c>
      <c r="D102" s="603" t="inlineStr">
        <is>
          <t>USOU</t>
        </is>
      </c>
      <c r="E102" s="335" t="n">
        <v>45754</v>
      </c>
      <c r="F102" s="335" t="n">
        <v>45761</v>
      </c>
      <c r="G102" s="335" t="n">
        <v>45768</v>
      </c>
      <c r="H102" s="335" t="n">
        <v>45775</v>
      </c>
      <c r="I102" s="603" t="inlineStr">
        <is>
          <t>USOU</t>
        </is>
      </c>
      <c r="J102" s="335" t="n">
        <v>45782</v>
      </c>
      <c r="K102" s="335" t="n">
        <v>45789</v>
      </c>
      <c r="L102" s="335" t="n">
        <v>45796</v>
      </c>
      <c r="M102" s="335" t="n">
        <v>45803</v>
      </c>
      <c r="N102" s="603" t="inlineStr">
        <is>
          <t>USOU</t>
        </is>
      </c>
      <c r="O102" s="857" t="n"/>
      <c r="P102" s="857" t="n"/>
    </row>
    <row r="103" ht="15.75" customHeight="1">
      <c r="A103" s="204" t="inlineStr">
        <is>
          <t>SACOLA P</t>
        </is>
      </c>
      <c r="B103" s="115" t="n"/>
      <c r="C103" s="115" t="n"/>
      <c r="D103" s="206">
        <f>B103+C103</f>
        <v/>
      </c>
      <c r="E103" s="115" t="n"/>
      <c r="F103" s="115" t="n">
        <v>400</v>
      </c>
      <c r="G103" s="115" t="n">
        <v>0</v>
      </c>
      <c r="H103" s="115" t="n">
        <v>0</v>
      </c>
      <c r="I103" s="206">
        <f>E103+F103+G103+H103</f>
        <v/>
      </c>
      <c r="J103" s="115" t="n">
        <v>0</v>
      </c>
      <c r="K103" s="115" t="n">
        <v>0</v>
      </c>
      <c r="L103" s="115" t="n">
        <v>0</v>
      </c>
      <c r="M103" s="115" t="n">
        <v>400</v>
      </c>
      <c r="N103" s="206">
        <f>J103+K103+L103+M103</f>
        <v/>
      </c>
      <c r="O103" s="231">
        <f>B103+C103+E103+F103+G103+H103+J103+K103</f>
        <v/>
      </c>
      <c r="P103" s="336">
        <f>D103+I103+N103</f>
        <v/>
      </c>
    </row>
    <row r="104" ht="15.75" customHeight="1">
      <c r="A104" s="204" t="inlineStr">
        <is>
          <t>SACOLA M</t>
        </is>
      </c>
      <c r="B104" s="115" t="n"/>
      <c r="C104" s="115" t="n"/>
      <c r="D104" s="206">
        <f>B104+C104</f>
        <v/>
      </c>
      <c r="E104" s="115" t="n"/>
      <c r="F104" s="115" t="n">
        <v>0</v>
      </c>
      <c r="G104" s="115" t="n">
        <v>0</v>
      </c>
      <c r="H104" s="115" t="n">
        <v>0</v>
      </c>
      <c r="I104" s="206">
        <f>E104+F104+G104+H104</f>
        <v/>
      </c>
      <c r="J104" s="115" t="n">
        <v>0</v>
      </c>
      <c r="K104" s="115" t="n">
        <v>0</v>
      </c>
      <c r="L104" s="115" t="n">
        <v>0</v>
      </c>
      <c r="M104" s="115" t="n">
        <v>0</v>
      </c>
      <c r="N104" s="206">
        <f>J104+K104+L104+M104</f>
        <v/>
      </c>
      <c r="O104" s="231">
        <f>B104+C104+E104+F104+G104+H104+J104+K104</f>
        <v/>
      </c>
      <c r="P104" s="336">
        <f>D104+I104+N104</f>
        <v/>
      </c>
    </row>
    <row r="105" ht="15.75" customHeight="1">
      <c r="A105" s="204" t="inlineStr">
        <is>
          <t>SACOLA G</t>
        </is>
      </c>
      <c r="B105" s="115" t="n"/>
      <c r="C105" s="115" t="n"/>
      <c r="D105" s="206">
        <f>B105+C105</f>
        <v/>
      </c>
      <c r="E105" s="115" t="n"/>
      <c r="F105" s="115" t="n">
        <v>0</v>
      </c>
      <c r="G105" s="115" t="n">
        <v>0</v>
      </c>
      <c r="H105" s="115" t="n">
        <v>0</v>
      </c>
      <c r="I105" s="206">
        <f>E105+F105+G105+H105</f>
        <v/>
      </c>
      <c r="J105" s="115" t="n">
        <v>0</v>
      </c>
      <c r="K105" s="115" t="n">
        <v>0</v>
      </c>
      <c r="L105" s="115" t="n">
        <v>0</v>
      </c>
      <c r="M105" s="115" t="n">
        <v>0</v>
      </c>
      <c r="N105" s="206">
        <f>J105+K105+L105+M105</f>
        <v/>
      </c>
      <c r="O105" s="231">
        <f>B105+C105+E105+F105+G105+H105+J105+K105</f>
        <v/>
      </c>
      <c r="P105" s="336">
        <f>D105+I105+N105</f>
        <v/>
      </c>
    </row>
    <row r="106" ht="15.75" customHeight="1">
      <c r="A106" s="134" t="inlineStr">
        <is>
          <t xml:space="preserve">PAPEL DE SEDA </t>
        </is>
      </c>
      <c r="B106" s="115" t="n"/>
      <c r="C106" s="115" t="n"/>
      <c r="D106" s="206">
        <f>B106+C106</f>
        <v/>
      </c>
      <c r="E106" s="115" t="n"/>
      <c r="F106" s="115" t="n">
        <v>0</v>
      </c>
      <c r="G106" s="115" t="n">
        <v>0</v>
      </c>
      <c r="H106" s="115" t="n">
        <v>0</v>
      </c>
      <c r="I106" s="206">
        <f>E106+F106+G106+H106</f>
        <v/>
      </c>
      <c r="J106" s="115" t="n">
        <v>0</v>
      </c>
      <c r="K106" s="115" t="n">
        <v>0</v>
      </c>
      <c r="L106" s="115" t="n">
        <v>0</v>
      </c>
      <c r="M106" s="115" t="n">
        <v>0</v>
      </c>
      <c r="N106" s="206">
        <f>J106+K106+L106+M106</f>
        <v/>
      </c>
      <c r="O106" s="231">
        <f>B106+C106+E106+F106+G106+H106+J106+K106</f>
        <v/>
      </c>
      <c r="P106" s="336">
        <f>D106+I106+N106</f>
        <v/>
      </c>
    </row>
    <row r="107" ht="15.75" customHeight="1">
      <c r="A107" s="134" t="inlineStr">
        <is>
          <t>ADESIVOS</t>
        </is>
      </c>
      <c r="B107" s="115" t="n"/>
      <c r="C107" s="115" t="n"/>
      <c r="D107" s="206">
        <f>B107+C107</f>
        <v/>
      </c>
      <c r="E107" s="115" t="n"/>
      <c r="F107" s="115" t="n">
        <v>0</v>
      </c>
      <c r="G107" s="115" t="n">
        <v>0</v>
      </c>
      <c r="H107" s="115" t="n">
        <v>0</v>
      </c>
      <c r="I107" s="206">
        <f>E107+F107+G107+H107</f>
        <v/>
      </c>
      <c r="J107" s="115" t="n">
        <v>0</v>
      </c>
      <c r="K107" s="115" t="n">
        <v>0</v>
      </c>
      <c r="L107" s="115" t="n">
        <v>0</v>
      </c>
      <c r="M107" s="115" t="n">
        <v>0</v>
      </c>
      <c r="N107" s="206">
        <f>J107+K107+L107+M107</f>
        <v/>
      </c>
      <c r="O107" s="231">
        <f>B107+C107+E107+F107+G107+H107+J107+K107</f>
        <v/>
      </c>
      <c r="P107" s="336">
        <f>D107+I107+N107</f>
        <v/>
      </c>
    </row>
    <row r="108" ht="15.75" customHeight="1">
      <c r="A108" s="134" t="inlineStr">
        <is>
          <t xml:space="preserve">TAGS </t>
        </is>
      </c>
      <c r="B108" s="115" t="n"/>
      <c r="C108" s="115" t="n"/>
      <c r="D108" s="206">
        <f>B108+C108</f>
        <v/>
      </c>
      <c r="E108" s="115" t="n"/>
      <c r="F108" s="115" t="n">
        <v>0</v>
      </c>
      <c r="G108" s="115" t="n">
        <v>0</v>
      </c>
      <c r="H108" s="115" t="n">
        <v>0</v>
      </c>
      <c r="I108" s="206">
        <f>E108+F108+G108+H108</f>
        <v/>
      </c>
      <c r="J108" s="115" t="n">
        <v>0</v>
      </c>
      <c r="K108" s="115" t="n">
        <v>0</v>
      </c>
      <c r="L108" s="115" t="n">
        <v>0</v>
      </c>
      <c r="M108" s="115" t="n">
        <v>0</v>
      </c>
      <c r="N108" s="206">
        <f>J108+K108+L108+M108</f>
        <v/>
      </c>
      <c r="O108" s="231">
        <f>B108+C108+E108+F108+G108+H108+J108+K108</f>
        <v/>
      </c>
      <c r="P108" s="336">
        <f>D108+I108+N108</f>
        <v/>
      </c>
    </row>
    <row r="109" ht="15.75" customHeight="1">
      <c r="A109" s="127" t="inlineStr">
        <is>
          <t>TOTAL DE SACOLAS</t>
        </is>
      </c>
      <c r="B109" s="126">
        <f>B103+B104+B105</f>
        <v/>
      </c>
      <c r="C109" s="126">
        <f>C103+C104+C105</f>
        <v/>
      </c>
      <c r="D109" s="126">
        <f>D103+D104+D105</f>
        <v/>
      </c>
      <c r="E109" s="126">
        <f>E103+E104+E105</f>
        <v/>
      </c>
      <c r="F109" s="126">
        <f>F103+F104+F105</f>
        <v/>
      </c>
      <c r="G109" s="126">
        <f>G103+G104+G105</f>
        <v/>
      </c>
      <c r="H109" s="126">
        <f>H103+H104+H105</f>
        <v/>
      </c>
      <c r="I109" s="126">
        <f>I103+I104+I105</f>
        <v/>
      </c>
      <c r="J109" s="126">
        <f>J103+J104+J105</f>
        <v/>
      </c>
      <c r="K109" s="126">
        <f>K103+K104+K105</f>
        <v/>
      </c>
      <c r="L109" s="126">
        <f>L103+L104+L105</f>
        <v/>
      </c>
      <c r="M109" s="126">
        <f>M103+M104+M105</f>
        <v/>
      </c>
      <c r="N109" s="126">
        <f>N103+N104+N105</f>
        <v/>
      </c>
      <c r="O109" s="337">
        <f>O103+O104+O105</f>
        <v/>
      </c>
      <c r="P109" s="337">
        <f>P103+P104+P105</f>
        <v/>
      </c>
    </row>
  </sheetData>
  <mergeCells count="71">
    <mergeCell ref="P35:P36"/>
    <mergeCell ref="A79:A80"/>
    <mergeCell ref="O101:O102"/>
    <mergeCell ref="A24:A25"/>
    <mergeCell ref="E68:I68"/>
    <mergeCell ref="A23:P23"/>
    <mergeCell ref="B57:D57"/>
    <mergeCell ref="E24:I24"/>
    <mergeCell ref="B101:D101"/>
    <mergeCell ref="O24:O25"/>
    <mergeCell ref="B13:D13"/>
    <mergeCell ref="A100:P100"/>
    <mergeCell ref="J13:N13"/>
    <mergeCell ref="P90:P91"/>
    <mergeCell ref="J57:N57"/>
    <mergeCell ref="P46:P47"/>
    <mergeCell ref="P2:P3"/>
    <mergeCell ref="A90:A91"/>
    <mergeCell ref="O35:O36"/>
    <mergeCell ref="E79:I79"/>
    <mergeCell ref="E35:I35"/>
    <mergeCell ref="J68:N68"/>
    <mergeCell ref="A67:P67"/>
    <mergeCell ref="J24:N24"/>
    <mergeCell ref="E13:I13"/>
    <mergeCell ref="A34:P34"/>
    <mergeCell ref="A46:A47"/>
    <mergeCell ref="B2:D2"/>
    <mergeCell ref="A2:A3"/>
    <mergeCell ref="B68:D68"/>
    <mergeCell ref="P101:P102"/>
    <mergeCell ref="B24:D24"/>
    <mergeCell ref="J79:N79"/>
    <mergeCell ref="A101:A102"/>
    <mergeCell ref="J35:N35"/>
    <mergeCell ref="P57:P58"/>
    <mergeCell ref="J101:N101"/>
    <mergeCell ref="A57:A58"/>
    <mergeCell ref="E90:I90"/>
    <mergeCell ref="P13:P14"/>
    <mergeCell ref="A1:P1"/>
    <mergeCell ref="A13:A14"/>
    <mergeCell ref="A45:P45"/>
    <mergeCell ref="E46:I46"/>
    <mergeCell ref="E2:I2"/>
    <mergeCell ref="B35:D35"/>
    <mergeCell ref="O46:O47"/>
    <mergeCell ref="B79:D79"/>
    <mergeCell ref="O79:O80"/>
    <mergeCell ref="O2:O3"/>
    <mergeCell ref="A78:P78"/>
    <mergeCell ref="P24:P25"/>
    <mergeCell ref="P68:P69"/>
    <mergeCell ref="A68:A69"/>
    <mergeCell ref="E101:I101"/>
    <mergeCell ref="O57:O58"/>
    <mergeCell ref="A35:A36"/>
    <mergeCell ref="B90:D90"/>
    <mergeCell ref="E57:I57"/>
    <mergeCell ref="J90:N90"/>
    <mergeCell ref="A89:P89"/>
    <mergeCell ref="O13:O14"/>
    <mergeCell ref="B46:D46"/>
    <mergeCell ref="A56:P56"/>
    <mergeCell ref="J46:N46"/>
    <mergeCell ref="P79:P80"/>
    <mergeCell ref="J2:N2"/>
    <mergeCell ref="A12:P12"/>
    <mergeCell ref="O90:O91"/>
    <mergeCell ref="O68:O69"/>
    <mergeCell ref="R1:S1"/>
  </mergeCells>
  <pageMargins left="0.511811024" right="0.511811024" top="0.787401575" bottom="0.787401575" header="0.31496062" footer="0.31496062"/>
  <pageSetup orientation="portrait" paperSize="9"/>
</worksheet>
</file>

<file path=xl/worksheets/sheet30.xml><?xml version="1.0" encoding="utf-8"?>
<worksheet xmlns="http://schemas.openxmlformats.org/spreadsheetml/2006/main">
  <sheetPr codeName="Planilha15">
    <tabColor theme="9" tint="-0.499984740745262"/>
    <outlinePr summaryBelow="1" summaryRight="1"/>
    <pageSetUpPr/>
  </sheetPr>
  <dimension ref="A1:K79"/>
  <sheetViews>
    <sheetView zoomScale="85" zoomScaleNormal="85" workbookViewId="0">
      <pane xSplit="1" topLeftCell="B1" activePane="topRight" state="frozen"/>
      <selection activeCell="A19" sqref="A19"/>
      <selection pane="topRight" activeCell="O20" sqref="O20"/>
    </sheetView>
  </sheetViews>
  <sheetFormatPr baseColWidth="8" defaultRowHeight="15"/>
  <cols>
    <col width="32.85546875" customWidth="1" min="1" max="1"/>
    <col width="9.85546875" customWidth="1" min="5" max="5"/>
    <col width="8.85546875" customWidth="1" min="7" max="7"/>
    <col width="10.85546875" customWidth="1" min="10" max="10"/>
    <col width="17.5703125" bestFit="1" customWidth="1" min="16" max="16"/>
    <col width="14.42578125" bestFit="1" customWidth="1" min="17" max="17"/>
  </cols>
  <sheetData>
    <row r="1" ht="22.5" customHeight="1">
      <c r="A1" s="858" t="inlineStr">
        <is>
          <t>GASTO DE SACOLAS E ITENS DOADOS PAIS/2025 - MENSAIS</t>
        </is>
      </c>
      <c r="B1" s="859" t="n"/>
      <c r="C1" s="859" t="n"/>
      <c r="D1" s="859" t="n"/>
      <c r="E1" s="859" t="n"/>
      <c r="F1" s="859" t="n"/>
      <c r="G1" s="859" t="n"/>
      <c r="H1" s="859" t="n"/>
      <c r="I1" s="859" t="n"/>
      <c r="J1" s="859" t="n"/>
      <c r="K1" s="860" t="n"/>
    </row>
    <row r="2" ht="27" customHeight="1">
      <c r="A2" s="607" t="inlineStr">
        <is>
          <t>BAURU SHOPPING</t>
        </is>
      </c>
      <c r="B2" s="861" t="inlineStr">
        <is>
          <t>JULHO</t>
        </is>
      </c>
      <c r="C2" s="731" t="n"/>
      <c r="D2" s="775" t="n"/>
      <c r="E2" s="861" t="inlineStr">
        <is>
          <t>AGOSTO</t>
        </is>
      </c>
      <c r="F2" s="731" t="n"/>
      <c r="G2" s="731" t="n"/>
      <c r="H2" s="731" t="n"/>
      <c r="I2" s="775" t="n"/>
      <c r="J2" s="612" t="inlineStr">
        <is>
          <t>USOU ATÉ PAIS</t>
        </is>
      </c>
      <c r="K2" s="614" t="inlineStr">
        <is>
          <t>TOTAL GERAL</t>
        </is>
      </c>
    </row>
    <row r="3" ht="15.75" customHeight="1">
      <c r="A3" s="862" t="n"/>
      <c r="B3" s="227" t="n">
        <v>45859</v>
      </c>
      <c r="C3" s="227" t="n">
        <v>45866</v>
      </c>
      <c r="D3" s="228" t="inlineStr">
        <is>
          <t>USOU</t>
        </is>
      </c>
      <c r="E3" s="227" t="n">
        <v>45873</v>
      </c>
      <c r="F3" s="229" t="n">
        <v>45880</v>
      </c>
      <c r="G3" s="229" t="n">
        <v>45887</v>
      </c>
      <c r="H3" s="227" t="n">
        <v>45894</v>
      </c>
      <c r="I3" s="230" t="inlineStr">
        <is>
          <t>USOU</t>
        </is>
      </c>
      <c r="J3" s="863" t="n"/>
      <c r="K3" s="864" t="n"/>
    </row>
    <row r="4" ht="15.75" customHeight="1">
      <c r="A4" s="204" t="inlineStr">
        <is>
          <t>SACOLA M</t>
        </is>
      </c>
      <c r="B4" s="115" t="n">
        <v>0</v>
      </c>
      <c r="C4" s="115" t="n">
        <v>320</v>
      </c>
      <c r="D4" s="206">
        <f>B4+C4</f>
        <v/>
      </c>
      <c r="E4" s="115" t="n">
        <v>200</v>
      </c>
      <c r="F4" s="115" t="n">
        <v>680</v>
      </c>
      <c r="G4" s="115" t="n">
        <v>0</v>
      </c>
      <c r="H4" s="115" t="n">
        <v>0</v>
      </c>
      <c r="I4" s="206">
        <f>E4+F4+G4+H4</f>
        <v/>
      </c>
      <c r="J4" s="231">
        <f>E4+F4</f>
        <v/>
      </c>
      <c r="K4" s="232">
        <f>D4+I4</f>
        <v/>
      </c>
    </row>
    <row r="5" ht="15.75" customHeight="1">
      <c r="A5" s="134" t="inlineStr">
        <is>
          <t xml:space="preserve">PAPEL DE SEDA </t>
        </is>
      </c>
      <c r="B5" s="115" t="n">
        <v>200</v>
      </c>
      <c r="C5" s="115" t="n">
        <v>600</v>
      </c>
      <c r="D5" s="206">
        <f>B5+C5</f>
        <v/>
      </c>
      <c r="E5" s="115" t="n">
        <v>0</v>
      </c>
      <c r="F5" s="115" t="n">
        <v>800</v>
      </c>
      <c r="G5" s="115" t="n">
        <v>0</v>
      </c>
      <c r="H5" s="115" t="n">
        <v>0</v>
      </c>
      <c r="I5" s="206">
        <f>E5+F5+G5+H5</f>
        <v/>
      </c>
      <c r="J5" s="231">
        <f>E5+F5</f>
        <v/>
      </c>
      <c r="K5" s="232">
        <f>D5+I5</f>
        <v/>
      </c>
    </row>
    <row r="6" ht="15.75" customHeight="1">
      <c r="A6" s="134" t="inlineStr">
        <is>
          <t xml:space="preserve">TAGS </t>
        </is>
      </c>
      <c r="B6" s="115" t="n">
        <v>0</v>
      </c>
      <c r="C6" s="115" t="n">
        <v>0</v>
      </c>
      <c r="D6" s="206">
        <f>B6+C6</f>
        <v/>
      </c>
      <c r="E6" s="115" t="n">
        <v>0</v>
      </c>
      <c r="F6" s="115" t="n">
        <v>0</v>
      </c>
      <c r="G6" s="115" t="n">
        <v>0</v>
      </c>
      <c r="H6" s="115" t="n">
        <v>0</v>
      </c>
      <c r="I6" s="206">
        <f>E6+F6+G6+H6</f>
        <v/>
      </c>
      <c r="J6" s="231">
        <f>E6+F6</f>
        <v/>
      </c>
      <c r="K6" s="232">
        <f>D6+I6</f>
        <v/>
      </c>
    </row>
    <row r="7" ht="15.75" customHeight="1">
      <c r="A7" s="127" t="inlineStr">
        <is>
          <t>TOTAL DE SACOLAS</t>
        </is>
      </c>
      <c r="B7" s="126">
        <f>B4</f>
        <v/>
      </c>
      <c r="C7" s="126">
        <f>C4</f>
        <v/>
      </c>
      <c r="D7" s="126">
        <f>D4</f>
        <v/>
      </c>
      <c r="E7" s="126">
        <f>E4</f>
        <v/>
      </c>
      <c r="F7" s="126">
        <f>F4</f>
        <v/>
      </c>
      <c r="G7" s="126">
        <f>G4</f>
        <v/>
      </c>
      <c r="H7" s="126">
        <f>H4</f>
        <v/>
      </c>
      <c r="I7" s="126">
        <f>I4</f>
        <v/>
      </c>
      <c r="J7" s="233">
        <f>J4</f>
        <v/>
      </c>
      <c r="K7" s="234">
        <f>D4+I4</f>
        <v/>
      </c>
    </row>
    <row r="9" ht="15.75" customHeight="1">
      <c r="A9" s="858" t="inlineStr">
        <is>
          <t>GASTO DE SACOLAS E ITENS DOADOS PAIS/2025 - MENSAIS</t>
        </is>
      </c>
      <c r="B9" s="859" t="n"/>
      <c r="C9" s="859" t="n"/>
      <c r="D9" s="859" t="n"/>
      <c r="E9" s="859" t="n"/>
      <c r="F9" s="859" t="n"/>
      <c r="G9" s="859" t="n"/>
      <c r="H9" s="859" t="n"/>
      <c r="I9" s="859" t="n"/>
      <c r="J9" s="859" t="n"/>
      <c r="K9" s="860" t="n"/>
    </row>
    <row r="10" ht="15.75" customHeight="1">
      <c r="A10" s="607" t="inlineStr">
        <is>
          <t>BOULEVARD</t>
        </is>
      </c>
      <c r="B10" s="861" t="inlineStr">
        <is>
          <t>JULHO</t>
        </is>
      </c>
      <c r="C10" s="731" t="n"/>
      <c r="D10" s="775" t="n"/>
      <c r="E10" s="861" t="inlineStr">
        <is>
          <t>AGOSTO</t>
        </is>
      </c>
      <c r="F10" s="731" t="n"/>
      <c r="G10" s="731" t="n"/>
      <c r="H10" s="731" t="n"/>
      <c r="I10" s="775" t="n"/>
      <c r="J10" s="612" t="inlineStr">
        <is>
          <t>USOU ATÉ PAIS</t>
        </is>
      </c>
      <c r="K10" s="614" t="inlineStr">
        <is>
          <t>TOTAL GERAL</t>
        </is>
      </c>
    </row>
    <row r="11" ht="15.75" customHeight="1">
      <c r="A11" s="862" t="n"/>
      <c r="B11" s="227" t="n">
        <v>45859</v>
      </c>
      <c r="C11" s="227" t="n">
        <v>45866</v>
      </c>
      <c r="D11" s="228" t="inlineStr">
        <is>
          <t>USOU</t>
        </is>
      </c>
      <c r="E11" s="227" t="n">
        <v>45873</v>
      </c>
      <c r="F11" s="229" t="n">
        <v>45880</v>
      </c>
      <c r="G11" s="229" t="n">
        <v>45887</v>
      </c>
      <c r="H11" s="227" t="n">
        <v>45894</v>
      </c>
      <c r="I11" s="230" t="inlineStr">
        <is>
          <t>USOU</t>
        </is>
      </c>
      <c r="J11" s="863" t="n"/>
      <c r="K11" s="864" t="n"/>
    </row>
    <row r="12" ht="18" customHeight="1">
      <c r="A12" s="204" t="inlineStr">
        <is>
          <t>SACOLA M</t>
        </is>
      </c>
      <c r="B12" s="115" t="n">
        <v>0</v>
      </c>
      <c r="C12" s="115" t="n">
        <v>150</v>
      </c>
      <c r="D12" s="206">
        <f>B12+C12</f>
        <v/>
      </c>
      <c r="E12" s="115" t="n">
        <v>140</v>
      </c>
      <c r="F12" s="115" t="n">
        <v>470</v>
      </c>
      <c r="G12" s="115" t="n">
        <v>180</v>
      </c>
      <c r="H12" s="115" t="n">
        <v>170</v>
      </c>
      <c r="I12" s="206">
        <f>E12+F12+G12+H12</f>
        <v/>
      </c>
      <c r="J12" s="231">
        <f>E12+F12</f>
        <v/>
      </c>
      <c r="K12" s="232">
        <f>D12+I12</f>
        <v/>
      </c>
    </row>
    <row r="13" ht="18" customHeight="1">
      <c r="A13" s="134" t="inlineStr">
        <is>
          <t xml:space="preserve">PAPEL DE SEDA </t>
        </is>
      </c>
      <c r="B13" s="115" t="n">
        <v>0</v>
      </c>
      <c r="C13" s="115" t="n">
        <v>600</v>
      </c>
      <c r="D13" s="206">
        <f>B13+C13</f>
        <v/>
      </c>
      <c r="E13" s="115" t="n">
        <v>200</v>
      </c>
      <c r="F13" s="115" t="n">
        <v>600</v>
      </c>
      <c r="G13" s="115" t="n">
        <v>0</v>
      </c>
      <c r="H13" s="115" t="n">
        <v>200</v>
      </c>
      <c r="I13" s="206">
        <f>E13+F13+G13+H13</f>
        <v/>
      </c>
      <c r="J13" s="231">
        <f>E13+F13</f>
        <v/>
      </c>
      <c r="K13" s="232">
        <f>D13+I13</f>
        <v/>
      </c>
    </row>
    <row r="14" ht="15.75" customHeight="1">
      <c r="A14" s="134" t="inlineStr">
        <is>
          <t xml:space="preserve">TAGS </t>
        </is>
      </c>
      <c r="B14" s="115" t="n">
        <v>0</v>
      </c>
      <c r="C14" s="115" t="n">
        <v>0</v>
      </c>
      <c r="D14" s="206">
        <f>B14+C14</f>
        <v/>
      </c>
      <c r="E14" s="115" t="n">
        <v>0</v>
      </c>
      <c r="F14" s="115" t="n">
        <v>0</v>
      </c>
      <c r="G14" s="115" t="n">
        <v>0</v>
      </c>
      <c r="H14" s="115" t="n">
        <v>0</v>
      </c>
      <c r="I14" s="206">
        <f>E14+F14+G14+H14</f>
        <v/>
      </c>
      <c r="J14" s="231">
        <f>E14+F14</f>
        <v/>
      </c>
      <c r="K14" s="232">
        <f>D14+I14</f>
        <v/>
      </c>
    </row>
    <row r="15" ht="15.75" customHeight="1">
      <c r="A15" s="127" t="inlineStr">
        <is>
          <t>TOTAL DE SACOLAS</t>
        </is>
      </c>
      <c r="B15" s="126">
        <f>B12</f>
        <v/>
      </c>
      <c r="C15" s="126">
        <f>C12</f>
        <v/>
      </c>
      <c r="D15" s="126">
        <f>D12</f>
        <v/>
      </c>
      <c r="E15" s="126">
        <f>E12</f>
        <v/>
      </c>
      <c r="F15" s="126">
        <f>F12</f>
        <v/>
      </c>
      <c r="G15" s="126">
        <f>G12</f>
        <v/>
      </c>
      <c r="H15" s="126">
        <f>H12</f>
        <v/>
      </c>
      <c r="I15" s="126">
        <f>I12</f>
        <v/>
      </c>
      <c r="J15" s="233">
        <f>J12</f>
        <v/>
      </c>
      <c r="K15" s="234">
        <f>D12+I12</f>
        <v/>
      </c>
    </row>
    <row r="17" ht="15.75" customHeight="1">
      <c r="A17" s="858" t="inlineStr">
        <is>
          <t>GASTO DE SACOLAS E ITENS DOADOS PAIS/2025 - MENSAIS</t>
        </is>
      </c>
      <c r="B17" s="859" t="n"/>
      <c r="C17" s="859" t="n"/>
      <c r="D17" s="859" t="n"/>
      <c r="E17" s="859" t="n"/>
      <c r="F17" s="859" t="n"/>
      <c r="G17" s="859" t="n"/>
      <c r="H17" s="859" t="n"/>
      <c r="I17" s="859" t="n"/>
      <c r="J17" s="859" t="n"/>
      <c r="K17" s="860" t="n"/>
    </row>
    <row r="18" ht="15.75" customHeight="1">
      <c r="A18" s="607" t="inlineStr">
        <is>
          <t>TAUSTE RIO</t>
        </is>
      </c>
      <c r="B18" s="861" t="inlineStr">
        <is>
          <t>JULHO</t>
        </is>
      </c>
      <c r="C18" s="731" t="n"/>
      <c r="D18" s="775" t="n"/>
      <c r="E18" s="861" t="inlineStr">
        <is>
          <t>AGOSTO</t>
        </is>
      </c>
      <c r="F18" s="731" t="n"/>
      <c r="G18" s="731" t="n"/>
      <c r="H18" s="731" t="n"/>
      <c r="I18" s="775" t="n"/>
      <c r="J18" s="612" t="inlineStr">
        <is>
          <t>USOU ATÉ PAIS</t>
        </is>
      </c>
      <c r="K18" s="614" t="inlineStr">
        <is>
          <t>TOTAL GERAL</t>
        </is>
      </c>
    </row>
    <row r="19" ht="15.75" customHeight="1">
      <c r="A19" s="862" t="n"/>
      <c r="B19" s="227" t="n">
        <v>45859</v>
      </c>
      <c r="C19" s="227" t="n">
        <v>45866</v>
      </c>
      <c r="D19" s="228" t="inlineStr">
        <is>
          <t>USOU</t>
        </is>
      </c>
      <c r="E19" s="227" t="n">
        <v>45873</v>
      </c>
      <c r="F19" s="229" t="n">
        <v>45880</v>
      </c>
      <c r="G19" s="229" t="n">
        <v>45887</v>
      </c>
      <c r="H19" s="227" t="n">
        <v>45894</v>
      </c>
      <c r="I19" s="230" t="inlineStr">
        <is>
          <t>USOU</t>
        </is>
      </c>
      <c r="J19" s="863" t="n"/>
      <c r="K19" s="864" t="n"/>
    </row>
    <row r="20" ht="15.75" customHeight="1">
      <c r="A20" s="204" t="inlineStr">
        <is>
          <t>SACOLA M</t>
        </is>
      </c>
      <c r="B20" s="115" t="n">
        <v>0</v>
      </c>
      <c r="C20" s="115" t="n">
        <v>0</v>
      </c>
      <c r="D20" s="206">
        <f>B20+C20</f>
        <v/>
      </c>
      <c r="E20" s="115" t="n">
        <v>40</v>
      </c>
      <c r="F20" s="115" t="n">
        <v>360</v>
      </c>
      <c r="G20" s="115" t="n">
        <v>0</v>
      </c>
      <c r="H20" s="115" t="n">
        <v>0</v>
      </c>
      <c r="I20" s="206">
        <f>E20+F20+G20+H20</f>
        <v/>
      </c>
      <c r="J20" s="231">
        <f>E20+F20</f>
        <v/>
      </c>
      <c r="K20" s="232">
        <f>D20+I20</f>
        <v/>
      </c>
    </row>
    <row r="21" ht="15.75" customHeight="1">
      <c r="A21" s="134" t="inlineStr">
        <is>
          <t xml:space="preserve">PAPEL DE SEDA </t>
        </is>
      </c>
      <c r="B21" s="115" t="n">
        <v>0</v>
      </c>
      <c r="C21" s="115" t="n">
        <v>200</v>
      </c>
      <c r="D21" s="206">
        <f>B21+C21</f>
        <v/>
      </c>
      <c r="E21" s="115" t="n">
        <v>0</v>
      </c>
      <c r="F21" s="115" t="n">
        <v>400</v>
      </c>
      <c r="G21" s="115" t="n">
        <v>0</v>
      </c>
      <c r="H21" s="115" t="n">
        <v>0</v>
      </c>
      <c r="I21" s="206">
        <f>E21+F21+G21+H21</f>
        <v/>
      </c>
      <c r="J21" s="231">
        <f>E21+F21</f>
        <v/>
      </c>
      <c r="K21" s="232">
        <f>D21+I21</f>
        <v/>
      </c>
    </row>
    <row r="22" ht="15.75" customHeight="1">
      <c r="A22" s="134" t="inlineStr">
        <is>
          <t xml:space="preserve">TAGS </t>
        </is>
      </c>
      <c r="B22" s="115" t="n">
        <v>0</v>
      </c>
      <c r="C22" s="115" t="n">
        <v>0</v>
      </c>
      <c r="D22" s="206">
        <f>B22+C22</f>
        <v/>
      </c>
      <c r="E22" s="115" t="n">
        <v>0</v>
      </c>
      <c r="F22" s="115" t="n">
        <v>0</v>
      </c>
      <c r="G22" s="115" t="n">
        <v>0</v>
      </c>
      <c r="H22" s="115" t="n">
        <v>0</v>
      </c>
      <c r="I22" s="206">
        <f>E22+F22+G22+H22</f>
        <v/>
      </c>
      <c r="J22" s="231">
        <f>E22+F22</f>
        <v/>
      </c>
      <c r="K22" s="232">
        <f>D22+I22</f>
        <v/>
      </c>
    </row>
    <row r="23" ht="15.75" customHeight="1">
      <c r="A23" s="127" t="inlineStr">
        <is>
          <t>TOTAL DE SACOLAS</t>
        </is>
      </c>
      <c r="B23" s="126">
        <f>B20</f>
        <v/>
      </c>
      <c r="C23" s="126">
        <f>C20</f>
        <v/>
      </c>
      <c r="D23" s="126">
        <f>D20</f>
        <v/>
      </c>
      <c r="E23" s="126">
        <f>E20</f>
        <v/>
      </c>
      <c r="F23" s="126">
        <f>F20</f>
        <v/>
      </c>
      <c r="G23" s="126">
        <f>G20</f>
        <v/>
      </c>
      <c r="H23" s="126">
        <f>H20</f>
        <v/>
      </c>
      <c r="I23" s="126">
        <f>I20</f>
        <v/>
      </c>
      <c r="J23" s="233">
        <f>J20</f>
        <v/>
      </c>
      <c r="K23" s="234">
        <f>D20+I20</f>
        <v/>
      </c>
    </row>
    <row r="25" ht="15.75" customHeight="1">
      <c r="A25" s="858" t="inlineStr">
        <is>
          <t>GASTO DE SACOLAS E ITENS DOADOS PAIS/2025 - MENSAIS</t>
        </is>
      </c>
      <c r="B25" s="859" t="n"/>
      <c r="C25" s="859" t="n"/>
      <c r="D25" s="859" t="n"/>
      <c r="E25" s="859" t="n"/>
      <c r="F25" s="859" t="n"/>
      <c r="G25" s="859" t="n"/>
      <c r="H25" s="859" t="n"/>
      <c r="I25" s="859" t="n"/>
      <c r="J25" s="859" t="n"/>
      <c r="K25" s="860" t="n"/>
    </row>
    <row r="26" ht="15.75" customHeight="1">
      <c r="A26" s="607" t="inlineStr">
        <is>
          <t>TAUSTE DUQUE</t>
        </is>
      </c>
      <c r="B26" s="861" t="inlineStr">
        <is>
          <t>JULHO</t>
        </is>
      </c>
      <c r="C26" s="731" t="n"/>
      <c r="D26" s="775" t="n"/>
      <c r="E26" s="861" t="inlineStr">
        <is>
          <t>AGOSTO</t>
        </is>
      </c>
      <c r="F26" s="731" t="n"/>
      <c r="G26" s="731" t="n"/>
      <c r="H26" s="731" t="n"/>
      <c r="I26" s="775" t="n"/>
      <c r="J26" s="612" t="inlineStr">
        <is>
          <t>USOU ATÉ PAIS</t>
        </is>
      </c>
      <c r="K26" s="614" t="inlineStr">
        <is>
          <t>TOTAL GERAL</t>
        </is>
      </c>
    </row>
    <row r="27" ht="15.75" customHeight="1">
      <c r="A27" s="862" t="n"/>
      <c r="B27" s="227" t="n">
        <v>45859</v>
      </c>
      <c r="C27" s="227" t="n">
        <v>45866</v>
      </c>
      <c r="D27" s="228" t="inlineStr">
        <is>
          <t>USOU</t>
        </is>
      </c>
      <c r="E27" s="227" t="n">
        <v>45873</v>
      </c>
      <c r="F27" s="229" t="n">
        <v>45880</v>
      </c>
      <c r="G27" s="229" t="n">
        <v>45887</v>
      </c>
      <c r="H27" s="227" t="n">
        <v>45894</v>
      </c>
      <c r="I27" s="230" t="inlineStr">
        <is>
          <t>USOU</t>
        </is>
      </c>
      <c r="J27" s="863" t="n"/>
      <c r="K27" s="864" t="n"/>
    </row>
    <row r="28" ht="15.75" customHeight="1">
      <c r="A28" s="204" t="inlineStr">
        <is>
          <t>SACOLA M</t>
        </is>
      </c>
      <c r="B28" s="115" t="n">
        <v>0</v>
      </c>
      <c r="C28" s="115" t="n">
        <v>340</v>
      </c>
      <c r="D28" s="206">
        <f>B28+C28</f>
        <v/>
      </c>
      <c r="E28" s="115" t="n">
        <v>140</v>
      </c>
      <c r="F28" s="115" t="n">
        <v>140</v>
      </c>
      <c r="G28" s="115" t="n">
        <v>0</v>
      </c>
      <c r="H28" s="115" t="n">
        <v>0</v>
      </c>
      <c r="I28" s="206">
        <f>E28+F28+G28+H28</f>
        <v/>
      </c>
      <c r="J28" s="231">
        <f>E28+F28</f>
        <v/>
      </c>
      <c r="K28" s="232">
        <f>D28+I28</f>
        <v/>
      </c>
    </row>
    <row r="29" ht="15.75" customHeight="1">
      <c r="A29" s="134" t="inlineStr">
        <is>
          <t xml:space="preserve">PAPEL DE SEDA </t>
        </is>
      </c>
      <c r="B29" s="115" t="n">
        <v>0</v>
      </c>
      <c r="C29" s="115" t="n">
        <v>1000</v>
      </c>
      <c r="D29" s="206">
        <f>B29+C29</f>
        <v/>
      </c>
      <c r="E29" s="115" t="n">
        <v>0</v>
      </c>
      <c r="F29" s="115" t="n">
        <v>0</v>
      </c>
      <c r="G29" s="115" t="n">
        <v>0</v>
      </c>
      <c r="H29" s="115" t="n">
        <v>0</v>
      </c>
      <c r="I29" s="206">
        <f>E29+F29+G29+H29</f>
        <v/>
      </c>
      <c r="J29" s="231">
        <f>E29+F29</f>
        <v/>
      </c>
      <c r="K29" s="232">
        <f>D29+I29</f>
        <v/>
      </c>
    </row>
    <row r="30" ht="15.75" customHeight="1">
      <c r="A30" s="134" t="inlineStr">
        <is>
          <t xml:space="preserve">TAGS </t>
        </is>
      </c>
      <c r="B30" s="115" t="n">
        <v>0</v>
      </c>
      <c r="C30" s="115" t="n">
        <v>0</v>
      </c>
      <c r="D30" s="206">
        <f>B30+C30</f>
        <v/>
      </c>
      <c r="E30" s="115" t="n">
        <v>0</v>
      </c>
      <c r="F30" s="115" t="n">
        <v>0</v>
      </c>
      <c r="G30" s="115" t="n">
        <v>0</v>
      </c>
      <c r="H30" s="115" t="n">
        <v>0</v>
      </c>
      <c r="I30" s="206">
        <f>E30+F30+G30+H30</f>
        <v/>
      </c>
      <c r="J30" s="231">
        <f>E30+F30</f>
        <v/>
      </c>
      <c r="K30" s="232">
        <f>D30+I30</f>
        <v/>
      </c>
    </row>
    <row r="31" ht="15.75" customHeight="1">
      <c r="A31" s="127" t="inlineStr">
        <is>
          <t>TOTAL DE SACOLAS</t>
        </is>
      </c>
      <c r="B31" s="126">
        <f>B28</f>
        <v/>
      </c>
      <c r="C31" s="126">
        <f>C28</f>
        <v/>
      </c>
      <c r="D31" s="126">
        <f>D28</f>
        <v/>
      </c>
      <c r="E31" s="126">
        <f>E28</f>
        <v/>
      </c>
      <c r="F31" s="126">
        <f>F28</f>
        <v/>
      </c>
      <c r="G31" s="126">
        <f>G28</f>
        <v/>
      </c>
      <c r="H31" s="126">
        <f>H28</f>
        <v/>
      </c>
      <c r="I31" s="126">
        <f>I28</f>
        <v/>
      </c>
      <c r="J31" s="233">
        <f>J28</f>
        <v/>
      </c>
      <c r="K31" s="234">
        <f>D28+I28</f>
        <v/>
      </c>
    </row>
    <row r="33" ht="15.75" customHeight="1">
      <c r="A33" s="858" t="inlineStr">
        <is>
          <t>GASTO DE SACOLAS E ITENS DOADOS PAIS/2025 - MENSAIS</t>
        </is>
      </c>
      <c r="B33" s="859" t="n"/>
      <c r="C33" s="859" t="n"/>
      <c r="D33" s="859" t="n"/>
      <c r="E33" s="859" t="n"/>
      <c r="F33" s="859" t="n"/>
      <c r="G33" s="859" t="n"/>
      <c r="H33" s="859" t="n"/>
      <c r="I33" s="859" t="n"/>
      <c r="J33" s="859" t="n"/>
      <c r="K33" s="860" t="n"/>
    </row>
    <row r="34" ht="15.75" customHeight="1">
      <c r="A34" s="607" t="inlineStr">
        <is>
          <t>GETÚLIO</t>
        </is>
      </c>
      <c r="B34" s="861" t="inlineStr">
        <is>
          <t>JULHO</t>
        </is>
      </c>
      <c r="C34" s="731" t="n"/>
      <c r="D34" s="775" t="n"/>
      <c r="E34" s="861" t="inlineStr">
        <is>
          <t>AGOSTO</t>
        </is>
      </c>
      <c r="F34" s="731" t="n"/>
      <c r="G34" s="731" t="n"/>
      <c r="H34" s="731" t="n"/>
      <c r="I34" s="775" t="n"/>
      <c r="J34" s="612" t="inlineStr">
        <is>
          <t>USOU ATÉ PAIS</t>
        </is>
      </c>
      <c r="K34" s="614" t="inlineStr">
        <is>
          <t>TOTAL GERAL</t>
        </is>
      </c>
    </row>
    <row r="35" ht="15.75" customHeight="1">
      <c r="A35" s="862" t="n"/>
      <c r="B35" s="227" t="n">
        <v>45859</v>
      </c>
      <c r="C35" s="227" t="n">
        <v>45866</v>
      </c>
      <c r="D35" s="228" t="inlineStr">
        <is>
          <t>USOU</t>
        </is>
      </c>
      <c r="E35" s="227" t="n">
        <v>45873</v>
      </c>
      <c r="F35" s="229" t="n">
        <v>45880</v>
      </c>
      <c r="G35" s="229" t="n">
        <v>45887</v>
      </c>
      <c r="H35" s="227" t="n">
        <v>45894</v>
      </c>
      <c r="I35" s="230" t="inlineStr">
        <is>
          <t>USOU</t>
        </is>
      </c>
      <c r="J35" s="863" t="n"/>
      <c r="K35" s="864" t="n"/>
    </row>
    <row r="36" ht="15.75" customHeight="1">
      <c r="A36" s="204" t="inlineStr">
        <is>
          <t>SACOLA M</t>
        </is>
      </c>
      <c r="B36" s="115" t="n">
        <v>40</v>
      </c>
      <c r="C36" s="115" t="n">
        <v>40</v>
      </c>
      <c r="D36" s="206">
        <f>B36+C36</f>
        <v/>
      </c>
      <c r="E36" s="115" t="n">
        <v>20</v>
      </c>
      <c r="F36" s="115" t="n">
        <v>300</v>
      </c>
      <c r="G36" s="115" t="n">
        <v>80</v>
      </c>
      <c r="H36" s="115" t="n">
        <v>0</v>
      </c>
      <c r="I36" s="206">
        <f>E36+F36+G36+H36</f>
        <v/>
      </c>
      <c r="J36" s="231">
        <f>E36+F36</f>
        <v/>
      </c>
      <c r="K36" s="232">
        <f>D36+I36</f>
        <v/>
      </c>
    </row>
    <row r="37" ht="15.75" customHeight="1">
      <c r="A37" s="134" t="inlineStr">
        <is>
          <t xml:space="preserve">PAPEL DE SEDA </t>
        </is>
      </c>
      <c r="B37" s="115" t="n">
        <v>0</v>
      </c>
      <c r="C37" s="115" t="n">
        <v>200</v>
      </c>
      <c r="D37" s="206">
        <f>B37+C37</f>
        <v/>
      </c>
      <c r="E37" s="115" t="n">
        <v>200</v>
      </c>
      <c r="F37" s="115" t="n">
        <v>400</v>
      </c>
      <c r="G37" s="115" t="n">
        <v>0</v>
      </c>
      <c r="H37" s="115" t="n">
        <v>0</v>
      </c>
      <c r="I37" s="206">
        <f>E37+F37+G37+H37</f>
        <v/>
      </c>
      <c r="J37" s="231">
        <f>E37+F37</f>
        <v/>
      </c>
      <c r="K37" s="232">
        <f>D37+I37</f>
        <v/>
      </c>
    </row>
    <row r="38" ht="15.75" customHeight="1">
      <c r="A38" s="134" t="inlineStr">
        <is>
          <t xml:space="preserve">TAGS </t>
        </is>
      </c>
      <c r="B38" s="115" t="n">
        <v>0</v>
      </c>
      <c r="C38" s="115" t="n">
        <v>0</v>
      </c>
      <c r="D38" s="206">
        <f>B38+C38</f>
        <v/>
      </c>
      <c r="E38" s="115" t="n">
        <v>0</v>
      </c>
      <c r="F38" s="115" t="n">
        <v>270</v>
      </c>
      <c r="G38" s="115" t="n">
        <v>0</v>
      </c>
      <c r="H38" s="115" t="n">
        <v>0</v>
      </c>
      <c r="I38" s="206">
        <f>E38+F38+G38+H38</f>
        <v/>
      </c>
      <c r="J38" s="231">
        <f>E38+F38</f>
        <v/>
      </c>
      <c r="K38" s="232">
        <f>D38+I38</f>
        <v/>
      </c>
    </row>
    <row r="39" ht="15.75" customHeight="1">
      <c r="A39" s="127" t="inlineStr">
        <is>
          <t>TOTAL DE SACOLAS</t>
        </is>
      </c>
      <c r="B39" s="126">
        <f>B36</f>
        <v/>
      </c>
      <c r="C39" s="126">
        <f>C36</f>
        <v/>
      </c>
      <c r="D39" s="126">
        <f>D36</f>
        <v/>
      </c>
      <c r="E39" s="126">
        <f>E36</f>
        <v/>
      </c>
      <c r="F39" s="126">
        <f>F36</f>
        <v/>
      </c>
      <c r="G39" s="126">
        <f>G36</f>
        <v/>
      </c>
      <c r="H39" s="126">
        <f>H36</f>
        <v/>
      </c>
      <c r="I39" s="126">
        <f>I36</f>
        <v/>
      </c>
      <c r="J39" s="233">
        <f>J36</f>
        <v/>
      </c>
      <c r="K39" s="234">
        <f>D36+I36</f>
        <v/>
      </c>
    </row>
    <row r="41" ht="15.75" customHeight="1">
      <c r="A41" s="858" t="inlineStr">
        <is>
          <t>GASTO DE SACOLAS E ITENS DOADOS PAIS/2025 - MENSAIS</t>
        </is>
      </c>
      <c r="B41" s="859" t="n"/>
      <c r="C41" s="859" t="n"/>
      <c r="D41" s="859" t="n"/>
      <c r="E41" s="859" t="n"/>
      <c r="F41" s="859" t="n"/>
      <c r="G41" s="859" t="n"/>
      <c r="H41" s="859" t="n"/>
      <c r="I41" s="859" t="n"/>
      <c r="J41" s="859" t="n"/>
      <c r="K41" s="860" t="n"/>
    </row>
    <row r="42" ht="15.75" customHeight="1">
      <c r="A42" s="607" t="inlineStr">
        <is>
          <t>QUADRA 7</t>
        </is>
      </c>
      <c r="B42" s="861" t="inlineStr">
        <is>
          <t>JULHO</t>
        </is>
      </c>
      <c r="C42" s="731" t="n"/>
      <c r="D42" s="775" t="n"/>
      <c r="E42" s="861" t="inlineStr">
        <is>
          <t>AGOSTO</t>
        </is>
      </c>
      <c r="F42" s="731" t="n"/>
      <c r="G42" s="731" t="n"/>
      <c r="H42" s="731" t="n"/>
      <c r="I42" s="775" t="n"/>
      <c r="J42" s="612" t="inlineStr">
        <is>
          <t>USOU ATÉ PAIS</t>
        </is>
      </c>
      <c r="K42" s="614" t="inlineStr">
        <is>
          <t>TOTAL GERAL</t>
        </is>
      </c>
    </row>
    <row r="43" ht="15.75" customHeight="1">
      <c r="A43" s="862" t="n"/>
      <c r="B43" s="227" t="n">
        <v>45859</v>
      </c>
      <c r="C43" s="227" t="n">
        <v>45866</v>
      </c>
      <c r="D43" s="228" t="inlineStr">
        <is>
          <t>USOU</t>
        </is>
      </c>
      <c r="E43" s="227" t="n">
        <v>45873</v>
      </c>
      <c r="F43" s="229" t="n">
        <v>45880</v>
      </c>
      <c r="G43" s="229" t="n">
        <v>45887</v>
      </c>
      <c r="H43" s="227" t="n">
        <v>45894</v>
      </c>
      <c r="I43" s="230" t="inlineStr">
        <is>
          <t>USOU</t>
        </is>
      </c>
      <c r="J43" s="863" t="n"/>
      <c r="K43" s="864" t="n"/>
    </row>
    <row r="44" ht="15.75" customHeight="1">
      <c r="A44" s="204" t="inlineStr">
        <is>
          <t>SACOLA M</t>
        </is>
      </c>
      <c r="B44" s="115" t="n">
        <v>0</v>
      </c>
      <c r="C44" s="115" t="n">
        <v>230</v>
      </c>
      <c r="D44" s="206">
        <f>B44+C44</f>
        <v/>
      </c>
      <c r="E44" s="115" t="n">
        <v>150</v>
      </c>
      <c r="F44" s="115" t="n">
        <v>420</v>
      </c>
      <c r="G44" s="115" t="n">
        <v>0</v>
      </c>
      <c r="H44" s="115" t="n">
        <v>0</v>
      </c>
      <c r="I44" s="206">
        <f>E44+F44+G44+H44</f>
        <v/>
      </c>
      <c r="J44" s="231">
        <f>E44+F44</f>
        <v/>
      </c>
      <c r="K44" s="232">
        <f>D44+I44</f>
        <v/>
      </c>
    </row>
    <row r="45" ht="15.75" customHeight="1">
      <c r="A45" s="134" t="inlineStr">
        <is>
          <t xml:space="preserve">PAPEL DE SEDA </t>
        </is>
      </c>
      <c r="B45" s="115" t="n">
        <v>0</v>
      </c>
      <c r="C45" s="115" t="n">
        <v>200</v>
      </c>
      <c r="D45" s="206">
        <f>B45+C45</f>
        <v/>
      </c>
      <c r="E45" s="115" t="n">
        <v>0</v>
      </c>
      <c r="F45" s="115" t="n">
        <v>800</v>
      </c>
      <c r="G45" s="115" t="n">
        <v>0</v>
      </c>
      <c r="H45" s="115" t="n">
        <v>0</v>
      </c>
      <c r="I45" s="206">
        <f>E45+F45+G45+H45</f>
        <v/>
      </c>
      <c r="J45" s="231">
        <f>E45+F45</f>
        <v/>
      </c>
      <c r="K45" s="232">
        <f>D45+I45</f>
        <v/>
      </c>
    </row>
    <row r="46" ht="15.75" customHeight="1">
      <c r="A46" s="134" t="inlineStr">
        <is>
          <t xml:space="preserve">TAGS </t>
        </is>
      </c>
      <c r="B46" s="115" t="n">
        <v>0</v>
      </c>
      <c r="C46" s="115" t="n">
        <v>300</v>
      </c>
      <c r="D46" s="206">
        <f>B46+C46</f>
        <v/>
      </c>
      <c r="E46" s="115" t="n">
        <v>300</v>
      </c>
      <c r="F46" s="115" t="n">
        <v>300</v>
      </c>
      <c r="G46" s="115" t="n">
        <v>0</v>
      </c>
      <c r="H46" s="115" t="n">
        <v>0</v>
      </c>
      <c r="I46" s="206">
        <f>E46+F46+G46+H46</f>
        <v/>
      </c>
      <c r="J46" s="231">
        <f>E46+F46</f>
        <v/>
      </c>
      <c r="K46" s="232">
        <f>D46+I46</f>
        <v/>
      </c>
    </row>
    <row r="47" ht="15.75" customHeight="1">
      <c r="A47" s="127" t="inlineStr">
        <is>
          <t>TOTAL DE SACOLAS</t>
        </is>
      </c>
      <c r="B47" s="126">
        <f>B44</f>
        <v/>
      </c>
      <c r="C47" s="126">
        <f>C44</f>
        <v/>
      </c>
      <c r="D47" s="126">
        <f>D44</f>
        <v/>
      </c>
      <c r="E47" s="126">
        <f>E44</f>
        <v/>
      </c>
      <c r="F47" s="126">
        <f>F44</f>
        <v/>
      </c>
      <c r="G47" s="126">
        <f>G44</f>
        <v/>
      </c>
      <c r="H47" s="126">
        <f>H44</f>
        <v/>
      </c>
      <c r="I47" s="126">
        <f>I44</f>
        <v/>
      </c>
      <c r="J47" s="233">
        <f>J44</f>
        <v/>
      </c>
      <c r="K47" s="234">
        <f>D44+I44</f>
        <v/>
      </c>
    </row>
    <row r="49" ht="15.75" customHeight="1">
      <c r="A49" s="858" t="inlineStr">
        <is>
          <t>GASTO DE SACOLAS E ITENS DOADOS PAIS/2025 - MENSAIS</t>
        </is>
      </c>
      <c r="B49" s="859" t="n"/>
      <c r="C49" s="859" t="n"/>
      <c r="D49" s="859" t="n"/>
      <c r="E49" s="859" t="n"/>
      <c r="F49" s="859" t="n"/>
      <c r="G49" s="859" t="n"/>
      <c r="H49" s="859" t="n"/>
      <c r="I49" s="859" t="n"/>
      <c r="J49" s="859" t="n"/>
      <c r="K49" s="860" t="n"/>
    </row>
    <row r="50" ht="15.75" customHeight="1">
      <c r="A50" s="607" t="inlineStr">
        <is>
          <t>QUADRA 2</t>
        </is>
      </c>
      <c r="B50" s="861" t="inlineStr">
        <is>
          <t>JULHO</t>
        </is>
      </c>
      <c r="C50" s="731" t="n"/>
      <c r="D50" s="775" t="n"/>
      <c r="E50" s="861" t="inlineStr">
        <is>
          <t>AGOSTO</t>
        </is>
      </c>
      <c r="F50" s="731" t="n"/>
      <c r="G50" s="731" t="n"/>
      <c r="H50" s="731" t="n"/>
      <c r="I50" s="775" t="n"/>
      <c r="J50" s="612" t="inlineStr">
        <is>
          <t>USOU ATÉ PAIS</t>
        </is>
      </c>
      <c r="K50" s="614" t="inlineStr">
        <is>
          <t>TOTAL GERAL</t>
        </is>
      </c>
    </row>
    <row r="51" ht="15.75" customHeight="1">
      <c r="A51" s="862" t="n"/>
      <c r="B51" s="227" t="n">
        <v>45859</v>
      </c>
      <c r="C51" s="227" t="n">
        <v>45866</v>
      </c>
      <c r="D51" s="228" t="inlineStr">
        <is>
          <t>USOU</t>
        </is>
      </c>
      <c r="E51" s="227" t="n">
        <v>45873</v>
      </c>
      <c r="F51" s="229" t="n">
        <v>45880</v>
      </c>
      <c r="G51" s="229" t="n">
        <v>45887</v>
      </c>
      <c r="H51" s="227" t="n">
        <v>45894</v>
      </c>
      <c r="I51" s="230" t="inlineStr">
        <is>
          <t>USOU</t>
        </is>
      </c>
      <c r="J51" s="863" t="n"/>
      <c r="K51" s="864" t="n"/>
    </row>
    <row r="52" ht="15.75" customHeight="1">
      <c r="A52" s="204" t="inlineStr">
        <is>
          <t>SACOLA M</t>
        </is>
      </c>
      <c r="B52" s="115" t="n">
        <v>0</v>
      </c>
      <c r="C52" s="115" t="n">
        <v>40</v>
      </c>
      <c r="D52" s="206">
        <f>B52+C52</f>
        <v/>
      </c>
      <c r="E52" s="115" t="n">
        <v>20</v>
      </c>
      <c r="F52" s="115" t="n">
        <v>160</v>
      </c>
      <c r="G52" s="115" t="n">
        <v>20</v>
      </c>
      <c r="H52" s="115" t="n">
        <v>0</v>
      </c>
      <c r="I52" s="206">
        <f>E52+F52+G52+H52</f>
        <v/>
      </c>
      <c r="J52" s="231">
        <f>E52+F52</f>
        <v/>
      </c>
      <c r="K52" s="232">
        <f>D52+I52</f>
        <v/>
      </c>
    </row>
    <row r="53" ht="15.75" customHeight="1">
      <c r="A53" s="134" t="inlineStr">
        <is>
          <t xml:space="preserve">PAPEL DE SEDA </t>
        </is>
      </c>
      <c r="B53" s="115" t="n">
        <v>0</v>
      </c>
      <c r="C53" s="115" t="n">
        <v>200</v>
      </c>
      <c r="D53" s="206">
        <f>B53+C53</f>
        <v/>
      </c>
      <c r="E53" s="115" t="n">
        <v>0</v>
      </c>
      <c r="F53" s="115" t="n">
        <v>200</v>
      </c>
      <c r="G53" s="115" t="n">
        <v>200</v>
      </c>
      <c r="H53" s="115" t="n">
        <v>0</v>
      </c>
      <c r="I53" s="206">
        <f>E53+F53+G53+H53</f>
        <v/>
      </c>
      <c r="J53" s="231">
        <f>E53+F53</f>
        <v/>
      </c>
      <c r="K53" s="232">
        <f>D53+I53</f>
        <v/>
      </c>
    </row>
    <row r="54" ht="15.75" customHeight="1">
      <c r="A54" s="134" t="inlineStr">
        <is>
          <t xml:space="preserve">TAGS </t>
        </is>
      </c>
      <c r="B54" s="115" t="n">
        <v>0</v>
      </c>
      <c r="C54" s="115" t="n">
        <v>300</v>
      </c>
      <c r="D54" s="206">
        <f>B54+C54</f>
        <v/>
      </c>
      <c r="E54" s="115" t="n">
        <v>0</v>
      </c>
      <c r="F54" s="115" t="n">
        <v>0</v>
      </c>
      <c r="G54" s="115" t="n">
        <v>0</v>
      </c>
      <c r="H54" s="115" t="n">
        <v>0</v>
      </c>
      <c r="I54" s="206">
        <f>E54+F54+G54+H54</f>
        <v/>
      </c>
      <c r="J54" s="231">
        <f>E54+F54</f>
        <v/>
      </c>
      <c r="K54" s="232">
        <f>D54+I54</f>
        <v/>
      </c>
    </row>
    <row r="55" ht="15.75" customHeight="1">
      <c r="A55" s="127" t="inlineStr">
        <is>
          <t>TOTAL DE SACOLAS</t>
        </is>
      </c>
      <c r="B55" s="126">
        <f>B52</f>
        <v/>
      </c>
      <c r="C55" s="126">
        <f>C52</f>
        <v/>
      </c>
      <c r="D55" s="126">
        <f>D52</f>
        <v/>
      </c>
      <c r="E55" s="126">
        <f>E52</f>
        <v/>
      </c>
      <c r="F55" s="126">
        <f>F52</f>
        <v/>
      </c>
      <c r="G55" s="126">
        <f>G52</f>
        <v/>
      </c>
      <c r="H55" s="126">
        <f>H52</f>
        <v/>
      </c>
      <c r="I55" s="126">
        <f>I52</f>
        <v/>
      </c>
      <c r="J55" s="233">
        <f>J52</f>
        <v/>
      </c>
      <c r="K55" s="234">
        <f>D52+I52</f>
        <v/>
      </c>
    </row>
    <row r="57" ht="15.75" customHeight="1">
      <c r="A57" s="858" t="inlineStr">
        <is>
          <t>GASTO DE SACOLAS E ITENS DOADOS PAIS/2025 - MENSAIS</t>
        </is>
      </c>
      <c r="B57" s="859" t="n"/>
      <c r="C57" s="859" t="n"/>
      <c r="D57" s="859" t="n"/>
      <c r="E57" s="859" t="n"/>
      <c r="F57" s="859" t="n"/>
      <c r="G57" s="859" t="n"/>
      <c r="H57" s="859" t="n"/>
      <c r="I57" s="859" t="n"/>
      <c r="J57" s="859" t="n"/>
      <c r="K57" s="860" t="n"/>
    </row>
    <row r="58" ht="15.75" customHeight="1">
      <c r="A58" s="607" t="inlineStr">
        <is>
          <t>MARY DOTA</t>
        </is>
      </c>
      <c r="B58" s="861" t="inlineStr">
        <is>
          <t>JULHO</t>
        </is>
      </c>
      <c r="C58" s="731" t="n"/>
      <c r="D58" s="775" t="n"/>
      <c r="E58" s="861" t="inlineStr">
        <is>
          <t>AGOSTO</t>
        </is>
      </c>
      <c r="F58" s="731" t="n"/>
      <c r="G58" s="731" t="n"/>
      <c r="H58" s="731" t="n"/>
      <c r="I58" s="775" t="n"/>
      <c r="J58" s="612" t="inlineStr">
        <is>
          <t>USOU ATÉ PAIS</t>
        </is>
      </c>
      <c r="K58" s="614" t="inlineStr">
        <is>
          <t>TOTAL GERAL</t>
        </is>
      </c>
    </row>
    <row r="59" ht="15.75" customHeight="1">
      <c r="A59" s="862" t="n"/>
      <c r="B59" s="227" t="n">
        <v>45859</v>
      </c>
      <c r="C59" s="227" t="n">
        <v>45866</v>
      </c>
      <c r="D59" s="228" t="inlineStr">
        <is>
          <t>USOU</t>
        </is>
      </c>
      <c r="E59" s="227" t="n">
        <v>45873</v>
      </c>
      <c r="F59" s="229" t="n">
        <v>45880</v>
      </c>
      <c r="G59" s="229" t="n">
        <v>45887</v>
      </c>
      <c r="H59" s="227" t="n">
        <v>45894</v>
      </c>
      <c r="I59" s="230" t="inlineStr">
        <is>
          <t>USOU</t>
        </is>
      </c>
      <c r="J59" s="863" t="n"/>
      <c r="K59" s="864" t="n"/>
    </row>
    <row r="60" ht="15.75" customHeight="1">
      <c r="A60" s="204" t="inlineStr">
        <is>
          <t>SACOLA M</t>
        </is>
      </c>
      <c r="B60" s="115" t="n">
        <v>100</v>
      </c>
      <c r="C60" s="115" t="n">
        <v>50</v>
      </c>
      <c r="D60" s="206">
        <f>B60+C60</f>
        <v/>
      </c>
      <c r="E60" s="115" t="n">
        <v>50</v>
      </c>
      <c r="F60" s="115" t="n">
        <v>200</v>
      </c>
      <c r="G60" s="115" t="n">
        <v>0</v>
      </c>
      <c r="H60" s="115" t="n">
        <v>0</v>
      </c>
      <c r="I60" s="206">
        <f>E60+F60+G60+H60</f>
        <v/>
      </c>
      <c r="J60" s="231">
        <f>E60+F60</f>
        <v/>
      </c>
      <c r="K60" s="232">
        <f>D60+I60</f>
        <v/>
      </c>
    </row>
    <row r="61" ht="15.75" customHeight="1">
      <c r="A61" s="134" t="inlineStr">
        <is>
          <t xml:space="preserve">PAPEL DE SEDA </t>
        </is>
      </c>
      <c r="B61" s="115" t="n">
        <v>200</v>
      </c>
      <c r="C61" s="115" t="n">
        <v>0</v>
      </c>
      <c r="D61" s="206">
        <f>B61+C61</f>
        <v/>
      </c>
      <c r="E61" s="115" t="n">
        <v>200</v>
      </c>
      <c r="F61" s="115" t="n">
        <v>0</v>
      </c>
      <c r="G61" s="115" t="n">
        <v>0</v>
      </c>
      <c r="H61" s="115" t="n">
        <v>0</v>
      </c>
      <c r="I61" s="206">
        <f>E61+F61+G61+H61</f>
        <v/>
      </c>
      <c r="J61" s="231">
        <f>E61+F61</f>
        <v/>
      </c>
      <c r="K61" s="232">
        <f>D61+I61</f>
        <v/>
      </c>
    </row>
    <row r="62" ht="15.75" customHeight="1">
      <c r="A62" s="134" t="inlineStr">
        <is>
          <t xml:space="preserve">TAGS </t>
        </is>
      </c>
      <c r="B62" s="115" t="n">
        <v>0</v>
      </c>
      <c r="C62" s="115" t="n">
        <v>300</v>
      </c>
      <c r="D62" s="206">
        <f>B62+C62</f>
        <v/>
      </c>
      <c r="E62" s="115" t="n">
        <v>0</v>
      </c>
      <c r="F62" s="115" t="n">
        <v>0</v>
      </c>
      <c r="G62" s="115" t="n">
        <v>0</v>
      </c>
      <c r="H62" s="115" t="n">
        <v>0</v>
      </c>
      <c r="I62" s="206">
        <f>E62+F62+G62+H62</f>
        <v/>
      </c>
      <c r="J62" s="231">
        <f>E62+F62</f>
        <v/>
      </c>
      <c r="K62" s="232">
        <f>D62+I62</f>
        <v/>
      </c>
    </row>
    <row r="63" ht="15.75" customHeight="1">
      <c r="A63" s="127" t="inlineStr">
        <is>
          <t>TOTAL DE SACOLAS</t>
        </is>
      </c>
      <c r="B63" s="126">
        <f>B60</f>
        <v/>
      </c>
      <c r="C63" s="126">
        <f>C60</f>
        <v/>
      </c>
      <c r="D63" s="126">
        <f>D60</f>
        <v/>
      </c>
      <c r="E63" s="126">
        <f>E60</f>
        <v/>
      </c>
      <c r="F63" s="126">
        <f>F60</f>
        <v/>
      </c>
      <c r="G63" s="126">
        <f>G60</f>
        <v/>
      </c>
      <c r="H63" s="126">
        <f>H60</f>
        <v/>
      </c>
      <c r="I63" s="126">
        <f>I60</f>
        <v/>
      </c>
      <c r="J63" s="233">
        <f>J60</f>
        <v/>
      </c>
      <c r="K63" s="234">
        <f>D60+I60</f>
        <v/>
      </c>
    </row>
    <row r="65" ht="15.75" customHeight="1">
      <c r="A65" s="858" t="inlineStr">
        <is>
          <t>GASTO DE SACOLAS E ITENS DOADOS PAIS/2025 - MENSAIS</t>
        </is>
      </c>
      <c r="B65" s="859" t="n"/>
      <c r="C65" s="859" t="n"/>
      <c r="D65" s="859" t="n"/>
      <c r="E65" s="859" t="n"/>
      <c r="F65" s="859" t="n"/>
      <c r="G65" s="859" t="n"/>
      <c r="H65" s="859" t="n"/>
      <c r="I65" s="859" t="n"/>
      <c r="J65" s="859" t="n"/>
      <c r="K65" s="860" t="n"/>
    </row>
    <row r="66" ht="15.75" customHeight="1">
      <c r="A66" s="607" t="inlineStr">
        <is>
          <t>CD BAURU</t>
        </is>
      </c>
      <c r="B66" s="861" t="inlineStr">
        <is>
          <t>JULHO</t>
        </is>
      </c>
      <c r="C66" s="731" t="n"/>
      <c r="D66" s="775" t="n"/>
      <c r="E66" s="861" t="inlineStr">
        <is>
          <t>AGOSTO</t>
        </is>
      </c>
      <c r="F66" s="731" t="n"/>
      <c r="G66" s="731" t="n"/>
      <c r="H66" s="731" t="n"/>
      <c r="I66" s="775" t="n"/>
      <c r="J66" s="612" t="inlineStr">
        <is>
          <t>USOU ATÉ PAIS</t>
        </is>
      </c>
      <c r="K66" s="614" t="inlineStr">
        <is>
          <t>TOTAL GERAL</t>
        </is>
      </c>
    </row>
    <row r="67" ht="15.75" customHeight="1">
      <c r="A67" s="862" t="n"/>
      <c r="B67" s="227" t="n">
        <v>45859</v>
      </c>
      <c r="C67" s="227" t="n">
        <v>45866</v>
      </c>
      <c r="D67" s="228" t="inlineStr">
        <is>
          <t>USOU</t>
        </is>
      </c>
      <c r="E67" s="227" t="n">
        <v>45873</v>
      </c>
      <c r="F67" s="229" t="n">
        <v>45880</v>
      </c>
      <c r="G67" s="229" t="n">
        <v>45887</v>
      </c>
      <c r="H67" s="227" t="n">
        <v>45894</v>
      </c>
      <c r="I67" s="230" t="inlineStr">
        <is>
          <t>USOU</t>
        </is>
      </c>
      <c r="J67" s="863" t="n"/>
      <c r="K67" s="864" t="n"/>
    </row>
    <row r="68" ht="15.75" customHeight="1">
      <c r="A68" s="204" t="inlineStr">
        <is>
          <t>SACOLA M</t>
        </is>
      </c>
      <c r="B68" s="115" t="n">
        <v>0</v>
      </c>
      <c r="C68" s="115" t="n">
        <v>800</v>
      </c>
      <c r="D68" s="206">
        <f>B68+C68</f>
        <v/>
      </c>
      <c r="E68" s="115" t="n">
        <v>200</v>
      </c>
      <c r="F68" s="115" t="n">
        <v>0</v>
      </c>
      <c r="G68" s="115" t="n">
        <v>0</v>
      </c>
      <c r="H68" s="115" t="n">
        <v>0</v>
      </c>
      <c r="I68" s="206">
        <f>E68+F68+G68+H68</f>
        <v/>
      </c>
      <c r="J68" s="231">
        <f>E68+F68</f>
        <v/>
      </c>
      <c r="K68" s="232">
        <f>D68+I68</f>
        <v/>
      </c>
    </row>
    <row r="69" ht="15.75" customHeight="1">
      <c r="A69" s="134" t="inlineStr">
        <is>
          <t xml:space="preserve">PAPEL DE SEDA </t>
        </is>
      </c>
      <c r="B69" s="115" t="n">
        <v>0</v>
      </c>
      <c r="C69" s="115" t="n">
        <v>0</v>
      </c>
      <c r="D69" s="206">
        <f>B69+C69</f>
        <v/>
      </c>
      <c r="E69" s="115" t="n">
        <v>0</v>
      </c>
      <c r="F69" s="115" t="n">
        <v>0</v>
      </c>
      <c r="G69" s="115" t="n">
        <v>0</v>
      </c>
      <c r="H69" s="115" t="n">
        <v>0</v>
      </c>
      <c r="I69" s="206">
        <f>E69+F69+G69+H69</f>
        <v/>
      </c>
      <c r="J69" s="231">
        <f>E69+F69</f>
        <v/>
      </c>
      <c r="K69" s="232">
        <f>D69+I69</f>
        <v/>
      </c>
    </row>
    <row r="70" ht="15.75" customHeight="1">
      <c r="A70" s="134" t="inlineStr">
        <is>
          <t xml:space="preserve">TAGS </t>
        </is>
      </c>
      <c r="B70" s="115" t="n">
        <v>0</v>
      </c>
      <c r="C70" s="115" t="n">
        <v>0</v>
      </c>
      <c r="D70" s="206">
        <f>B70+C70</f>
        <v/>
      </c>
      <c r="E70" s="115" t="n">
        <v>0</v>
      </c>
      <c r="F70" s="115" t="n">
        <v>0</v>
      </c>
      <c r="G70" s="115" t="n">
        <v>0</v>
      </c>
      <c r="H70" s="115" t="n">
        <v>0</v>
      </c>
      <c r="I70" s="206">
        <f>E70+F70+G70+H70</f>
        <v/>
      </c>
      <c r="J70" s="231">
        <f>E70+F70</f>
        <v/>
      </c>
      <c r="K70" s="232">
        <f>D70+I70</f>
        <v/>
      </c>
    </row>
    <row r="71" ht="15.75" customHeight="1">
      <c r="A71" s="127" t="inlineStr">
        <is>
          <t>TOTAL DE SACOLAS</t>
        </is>
      </c>
      <c r="B71" s="126">
        <f>B68</f>
        <v/>
      </c>
      <c r="C71" s="126">
        <f>C68</f>
        <v/>
      </c>
      <c r="D71" s="126">
        <f>D68</f>
        <v/>
      </c>
      <c r="E71" s="126">
        <f>E68</f>
        <v/>
      </c>
      <c r="F71" s="126">
        <f>F68</f>
        <v/>
      </c>
      <c r="G71" s="126">
        <f>G68</f>
        <v/>
      </c>
      <c r="H71" s="126">
        <f>H68</f>
        <v/>
      </c>
      <c r="I71" s="126">
        <f>I68</f>
        <v/>
      </c>
      <c r="J71" s="233">
        <f>J68</f>
        <v/>
      </c>
      <c r="K71" s="234">
        <f>D68+I68</f>
        <v/>
      </c>
    </row>
    <row r="73" ht="15.75" customHeight="1">
      <c r="A73" s="858" t="inlineStr">
        <is>
          <t>GASTO DE SACOLAS E ITENS DOADOS PAIS/2025 - MENSAIS</t>
        </is>
      </c>
      <c r="B73" s="859" t="n"/>
      <c r="C73" s="859" t="n"/>
      <c r="D73" s="859" t="n"/>
      <c r="E73" s="859" t="n"/>
      <c r="F73" s="859" t="n"/>
      <c r="G73" s="859" t="n"/>
      <c r="H73" s="859" t="n"/>
      <c r="I73" s="859" t="n"/>
      <c r="J73" s="859" t="n"/>
      <c r="K73" s="860" t="n"/>
    </row>
    <row r="74" ht="15.75" customHeight="1">
      <c r="A74" s="607" t="inlineStr">
        <is>
          <t>ER BAURU</t>
        </is>
      </c>
      <c r="B74" s="861" t="inlineStr">
        <is>
          <t>JULHO</t>
        </is>
      </c>
      <c r="C74" s="731" t="n"/>
      <c r="D74" s="775" t="n"/>
      <c r="E74" s="861" t="inlineStr">
        <is>
          <t>AGOSTO</t>
        </is>
      </c>
      <c r="F74" s="731" t="n"/>
      <c r="G74" s="731" t="n"/>
      <c r="H74" s="731" t="n"/>
      <c r="I74" s="775" t="n"/>
      <c r="J74" s="612" t="inlineStr">
        <is>
          <t>USOU ATÉ PAIS</t>
        </is>
      </c>
      <c r="K74" s="614" t="inlineStr">
        <is>
          <t>TOTAL GERAL</t>
        </is>
      </c>
    </row>
    <row r="75" ht="15.75" customHeight="1">
      <c r="A75" s="862" t="n"/>
      <c r="B75" s="227" t="n">
        <v>45859</v>
      </c>
      <c r="C75" s="227" t="n">
        <v>45866</v>
      </c>
      <c r="D75" s="228" t="inlineStr">
        <is>
          <t>USOU</t>
        </is>
      </c>
      <c r="E75" s="227" t="n">
        <v>45873</v>
      </c>
      <c r="F75" s="229" t="n">
        <v>45880</v>
      </c>
      <c r="G75" s="229" t="n">
        <v>45887</v>
      </c>
      <c r="H75" s="227" t="n">
        <v>45894</v>
      </c>
      <c r="I75" s="230" t="inlineStr">
        <is>
          <t>USOU</t>
        </is>
      </c>
      <c r="J75" s="863" t="n"/>
      <c r="K75" s="864" t="n"/>
    </row>
    <row r="76" ht="15.75" customHeight="1">
      <c r="A76" s="204" t="inlineStr">
        <is>
          <t>SACOLA M</t>
        </is>
      </c>
      <c r="B76" s="115" t="n">
        <v>0</v>
      </c>
      <c r="C76" s="115" t="n">
        <v>0</v>
      </c>
      <c r="D76" s="206">
        <f>B76+C76</f>
        <v/>
      </c>
      <c r="E76" s="115" t="n">
        <v>200</v>
      </c>
      <c r="F76" s="115" t="n">
        <v>0</v>
      </c>
      <c r="G76" s="115" t="n">
        <v>800</v>
      </c>
      <c r="H76" s="115" t="n">
        <v>0</v>
      </c>
      <c r="I76" s="206">
        <f>E76+F76+G76+H76</f>
        <v/>
      </c>
      <c r="J76" s="231">
        <f>E76+F76</f>
        <v/>
      </c>
      <c r="K76" s="232">
        <f>D76+I76</f>
        <v/>
      </c>
    </row>
    <row r="77" ht="15.75" customHeight="1">
      <c r="A77" s="134" t="inlineStr">
        <is>
          <t xml:space="preserve">PAPEL DE SEDA </t>
        </is>
      </c>
      <c r="B77" s="115" t="n">
        <v>0</v>
      </c>
      <c r="C77" s="115" t="n">
        <v>0</v>
      </c>
      <c r="D77" s="206">
        <f>B77+C77</f>
        <v/>
      </c>
      <c r="E77" s="115" t="n">
        <v>0</v>
      </c>
      <c r="F77" s="115" t="n">
        <v>0</v>
      </c>
      <c r="G77" s="115" t="n">
        <v>0</v>
      </c>
      <c r="H77" s="115" t="n">
        <v>0</v>
      </c>
      <c r="I77" s="206">
        <f>E77+F77+G77+H77</f>
        <v/>
      </c>
      <c r="J77" s="231">
        <f>E77+F77</f>
        <v/>
      </c>
      <c r="K77" s="232">
        <f>D77+I77</f>
        <v/>
      </c>
    </row>
    <row r="78" ht="15.75" customHeight="1">
      <c r="A78" s="134" t="inlineStr">
        <is>
          <t xml:space="preserve">TAGS </t>
        </is>
      </c>
      <c r="B78" s="115" t="n">
        <v>0</v>
      </c>
      <c r="C78" s="115" t="n">
        <v>0</v>
      </c>
      <c r="D78" s="206">
        <f>B78+C78</f>
        <v/>
      </c>
      <c r="E78" s="115" t="n">
        <v>0</v>
      </c>
      <c r="F78" s="115" t="n">
        <v>0</v>
      </c>
      <c r="G78" s="115" t="n">
        <v>0</v>
      </c>
      <c r="H78" s="115" t="n">
        <v>0</v>
      </c>
      <c r="I78" s="206">
        <f>E78+F78+G78+H78</f>
        <v/>
      </c>
      <c r="J78" s="231">
        <f>E78+F78</f>
        <v/>
      </c>
      <c r="K78" s="232">
        <f>D78+I78</f>
        <v/>
      </c>
    </row>
    <row r="79" ht="15.75" customHeight="1">
      <c r="A79" s="127" t="inlineStr">
        <is>
          <t>TOTAL DE SACOLAS</t>
        </is>
      </c>
      <c r="B79" s="126">
        <f>B76</f>
        <v/>
      </c>
      <c r="C79" s="126">
        <f>C76</f>
        <v/>
      </c>
      <c r="D79" s="126">
        <f>D76</f>
        <v/>
      </c>
      <c r="E79" s="126">
        <f>E76</f>
        <v/>
      </c>
      <c r="F79" s="126">
        <f>F76</f>
        <v/>
      </c>
      <c r="G79" s="126">
        <f>G76</f>
        <v/>
      </c>
      <c r="H79" s="126">
        <f>H76</f>
        <v/>
      </c>
      <c r="I79" s="126">
        <f>I76</f>
        <v/>
      </c>
      <c r="J79" s="233">
        <f>J76</f>
        <v/>
      </c>
      <c r="K79" s="234">
        <f>D76+I76</f>
        <v/>
      </c>
    </row>
  </sheetData>
  <mergeCells count="60">
    <mergeCell ref="B42:D42"/>
    <mergeCell ref="E50:I50"/>
    <mergeCell ref="K26:K27"/>
    <mergeCell ref="E42:I42"/>
    <mergeCell ref="A73:K73"/>
    <mergeCell ref="J34:J35"/>
    <mergeCell ref="J74:J75"/>
    <mergeCell ref="A49:K49"/>
    <mergeCell ref="A50:A51"/>
    <mergeCell ref="A1:K1"/>
    <mergeCell ref="A66:A67"/>
    <mergeCell ref="B34:D34"/>
    <mergeCell ref="K50:K51"/>
    <mergeCell ref="B10:D10"/>
    <mergeCell ref="A74:A75"/>
    <mergeCell ref="A26:A27"/>
    <mergeCell ref="A65:K65"/>
    <mergeCell ref="A25:K25"/>
    <mergeCell ref="A41:K41"/>
    <mergeCell ref="E10:I10"/>
    <mergeCell ref="B74:D74"/>
    <mergeCell ref="A2:A3"/>
    <mergeCell ref="A18:A19"/>
    <mergeCell ref="E58:I58"/>
    <mergeCell ref="K2:K3"/>
    <mergeCell ref="K18:K19"/>
    <mergeCell ref="E74:I74"/>
    <mergeCell ref="J26:J27"/>
    <mergeCell ref="K58:K59"/>
    <mergeCell ref="J66:J67"/>
    <mergeCell ref="E34:I34"/>
    <mergeCell ref="J18:J19"/>
    <mergeCell ref="A42:A43"/>
    <mergeCell ref="K66:K67"/>
    <mergeCell ref="A57:K57"/>
    <mergeCell ref="B50:D50"/>
    <mergeCell ref="J50:J51"/>
    <mergeCell ref="K42:K43"/>
    <mergeCell ref="A33:K33"/>
    <mergeCell ref="B26:D26"/>
    <mergeCell ref="E2:I2"/>
    <mergeCell ref="A10:A11"/>
    <mergeCell ref="A17:K17"/>
    <mergeCell ref="K34:K35"/>
    <mergeCell ref="E26:I26"/>
    <mergeCell ref="K10:K11"/>
    <mergeCell ref="J2:J3"/>
    <mergeCell ref="J58:J59"/>
    <mergeCell ref="B66:D66"/>
    <mergeCell ref="A9:K9"/>
    <mergeCell ref="A34:A35"/>
    <mergeCell ref="K74:K75"/>
    <mergeCell ref="E66:I66"/>
    <mergeCell ref="B58:D58"/>
    <mergeCell ref="J42:J43"/>
    <mergeCell ref="B18:D18"/>
    <mergeCell ref="A58:A59"/>
    <mergeCell ref="B2:D2"/>
    <mergeCell ref="E18:I1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1.xml><?xml version="1.0" encoding="utf-8"?>
<worksheet xmlns="http://schemas.openxmlformats.org/spreadsheetml/2006/main">
  <sheetPr codeName="Planilha16">
    <tabColor rgb="FFCC99FF"/>
    <outlinePr summaryBelow="1" summaryRight="1"/>
    <pageSetUpPr/>
  </sheetPr>
  <dimension ref="A1:L71"/>
  <sheetViews>
    <sheetView zoomScale="85" zoomScaleNormal="85" workbookViewId="0">
      <pane xSplit="1" topLeftCell="B1" activePane="topRight" state="frozen"/>
      <selection pane="topRight" activeCell="O17" sqref="O17"/>
    </sheetView>
  </sheetViews>
  <sheetFormatPr baseColWidth="8" defaultRowHeight="15"/>
  <cols>
    <col width="32.85546875" customWidth="1" min="1" max="1"/>
    <col width="17.5703125" bestFit="1" customWidth="1" min="11" max="11"/>
    <col width="14.42578125" bestFit="1" customWidth="1" min="12" max="12"/>
  </cols>
  <sheetData>
    <row r="1" ht="18" customHeight="1">
      <c r="A1" s="865" t="inlineStr">
        <is>
          <t>GASTO DE SACOLAS E ITENS DOADOS DISNEY/2024 - MENSAIS</t>
        </is>
      </c>
      <c r="B1" s="731" t="n"/>
      <c r="C1" s="731" t="n"/>
      <c r="D1" s="731" t="n"/>
      <c r="E1" s="731" t="n"/>
      <c r="F1" s="731" t="n"/>
      <c r="G1" s="731" t="n"/>
      <c r="H1" s="731" t="n"/>
      <c r="I1" s="731" t="n"/>
      <c r="J1" s="731" t="n"/>
      <c r="K1" s="731" t="n"/>
      <c r="L1" s="775" t="n"/>
    </row>
    <row r="2" ht="18" customHeight="1">
      <c r="A2" s="865" t="inlineStr">
        <is>
          <t>BAURU SHOPPING</t>
        </is>
      </c>
      <c r="B2" s="865" t="inlineStr">
        <is>
          <t>SETEMBRO</t>
        </is>
      </c>
      <c r="C2" s="731" t="n"/>
      <c r="D2" s="731" t="n"/>
      <c r="E2" s="775" t="n"/>
      <c r="F2" s="865" t="inlineStr">
        <is>
          <t>OUTUBRO</t>
        </is>
      </c>
      <c r="G2" s="731" t="n"/>
      <c r="H2" s="731" t="n"/>
      <c r="I2" s="731" t="n"/>
      <c r="J2" s="775" t="n"/>
      <c r="K2" s="866" t="inlineStr">
        <is>
          <t>USOU ATÉ CRIANÇAS</t>
        </is>
      </c>
      <c r="L2" s="866" t="inlineStr">
        <is>
          <t>TOTAL GERAL</t>
        </is>
      </c>
    </row>
    <row r="3" ht="15.75" customHeight="1">
      <c r="A3" s="745" t="n"/>
      <c r="B3" s="239" t="n">
        <v>45551</v>
      </c>
      <c r="C3" s="239" t="n">
        <v>45558</v>
      </c>
      <c r="D3" s="240" t="n">
        <v>45565</v>
      </c>
      <c r="E3" s="241" t="inlineStr">
        <is>
          <t>USOU</t>
        </is>
      </c>
      <c r="F3" s="239" t="n">
        <v>45572</v>
      </c>
      <c r="G3" s="242" t="n">
        <v>45579</v>
      </c>
      <c r="H3" s="242" t="n">
        <v>45586</v>
      </c>
      <c r="I3" s="239" t="n">
        <v>45593</v>
      </c>
      <c r="J3" s="243" t="inlineStr">
        <is>
          <t>USOU</t>
        </is>
      </c>
      <c r="K3" s="745" t="n"/>
      <c r="L3" s="745" t="n"/>
    </row>
    <row r="4" ht="15.75" customHeight="1">
      <c r="A4" s="204" t="inlineStr">
        <is>
          <t>SACOLA M</t>
        </is>
      </c>
      <c r="B4" s="115" t="n">
        <v>0</v>
      </c>
      <c r="C4" s="115" t="n">
        <v>0</v>
      </c>
      <c r="D4" s="205" t="n">
        <v>200</v>
      </c>
      <c r="E4" s="206">
        <f>B4+C4</f>
        <v/>
      </c>
      <c r="F4" s="115" t="n">
        <v>0</v>
      </c>
      <c r="G4" s="115" t="n">
        <v>600</v>
      </c>
      <c r="H4" s="115" t="n">
        <v>0</v>
      </c>
      <c r="I4" s="115" t="n">
        <v>0</v>
      </c>
      <c r="J4" s="206">
        <f>F4+G4+H4+I4</f>
        <v/>
      </c>
      <c r="K4" s="207">
        <f>C4+D4+F4+G4</f>
        <v/>
      </c>
      <c r="L4" s="244">
        <f>E4+J4</f>
        <v/>
      </c>
    </row>
    <row r="5" ht="15.75" customHeight="1">
      <c r="A5" s="204" t="n"/>
      <c r="B5" s="115" t="n"/>
      <c r="C5" s="115" t="n"/>
      <c r="D5" s="205" t="n"/>
      <c r="E5" s="206" t="n"/>
      <c r="F5" s="115" t="n"/>
      <c r="G5" s="115" t="n"/>
      <c r="H5" s="115" t="n"/>
      <c r="I5" s="115" t="n"/>
      <c r="J5" s="206" t="n"/>
      <c r="K5" s="207" t="n"/>
      <c r="L5" s="244" t="n"/>
    </row>
    <row r="6" ht="15.75" customHeight="1">
      <c r="A6" s="134" t="inlineStr">
        <is>
          <t xml:space="preserve">TAGS </t>
        </is>
      </c>
      <c r="B6" s="115" t="n">
        <v>0</v>
      </c>
      <c r="C6" s="115" t="n">
        <v>0</v>
      </c>
      <c r="D6" s="205" t="n">
        <v>0</v>
      </c>
      <c r="E6" s="206">
        <f>B6+C6</f>
        <v/>
      </c>
      <c r="F6" s="115" t="n">
        <v>0</v>
      </c>
      <c r="G6" s="115" t="n">
        <v>200</v>
      </c>
      <c r="H6" s="115" t="n">
        <v>0</v>
      </c>
      <c r="I6" s="115" t="n">
        <v>0</v>
      </c>
      <c r="J6" s="206">
        <f>F6+G6+H6+I6</f>
        <v/>
      </c>
      <c r="K6" s="207">
        <f>C6+D6+F6+G6</f>
        <v/>
      </c>
      <c r="L6" s="244">
        <f>E6+J6</f>
        <v/>
      </c>
    </row>
    <row r="7" ht="15.75" customHeight="1">
      <c r="A7" s="127" t="inlineStr">
        <is>
          <t>TOTAL DE SACOLAS</t>
        </is>
      </c>
      <c r="B7" s="126">
        <f>B4</f>
        <v/>
      </c>
      <c r="C7" s="126">
        <f>C4</f>
        <v/>
      </c>
      <c r="D7" s="126">
        <f>D4</f>
        <v/>
      </c>
      <c r="E7" s="126">
        <f>E4</f>
        <v/>
      </c>
      <c r="F7" s="126">
        <f>F4</f>
        <v/>
      </c>
      <c r="G7" s="126">
        <f>G4</f>
        <v/>
      </c>
      <c r="H7" s="126">
        <f>H4</f>
        <v/>
      </c>
      <c r="I7" s="126">
        <f>I4</f>
        <v/>
      </c>
      <c r="J7" s="126">
        <f>J4</f>
        <v/>
      </c>
      <c r="K7" s="245">
        <f>K4</f>
        <v/>
      </c>
      <c r="L7" s="246">
        <f>E4+J4</f>
        <v/>
      </c>
    </row>
    <row r="9" ht="18" customHeight="1">
      <c r="A9" s="865" t="inlineStr">
        <is>
          <t>GASTO DE SACOLAS E ITENS DOADOS DISNEY/2024 - MENSAIS</t>
        </is>
      </c>
      <c r="B9" s="731" t="n"/>
      <c r="C9" s="731" t="n"/>
      <c r="D9" s="731" t="n"/>
      <c r="E9" s="731" t="n"/>
      <c r="F9" s="731" t="n"/>
      <c r="G9" s="731" t="n"/>
      <c r="H9" s="731" t="n"/>
      <c r="I9" s="731" t="n"/>
      <c r="J9" s="731" t="n"/>
      <c r="K9" s="731" t="n"/>
      <c r="L9" s="775" t="n"/>
    </row>
    <row r="10" ht="18" customHeight="1">
      <c r="A10" s="865" t="inlineStr">
        <is>
          <t>BOULEVARD</t>
        </is>
      </c>
      <c r="B10" s="865" t="inlineStr">
        <is>
          <t>SETEMBRO</t>
        </is>
      </c>
      <c r="C10" s="731" t="n"/>
      <c r="D10" s="731" t="n"/>
      <c r="E10" s="775" t="n"/>
      <c r="F10" s="865" t="inlineStr">
        <is>
          <t>OUTUBRO</t>
        </is>
      </c>
      <c r="G10" s="731" t="n"/>
      <c r="H10" s="731" t="n"/>
      <c r="I10" s="731" t="n"/>
      <c r="J10" s="775" t="n"/>
      <c r="K10" s="866" t="inlineStr">
        <is>
          <t>USOU ATÉ CRIANÇAS</t>
        </is>
      </c>
      <c r="L10" s="866" t="inlineStr">
        <is>
          <t>TOTAL GERAL</t>
        </is>
      </c>
    </row>
    <row r="11" ht="15.75" customHeight="1">
      <c r="A11" s="745" t="n"/>
      <c r="B11" s="239" t="n">
        <v>45551</v>
      </c>
      <c r="C11" s="239" t="n">
        <v>45558</v>
      </c>
      <c r="D11" s="240" t="n">
        <v>45565</v>
      </c>
      <c r="E11" s="241" t="inlineStr">
        <is>
          <t>USOU</t>
        </is>
      </c>
      <c r="F11" s="239" t="n">
        <v>45572</v>
      </c>
      <c r="G11" s="242" t="n">
        <v>45579</v>
      </c>
      <c r="H11" s="242" t="n">
        <v>45586</v>
      </c>
      <c r="I11" s="239" t="n">
        <v>45593</v>
      </c>
      <c r="J11" s="243" t="inlineStr">
        <is>
          <t>USOU</t>
        </is>
      </c>
      <c r="K11" s="745" t="n"/>
      <c r="L11" s="745" t="n"/>
    </row>
    <row r="12" ht="15.75" customHeight="1">
      <c r="A12" s="204" t="inlineStr">
        <is>
          <t>SACOLA M</t>
        </is>
      </c>
      <c r="B12" s="115" t="n">
        <v>0</v>
      </c>
      <c r="C12" s="115" t="n">
        <v>0</v>
      </c>
      <c r="D12" s="205" t="n">
        <v>110</v>
      </c>
      <c r="E12" s="206">
        <f>B12+C12</f>
        <v/>
      </c>
      <c r="F12" s="115" t="n">
        <v>50</v>
      </c>
      <c r="G12" s="115" t="n">
        <v>100</v>
      </c>
      <c r="H12" s="115" t="n">
        <v>60</v>
      </c>
      <c r="I12" s="115" t="n">
        <v>50</v>
      </c>
      <c r="J12" s="206">
        <f>F12+G12+H12+I12</f>
        <v/>
      </c>
      <c r="K12" s="207">
        <f>C12+D12+F12+G12</f>
        <v/>
      </c>
      <c r="L12" s="244">
        <f>E12+J12</f>
        <v/>
      </c>
    </row>
    <row r="13" ht="15.75" customHeight="1">
      <c r="A13" s="204" t="n"/>
      <c r="B13" s="115" t="n"/>
      <c r="C13" s="115" t="n"/>
      <c r="D13" s="205" t="n"/>
      <c r="E13" s="206" t="n"/>
      <c r="F13" s="115" t="n"/>
      <c r="G13" s="115" t="n"/>
      <c r="H13" s="115" t="n"/>
      <c r="I13" s="115" t="n"/>
      <c r="J13" s="206" t="n"/>
      <c r="K13" s="207" t="n"/>
      <c r="L13" s="244" t="n"/>
    </row>
    <row r="14" ht="15.75" customHeight="1">
      <c r="A14" s="134" t="inlineStr">
        <is>
          <t xml:space="preserve">TAGS </t>
        </is>
      </c>
      <c r="B14" s="115" t="n">
        <v>0</v>
      </c>
      <c r="C14" s="115" t="n">
        <v>0</v>
      </c>
      <c r="D14" s="205" t="n">
        <v>0</v>
      </c>
      <c r="E14" s="206">
        <f>B14+C14</f>
        <v/>
      </c>
      <c r="F14" s="115" t="n">
        <v>0</v>
      </c>
      <c r="G14" s="115" t="n">
        <v>0</v>
      </c>
      <c r="H14" s="115" t="n">
        <v>0</v>
      </c>
      <c r="I14" s="115" t="n">
        <v>200</v>
      </c>
      <c r="J14" s="206">
        <f>F14+G14+H14+I14</f>
        <v/>
      </c>
      <c r="K14" s="207">
        <f>C14+D14+F14+G14</f>
        <v/>
      </c>
      <c r="L14" s="244">
        <f>E14+J14</f>
        <v/>
      </c>
    </row>
    <row r="15" ht="15.75" customHeight="1">
      <c r="A15" s="127" t="inlineStr">
        <is>
          <t>TOTAL DE SACOLAS</t>
        </is>
      </c>
      <c r="B15" s="126">
        <f>B12</f>
        <v/>
      </c>
      <c r="C15" s="126">
        <f>C12</f>
        <v/>
      </c>
      <c r="D15" s="126">
        <f>D12</f>
        <v/>
      </c>
      <c r="E15" s="126">
        <f>E12</f>
        <v/>
      </c>
      <c r="F15" s="126">
        <f>F12</f>
        <v/>
      </c>
      <c r="G15" s="126">
        <f>G12</f>
        <v/>
      </c>
      <c r="H15" s="126">
        <f>H12</f>
        <v/>
      </c>
      <c r="I15" s="126">
        <f>I12</f>
        <v/>
      </c>
      <c r="J15" s="126">
        <f>J12</f>
        <v/>
      </c>
      <c r="K15" s="245">
        <f>K12</f>
        <v/>
      </c>
      <c r="L15" s="246">
        <f>E12+J12</f>
        <v/>
      </c>
    </row>
    <row r="17" ht="15.75" customHeight="1">
      <c r="A17" s="865" t="inlineStr">
        <is>
          <t>GASTO DE SACOLAS E ITENS DOADOS DISNEY/2024 - MENSAIS</t>
        </is>
      </c>
      <c r="B17" s="731" t="n"/>
      <c r="C17" s="731" t="n"/>
      <c r="D17" s="731" t="n"/>
      <c r="E17" s="731" t="n"/>
      <c r="F17" s="731" t="n"/>
      <c r="G17" s="731" t="n"/>
      <c r="H17" s="731" t="n"/>
      <c r="I17" s="731" t="n"/>
      <c r="J17" s="731" t="n"/>
      <c r="K17" s="731" t="n"/>
      <c r="L17" s="775" t="n"/>
    </row>
    <row r="18" ht="15.75" customHeight="1">
      <c r="A18" s="865" t="inlineStr">
        <is>
          <t>TAUSTE RIO</t>
        </is>
      </c>
      <c r="B18" s="865" t="inlineStr">
        <is>
          <t>SETEMBRO</t>
        </is>
      </c>
      <c r="C18" s="731" t="n"/>
      <c r="D18" s="731" t="n"/>
      <c r="E18" s="775" t="n"/>
      <c r="F18" s="865" t="inlineStr">
        <is>
          <t>OUTUBRO</t>
        </is>
      </c>
      <c r="G18" s="731" t="n"/>
      <c r="H18" s="731" t="n"/>
      <c r="I18" s="731" t="n"/>
      <c r="J18" s="775" t="n"/>
      <c r="K18" s="866" t="inlineStr">
        <is>
          <t>USOU ATÉ CRIANÇAS</t>
        </is>
      </c>
      <c r="L18" s="866" t="inlineStr">
        <is>
          <t>TOTAL GERAL</t>
        </is>
      </c>
    </row>
    <row r="19" ht="15.75" customHeight="1">
      <c r="A19" s="745" t="n"/>
      <c r="B19" s="239" t="n">
        <v>45551</v>
      </c>
      <c r="C19" s="239" t="n">
        <v>45558</v>
      </c>
      <c r="D19" s="240" t="n">
        <v>45565</v>
      </c>
      <c r="E19" s="241" t="inlineStr">
        <is>
          <t>USOU</t>
        </is>
      </c>
      <c r="F19" s="239" t="n">
        <v>45572</v>
      </c>
      <c r="G19" s="242" t="n">
        <v>45579</v>
      </c>
      <c r="H19" s="242" t="n">
        <v>45586</v>
      </c>
      <c r="I19" s="239" t="n">
        <v>45593</v>
      </c>
      <c r="J19" s="243" t="inlineStr">
        <is>
          <t>USOU</t>
        </is>
      </c>
      <c r="K19" s="745" t="n"/>
      <c r="L19" s="745" t="n"/>
    </row>
    <row r="20" ht="15.75" customHeight="1">
      <c r="A20" s="204" t="inlineStr">
        <is>
          <t>SACOLA M</t>
        </is>
      </c>
      <c r="B20" s="115" t="n">
        <v>0</v>
      </c>
      <c r="C20" s="115" t="n">
        <v>0</v>
      </c>
      <c r="D20" s="205" t="n">
        <v>80</v>
      </c>
      <c r="E20" s="206">
        <f>B20+C20</f>
        <v/>
      </c>
      <c r="F20" s="115" t="n">
        <v>40</v>
      </c>
      <c r="G20" s="115" t="n">
        <v>60</v>
      </c>
      <c r="H20" s="115" t="n">
        <v>20</v>
      </c>
      <c r="I20" s="115" t="n">
        <v>0</v>
      </c>
      <c r="J20" s="206">
        <f>F20+G20+H20+I20</f>
        <v/>
      </c>
      <c r="K20" s="207">
        <f>C20+D20+F20+G20</f>
        <v/>
      </c>
      <c r="L20" s="244">
        <f>E20+J20</f>
        <v/>
      </c>
    </row>
    <row r="21" ht="15.75" customHeight="1">
      <c r="A21" s="204" t="n"/>
      <c r="B21" s="115" t="n"/>
      <c r="C21" s="115" t="n"/>
      <c r="D21" s="205" t="n"/>
      <c r="E21" s="206" t="n"/>
      <c r="F21" s="115" t="n"/>
      <c r="G21" s="115" t="n"/>
      <c r="H21" s="115" t="n"/>
      <c r="I21" s="115" t="n"/>
      <c r="J21" s="206" t="n"/>
      <c r="K21" s="207" t="n"/>
      <c r="L21" s="244" t="n"/>
    </row>
    <row r="22" ht="15.75" customHeight="1">
      <c r="A22" s="134" t="inlineStr">
        <is>
          <t xml:space="preserve">TAGS </t>
        </is>
      </c>
      <c r="B22" s="115" t="n">
        <v>0</v>
      </c>
      <c r="C22" s="115" t="n">
        <v>0</v>
      </c>
      <c r="D22" s="205" t="n">
        <v>200</v>
      </c>
      <c r="E22" s="206">
        <f>B22+C22</f>
        <v/>
      </c>
      <c r="F22" s="115" t="n">
        <v>0</v>
      </c>
      <c r="G22" s="115" t="n">
        <v>0</v>
      </c>
      <c r="H22" s="115" t="n">
        <v>0</v>
      </c>
      <c r="I22" s="115" t="n">
        <v>0</v>
      </c>
      <c r="J22" s="206">
        <f>F22+G22+H22+I22</f>
        <v/>
      </c>
      <c r="K22" s="207">
        <f>C22+D22+F22+G22</f>
        <v/>
      </c>
      <c r="L22" s="244">
        <f>E22+J22</f>
        <v/>
      </c>
    </row>
    <row r="23" ht="15.75" customHeight="1">
      <c r="A23" s="127" t="inlineStr">
        <is>
          <t>TOTAL DE SACOLAS</t>
        </is>
      </c>
      <c r="B23" s="126">
        <f>B20</f>
        <v/>
      </c>
      <c r="C23" s="126">
        <f>C20</f>
        <v/>
      </c>
      <c r="D23" s="126">
        <f>D20</f>
        <v/>
      </c>
      <c r="E23" s="126">
        <f>E20</f>
        <v/>
      </c>
      <c r="F23" s="126">
        <f>F20</f>
        <v/>
      </c>
      <c r="G23" s="126">
        <f>G20</f>
        <v/>
      </c>
      <c r="H23" s="126">
        <f>H20</f>
        <v/>
      </c>
      <c r="I23" s="126">
        <f>I20</f>
        <v/>
      </c>
      <c r="J23" s="126">
        <f>J20</f>
        <v/>
      </c>
      <c r="K23" s="245">
        <f>K20</f>
        <v/>
      </c>
      <c r="L23" s="246">
        <f>E20+J20</f>
        <v/>
      </c>
    </row>
    <row r="25" ht="15.75" customHeight="1">
      <c r="A25" s="865" t="inlineStr">
        <is>
          <t>GASTO DE SACOLAS E ITENS DOADOS DISNEY/2024 - MENSAIS</t>
        </is>
      </c>
      <c r="B25" s="731" t="n"/>
      <c r="C25" s="731" t="n"/>
      <c r="D25" s="731" t="n"/>
      <c r="E25" s="731" t="n"/>
      <c r="F25" s="731" t="n"/>
      <c r="G25" s="731" t="n"/>
      <c r="H25" s="731" t="n"/>
      <c r="I25" s="731" t="n"/>
      <c r="J25" s="731" t="n"/>
      <c r="K25" s="731" t="n"/>
      <c r="L25" s="775" t="n"/>
    </row>
    <row r="26" ht="15.75" customHeight="1">
      <c r="A26" s="865" t="inlineStr">
        <is>
          <t>TAUSTE DUQUE</t>
        </is>
      </c>
      <c r="B26" s="865" t="inlineStr">
        <is>
          <t>SETEMBRO</t>
        </is>
      </c>
      <c r="C26" s="731" t="n"/>
      <c r="D26" s="731" t="n"/>
      <c r="E26" s="775" t="n"/>
      <c r="F26" s="865" t="inlineStr">
        <is>
          <t>OUTUBRO</t>
        </is>
      </c>
      <c r="G26" s="731" t="n"/>
      <c r="H26" s="731" t="n"/>
      <c r="I26" s="731" t="n"/>
      <c r="J26" s="775" t="n"/>
      <c r="K26" s="866" t="inlineStr">
        <is>
          <t>USOU ATÉ CRIANÇAS</t>
        </is>
      </c>
      <c r="L26" s="866" t="inlineStr">
        <is>
          <t>TOTAL GERAL</t>
        </is>
      </c>
    </row>
    <row r="27" ht="15.75" customHeight="1">
      <c r="A27" s="745" t="n"/>
      <c r="B27" s="239" t="n">
        <v>45551</v>
      </c>
      <c r="C27" s="239" t="n">
        <v>45558</v>
      </c>
      <c r="D27" s="240" t="n">
        <v>45565</v>
      </c>
      <c r="E27" s="241" t="inlineStr">
        <is>
          <t>USOU</t>
        </is>
      </c>
      <c r="F27" s="239" t="n">
        <v>45572</v>
      </c>
      <c r="G27" s="242" t="n">
        <v>45579</v>
      </c>
      <c r="H27" s="242" t="n">
        <v>45586</v>
      </c>
      <c r="I27" s="239" t="n">
        <v>45593</v>
      </c>
      <c r="J27" s="243" t="inlineStr">
        <is>
          <t>USOU</t>
        </is>
      </c>
      <c r="K27" s="745" t="n"/>
      <c r="L27" s="745" t="n"/>
    </row>
    <row r="28" ht="15.75" customHeight="1">
      <c r="A28" s="204" t="inlineStr">
        <is>
          <t>SACOLA M</t>
        </is>
      </c>
      <c r="B28" s="115" t="n">
        <v>0</v>
      </c>
      <c r="C28" s="115" t="n">
        <v>40</v>
      </c>
      <c r="D28" s="205" t="n">
        <v>0</v>
      </c>
      <c r="E28" s="206">
        <f>B28+C28</f>
        <v/>
      </c>
      <c r="F28" s="115" t="n">
        <v>58</v>
      </c>
      <c r="G28" s="115" t="n">
        <v>40</v>
      </c>
      <c r="H28" s="115" t="n">
        <v>62</v>
      </c>
      <c r="I28" s="115" t="n">
        <v>0</v>
      </c>
      <c r="J28" s="206">
        <f>F28+G28+H28+I28</f>
        <v/>
      </c>
      <c r="K28" s="207">
        <f>C28+D28+F28+G28</f>
        <v/>
      </c>
      <c r="L28" s="244">
        <f>E28+J28</f>
        <v/>
      </c>
    </row>
    <row r="29" ht="15.75" customHeight="1">
      <c r="A29" s="204" t="n"/>
      <c r="B29" s="115" t="n"/>
      <c r="C29" s="115" t="n"/>
      <c r="D29" s="205" t="n"/>
      <c r="E29" s="206" t="n"/>
      <c r="F29" s="115" t="n"/>
      <c r="G29" s="115" t="n"/>
      <c r="H29" s="115" t="n"/>
      <c r="I29" s="115" t="n"/>
      <c r="J29" s="206" t="n"/>
      <c r="K29" s="207" t="n"/>
      <c r="L29" s="244" t="n"/>
    </row>
    <row r="30" ht="15.75" customHeight="1">
      <c r="A30" s="134" t="inlineStr">
        <is>
          <t xml:space="preserve">TAGS </t>
        </is>
      </c>
      <c r="B30" s="115" t="n">
        <v>0</v>
      </c>
      <c r="C30" s="115" t="n">
        <v>100</v>
      </c>
      <c r="D30" s="205" t="n">
        <v>0</v>
      </c>
      <c r="E30" s="206">
        <f>B30+C30</f>
        <v/>
      </c>
      <c r="F30" s="115" t="n">
        <v>70</v>
      </c>
      <c r="G30" s="115" t="n">
        <v>30</v>
      </c>
      <c r="H30" s="115" t="n">
        <v>0</v>
      </c>
      <c r="I30" s="115" t="n">
        <v>0</v>
      </c>
      <c r="J30" s="206">
        <f>F30+G30+H30+I30</f>
        <v/>
      </c>
      <c r="K30" s="207">
        <f>C30+D30+F30+G30</f>
        <v/>
      </c>
      <c r="L30" s="244">
        <f>E30+J30</f>
        <v/>
      </c>
    </row>
    <row r="31" ht="15.75" customHeight="1">
      <c r="A31" s="127" t="inlineStr">
        <is>
          <t>TOTAL DE SACOLAS</t>
        </is>
      </c>
      <c r="B31" s="126">
        <f>B28</f>
        <v/>
      </c>
      <c r="C31" s="126">
        <f>C28</f>
        <v/>
      </c>
      <c r="D31" s="126">
        <f>D28</f>
        <v/>
      </c>
      <c r="E31" s="126">
        <f>E28</f>
        <v/>
      </c>
      <c r="F31" s="126">
        <f>F28</f>
        <v/>
      </c>
      <c r="G31" s="126">
        <f>G28</f>
        <v/>
      </c>
      <c r="H31" s="126">
        <f>H28</f>
        <v/>
      </c>
      <c r="I31" s="126">
        <f>I28</f>
        <v/>
      </c>
      <c r="J31" s="126">
        <f>J28</f>
        <v/>
      </c>
      <c r="K31" s="245">
        <f>K28</f>
        <v/>
      </c>
      <c r="L31" s="246">
        <f>E28+J28</f>
        <v/>
      </c>
    </row>
    <row r="33" ht="15.75" customHeight="1">
      <c r="A33" s="865" t="inlineStr">
        <is>
          <t>GASTO DE SACOLAS E ITENS DOADOS DISNEY/2024 - MENSAIS</t>
        </is>
      </c>
      <c r="B33" s="731" t="n"/>
      <c r="C33" s="731" t="n"/>
      <c r="D33" s="731" t="n"/>
      <c r="E33" s="731" t="n"/>
      <c r="F33" s="731" t="n"/>
      <c r="G33" s="731" t="n"/>
      <c r="H33" s="731" t="n"/>
      <c r="I33" s="731" t="n"/>
      <c r="J33" s="731" t="n"/>
      <c r="K33" s="731" t="n"/>
      <c r="L33" s="775" t="n"/>
    </row>
    <row r="34" ht="15.75" customHeight="1">
      <c r="A34" s="865" t="inlineStr">
        <is>
          <t>GETÚLIO</t>
        </is>
      </c>
      <c r="B34" s="865" t="inlineStr">
        <is>
          <t>SETEMBRO</t>
        </is>
      </c>
      <c r="C34" s="731" t="n"/>
      <c r="D34" s="731" t="n"/>
      <c r="E34" s="775" t="n"/>
      <c r="F34" s="865" t="inlineStr">
        <is>
          <t>OUTUBRO</t>
        </is>
      </c>
      <c r="G34" s="731" t="n"/>
      <c r="H34" s="731" t="n"/>
      <c r="I34" s="731" t="n"/>
      <c r="J34" s="775" t="n"/>
      <c r="K34" s="866" t="inlineStr">
        <is>
          <t>USOU ATÉ CRIANÇAS</t>
        </is>
      </c>
      <c r="L34" s="866" t="inlineStr">
        <is>
          <t>TOTAL GERAL</t>
        </is>
      </c>
    </row>
    <row r="35" ht="15.75" customHeight="1">
      <c r="A35" s="745" t="n"/>
      <c r="B35" s="239" t="n">
        <v>45551</v>
      </c>
      <c r="C35" s="239" t="n">
        <v>45558</v>
      </c>
      <c r="D35" s="240" t="n">
        <v>45565</v>
      </c>
      <c r="E35" s="241" t="inlineStr">
        <is>
          <t>USOU</t>
        </is>
      </c>
      <c r="F35" s="239" t="n">
        <v>45572</v>
      </c>
      <c r="G35" s="242" t="n">
        <v>45579</v>
      </c>
      <c r="H35" s="242" t="n">
        <v>45586</v>
      </c>
      <c r="I35" s="239" t="n">
        <v>45593</v>
      </c>
      <c r="J35" s="243" t="inlineStr">
        <is>
          <t>USOU</t>
        </is>
      </c>
      <c r="K35" s="745" t="n"/>
      <c r="L35" s="745" t="n"/>
    </row>
    <row r="36" ht="15.75" customHeight="1">
      <c r="A36" s="204" t="inlineStr">
        <is>
          <t>SACOLA M</t>
        </is>
      </c>
      <c r="B36" s="115" t="n">
        <v>0</v>
      </c>
      <c r="C36" s="115" t="n">
        <v>0</v>
      </c>
      <c r="D36" s="205" t="n">
        <v>100</v>
      </c>
      <c r="E36" s="206">
        <f>B36+C36</f>
        <v/>
      </c>
      <c r="F36" s="115" t="n">
        <v>0</v>
      </c>
      <c r="G36" s="115" t="n">
        <v>40</v>
      </c>
      <c r="H36" s="115" t="n">
        <v>20</v>
      </c>
      <c r="I36" s="115" t="n">
        <v>200</v>
      </c>
      <c r="J36" s="206">
        <f>F36+G36+H36+I36</f>
        <v/>
      </c>
      <c r="K36" s="207">
        <f>C36+D36+F36+G36</f>
        <v/>
      </c>
      <c r="L36" s="244">
        <f>E36+J36</f>
        <v/>
      </c>
    </row>
    <row r="37" ht="15.75" customHeight="1">
      <c r="A37" s="204" t="n"/>
      <c r="B37" s="115" t="n"/>
      <c r="C37" s="115" t="n"/>
      <c r="D37" s="205" t="n"/>
      <c r="E37" s="206" t="n"/>
      <c r="F37" s="115" t="n"/>
      <c r="G37" s="115" t="n"/>
      <c r="H37" s="115" t="n"/>
      <c r="I37" s="115" t="n"/>
      <c r="J37" s="206" t="n"/>
      <c r="K37" s="207" t="n"/>
      <c r="L37" s="244" t="n"/>
    </row>
    <row r="38" ht="15.75" customHeight="1">
      <c r="A38" s="134" t="inlineStr">
        <is>
          <t xml:space="preserve">TAGS </t>
        </is>
      </c>
      <c r="B38" s="115" t="n">
        <v>0</v>
      </c>
      <c r="C38" s="115" t="n">
        <v>0</v>
      </c>
      <c r="D38" s="205" t="n">
        <v>23</v>
      </c>
      <c r="E38" s="206">
        <f>B38+C38</f>
        <v/>
      </c>
      <c r="F38" s="115" t="n">
        <v>27</v>
      </c>
      <c r="G38" s="115" t="n">
        <v>250</v>
      </c>
      <c r="H38" s="115" t="n">
        <v>0</v>
      </c>
      <c r="I38" s="115" t="n">
        <v>0</v>
      </c>
      <c r="J38" s="206">
        <f>F38+G38+H38+I38</f>
        <v/>
      </c>
      <c r="K38" s="207">
        <f>C38+D38+F38+G38</f>
        <v/>
      </c>
      <c r="L38" s="244">
        <f>E38+J38</f>
        <v/>
      </c>
    </row>
    <row r="39" ht="15.75" customHeight="1">
      <c r="A39" s="127" t="inlineStr">
        <is>
          <t>TOTAL DE SACOLAS</t>
        </is>
      </c>
      <c r="B39" s="126">
        <f>B36</f>
        <v/>
      </c>
      <c r="C39" s="126">
        <f>C36</f>
        <v/>
      </c>
      <c r="D39" s="126">
        <f>D36</f>
        <v/>
      </c>
      <c r="E39" s="126">
        <f>E36</f>
        <v/>
      </c>
      <c r="F39" s="126">
        <f>F36</f>
        <v/>
      </c>
      <c r="G39" s="126">
        <f>G36</f>
        <v/>
      </c>
      <c r="H39" s="126">
        <f>H36</f>
        <v/>
      </c>
      <c r="I39" s="126">
        <f>I36</f>
        <v/>
      </c>
      <c r="J39" s="126">
        <f>J36</f>
        <v/>
      </c>
      <c r="K39" s="245">
        <f>K36</f>
        <v/>
      </c>
      <c r="L39" s="246">
        <f>E36+J36</f>
        <v/>
      </c>
    </row>
    <row r="41" ht="15.75" customHeight="1">
      <c r="A41" s="865" t="inlineStr">
        <is>
          <t>GASTO DE SACOLAS E ITENS DOADOS DISNEY/2024 - MENSAIS</t>
        </is>
      </c>
      <c r="B41" s="731" t="n"/>
      <c r="C41" s="731" t="n"/>
      <c r="D41" s="731" t="n"/>
      <c r="E41" s="731" t="n"/>
      <c r="F41" s="731" t="n"/>
      <c r="G41" s="731" t="n"/>
      <c r="H41" s="731" t="n"/>
      <c r="I41" s="731" t="n"/>
      <c r="J41" s="731" t="n"/>
      <c r="K41" s="731" t="n"/>
      <c r="L41" s="775" t="n"/>
    </row>
    <row r="42" ht="15.75" customHeight="1">
      <c r="A42" s="865" t="inlineStr">
        <is>
          <t>QUADRA 7</t>
        </is>
      </c>
      <c r="B42" s="865" t="inlineStr">
        <is>
          <t>SETEMBRO</t>
        </is>
      </c>
      <c r="C42" s="731" t="n"/>
      <c r="D42" s="731" t="n"/>
      <c r="E42" s="775" t="n"/>
      <c r="F42" s="865" t="inlineStr">
        <is>
          <t>OUTUBRO</t>
        </is>
      </c>
      <c r="G42" s="731" t="n"/>
      <c r="H42" s="731" t="n"/>
      <c r="I42" s="731" t="n"/>
      <c r="J42" s="775" t="n"/>
      <c r="K42" s="866" t="inlineStr">
        <is>
          <t>USOU ATÉ CRIANÇAS</t>
        </is>
      </c>
      <c r="L42" s="866" t="inlineStr">
        <is>
          <t>TOTAL GERAL</t>
        </is>
      </c>
    </row>
    <row r="43" ht="15.75" customHeight="1">
      <c r="A43" s="745" t="n"/>
      <c r="B43" s="239" t="n">
        <v>45551</v>
      </c>
      <c r="C43" s="239" t="n">
        <v>45558</v>
      </c>
      <c r="D43" s="240" t="n">
        <v>45565</v>
      </c>
      <c r="E43" s="241" t="inlineStr">
        <is>
          <t>USOU</t>
        </is>
      </c>
      <c r="F43" s="239" t="n">
        <v>45572</v>
      </c>
      <c r="G43" s="242" t="n">
        <v>45579</v>
      </c>
      <c r="H43" s="242" t="n">
        <v>45586</v>
      </c>
      <c r="I43" s="239" t="n">
        <v>45593</v>
      </c>
      <c r="J43" s="243" t="inlineStr">
        <is>
          <t>USOU</t>
        </is>
      </c>
      <c r="K43" s="745" t="n"/>
      <c r="L43" s="745" t="n"/>
    </row>
    <row r="44" ht="15.75" customHeight="1">
      <c r="A44" s="204" t="inlineStr">
        <is>
          <t>SACOLA M</t>
        </is>
      </c>
      <c r="B44" s="115" t="n">
        <v>0</v>
      </c>
      <c r="C44" s="115" t="n">
        <v>0</v>
      </c>
      <c r="D44" s="205" t="n">
        <v>100</v>
      </c>
      <c r="E44" s="206">
        <f>B44+C44</f>
        <v/>
      </c>
      <c r="F44" s="115" t="n">
        <v>160</v>
      </c>
      <c r="G44" s="115" t="n">
        <v>100</v>
      </c>
      <c r="H44" s="115" t="n">
        <v>60</v>
      </c>
      <c r="I44" s="115" t="n">
        <v>80</v>
      </c>
      <c r="J44" s="206">
        <f>F44+G44+H44+I44</f>
        <v/>
      </c>
      <c r="K44" s="207">
        <f>C44+D44+F44+G44</f>
        <v/>
      </c>
      <c r="L44" s="244">
        <f>E44+J44</f>
        <v/>
      </c>
    </row>
    <row r="45" ht="15.75" customHeight="1">
      <c r="A45" s="204" t="n"/>
      <c r="B45" s="115" t="n"/>
      <c r="C45" s="115" t="n"/>
      <c r="D45" s="205" t="n"/>
      <c r="E45" s="206" t="n"/>
      <c r="F45" s="115" t="n"/>
      <c r="G45" s="115" t="n"/>
      <c r="H45" s="115" t="n"/>
      <c r="I45" s="115" t="n"/>
      <c r="J45" s="206" t="n"/>
      <c r="K45" s="207" t="n"/>
      <c r="L45" s="244" t="n"/>
    </row>
    <row r="46" ht="15.75" customHeight="1">
      <c r="A46" s="134" t="inlineStr">
        <is>
          <t xml:space="preserve">TAGS </t>
        </is>
      </c>
      <c r="B46" s="115" t="n">
        <v>0</v>
      </c>
      <c r="C46" s="115" t="n">
        <v>0</v>
      </c>
      <c r="D46" s="205" t="n">
        <v>100</v>
      </c>
      <c r="E46" s="206">
        <f>B46+C46</f>
        <v/>
      </c>
      <c r="F46" s="115" t="n">
        <v>0</v>
      </c>
      <c r="G46" s="115" t="n">
        <v>0</v>
      </c>
      <c r="H46" s="115" t="n">
        <v>0</v>
      </c>
      <c r="I46" s="115" t="n">
        <v>0</v>
      </c>
      <c r="J46" s="206">
        <f>F46+G46+H46+I46</f>
        <v/>
      </c>
      <c r="K46" s="207">
        <f>C46+D46+F46+G46</f>
        <v/>
      </c>
      <c r="L46" s="244">
        <f>E46+J46</f>
        <v/>
      </c>
    </row>
    <row r="47" ht="15.75" customHeight="1">
      <c r="A47" s="127" t="inlineStr">
        <is>
          <t>TOTAL DE SACOLAS</t>
        </is>
      </c>
      <c r="B47" s="126">
        <f>B44</f>
        <v/>
      </c>
      <c r="C47" s="126">
        <f>C44</f>
        <v/>
      </c>
      <c r="D47" s="126">
        <f>D44</f>
        <v/>
      </c>
      <c r="E47" s="126">
        <f>E44</f>
        <v/>
      </c>
      <c r="F47" s="126">
        <f>F44</f>
        <v/>
      </c>
      <c r="G47" s="126">
        <f>G44</f>
        <v/>
      </c>
      <c r="H47" s="126">
        <f>H44</f>
        <v/>
      </c>
      <c r="I47" s="126">
        <f>I44</f>
        <v/>
      </c>
      <c r="J47" s="126">
        <f>J44</f>
        <v/>
      </c>
      <c r="K47" s="245">
        <f>K44</f>
        <v/>
      </c>
      <c r="L47" s="246">
        <f>E44+J44</f>
        <v/>
      </c>
    </row>
    <row r="49" ht="15.75" customHeight="1">
      <c r="A49" s="865" t="inlineStr">
        <is>
          <t>GASTO DE SACOLAS E ITENS DOADOS DISNEY/2024 - MENSAIS</t>
        </is>
      </c>
      <c r="B49" s="731" t="n"/>
      <c r="C49" s="731" t="n"/>
      <c r="D49" s="731" t="n"/>
      <c r="E49" s="731" t="n"/>
      <c r="F49" s="731" t="n"/>
      <c r="G49" s="731" t="n"/>
      <c r="H49" s="731" t="n"/>
      <c r="I49" s="731" t="n"/>
      <c r="J49" s="731" t="n"/>
      <c r="K49" s="731" t="n"/>
      <c r="L49" s="775" t="n"/>
    </row>
    <row r="50" ht="15.75" customHeight="1">
      <c r="A50" s="865" t="inlineStr">
        <is>
          <t>QUADRA 2</t>
        </is>
      </c>
      <c r="B50" s="865" t="inlineStr">
        <is>
          <t>SETEMBRO</t>
        </is>
      </c>
      <c r="C50" s="731" t="n"/>
      <c r="D50" s="731" t="n"/>
      <c r="E50" s="775" t="n"/>
      <c r="F50" s="865" t="inlineStr">
        <is>
          <t>OUTUBRO</t>
        </is>
      </c>
      <c r="G50" s="731" t="n"/>
      <c r="H50" s="731" t="n"/>
      <c r="I50" s="731" t="n"/>
      <c r="J50" s="775" t="n"/>
      <c r="K50" s="866" t="inlineStr">
        <is>
          <t>USOU ATÉ CRIANÇAS</t>
        </is>
      </c>
      <c r="L50" s="866" t="inlineStr">
        <is>
          <t>TOTAL GERAL</t>
        </is>
      </c>
    </row>
    <row r="51" ht="15.75" customHeight="1">
      <c r="A51" s="745" t="n"/>
      <c r="B51" s="239" t="n">
        <v>45551</v>
      </c>
      <c r="C51" s="239" t="n">
        <v>45558</v>
      </c>
      <c r="D51" s="240" t="n">
        <v>45565</v>
      </c>
      <c r="E51" s="241" t="inlineStr">
        <is>
          <t>USOU</t>
        </is>
      </c>
      <c r="F51" s="239" t="n">
        <v>45572</v>
      </c>
      <c r="G51" s="242" t="n">
        <v>45579</v>
      </c>
      <c r="H51" s="242" t="n">
        <v>45586</v>
      </c>
      <c r="I51" s="239" t="n">
        <v>45593</v>
      </c>
      <c r="J51" s="243" t="inlineStr">
        <is>
          <t>USOU</t>
        </is>
      </c>
      <c r="K51" s="745" t="n"/>
      <c r="L51" s="745" t="n"/>
    </row>
    <row r="52" ht="15.75" customHeight="1">
      <c r="A52" s="204" t="inlineStr">
        <is>
          <t>SACOLA M</t>
        </is>
      </c>
      <c r="B52" s="115" t="n">
        <v>0</v>
      </c>
      <c r="C52" s="115" t="n">
        <v>0</v>
      </c>
      <c r="D52" s="205" t="n">
        <v>22</v>
      </c>
      <c r="E52" s="206">
        <f>B52+C52</f>
        <v/>
      </c>
      <c r="F52" s="115" t="n">
        <v>57</v>
      </c>
      <c r="G52" s="115" t="n">
        <v>0</v>
      </c>
      <c r="H52" s="115" t="n">
        <v>0</v>
      </c>
      <c r="I52" s="115" t="n">
        <v>161</v>
      </c>
      <c r="J52" s="206">
        <f>F52+G52+H52+I52</f>
        <v/>
      </c>
      <c r="K52" s="207">
        <f>C52+D52+F52+G52</f>
        <v/>
      </c>
      <c r="L52" s="244">
        <f>E52+J52</f>
        <v/>
      </c>
    </row>
    <row r="53" ht="15.75" customHeight="1">
      <c r="A53" s="204" t="n"/>
      <c r="B53" s="115" t="n"/>
      <c r="C53" s="115" t="n"/>
      <c r="D53" s="205" t="n"/>
      <c r="E53" s="206" t="n"/>
      <c r="F53" s="115" t="n"/>
      <c r="G53" s="115" t="n"/>
      <c r="H53" s="115" t="n"/>
      <c r="I53" s="115" t="n"/>
      <c r="J53" s="206" t="n"/>
      <c r="K53" s="207" t="n"/>
      <c r="L53" s="244" t="n"/>
    </row>
    <row r="54" ht="15.75" customHeight="1">
      <c r="A54" s="134" t="inlineStr">
        <is>
          <t xml:space="preserve">TAGS </t>
        </is>
      </c>
      <c r="B54" s="115" t="n">
        <v>0</v>
      </c>
      <c r="C54" s="115" t="n">
        <v>0</v>
      </c>
      <c r="D54" s="205" t="n">
        <v>13</v>
      </c>
      <c r="E54" s="206">
        <f>B54+C54</f>
        <v/>
      </c>
      <c r="F54" s="115" t="n">
        <v>24</v>
      </c>
      <c r="G54" s="115" t="n">
        <v>11</v>
      </c>
      <c r="H54" s="115" t="n">
        <v>0</v>
      </c>
      <c r="I54" s="115" t="n">
        <v>2</v>
      </c>
      <c r="J54" s="206">
        <f>F54+G54+H54+I54</f>
        <v/>
      </c>
      <c r="K54" s="207">
        <f>C54+D54+F54+G54</f>
        <v/>
      </c>
      <c r="L54" s="244">
        <f>E54+J54</f>
        <v/>
      </c>
    </row>
    <row r="55" ht="15.75" customHeight="1">
      <c r="A55" s="127" t="inlineStr">
        <is>
          <t>TOTAL DE SACOLAS</t>
        </is>
      </c>
      <c r="B55" s="126">
        <f>B52</f>
        <v/>
      </c>
      <c r="C55" s="126">
        <f>C52</f>
        <v/>
      </c>
      <c r="D55" s="126">
        <f>D52</f>
        <v/>
      </c>
      <c r="E55" s="126">
        <f>E52</f>
        <v/>
      </c>
      <c r="F55" s="126">
        <f>F52</f>
        <v/>
      </c>
      <c r="G55" s="126">
        <f>G52</f>
        <v/>
      </c>
      <c r="H55" s="126">
        <f>H52</f>
        <v/>
      </c>
      <c r="I55" s="126">
        <f>I52</f>
        <v/>
      </c>
      <c r="J55" s="126">
        <f>J52</f>
        <v/>
      </c>
      <c r="K55" s="245">
        <f>K52</f>
        <v/>
      </c>
      <c r="L55" s="246">
        <f>E52+J52</f>
        <v/>
      </c>
    </row>
    <row r="57" ht="15.75" customHeight="1">
      <c r="A57" s="865" t="inlineStr">
        <is>
          <t>GASTO DE SACOLAS E ITENS DOADOS DISNEY/2024 - MENSAIS</t>
        </is>
      </c>
      <c r="B57" s="731" t="n"/>
      <c r="C57" s="731" t="n"/>
      <c r="D57" s="731" t="n"/>
      <c r="E57" s="731" t="n"/>
      <c r="F57" s="731" t="n"/>
      <c r="G57" s="731" t="n"/>
      <c r="H57" s="731" t="n"/>
      <c r="I57" s="731" t="n"/>
      <c r="J57" s="731" t="n"/>
      <c r="K57" s="731" t="n"/>
      <c r="L57" s="775" t="n"/>
    </row>
    <row r="58" ht="15.75" customHeight="1">
      <c r="A58" s="865" t="inlineStr">
        <is>
          <t>MARY DOTA</t>
        </is>
      </c>
      <c r="B58" s="865" t="inlineStr">
        <is>
          <t>SETEMBRO</t>
        </is>
      </c>
      <c r="C58" s="731" t="n"/>
      <c r="D58" s="731" t="n"/>
      <c r="E58" s="775" t="n"/>
      <c r="F58" s="865" t="inlineStr">
        <is>
          <t>OUTUBRO</t>
        </is>
      </c>
      <c r="G58" s="731" t="n"/>
      <c r="H58" s="731" t="n"/>
      <c r="I58" s="731" t="n"/>
      <c r="J58" s="775" t="n"/>
      <c r="K58" s="866" t="inlineStr">
        <is>
          <t>USOU ATÉ CRIANÇAS</t>
        </is>
      </c>
      <c r="L58" s="866" t="inlineStr">
        <is>
          <t>TOTAL GERAL</t>
        </is>
      </c>
    </row>
    <row r="59" ht="15.75" customHeight="1">
      <c r="A59" s="745" t="n"/>
      <c r="B59" s="239" t="n">
        <v>45551</v>
      </c>
      <c r="C59" s="239" t="n">
        <v>45558</v>
      </c>
      <c r="D59" s="240" t="n">
        <v>45565</v>
      </c>
      <c r="E59" s="241" t="inlineStr">
        <is>
          <t>USOU</t>
        </is>
      </c>
      <c r="F59" s="239" t="n">
        <v>45572</v>
      </c>
      <c r="G59" s="242" t="n">
        <v>45579</v>
      </c>
      <c r="H59" s="242" t="n">
        <v>45586</v>
      </c>
      <c r="I59" s="239" t="n">
        <v>45593</v>
      </c>
      <c r="J59" s="243" t="inlineStr">
        <is>
          <t>USOU</t>
        </is>
      </c>
      <c r="K59" s="745" t="n"/>
      <c r="L59" s="745" t="n"/>
    </row>
    <row r="60" ht="15.75" customHeight="1">
      <c r="A60" s="204" t="inlineStr">
        <is>
          <t>SACOLA M</t>
        </is>
      </c>
      <c r="B60" s="115" t="n">
        <v>0</v>
      </c>
      <c r="C60" s="115" t="n">
        <v>100</v>
      </c>
      <c r="D60" s="205" t="n">
        <v>100</v>
      </c>
      <c r="E60" s="206">
        <f>B60+C60</f>
        <v/>
      </c>
      <c r="F60" s="115" t="n">
        <v>100</v>
      </c>
      <c r="G60" s="115" t="n">
        <v>0</v>
      </c>
      <c r="H60" s="115" t="n">
        <v>0</v>
      </c>
      <c r="I60" s="115" t="n">
        <v>0</v>
      </c>
      <c r="J60" s="206">
        <f>F60+G60+H60+I60</f>
        <v/>
      </c>
      <c r="K60" s="207">
        <f>C60+D60+F60+G60</f>
        <v/>
      </c>
      <c r="L60" s="244">
        <f>E60+J60</f>
        <v/>
      </c>
    </row>
    <row r="61" ht="15.75" customHeight="1">
      <c r="A61" s="204" t="n"/>
      <c r="B61" s="115" t="n"/>
      <c r="C61" s="115" t="n"/>
      <c r="D61" s="205" t="n"/>
      <c r="E61" s="206" t="n"/>
      <c r="F61" s="115" t="n"/>
      <c r="G61" s="115" t="n"/>
      <c r="H61" s="115" t="n"/>
      <c r="I61" s="115" t="n"/>
      <c r="J61" s="206" t="n"/>
      <c r="K61" s="207" t="n"/>
      <c r="L61" s="244" t="n"/>
    </row>
    <row r="62" ht="15.75" customHeight="1">
      <c r="A62" s="134" t="inlineStr">
        <is>
          <t xml:space="preserve">TAGS </t>
        </is>
      </c>
      <c r="B62" s="115" t="n">
        <v>0</v>
      </c>
      <c r="C62" s="115" t="n">
        <v>0</v>
      </c>
      <c r="D62" s="205" t="n">
        <v>100</v>
      </c>
      <c r="E62" s="206">
        <f>B62+C62</f>
        <v/>
      </c>
      <c r="F62" s="115" t="n">
        <v>0</v>
      </c>
      <c r="G62" s="115" t="n">
        <v>0</v>
      </c>
      <c r="H62" s="115" t="n">
        <v>0</v>
      </c>
      <c r="I62" s="115" t="n">
        <v>0</v>
      </c>
      <c r="J62" s="206">
        <f>F62+G62+H62+I62</f>
        <v/>
      </c>
      <c r="K62" s="207">
        <f>C62+D62+F62+G62</f>
        <v/>
      </c>
      <c r="L62" s="244">
        <f>E62+J62</f>
        <v/>
      </c>
    </row>
    <row r="63" ht="15.75" customHeight="1">
      <c r="A63" s="127" t="inlineStr">
        <is>
          <t>TOTAL DE SACOLAS</t>
        </is>
      </c>
      <c r="B63" s="126">
        <f>B60</f>
        <v/>
      </c>
      <c r="C63" s="126">
        <f>C60</f>
        <v/>
      </c>
      <c r="D63" s="126">
        <f>D60</f>
        <v/>
      </c>
      <c r="E63" s="126">
        <f>E60</f>
        <v/>
      </c>
      <c r="F63" s="126">
        <f>F60</f>
        <v/>
      </c>
      <c r="G63" s="126">
        <f>G60</f>
        <v/>
      </c>
      <c r="H63" s="126">
        <f>H60</f>
        <v/>
      </c>
      <c r="I63" s="126">
        <f>I60</f>
        <v/>
      </c>
      <c r="J63" s="126">
        <f>J60</f>
        <v/>
      </c>
      <c r="K63" s="245">
        <f>K60</f>
        <v/>
      </c>
      <c r="L63" s="246">
        <f>E60+J60</f>
        <v/>
      </c>
    </row>
    <row r="65" ht="15.75" customHeight="1">
      <c r="A65" s="865" t="inlineStr">
        <is>
          <t>GASTO DE SACOLAS E ITENS DOADOS DISNEY/2024 - MENSAIS</t>
        </is>
      </c>
      <c r="B65" s="731" t="n"/>
      <c r="C65" s="731" t="n"/>
      <c r="D65" s="731" t="n"/>
      <c r="E65" s="731" t="n"/>
      <c r="F65" s="731" t="n"/>
      <c r="G65" s="731" t="n"/>
      <c r="H65" s="731" t="n"/>
      <c r="I65" s="731" t="n"/>
      <c r="J65" s="731" t="n"/>
      <c r="K65" s="731" t="n"/>
      <c r="L65" s="775" t="n"/>
    </row>
    <row r="66" ht="15.75" customHeight="1">
      <c r="A66" s="865" t="inlineStr">
        <is>
          <t>ER BAURU</t>
        </is>
      </c>
      <c r="B66" s="865" t="inlineStr">
        <is>
          <t>SETEMBRO</t>
        </is>
      </c>
      <c r="C66" s="731" t="n"/>
      <c r="D66" s="731" t="n"/>
      <c r="E66" s="775" t="n"/>
      <c r="F66" s="865" t="inlineStr">
        <is>
          <t>OUTUBRO</t>
        </is>
      </c>
      <c r="G66" s="731" t="n"/>
      <c r="H66" s="731" t="n"/>
      <c r="I66" s="731" t="n"/>
      <c r="J66" s="775" t="n"/>
      <c r="K66" s="866" t="inlineStr">
        <is>
          <t>USOU ATÉ CRIANÇAS</t>
        </is>
      </c>
      <c r="L66" s="866" t="inlineStr">
        <is>
          <t>TOTAL GERAL</t>
        </is>
      </c>
    </row>
    <row r="67" ht="15.75" customHeight="1">
      <c r="A67" s="745" t="n"/>
      <c r="B67" s="239" t="n">
        <v>45551</v>
      </c>
      <c r="C67" s="239" t="n">
        <v>45558</v>
      </c>
      <c r="D67" s="240" t="n">
        <v>45565</v>
      </c>
      <c r="E67" s="241" t="inlineStr">
        <is>
          <t>USOU</t>
        </is>
      </c>
      <c r="F67" s="239" t="n">
        <v>45572</v>
      </c>
      <c r="G67" s="242" t="n">
        <v>45579</v>
      </c>
      <c r="H67" s="242" t="n">
        <v>45586</v>
      </c>
      <c r="I67" s="239" t="n">
        <v>45593</v>
      </c>
      <c r="J67" s="243" t="inlineStr">
        <is>
          <t>USOU</t>
        </is>
      </c>
      <c r="K67" s="745" t="n"/>
      <c r="L67" s="745" t="n"/>
    </row>
    <row r="68" ht="15.75" customHeight="1">
      <c r="A68" s="204" t="inlineStr">
        <is>
          <t>SACOLA M</t>
        </is>
      </c>
      <c r="B68" s="115" t="n">
        <v>0</v>
      </c>
      <c r="C68" s="115" t="n">
        <v>600</v>
      </c>
      <c r="D68" s="205" t="n">
        <v>600</v>
      </c>
      <c r="E68" s="206">
        <f>B68+C68</f>
        <v/>
      </c>
      <c r="F68" s="115" t="n">
        <v>200</v>
      </c>
      <c r="G68" s="115" t="n">
        <v>400</v>
      </c>
      <c r="H68" s="115" t="n">
        <v>200</v>
      </c>
      <c r="I68" s="115" t="n">
        <v>200</v>
      </c>
      <c r="J68" s="206">
        <f>F68+G68+H68+I68</f>
        <v/>
      </c>
      <c r="K68" s="207">
        <f>C68+D68+F68+G68</f>
        <v/>
      </c>
      <c r="L68" s="244">
        <f>E68+J68</f>
        <v/>
      </c>
    </row>
    <row r="69" ht="15.75" customHeight="1">
      <c r="A69" s="204" t="n"/>
      <c r="B69" s="115" t="n"/>
      <c r="C69" s="115" t="n"/>
      <c r="D69" s="205" t="n"/>
      <c r="E69" s="206" t="n"/>
      <c r="F69" s="115" t="n"/>
      <c r="G69" s="115" t="n"/>
      <c r="H69" s="115" t="n"/>
      <c r="I69" s="115" t="n"/>
      <c r="J69" s="206" t="n"/>
      <c r="K69" s="207" t="n"/>
      <c r="L69" s="244" t="n"/>
    </row>
    <row r="70" ht="15.75" customHeight="1">
      <c r="A70" s="134" t="inlineStr">
        <is>
          <t xml:space="preserve">TAGS </t>
        </is>
      </c>
      <c r="B70" s="115" t="n">
        <v>0</v>
      </c>
      <c r="C70" s="115" t="n">
        <v>600</v>
      </c>
      <c r="D70" s="205" t="n">
        <v>0</v>
      </c>
      <c r="E70" s="206">
        <f>B70+C70</f>
        <v/>
      </c>
      <c r="F70" s="115" t="n">
        <v>0</v>
      </c>
      <c r="G70" s="115" t="n">
        <v>200</v>
      </c>
      <c r="H70" s="115" t="n">
        <v>200</v>
      </c>
      <c r="I70" s="115" t="n">
        <v>0</v>
      </c>
      <c r="J70" s="206">
        <f>F70+G70+H70+I70</f>
        <v/>
      </c>
      <c r="K70" s="207">
        <f>C70+D70+F70+G70</f>
        <v/>
      </c>
      <c r="L70" s="244">
        <f>E70+J70</f>
        <v/>
      </c>
    </row>
    <row r="71" ht="15.75" customHeight="1">
      <c r="A71" s="127" t="inlineStr">
        <is>
          <t>TOTAL DE SACOLAS</t>
        </is>
      </c>
      <c r="B71" s="126">
        <f>B68</f>
        <v/>
      </c>
      <c r="C71" s="126">
        <f>C68</f>
        <v/>
      </c>
      <c r="D71" s="126">
        <f>D68</f>
        <v/>
      </c>
      <c r="E71" s="126">
        <f>E68</f>
        <v/>
      </c>
      <c r="F71" s="126">
        <f>F68</f>
        <v/>
      </c>
      <c r="G71" s="126">
        <f>G68</f>
        <v/>
      </c>
      <c r="H71" s="126">
        <f>H68</f>
        <v/>
      </c>
      <c r="I71" s="126">
        <f>I68</f>
        <v/>
      </c>
      <c r="J71" s="126">
        <f>J68</f>
        <v/>
      </c>
      <c r="K71" s="245">
        <f>K68</f>
        <v/>
      </c>
      <c r="L71" s="246">
        <f>E68+J68</f>
        <v/>
      </c>
    </row>
  </sheetData>
  <mergeCells count="54">
    <mergeCell ref="L66:L67"/>
    <mergeCell ref="A25:L25"/>
    <mergeCell ref="K26:K27"/>
    <mergeCell ref="A41:L41"/>
    <mergeCell ref="F34:J34"/>
    <mergeCell ref="F10:J10"/>
    <mergeCell ref="A50:A51"/>
    <mergeCell ref="A66:A67"/>
    <mergeCell ref="K50:K51"/>
    <mergeCell ref="L18:L19"/>
    <mergeCell ref="A57:L57"/>
    <mergeCell ref="B26:E26"/>
    <mergeCell ref="L58:L59"/>
    <mergeCell ref="B50:E50"/>
    <mergeCell ref="A33:L33"/>
    <mergeCell ref="A26:A27"/>
    <mergeCell ref="L42:L43"/>
    <mergeCell ref="F42:J42"/>
    <mergeCell ref="F18:J18"/>
    <mergeCell ref="A2:A3"/>
    <mergeCell ref="A17:L17"/>
    <mergeCell ref="A18:A19"/>
    <mergeCell ref="F50:J50"/>
    <mergeCell ref="K2:K3"/>
    <mergeCell ref="F26:J26"/>
    <mergeCell ref="L10:L11"/>
    <mergeCell ref="F2:J2"/>
    <mergeCell ref="B66:E66"/>
    <mergeCell ref="K58:K59"/>
    <mergeCell ref="F66:J66"/>
    <mergeCell ref="B18:E18"/>
    <mergeCell ref="L26:L27"/>
    <mergeCell ref="A42:A43"/>
    <mergeCell ref="B58:E58"/>
    <mergeCell ref="L34:L35"/>
    <mergeCell ref="K66:K67"/>
    <mergeCell ref="A58:A59"/>
    <mergeCell ref="K42:K43"/>
    <mergeCell ref="L50:L51"/>
    <mergeCell ref="B2:E2"/>
    <mergeCell ref="A9:L9"/>
    <mergeCell ref="A10:A11"/>
    <mergeCell ref="B42:E42"/>
    <mergeCell ref="K34:K35"/>
    <mergeCell ref="F58:J58"/>
    <mergeCell ref="K10:K11"/>
    <mergeCell ref="L2:L3"/>
    <mergeCell ref="A34:A35"/>
    <mergeCell ref="A49:L49"/>
    <mergeCell ref="A1:L1"/>
    <mergeCell ref="B34:E34"/>
    <mergeCell ref="B10:E10"/>
    <mergeCell ref="K18:K19"/>
    <mergeCell ref="A65:L65"/>
  </mergeCells>
  <pageMargins left="0.511811024" right="0.511811024" top="0.787401575" bottom="0.787401575" header="0.31496062" footer="0.31496062"/>
  <pageSetup orientation="portrait" paperSize="9"/>
</worksheet>
</file>

<file path=xl/worksheets/sheet32.xml><?xml version="1.0" encoding="utf-8"?>
<worksheet xmlns="http://schemas.openxmlformats.org/spreadsheetml/2006/main">
  <sheetPr codeName="Planilha17">
    <tabColor theme="4"/>
    <outlinePr summaryBelow="1" summaryRight="1"/>
    <pageSetUpPr fitToPage="1"/>
  </sheetPr>
  <dimension ref="A1:M57"/>
  <sheetViews>
    <sheetView showGridLines="0" zoomScale="90" zoomScaleNormal="90" workbookViewId="0">
      <selection activeCell="V50" sqref="V50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1.140625" customWidth="1" min="5" max="5"/>
    <col width="9.5703125" customWidth="1" min="6" max="9"/>
    <col width="10.42578125" customWidth="1" min="10" max="10"/>
    <col width="9.5703125" customWidth="1" min="11" max="11"/>
    <col width="8.42578125" bestFit="1" customWidth="1" min="13" max="13"/>
  </cols>
  <sheetData>
    <row r="1" ht="21.75" customHeight="1"/>
    <row r="2" ht="21.75" customHeight="1"/>
    <row r="3" ht="21.75" customHeight="1"/>
    <row r="4" ht="21" customHeight="1">
      <c r="A4" s="76" t="inlineStr">
        <is>
          <t>Descrição</t>
        </is>
      </c>
      <c r="B4" s="867" t="inlineStr">
        <is>
          <t>Qte</t>
        </is>
      </c>
      <c r="C4" s="868" t="inlineStr">
        <is>
          <t xml:space="preserve">R$ </t>
        </is>
      </c>
      <c r="E4" s="79" t="inlineStr">
        <is>
          <t>Q2</t>
        </is>
      </c>
      <c r="F4" s="79" t="inlineStr">
        <is>
          <t>MD</t>
        </is>
      </c>
      <c r="G4" s="79" t="inlineStr">
        <is>
          <t>TT</t>
        </is>
      </c>
      <c r="H4" s="79" t="inlineStr">
        <is>
          <t>SHBLV</t>
        </is>
      </c>
      <c r="I4" s="79" t="inlineStr">
        <is>
          <t>TDQ</t>
        </is>
      </c>
      <c r="J4" s="79" t="inlineStr">
        <is>
          <t>GT</t>
        </is>
      </c>
      <c r="K4" s="79" t="inlineStr">
        <is>
          <t>BSH</t>
        </is>
      </c>
      <c r="L4" s="79" t="inlineStr">
        <is>
          <t>Q7</t>
        </is>
      </c>
    </row>
    <row r="5" ht="21" customHeight="1">
      <c r="A5" s="34" t="inlineStr">
        <is>
          <t>SACOLAS PP</t>
        </is>
      </c>
      <c r="B5" s="7" t="n"/>
      <c r="C5" s="8" t="n"/>
      <c r="D5" s="13" t="n"/>
      <c r="E5" s="80" t="n">
        <v>12466</v>
      </c>
      <c r="F5" s="80" t="n">
        <v>12942</v>
      </c>
      <c r="G5" s="80" t="n">
        <v>13370</v>
      </c>
      <c r="H5" s="80" t="n">
        <v>13868</v>
      </c>
      <c r="I5" s="80" t="n">
        <v>20000</v>
      </c>
      <c r="J5" s="80" t="n">
        <v>23049</v>
      </c>
      <c r="K5" s="80" t="n">
        <v>6700</v>
      </c>
      <c r="L5" s="80" t="n">
        <v>6727</v>
      </c>
    </row>
    <row r="6" ht="25.5" customHeight="1">
      <c r="A6" s="65" t="inlineStr">
        <is>
          <t>SACOLA PP VERDE</t>
        </is>
      </c>
      <c r="B6" s="85" t="n"/>
      <c r="C6" s="869" t="n">
        <v>127.82</v>
      </c>
      <c r="D6" s="82" t="inlineStr">
        <is>
          <t>13018337-0001</t>
        </is>
      </c>
      <c r="E6" s="697">
        <f>'Q2 12466'!CE8</f>
        <v/>
      </c>
      <c r="F6" s="697">
        <f>'MD 12942'!CE8</f>
        <v/>
      </c>
      <c r="G6" s="697">
        <f>'TT 13370'!CE8</f>
        <v/>
      </c>
      <c r="H6" s="697">
        <f>'BOUL 13868'!CE8</f>
        <v/>
      </c>
      <c r="I6" s="697">
        <f>'TDQ 20000'!BZ8</f>
        <v/>
      </c>
      <c r="J6" s="697">
        <f>'GET 23049'!CE8</f>
        <v/>
      </c>
      <c r="K6" s="697">
        <f>'BSH 6700'!CF8</f>
        <v/>
      </c>
      <c r="L6" s="697">
        <f>'Q7 6727'!CE8</f>
        <v/>
      </c>
    </row>
    <row r="7" ht="25.5" customHeight="1">
      <c r="A7" s="65" t="inlineStr">
        <is>
          <t>SACOLA P VERDE</t>
        </is>
      </c>
      <c r="B7" s="85" t="n"/>
      <c r="C7" s="869" t="n">
        <v>118.73</v>
      </c>
      <c r="D7" s="86" t="inlineStr">
        <is>
          <t>13018341-0001</t>
        </is>
      </c>
      <c r="E7" s="74">
        <f>'Q2 12466'!CE9</f>
        <v/>
      </c>
      <c r="F7" s="74">
        <f>'MD 12942'!CE9</f>
        <v/>
      </c>
      <c r="G7" s="74">
        <f>'TT 13370'!CE9</f>
        <v/>
      </c>
      <c r="H7" s="74">
        <f>'BOUL 13868'!CE9</f>
        <v/>
      </c>
      <c r="I7" s="74">
        <f>'TDQ 20000'!BZ9</f>
        <v/>
      </c>
      <c r="J7" s="74">
        <f>'GET 23049'!CE9</f>
        <v/>
      </c>
      <c r="K7" s="74">
        <f>'BSH 6700'!CF9</f>
        <v/>
      </c>
      <c r="L7" s="74">
        <f>'Q7 6727'!CE9</f>
        <v/>
      </c>
    </row>
    <row r="8" ht="25.5" customHeight="1">
      <c r="A8" s="65" t="inlineStr">
        <is>
          <t>SACOLA M VERDE</t>
        </is>
      </c>
      <c r="B8" s="85" t="n"/>
      <c r="C8" s="869" t="n">
        <v>145.85</v>
      </c>
      <c r="D8" s="82" t="inlineStr">
        <is>
          <t>13018344-0001</t>
        </is>
      </c>
      <c r="E8" s="74">
        <f>'Q2 12466'!CE10</f>
        <v/>
      </c>
      <c r="F8" s="74">
        <f>'MD 12942'!CE10</f>
        <v/>
      </c>
      <c r="G8" s="74">
        <f>'TT 13370'!CE10</f>
        <v/>
      </c>
      <c r="H8" s="74">
        <f>'BOUL 13868'!CE10</f>
        <v/>
      </c>
      <c r="I8" s="74">
        <f>'TDQ 20000'!BZ10</f>
        <v/>
      </c>
      <c r="J8" s="74">
        <f>'GET 23049'!CE10</f>
        <v/>
      </c>
      <c r="K8" s="74">
        <f>'BSH 6700'!CF10</f>
        <v/>
      </c>
      <c r="L8" s="74">
        <f>'Q7 6727'!CE10</f>
        <v/>
      </c>
    </row>
    <row r="9" ht="25.5" customHeight="1">
      <c r="A9" s="66" t="inlineStr">
        <is>
          <t>SACOLA G VERDE</t>
        </is>
      </c>
      <c r="B9" s="85" t="n"/>
      <c r="C9" s="870" t="n">
        <v>139.57</v>
      </c>
      <c r="D9" s="88" t="inlineStr">
        <is>
          <t>13018348-0001</t>
        </is>
      </c>
      <c r="E9" s="74">
        <f>'Q2 12466'!CE11</f>
        <v/>
      </c>
      <c r="F9" s="74">
        <f>'MD 12942'!CE11</f>
        <v/>
      </c>
      <c r="G9" s="74">
        <f>'TT 13370'!CE11</f>
        <v/>
      </c>
      <c r="H9" s="74">
        <f>'BOUL 13868'!CE11</f>
        <v/>
      </c>
      <c r="I9" s="74">
        <f>'TDQ 20000'!BZ11</f>
        <v/>
      </c>
      <c r="J9" s="74">
        <f>'GET 23049'!CE11</f>
        <v/>
      </c>
      <c r="K9" s="74">
        <f>'BSH 6700'!CF11</f>
        <v/>
      </c>
      <c r="L9" s="74">
        <f>'Q7 6727'!CE11</f>
        <v/>
      </c>
    </row>
    <row r="10" ht="18.75" customHeight="1">
      <c r="A10" s="629" t="inlineStr">
        <is>
          <t>CAIXAS LOJAS</t>
        </is>
      </c>
      <c r="B10" s="83" t="n"/>
      <c r="C10" s="871" t="n"/>
      <c r="D10" s="92" t="n"/>
      <c r="E10" s="92" t="n"/>
      <c r="F10" s="92" t="n"/>
      <c r="G10" s="92" t="n"/>
      <c r="H10" s="92" t="n"/>
      <c r="I10" s="92" t="n"/>
      <c r="J10" s="6" t="n"/>
      <c r="K10" s="92" t="n"/>
      <c r="L10" s="6" t="n"/>
    </row>
    <row r="11" ht="18.75" customHeight="1">
      <c r="A11" s="37" t="inlineStr">
        <is>
          <t>CAIXA P VERDE</t>
        </is>
      </c>
      <c r="B11" s="85" t="n">
        <v>100</v>
      </c>
      <c r="C11" s="872" t="n">
        <v>177.02</v>
      </c>
      <c r="D11" s="87" t="inlineStr">
        <is>
          <t>11039799-0001</t>
        </is>
      </c>
      <c r="E11" s="74">
        <f>'Q2 12466'!CE20</f>
        <v/>
      </c>
      <c r="F11" s="74">
        <f>'MD 12942'!CE20</f>
        <v/>
      </c>
      <c r="G11" s="74">
        <f>'TT 13370'!CE20</f>
        <v/>
      </c>
      <c r="H11" s="74">
        <f>'BOUL 13868'!CE20</f>
        <v/>
      </c>
      <c r="I11" s="74">
        <f>'TDQ 20000'!BZ20</f>
        <v/>
      </c>
      <c r="J11" s="74">
        <f>'GET 23049'!CE20</f>
        <v/>
      </c>
      <c r="K11" s="74">
        <f>'BSH 6700'!CF20</f>
        <v/>
      </c>
      <c r="L11" s="74">
        <f>'Q7 6727'!CE20</f>
        <v/>
      </c>
    </row>
    <row r="12" ht="18.75" customHeight="1">
      <c r="A12" s="37" t="inlineStr">
        <is>
          <t>CAIXA M VERDE</t>
        </is>
      </c>
      <c r="B12" s="88" t="n">
        <v>100</v>
      </c>
      <c r="C12" s="872" t="n">
        <v>232.14</v>
      </c>
      <c r="D12" s="81" t="inlineStr">
        <is>
          <t>11039802-0001</t>
        </is>
      </c>
      <c r="E12" s="74">
        <f>'Q2 12466'!CE21</f>
        <v/>
      </c>
      <c r="F12" s="74">
        <f>'MD 12942'!CE21</f>
        <v/>
      </c>
      <c r="G12" s="74">
        <f>'TT 13370'!CE21</f>
        <v/>
      </c>
      <c r="H12" s="74">
        <f>'BOUL 13868'!CE21</f>
        <v/>
      </c>
      <c r="I12" s="74">
        <f>'TDQ 20000'!BZ21</f>
        <v/>
      </c>
      <c r="J12" s="74">
        <f>'GET 23049'!CE21</f>
        <v/>
      </c>
      <c r="K12" s="74">
        <f>'BSH 6700'!CF21</f>
        <v/>
      </c>
      <c r="L12" s="74">
        <f>'Q7 6727'!CE21</f>
        <v/>
      </c>
    </row>
    <row r="13" ht="18.75" customHeight="1">
      <c r="A13" s="96" t="inlineStr">
        <is>
          <t>CAIXA G VERDE</t>
        </is>
      </c>
      <c r="B13" s="86" t="n">
        <v>50</v>
      </c>
      <c r="C13" s="872" t="n">
        <v>225.25</v>
      </c>
      <c r="D13" s="82" t="inlineStr">
        <is>
          <t>11039805-0001</t>
        </is>
      </c>
      <c r="E13" s="74">
        <f>'Q2 12466'!CE22</f>
        <v/>
      </c>
      <c r="F13" s="74">
        <f>'MD 12942'!CE22</f>
        <v/>
      </c>
      <c r="G13" s="74">
        <f>'TT 13370'!CE22</f>
        <v/>
      </c>
      <c r="H13" s="74">
        <f>'BOUL 13868'!CE22</f>
        <v/>
      </c>
      <c r="I13" s="74">
        <f>'TDQ 20000'!BZ22</f>
        <v/>
      </c>
      <c r="J13" s="74">
        <f>'GET 23049'!CE22</f>
        <v/>
      </c>
      <c r="K13" s="74">
        <f>'BSH 6700'!CF22</f>
        <v/>
      </c>
      <c r="L13" s="74">
        <f>'Q7 6727'!CE22</f>
        <v/>
      </c>
    </row>
    <row r="14" ht="18.75" customHeight="1">
      <c r="A14" s="96" t="inlineStr">
        <is>
          <t>CARTUCHO M VERDE</t>
        </is>
      </c>
      <c r="B14" s="461" t="n"/>
      <c r="C14" s="873" t="n"/>
      <c r="D14" s="463" t="n"/>
      <c r="E14" s="74">
        <f>'Q2 12466'!CE23</f>
        <v/>
      </c>
      <c r="F14" s="74">
        <f>'MD 12942'!CE23</f>
        <v/>
      </c>
      <c r="G14" s="74">
        <f>'TT 13370'!CE23</f>
        <v/>
      </c>
      <c r="H14" s="74">
        <f>'BOUL 13868'!CE23</f>
        <v/>
      </c>
      <c r="I14" s="74">
        <f>'TDQ 20000'!BZ23</f>
        <v/>
      </c>
      <c r="J14" s="74">
        <f>'GET 23049'!CE23</f>
        <v/>
      </c>
      <c r="K14" s="74">
        <f>'BSH 6700'!CF23</f>
        <v/>
      </c>
      <c r="L14" s="74">
        <f>'Q7 6727'!CE23</f>
        <v/>
      </c>
    </row>
    <row r="15" ht="18.75" customHeight="1">
      <c r="A15" s="629" t="inlineStr">
        <is>
          <t>DIVERSOS P/ LOJA</t>
        </is>
      </c>
      <c r="B15" s="39" t="n"/>
      <c r="C15" s="874" t="n"/>
      <c r="D15" s="91" t="n"/>
      <c r="E15" s="92" t="n"/>
      <c r="F15" s="92" t="n"/>
      <c r="G15" s="92" t="n"/>
      <c r="H15" s="92" t="n"/>
      <c r="I15" s="92" t="n"/>
      <c r="J15" s="6" t="n"/>
      <c r="K15" s="92" t="n"/>
      <c r="L15" s="6" t="n"/>
    </row>
    <row r="16" ht="18.75" customHeight="1">
      <c r="A16" s="37" t="inlineStr">
        <is>
          <t xml:space="preserve">PAPEL DE SEDA </t>
        </is>
      </c>
      <c r="B16" s="85" t="n">
        <v>500</v>
      </c>
      <c r="C16" s="872" t="n">
        <v>75.08</v>
      </c>
      <c r="D16" s="87" t="inlineStr">
        <is>
          <t>15004219-0002</t>
        </is>
      </c>
      <c r="E16" s="74">
        <f>'Q2 12466'!CE14</f>
        <v/>
      </c>
      <c r="F16" s="74">
        <f>'MD 12942'!CE14</f>
        <v/>
      </c>
      <c r="G16" s="74">
        <f>'TT 13370'!CE14</f>
        <v/>
      </c>
      <c r="H16" s="74">
        <f>'BOUL 13868'!CE14</f>
        <v/>
      </c>
      <c r="I16" s="74">
        <f>'TDQ 20000'!BZ14</f>
        <v/>
      </c>
      <c r="J16" s="74">
        <f>'GET 23049'!CE14</f>
        <v/>
      </c>
      <c r="K16" s="74">
        <f>'BSH 6700'!CF14</f>
        <v/>
      </c>
      <c r="L16" s="74">
        <f>'Q7 6727'!CE14</f>
        <v/>
      </c>
    </row>
    <row r="17" ht="18.75" customHeight="1">
      <c r="A17" s="37" t="inlineStr">
        <is>
          <t xml:space="preserve">ETIQUETAS ROLO 35X35 </t>
        </is>
      </c>
      <c r="B17" s="88" t="n">
        <v>2000</v>
      </c>
      <c r="C17" s="875" t="n">
        <v>41.6</v>
      </c>
      <c r="D17" s="81" t="inlineStr">
        <is>
          <t>15004204-0001</t>
        </is>
      </c>
      <c r="E17" s="74">
        <f>'Q2 12466'!CE15</f>
        <v/>
      </c>
      <c r="F17" s="74">
        <f>'MD 12942'!CE15</f>
        <v/>
      </c>
      <c r="G17" s="74">
        <f>'TT 13370'!CE15</f>
        <v/>
      </c>
      <c r="H17" s="74">
        <f>'BOUL 13868'!CE15</f>
        <v/>
      </c>
      <c r="I17" s="74">
        <f>'TDQ 20000'!BZ15</f>
        <v/>
      </c>
      <c r="J17" s="74">
        <f>'GET 23049'!CE15</f>
        <v/>
      </c>
      <c r="K17" s="74">
        <f>'BSH 6700'!CF15</f>
        <v/>
      </c>
      <c r="L17" s="74">
        <f>'Q7 6727'!CE15</f>
        <v/>
      </c>
    </row>
    <row r="18" ht="18.75" customHeight="1">
      <c r="A18" s="37" t="inlineStr">
        <is>
          <t xml:space="preserve">TAGS </t>
        </is>
      </c>
      <c r="B18" s="88" t="n">
        <v>200</v>
      </c>
      <c r="C18" s="875" t="n">
        <v>7.72</v>
      </c>
      <c r="D18" s="81" t="inlineStr">
        <is>
          <t>13014467-0001</t>
        </is>
      </c>
      <c r="E18" s="74">
        <f>'Q2 12466'!CE16</f>
        <v/>
      </c>
      <c r="F18" s="74">
        <f>'MD 12942'!CE16</f>
        <v/>
      </c>
      <c r="G18" s="74">
        <f>'TT 13370'!CE16</f>
        <v/>
      </c>
      <c r="H18" s="74">
        <f>'BOUL 13868'!CE16</f>
        <v/>
      </c>
      <c r="I18" s="74">
        <f>'TDQ 20000'!BZ16</f>
        <v/>
      </c>
      <c r="J18" s="74">
        <f>'GET 23049'!CE16</f>
        <v/>
      </c>
      <c r="K18" s="74">
        <f>'BSH 6700'!CF16</f>
        <v/>
      </c>
      <c r="L18" s="74">
        <f>'Q7 6727'!CE16</f>
        <v/>
      </c>
    </row>
    <row r="19" ht="19.5" customHeight="1" thickBot="1">
      <c r="A19" s="37" t="inlineStr">
        <is>
          <t>LÂMINA OLFATIVA</t>
        </is>
      </c>
      <c r="B19" s="88" t="n">
        <v>3000</v>
      </c>
      <c r="C19" s="875" t="n">
        <v>62.46</v>
      </c>
      <c r="D19" s="81" t="inlineStr">
        <is>
          <t>13012369-0001</t>
        </is>
      </c>
      <c r="E19" s="74">
        <f>'Q2 12466'!CE17</f>
        <v/>
      </c>
      <c r="F19" s="74">
        <f>'MD 12942'!CE17</f>
        <v/>
      </c>
      <c r="G19" s="74">
        <f>'TT 13370'!CE17</f>
        <v/>
      </c>
      <c r="H19" s="74">
        <f>'BOUL 13868'!CE17</f>
        <v/>
      </c>
      <c r="I19" s="74">
        <f>'TDQ 20000'!BZ17</f>
        <v/>
      </c>
      <c r="J19" s="74">
        <f>'GET 23049'!CE17</f>
        <v/>
      </c>
      <c r="K19" s="74">
        <f>'BSH 6700'!CF17</f>
        <v/>
      </c>
      <c r="L19" s="74">
        <f>'Q7 6727'!CE17</f>
        <v/>
      </c>
    </row>
    <row r="20" ht="19.5" customHeight="1" thickBot="1">
      <c r="A20" s="101" t="n"/>
      <c r="B20" s="102" t="n"/>
      <c r="C20" s="103" t="n"/>
      <c r="D20" s="103" t="n"/>
      <c r="E20" s="160" t="n"/>
      <c r="F20" s="160" t="n"/>
      <c r="G20" s="160" t="n"/>
      <c r="H20" s="160" t="n"/>
      <c r="I20" s="160" t="n"/>
      <c r="J20" s="160" t="n"/>
      <c r="K20" s="160" t="n"/>
      <c r="L20" s="97" t="n"/>
    </row>
    <row r="21" ht="19.5" customHeight="1">
      <c r="A21" s="627" t="inlineStr">
        <is>
          <t xml:space="preserve">CDB E ERB </t>
        </is>
      </c>
      <c r="B21" s="782" t="n"/>
      <c r="C21" s="782" t="n"/>
      <c r="D21" s="782" t="n"/>
      <c r="E21" s="782" t="n"/>
      <c r="F21" s="782" t="n"/>
      <c r="G21" s="782" t="n"/>
      <c r="H21" s="782" t="n"/>
      <c r="I21" s="782" t="n"/>
      <c r="J21" s="782" t="n"/>
      <c r="K21" s="782" t="n"/>
      <c r="L21" s="782" t="n"/>
      <c r="M21" s="782" t="n"/>
    </row>
    <row r="22" ht="19.5" customHeight="1">
      <c r="A22" s="318" t="n"/>
      <c r="B22" s="319" t="n"/>
      <c r="C22" s="319" t="n"/>
      <c r="D22" s="319" t="n"/>
      <c r="E22" s="319" t="inlineStr">
        <is>
          <t>CD</t>
        </is>
      </c>
      <c r="F22" s="319" t="inlineStr">
        <is>
          <t>ER</t>
        </is>
      </c>
      <c r="G22" s="319" t="n"/>
      <c r="H22" s="628" t="n"/>
      <c r="I22" s="628" t="n"/>
      <c r="J22" s="628" t="n"/>
      <c r="K22" s="628" t="n"/>
      <c r="L22" s="319" t="inlineStr">
        <is>
          <t>CD</t>
        </is>
      </c>
      <c r="M22" s="319" t="inlineStr">
        <is>
          <t>ER</t>
        </is>
      </c>
    </row>
    <row r="23" ht="18.75" customHeight="1">
      <c r="A23" s="353" t="inlineStr">
        <is>
          <t>SACOLAS BOTICÁRIO</t>
        </is>
      </c>
      <c r="B23" s="354" t="n"/>
      <c r="C23" s="354" t="n"/>
      <c r="D23" s="354" t="inlineStr">
        <is>
          <t>jau</t>
        </is>
      </c>
      <c r="E23" s="355" t="n">
        <v>23280</v>
      </c>
      <c r="F23" s="355" t="n">
        <v>22851</v>
      </c>
      <c r="G23" s="5" t="n"/>
      <c r="H23" s="272" t="inlineStr">
        <is>
          <t>SACOLAS OUI</t>
        </is>
      </c>
      <c r="I23" s="273" t="n"/>
      <c r="J23" s="273" t="n"/>
      <c r="K23" s="273" t="n"/>
      <c r="L23" s="276" t="n">
        <v>23280</v>
      </c>
      <c r="M23" s="276" t="n">
        <v>22851</v>
      </c>
    </row>
    <row r="24" ht="18.75" customHeight="1">
      <c r="A24" s="351" t="inlineStr">
        <is>
          <t>SACOLA PP VERDE</t>
        </is>
      </c>
      <c r="B24" s="85" t="n"/>
      <c r="C24" s="869" t="n">
        <v>127.82</v>
      </c>
      <c r="D24" s="352" t="inlineStr">
        <is>
          <t>13018337-0002</t>
        </is>
      </c>
      <c r="E24" s="74">
        <f>'CDB - 23280'!CF8</f>
        <v/>
      </c>
      <c r="F24" s="74">
        <f>'ERB - 22851'!CE8</f>
        <v/>
      </c>
      <c r="H24" s="98" t="inlineStr">
        <is>
          <t>SACOLAS P OUI</t>
        </is>
      </c>
      <c r="I24" s="731" t="n"/>
      <c r="J24" s="731" t="n"/>
      <c r="K24" s="775" t="n"/>
      <c r="L24" s="74">
        <f>'CDB - 23280'!CF36</f>
        <v/>
      </c>
      <c r="M24" s="74">
        <f>'ERB - 22851'!CE41</f>
        <v/>
      </c>
    </row>
    <row r="25" ht="18.75" customHeight="1">
      <c r="A25" s="65" t="inlineStr">
        <is>
          <t>SACOLA P VERDE</t>
        </is>
      </c>
      <c r="B25" s="85" t="n"/>
      <c r="C25" s="869" t="n">
        <v>110.96</v>
      </c>
      <c r="D25" s="86" t="inlineStr">
        <is>
          <t>13018341-0002</t>
        </is>
      </c>
      <c r="E25" s="74">
        <f>'CDB - 23280'!CF9</f>
        <v/>
      </c>
      <c r="F25" s="74">
        <f>'ERB - 22851'!CE9</f>
        <v/>
      </c>
      <c r="H25" s="98" t="inlineStr">
        <is>
          <t>SACOLAS M OUI</t>
        </is>
      </c>
      <c r="I25" s="731" t="n"/>
      <c r="J25" s="731" t="n"/>
      <c r="K25" s="775" t="n"/>
      <c r="L25" s="74">
        <f>'CDB - 23280'!CF37</f>
        <v/>
      </c>
      <c r="M25" s="74">
        <f>'ERB - 22851'!CE42</f>
        <v/>
      </c>
    </row>
    <row r="26" ht="18.75" customHeight="1">
      <c r="A26" s="104" t="inlineStr">
        <is>
          <t>SACOLA M VERDE</t>
        </is>
      </c>
      <c r="B26" s="85" t="n"/>
      <c r="C26" s="869" t="n">
        <v>145.85</v>
      </c>
      <c r="D26" s="81" t="inlineStr">
        <is>
          <t>13018344-0002</t>
        </is>
      </c>
      <c r="E26" s="74">
        <f>'CDB - 23280'!CF10</f>
        <v/>
      </c>
      <c r="F26" s="74">
        <f>'ERB - 22851'!CE10</f>
        <v/>
      </c>
      <c r="H26" s="98" t="inlineStr">
        <is>
          <t>SACOLAS G OUI</t>
        </is>
      </c>
      <c r="I26" s="731" t="n"/>
      <c r="J26" s="731" t="n"/>
      <c r="K26" s="775" t="n"/>
      <c r="L26" s="74">
        <f>'CDB - 23280'!CF38</f>
        <v/>
      </c>
      <c r="M26" s="74">
        <f>'ERB - 22851'!CE50</f>
        <v/>
      </c>
    </row>
    <row r="27" ht="18.75" customHeight="1">
      <c r="A27" s="96" t="inlineStr">
        <is>
          <t>SACOLA G VERDE</t>
        </is>
      </c>
      <c r="B27" s="163" t="n"/>
      <c r="C27" s="869" t="n">
        <v>130.44</v>
      </c>
      <c r="D27" s="82" t="inlineStr">
        <is>
          <t>13018348-0002</t>
        </is>
      </c>
      <c r="E27" s="74">
        <f>'CDB - 23280'!CF11</f>
        <v/>
      </c>
      <c r="F27" s="74">
        <f>'ERB - 22851'!CE11</f>
        <v/>
      </c>
      <c r="H27" s="98" t="inlineStr">
        <is>
          <t>KIT CAIXA P OUI</t>
        </is>
      </c>
      <c r="I27" s="731" t="n"/>
      <c r="J27" s="731" t="n"/>
      <c r="K27" s="775" t="n"/>
      <c r="L27" s="74">
        <f>'CDB - 23280'!CF42</f>
        <v/>
      </c>
      <c r="M27" s="74">
        <f>'ERB - 22851'!CE44</f>
        <v/>
      </c>
    </row>
    <row r="28" ht="18.75" customHeight="1">
      <c r="A28" s="629" t="inlineStr">
        <is>
          <t>SACOLA KRAFT</t>
        </is>
      </c>
      <c r="B28" s="731" t="n"/>
      <c r="C28" s="731" t="n"/>
      <c r="D28" s="731" t="n"/>
      <c r="E28" s="731" t="n"/>
      <c r="F28" s="36" t="n"/>
      <c r="H28" s="98" t="inlineStr">
        <is>
          <t>KIT CAIXA M OUI</t>
        </is>
      </c>
      <c r="I28" s="731" t="n"/>
      <c r="J28" s="731" t="n"/>
      <c r="K28" s="775" t="n"/>
      <c r="L28" s="74">
        <f>'CDB - 23280'!CF43</f>
        <v/>
      </c>
      <c r="M28" s="74">
        <f>'ERB - 22851'!CE45</f>
        <v/>
      </c>
    </row>
    <row r="29" ht="18.75" customHeight="1">
      <c r="A29" s="98" t="inlineStr">
        <is>
          <t>SACOLA KRAFT M PARDA</t>
        </is>
      </c>
      <c r="B29" s="731" t="n"/>
      <c r="C29" s="731" t="n"/>
      <c r="D29" s="775" t="n"/>
      <c r="E29" s="267" t="n">
        <v>0</v>
      </c>
      <c r="F29" s="74">
        <f>'ERB - 22851'!CE12</f>
        <v/>
      </c>
      <c r="H29" s="98" t="inlineStr">
        <is>
          <t>KIT CAIXA G OUI</t>
        </is>
      </c>
      <c r="I29" s="731" t="n"/>
      <c r="J29" s="731" t="n"/>
      <c r="K29" s="775" t="n"/>
      <c r="L29" s="74">
        <f>'CDB - 23280'!CF44</f>
        <v/>
      </c>
      <c r="M29" s="74">
        <f>'ERB - 22851'!CE44</f>
        <v/>
      </c>
    </row>
    <row r="30" ht="18.75" customHeight="1">
      <c r="A30" s="623" t="inlineStr">
        <is>
          <t>SACOLA KRAFT G PARDA</t>
        </is>
      </c>
      <c r="B30" s="88" t="n"/>
      <c r="C30" s="876" t="n"/>
      <c r="D30" s="81" t="n"/>
      <c r="E30" s="267" t="n">
        <v>0</v>
      </c>
      <c r="F30" s="74">
        <f>'ERB - 22851'!CE13</f>
        <v/>
      </c>
      <c r="H30" s="98" t="inlineStr">
        <is>
          <t>PAPEL DE SEDA OUI</t>
        </is>
      </c>
      <c r="I30" s="731" t="n"/>
      <c r="J30" s="731" t="n"/>
      <c r="K30" s="775" t="n"/>
      <c r="L30" s="74" t="n">
        <v>0</v>
      </c>
      <c r="M30" s="74">
        <f>'ERB - 22851'!CE44</f>
        <v/>
      </c>
    </row>
    <row r="31" ht="18.75" customHeight="1">
      <c r="A31" s="191" t="inlineStr">
        <is>
          <t>SACOLAS VENDAS BOTI</t>
        </is>
      </c>
      <c r="B31" s="92" t="n"/>
      <c r="C31" s="92" t="n"/>
      <c r="D31" s="92" t="n"/>
      <c r="E31" s="92" t="n"/>
      <c r="F31" s="270" t="n"/>
      <c r="H31" s="98" t="inlineStr">
        <is>
          <t>ETIQUETA OUI</t>
        </is>
      </c>
      <c r="I31" s="731" t="n"/>
      <c r="J31" s="731" t="n"/>
      <c r="K31" s="775" t="n"/>
      <c r="L31" s="74" t="n">
        <v>0</v>
      </c>
      <c r="M31" s="74">
        <f>'ERB - 22851'!CE45</f>
        <v/>
      </c>
    </row>
    <row r="32" ht="18.75" customHeight="1">
      <c r="A32" s="37" t="inlineStr">
        <is>
          <t xml:space="preserve">SACOLA PP VERDE </t>
        </is>
      </c>
      <c r="B32" s="144" t="n"/>
      <c r="C32" s="877" t="n"/>
      <c r="D32" s="146" t="n"/>
      <c r="E32" s="74">
        <f>'CDB - 23280'!CF16</f>
        <v/>
      </c>
      <c r="F32" s="74">
        <f>'ERB - 22851'!CE22</f>
        <v/>
      </c>
      <c r="H32" s="98" t="inlineStr">
        <is>
          <t>LÂMINA OLFATIVA OUI</t>
        </is>
      </c>
      <c r="I32" s="731" t="n"/>
      <c r="J32" s="731" t="n"/>
      <c r="K32" s="775" t="n"/>
      <c r="L32" s="74" t="n">
        <v>0</v>
      </c>
      <c r="M32" s="74">
        <f>'ERB - 22851'!CE46</f>
        <v/>
      </c>
    </row>
    <row r="33" ht="18.75" customHeight="1">
      <c r="A33" s="37" t="inlineStr">
        <is>
          <t>SACOLA P VERDE</t>
        </is>
      </c>
      <c r="B33" s="144" t="n"/>
      <c r="C33" s="877" t="n"/>
      <c r="D33" s="146" t="n"/>
      <c r="E33" s="74">
        <f>'CDB - 23280'!CF17</f>
        <v/>
      </c>
      <c r="F33" s="74">
        <f>'ERB - 22851'!CE23</f>
        <v/>
      </c>
      <c r="H33" s="98" t="inlineStr">
        <is>
          <t>SACO M OUI</t>
        </is>
      </c>
      <c r="I33" s="731" t="n"/>
      <c r="J33" s="731" t="n"/>
      <c r="K33" s="775" t="n"/>
      <c r="L33" s="74">
        <f>'CDB - 23280'!CF39</f>
        <v/>
      </c>
      <c r="M33" s="74">
        <f>'ERB - 22851'!CE47</f>
        <v/>
      </c>
    </row>
    <row r="34" ht="18.75" customHeight="1">
      <c r="A34" s="37" t="inlineStr">
        <is>
          <t>SACOLA M VERDE</t>
        </is>
      </c>
      <c r="B34" s="144" t="n"/>
      <c r="C34" s="877" t="n"/>
      <c r="D34" s="146" t="n"/>
      <c r="E34" s="74">
        <f>'CDB - 23280'!CF18</f>
        <v/>
      </c>
      <c r="F34" s="74">
        <f>'ERB - 22851'!CE24</f>
        <v/>
      </c>
      <c r="H34" s="274" t="inlineStr">
        <is>
          <t>SACOLAS QDB</t>
        </is>
      </c>
      <c r="I34" s="275" t="n"/>
      <c r="J34" s="275" t="n"/>
      <c r="K34" s="275" t="n"/>
      <c r="L34" s="168" t="n">
        <v>23280</v>
      </c>
      <c r="M34" s="168" t="n">
        <v>22851</v>
      </c>
    </row>
    <row r="35" ht="18.75" customHeight="1">
      <c r="A35" s="629" t="inlineStr">
        <is>
          <t>CAIXAS VDS</t>
        </is>
      </c>
      <c r="B35" s="84" t="n"/>
      <c r="C35" s="84" t="n"/>
      <c r="D35" s="84" t="n"/>
      <c r="E35" s="268" t="n"/>
      <c r="F35" s="271" t="n"/>
      <c r="H35" s="98" t="inlineStr">
        <is>
          <t>SACOLAS P QDB</t>
        </is>
      </c>
      <c r="I35" s="731" t="n"/>
      <c r="J35" s="731" t="n"/>
      <c r="K35" s="775" t="n"/>
      <c r="L35" s="699" t="n">
        <v>0</v>
      </c>
      <c r="M35" s="699" t="n">
        <v>0</v>
      </c>
    </row>
    <row r="36" ht="18.75" customHeight="1">
      <c r="A36" s="98" t="inlineStr">
        <is>
          <t>KIT CAIXA P VERDE - VD</t>
        </is>
      </c>
      <c r="B36" s="85" t="n">
        <v>75</v>
      </c>
      <c r="C36" s="878" t="n">
        <v>203.31</v>
      </c>
      <c r="D36" s="87" t="inlineStr">
        <is>
          <t>11039840-0001</t>
        </is>
      </c>
      <c r="E36" s="74">
        <f>'CDB - 23280'!CF26</f>
        <v/>
      </c>
      <c r="F36" s="74">
        <f>'ERB - 22851'!CE32</f>
        <v/>
      </c>
      <c r="H36" s="98" t="inlineStr">
        <is>
          <t>SACOLAS M QDB</t>
        </is>
      </c>
      <c r="I36" s="731" t="n"/>
      <c r="J36" s="731" t="n"/>
      <c r="K36" s="775" t="n"/>
      <c r="L36" s="699" t="n">
        <v>0</v>
      </c>
      <c r="M36" s="699" t="n">
        <v>0</v>
      </c>
    </row>
    <row r="37" ht="18.75" customHeight="1">
      <c r="A37" s="98" t="inlineStr">
        <is>
          <t>KIT CAIXA M VERDE - VD</t>
        </is>
      </c>
      <c r="B37" s="88" t="n">
        <v>75</v>
      </c>
      <c r="C37" s="879" t="n">
        <v>265.4</v>
      </c>
      <c r="D37" s="81" t="inlineStr">
        <is>
          <t>11039842-0001</t>
        </is>
      </c>
      <c r="E37" s="74">
        <f>'CDB - 23280'!CF27</f>
        <v/>
      </c>
      <c r="F37" s="74">
        <f>'ERB - 22851'!CE33</f>
        <v/>
      </c>
      <c r="H37" s="98" t="inlineStr">
        <is>
          <t>SACOLAS G QDB</t>
        </is>
      </c>
      <c r="I37" s="731" t="n"/>
      <c r="J37" s="731" t="n"/>
      <c r="K37" s="775" t="n"/>
      <c r="L37" s="699" t="n">
        <v>0</v>
      </c>
      <c r="M37" s="699" t="n">
        <v>0</v>
      </c>
    </row>
    <row r="38" ht="18.75" customHeight="1">
      <c r="A38" s="98" t="inlineStr">
        <is>
          <t>KIT CAIXA G VERDE - VD</t>
        </is>
      </c>
      <c r="B38" s="88" t="n">
        <v>50</v>
      </c>
      <c r="C38" s="879" t="n">
        <v>292.03</v>
      </c>
      <c r="D38" s="81" t="inlineStr">
        <is>
          <t>11039845-0001</t>
        </is>
      </c>
      <c r="E38" s="74">
        <f>'CDB - 23280'!CF28</f>
        <v/>
      </c>
      <c r="F38" s="74">
        <f>'ERB - 22851'!CE34</f>
        <v/>
      </c>
      <c r="H38" s="98" t="inlineStr">
        <is>
          <t>PAPEL DE SEDA QDB</t>
        </is>
      </c>
      <c r="I38" s="731" t="n"/>
      <c r="J38" s="731" t="n"/>
      <c r="K38" s="775" t="n"/>
      <c r="L38" s="74" t="n">
        <v>0</v>
      </c>
      <c r="M38" s="74" t="n">
        <v>0</v>
      </c>
    </row>
    <row r="39" ht="18.75" customHeight="1">
      <c r="A39" s="629" t="inlineStr">
        <is>
          <t>DIVERSOS P/ VD</t>
        </is>
      </c>
      <c r="B39" s="84" t="n"/>
      <c r="C39" s="84" t="n"/>
      <c r="D39" s="84" t="n"/>
      <c r="E39" s="268" t="n"/>
      <c r="F39" s="271" t="n"/>
      <c r="H39" s="98" t="inlineStr">
        <is>
          <t>ETIQUETA QDB</t>
        </is>
      </c>
      <c r="I39" s="731" t="n"/>
      <c r="J39" s="731" t="n"/>
      <c r="K39" s="775" t="n"/>
      <c r="L39" s="74" t="n">
        <v>0</v>
      </c>
      <c r="M39" s="74" t="n">
        <v>0</v>
      </c>
    </row>
    <row r="40" ht="18.75" customHeight="1">
      <c r="A40" s="98" t="inlineStr">
        <is>
          <t>PAPEL DE SEDA</t>
        </is>
      </c>
      <c r="B40" s="88" t="n"/>
      <c r="C40" s="879" t="n">
        <v>432</v>
      </c>
      <c r="D40" s="81" t="inlineStr">
        <is>
          <t>11040788-0001</t>
        </is>
      </c>
      <c r="E40" s="269" t="n">
        <v>0</v>
      </c>
      <c r="F40" s="74">
        <f>'ERB - 22851'!CE16</f>
        <v/>
      </c>
      <c r="H40" s="98" t="inlineStr">
        <is>
          <t>TAG QDB</t>
        </is>
      </c>
      <c r="I40" s="731" t="n"/>
      <c r="J40" s="731" t="n"/>
      <c r="K40" s="775" t="n"/>
      <c r="L40" s="74" t="n">
        <v>0</v>
      </c>
      <c r="M40" s="74" t="n">
        <v>0</v>
      </c>
    </row>
    <row r="41" ht="18.75" customHeight="1">
      <c r="A41" s="98" t="inlineStr">
        <is>
          <t>ROLO DE ETIQUETAS</t>
        </is>
      </c>
      <c r="B41" s="88" t="n"/>
      <c r="C41" s="879" t="n">
        <v>339</v>
      </c>
      <c r="D41" s="81" t="inlineStr">
        <is>
          <t>11040790-0001</t>
        </is>
      </c>
      <c r="E41" s="269" t="n">
        <v>0</v>
      </c>
      <c r="F41" s="74">
        <f>'ERB - 22851'!CE17</f>
        <v/>
      </c>
      <c r="H41" s="98" t="inlineStr">
        <is>
          <t>LÂMINA OLFATIVA QBD</t>
        </is>
      </c>
      <c r="I41" s="731" t="n"/>
      <c r="J41" s="731" t="n"/>
      <c r="K41" s="775" t="n"/>
      <c r="L41" s="74" t="n">
        <v>0</v>
      </c>
      <c r="M41" s="74" t="n">
        <v>0</v>
      </c>
    </row>
    <row r="42" ht="18.75" customHeight="1">
      <c r="A42" s="98" t="inlineStr">
        <is>
          <t xml:space="preserve">TAG </t>
        </is>
      </c>
      <c r="B42" s="88" t="n"/>
      <c r="C42" s="879" t="n">
        <v>237.5</v>
      </c>
      <c r="D42" s="81" t="inlineStr">
        <is>
          <t>11040792-0001</t>
        </is>
      </c>
      <c r="E42" s="269" t="n">
        <v>0</v>
      </c>
      <c r="F42" s="74">
        <f>'ERB - 22851'!CE18</f>
        <v/>
      </c>
      <c r="H42" s="98" t="inlineStr">
        <is>
          <t>CAIXA P QDB</t>
        </is>
      </c>
      <c r="I42" s="731" t="n"/>
      <c r="J42" s="731" t="n"/>
      <c r="K42" s="775" t="n"/>
      <c r="L42" s="74" t="n">
        <v>0</v>
      </c>
      <c r="M42" s="74" t="n">
        <v>0</v>
      </c>
    </row>
    <row r="43" ht="18.75" customHeight="1">
      <c r="A43" s="98" t="inlineStr">
        <is>
          <t>LÂMINA OLFATIVA</t>
        </is>
      </c>
      <c r="B43" s="88" t="n">
        <v>500</v>
      </c>
      <c r="C43" s="879" t="n">
        <v>130</v>
      </c>
      <c r="D43" s="81" t="inlineStr">
        <is>
          <t>15004262-0001</t>
        </is>
      </c>
      <c r="E43" s="269" t="n">
        <v>0</v>
      </c>
      <c r="F43" s="74">
        <f>'ERB - 22851'!CE19</f>
        <v/>
      </c>
      <c r="H43" s="98" t="inlineStr">
        <is>
          <t>CAIXA M QDB</t>
        </is>
      </c>
      <c r="I43" s="731" t="n"/>
      <c r="J43" s="731" t="n"/>
      <c r="K43" s="775" t="n"/>
      <c r="L43" s="74" t="n">
        <v>0</v>
      </c>
      <c r="M43" s="74" t="n">
        <v>0</v>
      </c>
    </row>
    <row r="44" ht="18.75" customHeight="1">
      <c r="A44" s="629" t="inlineStr">
        <is>
          <t>DIVERSOS P/ VD</t>
        </is>
      </c>
      <c r="B44" s="84" t="n"/>
      <c r="C44" s="84" t="n"/>
      <c r="D44" s="84" t="n"/>
      <c r="E44" s="271" t="n"/>
      <c r="F44" s="271" t="n"/>
      <c r="H44" s="98" t="inlineStr">
        <is>
          <t>CAIXA G QDB</t>
        </is>
      </c>
      <c r="I44" s="731" t="n"/>
      <c r="J44" s="731" t="n"/>
      <c r="K44" s="775" t="n"/>
      <c r="L44" s="74" t="n">
        <v>0</v>
      </c>
      <c r="M44" s="74" t="n">
        <v>0</v>
      </c>
    </row>
    <row r="45" ht="18.75" customHeight="1">
      <c r="A45" s="98" t="inlineStr">
        <is>
          <t>KIT PAPEL DE SEDA 20 C/ 25</t>
        </is>
      </c>
      <c r="B45" s="85" t="n">
        <v>500</v>
      </c>
      <c r="C45" s="878" t="n">
        <v>75.08</v>
      </c>
      <c r="D45" s="87" t="inlineStr">
        <is>
          <t>15002138-0001</t>
        </is>
      </c>
      <c r="E45" s="74">
        <f>'CDB - 23280'!CF21</f>
        <v/>
      </c>
      <c r="F45" s="74">
        <f>'ERB - 22851'!CE27</f>
        <v/>
      </c>
      <c r="H45" s="631" t="inlineStr">
        <is>
          <t>SACOLAS E CAIXAS EUDORA</t>
        </is>
      </c>
      <c r="I45" s="880" t="n"/>
      <c r="J45" s="880" t="n"/>
      <c r="K45" s="880" t="n"/>
      <c r="L45" s="631" t="n">
        <v>23280</v>
      </c>
      <c r="M45" s="632" t="n">
        <v>22851</v>
      </c>
    </row>
    <row r="46" ht="18.75" customHeight="1">
      <c r="A46" s="98" t="inlineStr">
        <is>
          <t>KIT ETIQUETAS 50 C/ 50</t>
        </is>
      </c>
      <c r="B46" s="88" t="n">
        <v>2500</v>
      </c>
      <c r="C46" s="879" t="n">
        <v>55.64</v>
      </c>
      <c r="D46" s="81" t="inlineStr">
        <is>
          <t>15004205-0001</t>
        </is>
      </c>
      <c r="E46" s="74">
        <f>'CDB - 23280'!CF22</f>
        <v/>
      </c>
      <c r="F46" s="74">
        <f>'ERB - 22851'!CE28</f>
        <v/>
      </c>
      <c r="H46" s="626" t="inlineStr">
        <is>
          <t>SACOLA P EUDORA</t>
        </is>
      </c>
      <c r="I46" s="731" t="n"/>
      <c r="J46" s="731" t="n"/>
      <c r="K46" s="775" t="n"/>
      <c r="L46" s="74">
        <f>'CDB - 23280'!CF55</f>
        <v/>
      </c>
      <c r="M46" s="74">
        <f>'ERB - 22851'!CE67</f>
        <v/>
      </c>
    </row>
    <row r="47" ht="19.5" customHeight="1">
      <c r="A47" s="98" t="inlineStr">
        <is>
          <t>KIT TAGS 21 C/ 50</t>
        </is>
      </c>
      <c r="B47" s="88" t="n">
        <v>1050</v>
      </c>
      <c r="C47" s="879" t="n">
        <v>40.49</v>
      </c>
      <c r="D47" s="81" t="inlineStr">
        <is>
          <t>11029388-0001</t>
        </is>
      </c>
      <c r="E47" s="74">
        <f>'CDB - 23280'!CF23</f>
        <v/>
      </c>
      <c r="F47" s="74">
        <f>'ERB - 22851'!CE29</f>
        <v/>
      </c>
      <c r="H47" s="626" t="inlineStr">
        <is>
          <t>SACOLA M EUDORA</t>
        </is>
      </c>
      <c r="I47" s="731" t="n"/>
      <c r="J47" s="731" t="n"/>
      <c r="K47" s="775" t="n"/>
      <c r="L47" s="74">
        <f>'CDB - 23280'!CF56</f>
        <v/>
      </c>
      <c r="M47" s="74">
        <f>'ERB - 22851'!CE68</f>
        <v/>
      </c>
    </row>
    <row r="48" ht="18.75" customHeight="1">
      <c r="A48" s="36" t="inlineStr">
        <is>
          <t>SACOLAS OMNI BOTICÁRIO</t>
        </is>
      </c>
      <c r="B48" s="84" t="n"/>
      <c r="C48" s="84" t="n"/>
      <c r="D48" s="84" t="n"/>
      <c r="E48" s="271" t="n"/>
      <c r="F48" s="271" t="n"/>
      <c r="H48" s="626" t="inlineStr">
        <is>
          <t>SACOLA G EUDORA</t>
        </is>
      </c>
      <c r="I48" s="731" t="n"/>
      <c r="J48" s="731" t="n"/>
      <c r="K48" s="775" t="n"/>
      <c r="L48" s="74">
        <f>'CDB - 23280'!CF57</f>
        <v/>
      </c>
      <c r="M48" s="74">
        <f>'ERB - 22851'!CE69</f>
        <v/>
      </c>
    </row>
    <row r="49" ht="18.75" customHeight="1">
      <c r="A49" s="37" t="inlineStr">
        <is>
          <t>KIT OVERBAG OMNI P</t>
        </is>
      </c>
      <c r="B49" s="88" t="n"/>
      <c r="C49" s="879" t="n"/>
      <c r="D49" s="81" t="n"/>
      <c r="E49" s="269" t="n">
        <v>0</v>
      </c>
      <c r="F49" s="699" t="n">
        <v>0</v>
      </c>
      <c r="H49" s="626" t="inlineStr">
        <is>
          <t>PAPEL DE SEDA EUDORA</t>
        </is>
      </c>
      <c r="I49" s="731" t="n"/>
      <c r="J49" s="731" t="n"/>
      <c r="K49" s="775" t="n"/>
      <c r="L49" s="74" t="n">
        <v>0</v>
      </c>
      <c r="M49" s="74">
        <f>'ERB - 22851'!CE70</f>
        <v/>
      </c>
    </row>
    <row r="50" ht="18.75" customHeight="1">
      <c r="A50" s="37" t="inlineStr">
        <is>
          <t>KIT OVERBAG OMNI M</t>
        </is>
      </c>
      <c r="B50" s="88" t="n"/>
      <c r="C50" s="879" t="n"/>
      <c r="D50" s="81" t="n"/>
      <c r="E50" s="269" t="n">
        <v>0</v>
      </c>
      <c r="F50" s="699" t="n">
        <v>0</v>
      </c>
      <c r="H50" s="626" t="inlineStr">
        <is>
          <t>ADESIVOS EUDORA</t>
        </is>
      </c>
      <c r="I50" s="731" t="n"/>
      <c r="J50" s="731" t="n"/>
      <c r="K50" s="775" t="n"/>
      <c r="L50" s="74" t="n">
        <v>0</v>
      </c>
      <c r="M50" s="74">
        <f>'ERB - 22851'!CE71</f>
        <v/>
      </c>
    </row>
    <row r="51" ht="18.75" customHeight="1">
      <c r="A51" s="270" t="inlineStr">
        <is>
          <t>CAIXAS PAPELÃO OMNI</t>
        </is>
      </c>
      <c r="B51" s="270" t="n"/>
      <c r="C51" s="270" t="n"/>
      <c r="D51" s="270" t="n"/>
      <c r="E51" s="191" t="n"/>
      <c r="F51" s="36" t="n"/>
      <c r="H51" s="626" t="inlineStr">
        <is>
          <t>LÂMINA  EUDORA</t>
        </is>
      </c>
      <c r="I51" s="731" t="n"/>
      <c r="J51" s="731" t="n"/>
      <c r="K51" s="775" t="n"/>
      <c r="L51" s="74" t="n">
        <v>0</v>
      </c>
      <c r="M51" s="74">
        <f>'ERB - 22851'!CE72</f>
        <v/>
      </c>
    </row>
    <row r="52" ht="18.75" customHeight="1">
      <c r="A52" s="37" t="inlineStr">
        <is>
          <t>CAIXA OMNI P</t>
        </is>
      </c>
      <c r="B52" s="217" t="n"/>
      <c r="C52" s="217" t="n"/>
      <c r="D52" s="217" t="n"/>
      <c r="E52" s="74">
        <f>'CDB - 23280'!CF66</f>
        <v/>
      </c>
      <c r="F52" s="699" t="n">
        <v>0</v>
      </c>
      <c r="H52" s="626" t="inlineStr">
        <is>
          <t>KIT SACOLA P EUDORA</t>
        </is>
      </c>
      <c r="I52" s="731" t="n"/>
      <c r="J52" s="731" t="n"/>
      <c r="K52" s="775" t="n"/>
      <c r="L52" s="74">
        <f>'CDB - 23280'!CF58</f>
        <v/>
      </c>
      <c r="M52" s="74">
        <f>'ERB - 22851'!CE73</f>
        <v/>
      </c>
    </row>
    <row r="53" ht="18.75" customHeight="1">
      <c r="A53" s="37" t="inlineStr">
        <is>
          <t>CAIXA OMNI M</t>
        </is>
      </c>
      <c r="E53" s="74">
        <f>'CDB - 23280'!CF67</f>
        <v/>
      </c>
      <c r="F53" s="32" t="n">
        <v>0</v>
      </c>
      <c r="H53" s="626" t="inlineStr">
        <is>
          <t>KIT SACOLA M EUDORA</t>
        </is>
      </c>
      <c r="I53" s="731" t="n"/>
      <c r="J53" s="731" t="n"/>
      <c r="K53" s="775" t="n"/>
      <c r="L53" s="74">
        <f>'CDB - 23280'!CF59</f>
        <v/>
      </c>
      <c r="M53" s="74">
        <f>'ERB - 22851'!CE74</f>
        <v/>
      </c>
    </row>
    <row r="54" ht="18.75" customHeight="1">
      <c r="A54" s="37" t="inlineStr">
        <is>
          <t>CAIXA OMNI G</t>
        </is>
      </c>
      <c r="E54" s="74">
        <f>'CDB - 23280'!CF68</f>
        <v/>
      </c>
      <c r="F54" s="32" t="n">
        <v>0</v>
      </c>
      <c r="H54" s="626" t="inlineStr">
        <is>
          <t>KIT SACOLA G EUDORA</t>
        </is>
      </c>
      <c r="I54" s="731" t="n"/>
      <c r="J54" s="731" t="n"/>
      <c r="K54" s="775" t="n"/>
      <c r="L54" s="74">
        <f>'CDB - 23280'!CF60</f>
        <v/>
      </c>
      <c r="M54" s="74">
        <f>'ERB - 22851'!CE75</f>
        <v/>
      </c>
    </row>
    <row r="55" ht="18.75" customHeight="1">
      <c r="H55" s="626" t="inlineStr">
        <is>
          <t>KIT CAIXA P EUDORA</t>
        </is>
      </c>
      <c r="I55" s="731" t="n"/>
      <c r="J55" s="731" t="n"/>
      <c r="K55" s="775" t="n"/>
      <c r="L55" s="74">
        <f>'CDB - 23280'!CF61</f>
        <v/>
      </c>
      <c r="M55" s="74">
        <f>'ERB - 22851'!CE76</f>
        <v/>
      </c>
    </row>
    <row r="56" ht="18.75" customHeight="1">
      <c r="H56" s="626" t="inlineStr">
        <is>
          <t>KIT CAIXA M EUDORA</t>
        </is>
      </c>
      <c r="I56" s="731" t="n"/>
      <c r="J56" s="731" t="n"/>
      <c r="K56" s="775" t="n"/>
      <c r="L56" s="74">
        <f>'CDB - 23280'!CF62</f>
        <v/>
      </c>
      <c r="M56" s="74">
        <f>'ERB - 22851'!CE77</f>
        <v/>
      </c>
    </row>
    <row r="57" ht="18.75" customHeight="1">
      <c r="H57" s="626" t="inlineStr">
        <is>
          <t>KIT CAIXA G EUDORA</t>
        </is>
      </c>
      <c r="I57" s="731" t="n"/>
      <c r="J57" s="731" t="n"/>
      <c r="K57" s="775" t="n"/>
      <c r="L57" s="74">
        <f>'CDB - 23280'!CF63</f>
        <v/>
      </c>
      <c r="M57" s="74">
        <f>'ERB - 22851'!CE78</f>
        <v/>
      </c>
    </row>
  </sheetData>
  <mergeCells count="36">
    <mergeCell ref="H28:K28"/>
    <mergeCell ref="H27:K27"/>
    <mergeCell ref="H47:K47"/>
    <mergeCell ref="A29:D29"/>
    <mergeCell ref="H48:K48"/>
    <mergeCell ref="H24:K24"/>
    <mergeCell ref="H33:K33"/>
    <mergeCell ref="H42:K42"/>
    <mergeCell ref="H30:K30"/>
    <mergeCell ref="H26:K26"/>
    <mergeCell ref="H53:K53"/>
    <mergeCell ref="H35:K35"/>
    <mergeCell ref="H38:K38"/>
    <mergeCell ref="H29:K29"/>
    <mergeCell ref="H54:K54"/>
    <mergeCell ref="H43:K43"/>
    <mergeCell ref="H41:K41"/>
    <mergeCell ref="H55:K55"/>
    <mergeCell ref="H50:K50"/>
    <mergeCell ref="H44:K44"/>
    <mergeCell ref="H40:K40"/>
    <mergeCell ref="H31:K31"/>
    <mergeCell ref="H56:K56"/>
    <mergeCell ref="H39:K39"/>
    <mergeCell ref="H25:K25"/>
    <mergeCell ref="H46:K46"/>
    <mergeCell ref="H51:K51"/>
    <mergeCell ref="H49:K49"/>
    <mergeCell ref="H36:K36"/>
    <mergeCell ref="H52:K52"/>
    <mergeCell ref="A28:E28"/>
    <mergeCell ref="A21:M21"/>
    <mergeCell ref="H32:K32"/>
    <mergeCell ref="H45:K45"/>
    <mergeCell ref="H57:K57"/>
    <mergeCell ref="H37:K37"/>
  </mergeCells>
  <conditionalFormatting sqref="E28:F28 E29:E30">
    <cfRule type="cellIs" priority="34" operator="greaterThan" dxfId="0">
      <formula>0</formula>
    </cfRule>
  </conditionalFormatting>
  <conditionalFormatting sqref="E40:E43">
    <cfRule type="cellIs" priority="22" operator="greaterThan" dxfId="0">
      <formula>0</formula>
    </cfRule>
  </conditionalFormatting>
  <conditionalFormatting sqref="E48:F50">
    <cfRule type="cellIs" priority="20" operator="greaterThan" dxfId="0">
      <formula>0</formula>
    </cfRule>
  </conditionalFormatting>
  <conditionalFormatting sqref="F52">
    <cfRule type="cellIs" priority="19" operator="greaterThan" dxfId="0">
      <formula>0</formula>
    </cfRule>
  </conditionalFormatting>
  <conditionalFormatting sqref="E6:L19">
    <cfRule type="cellIs" priority="40" operator="greaterThan" dxfId="0">
      <formula>0</formula>
    </cfRule>
  </conditionalFormatting>
  <conditionalFormatting sqref="L30:L33">
    <cfRule type="cellIs" priority="28" operator="greaterThan" dxfId="0">
      <formula>0</formula>
    </cfRule>
  </conditionalFormatting>
  <conditionalFormatting sqref="L35:M44">
    <cfRule type="cellIs" priority="25" operator="greaterThan" dxfId="0">
      <formula>0</formula>
    </cfRule>
  </conditionalFormatting>
  <conditionalFormatting sqref="L49:L51">
    <cfRule type="cellIs" priority="17" operator="greaterThan" dxfId="0">
      <formula>0</formula>
    </cfRule>
  </conditionalFormatting>
  <conditionalFormatting sqref="E52:E54">
    <cfRule type="cellIs" priority="16" operator="greaterThan" dxfId="0">
      <formula>0</formula>
    </cfRule>
  </conditionalFormatting>
  <conditionalFormatting sqref="E24:E27">
    <cfRule type="cellIs" priority="15" operator="greaterThan" dxfId="0">
      <formula>0</formula>
    </cfRule>
  </conditionalFormatting>
  <conditionalFormatting sqref="E32:E34">
    <cfRule type="cellIs" priority="14" operator="greaterThan" dxfId="0">
      <formula>0</formula>
    </cfRule>
  </conditionalFormatting>
  <conditionalFormatting sqref="E36:E38">
    <cfRule type="cellIs" priority="13" operator="greaterThan" dxfId="0">
      <formula>0</formula>
    </cfRule>
  </conditionalFormatting>
  <conditionalFormatting sqref="E45:E47">
    <cfRule type="cellIs" priority="12" operator="greaterThan" dxfId="0">
      <formula>0</formula>
    </cfRule>
  </conditionalFormatting>
  <conditionalFormatting sqref="L24:L29">
    <cfRule type="cellIs" priority="11" operator="greaterThan" dxfId="0">
      <formula>0</formula>
    </cfRule>
  </conditionalFormatting>
  <conditionalFormatting sqref="L46:L48">
    <cfRule type="cellIs" priority="10" operator="greaterThan" dxfId="0">
      <formula>0</formula>
    </cfRule>
  </conditionalFormatting>
  <conditionalFormatting sqref="L52:L57">
    <cfRule type="cellIs" priority="9" operator="greaterThan" dxfId="0">
      <formula>0</formula>
    </cfRule>
  </conditionalFormatting>
  <conditionalFormatting sqref="M46:M57">
    <cfRule type="cellIs" priority="8" operator="greaterThan" dxfId="0">
      <formula>0</formula>
    </cfRule>
  </conditionalFormatting>
  <conditionalFormatting sqref="M24:M33">
    <cfRule type="cellIs" priority="7" operator="greaterThan" dxfId="0">
      <formula>0</formula>
    </cfRule>
  </conditionalFormatting>
  <conditionalFormatting sqref="F24:F27">
    <cfRule type="cellIs" priority="6" operator="greaterThan" dxfId="0">
      <formula>0</formula>
    </cfRule>
  </conditionalFormatting>
  <conditionalFormatting sqref="F29:F30">
    <cfRule type="cellIs" priority="5" operator="greaterThan" dxfId="0">
      <formula>0</formula>
    </cfRule>
  </conditionalFormatting>
  <conditionalFormatting sqref="F32:F34">
    <cfRule type="cellIs" priority="4" operator="greaterThan" dxfId="0">
      <formula>0</formula>
    </cfRule>
  </conditionalFormatting>
  <conditionalFormatting sqref="F36:F38">
    <cfRule type="cellIs" priority="3" operator="greaterThan" dxfId="0">
      <formula>0</formula>
    </cfRule>
  </conditionalFormatting>
  <conditionalFormatting sqref="F40:F43">
    <cfRule type="cellIs" priority="2" operator="greaterThan" dxfId="0">
      <formula>0</formula>
    </cfRule>
  </conditionalFormatting>
  <conditionalFormatting sqref="F45:F47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77"/>
</worksheet>
</file>

<file path=xl/worksheets/sheet33.xml><?xml version="1.0" encoding="utf-8"?>
<worksheet xmlns="http://schemas.openxmlformats.org/spreadsheetml/2006/main">
  <sheetPr codeName="Planilha34">
    <tabColor theme="4"/>
    <outlinePr summaryBelow="1" summaryRight="1"/>
    <pageSetUpPr fitToPage="1"/>
  </sheetPr>
  <dimension ref="A4:M57"/>
  <sheetViews>
    <sheetView showGridLines="0" topLeftCell="A34" zoomScale="90" zoomScaleNormal="90" workbookViewId="0">
      <selection activeCell="V50" sqref="V50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1.140625" customWidth="1" min="5" max="5"/>
    <col width="9.5703125" customWidth="1" min="6" max="9"/>
    <col width="10.42578125" customWidth="1" min="10" max="10"/>
    <col width="9.5703125" customWidth="1" min="11" max="11"/>
    <col width="8.42578125" bestFit="1" customWidth="1" min="13" max="13"/>
  </cols>
  <sheetData>
    <row r="1" ht="21.75" customHeight="1"/>
    <row r="2" ht="21.75" customHeight="1"/>
    <row r="3" ht="21.75" customHeight="1"/>
    <row r="4" ht="21" customHeight="1">
      <c r="A4" s="76" t="inlineStr">
        <is>
          <t>Descrição</t>
        </is>
      </c>
      <c r="B4" s="867" t="inlineStr">
        <is>
          <t>Qte</t>
        </is>
      </c>
      <c r="C4" s="868" t="inlineStr">
        <is>
          <t xml:space="preserve">R$ </t>
        </is>
      </c>
      <c r="E4" s="79" t="inlineStr">
        <is>
          <t>Q2</t>
        </is>
      </c>
      <c r="F4" s="79" t="inlineStr">
        <is>
          <t>MD</t>
        </is>
      </c>
      <c r="G4" s="79" t="inlineStr">
        <is>
          <t>TT</t>
        </is>
      </c>
      <c r="H4" s="79" t="inlineStr">
        <is>
          <t>SHBLV</t>
        </is>
      </c>
      <c r="I4" s="79" t="inlineStr">
        <is>
          <t>TDQ</t>
        </is>
      </c>
      <c r="J4" s="79" t="inlineStr">
        <is>
          <t>GT</t>
        </is>
      </c>
      <c r="K4" s="79" t="inlineStr">
        <is>
          <t>BSH</t>
        </is>
      </c>
      <c r="L4" s="79" t="inlineStr">
        <is>
          <t>Q7</t>
        </is>
      </c>
    </row>
    <row r="5" ht="21" customHeight="1">
      <c r="A5" s="34" t="inlineStr">
        <is>
          <t>SACOLAS PP</t>
        </is>
      </c>
      <c r="B5" s="7" t="n"/>
      <c r="C5" s="8" t="n"/>
      <c r="D5" s="13" t="n"/>
      <c r="E5" s="80" t="n">
        <v>12466</v>
      </c>
      <c r="F5" s="80" t="n">
        <v>12942</v>
      </c>
      <c r="G5" s="80" t="n">
        <v>13370</v>
      </c>
      <c r="H5" s="80" t="n">
        <v>13868</v>
      </c>
      <c r="I5" s="80" t="n">
        <v>20000</v>
      </c>
      <c r="J5" s="80" t="n">
        <v>23049</v>
      </c>
      <c r="K5" s="80" t="n">
        <v>6700</v>
      </c>
      <c r="L5" s="80" t="n">
        <v>6727</v>
      </c>
    </row>
    <row r="6" ht="25.5" customHeight="1">
      <c r="A6" s="65" t="inlineStr">
        <is>
          <t>SACOLA PP VERDE</t>
        </is>
      </c>
      <c r="B6" s="85" t="n"/>
      <c r="C6" s="869" t="n">
        <v>127.82</v>
      </c>
      <c r="D6" s="82" t="inlineStr">
        <is>
          <t>13018337-0001</t>
        </is>
      </c>
      <c r="E6" s="697">
        <f>'Q2 12466'!CE8</f>
        <v/>
      </c>
      <c r="F6" s="697">
        <f>'MD 12942'!CE8</f>
        <v/>
      </c>
      <c r="G6" s="697">
        <f>'TT 13370'!CE8</f>
        <v/>
      </c>
      <c r="H6" s="697">
        <f>'BOUL 13868'!CE8</f>
        <v/>
      </c>
      <c r="I6" s="697">
        <f>'TDQ 20000'!BZ8</f>
        <v/>
      </c>
      <c r="J6" s="697">
        <f>'GET 23049'!CE8</f>
        <v/>
      </c>
      <c r="K6" s="697">
        <f>'BSH 6700'!CF8</f>
        <v/>
      </c>
      <c r="L6" s="697">
        <f>'Q7 6727'!CE8</f>
        <v/>
      </c>
    </row>
    <row r="7" ht="25.5" customHeight="1">
      <c r="A7" s="65" t="inlineStr">
        <is>
          <t>SACOLA P VERDE</t>
        </is>
      </c>
      <c r="B7" s="85" t="n"/>
      <c r="C7" s="869" t="n">
        <v>118.73</v>
      </c>
      <c r="D7" s="86" t="inlineStr">
        <is>
          <t>13018341-0001</t>
        </is>
      </c>
      <c r="E7" s="74">
        <f>'Q2 12466'!CE9</f>
        <v/>
      </c>
      <c r="F7" s="74">
        <f>'MD 12942'!CE9</f>
        <v/>
      </c>
      <c r="G7" s="74">
        <f>'TT 13370'!CE9</f>
        <v/>
      </c>
      <c r="H7" s="74">
        <f>'BOUL 13868'!CE9</f>
        <v/>
      </c>
      <c r="I7" s="74">
        <f>'TDQ 20000'!BZ9</f>
        <v/>
      </c>
      <c r="J7" s="74">
        <f>'GET 23049'!CE9</f>
        <v/>
      </c>
      <c r="K7" s="74">
        <f>'BSH 6700'!CF9</f>
        <v/>
      </c>
      <c r="L7" s="74">
        <f>'Q7 6727'!CE9</f>
        <v/>
      </c>
    </row>
    <row r="8" ht="25.5" customHeight="1">
      <c r="A8" s="65" t="inlineStr">
        <is>
          <t>SACOLA M VERDE</t>
        </is>
      </c>
      <c r="B8" s="85" t="n"/>
      <c r="C8" s="869" t="n">
        <v>145.85</v>
      </c>
      <c r="D8" s="82" t="inlineStr">
        <is>
          <t>13018344-0001</t>
        </is>
      </c>
      <c r="E8" s="74">
        <f>'Q2 12466'!CE10</f>
        <v/>
      </c>
      <c r="F8" s="74">
        <f>'MD 12942'!CE10</f>
        <v/>
      </c>
      <c r="G8" s="74">
        <f>'TT 13370'!CE10</f>
        <v/>
      </c>
      <c r="H8" s="74">
        <f>'BOUL 13868'!CE10</f>
        <v/>
      </c>
      <c r="I8" s="74">
        <f>'TDQ 20000'!BZ10</f>
        <v/>
      </c>
      <c r="J8" s="74">
        <f>'GET 23049'!CE10</f>
        <v/>
      </c>
      <c r="K8" s="74">
        <f>'BSH 6700'!CF10</f>
        <v/>
      </c>
      <c r="L8" s="74">
        <f>'Q7 6727'!CE10</f>
        <v/>
      </c>
    </row>
    <row r="9" ht="25.5" customHeight="1">
      <c r="A9" s="66" t="inlineStr">
        <is>
          <t>SACOLA G VERDE</t>
        </is>
      </c>
      <c r="B9" s="85" t="n"/>
      <c r="C9" s="870" t="n">
        <v>139.57</v>
      </c>
      <c r="D9" s="88" t="inlineStr">
        <is>
          <t>13018348-0001</t>
        </is>
      </c>
      <c r="E9" s="74">
        <f>'Q2 12466'!CE11</f>
        <v/>
      </c>
      <c r="F9" s="74">
        <f>'MD 12942'!CE11</f>
        <v/>
      </c>
      <c r="G9" s="74">
        <f>'TT 13370'!CE11</f>
        <v/>
      </c>
      <c r="H9" s="74">
        <f>'BOUL 13868'!CE11</f>
        <v/>
      </c>
      <c r="I9" s="74">
        <f>'TDQ 20000'!BZ11</f>
        <v/>
      </c>
      <c r="J9" s="74">
        <f>'GET 23049'!CE11</f>
        <v/>
      </c>
      <c r="K9" s="74">
        <f>'BSH 6700'!CF11</f>
        <v/>
      </c>
      <c r="L9" s="74">
        <f>'Q7 6727'!CE11</f>
        <v/>
      </c>
    </row>
    <row r="10" ht="18.75" customHeight="1">
      <c r="A10" s="629" t="inlineStr">
        <is>
          <t>CAIXAS LOJAS</t>
        </is>
      </c>
      <c r="B10" s="83" t="n"/>
      <c r="C10" s="871" t="n"/>
      <c r="D10" s="92" t="n"/>
      <c r="E10" s="92" t="n"/>
      <c r="F10" s="92" t="n"/>
      <c r="G10" s="92" t="n"/>
      <c r="H10" s="92" t="n"/>
      <c r="I10" s="92" t="n"/>
      <c r="J10" s="6" t="n"/>
      <c r="K10" s="92" t="n"/>
      <c r="L10" s="6" t="n"/>
    </row>
    <row r="11" ht="18.75" customHeight="1">
      <c r="A11" s="37" t="inlineStr">
        <is>
          <t>CAIXA P VERDE</t>
        </is>
      </c>
      <c r="B11" s="85" t="n">
        <v>100</v>
      </c>
      <c r="C11" s="872" t="n">
        <v>177.02</v>
      </c>
      <c r="D11" s="87" t="inlineStr">
        <is>
          <t>11039799-0001</t>
        </is>
      </c>
      <c r="E11" s="74">
        <f>'Q2 12466'!CE20</f>
        <v/>
      </c>
      <c r="F11" s="74">
        <f>'MD 12942'!CE20</f>
        <v/>
      </c>
      <c r="G11" s="74">
        <f>'TT 13370'!CE20</f>
        <v/>
      </c>
      <c r="H11" s="74">
        <f>'BOUL 13868'!CE20</f>
        <v/>
      </c>
      <c r="I11" s="74">
        <f>'TDQ 20000'!BZ20</f>
        <v/>
      </c>
      <c r="J11" s="74">
        <f>'GET 23049'!CE20</f>
        <v/>
      </c>
      <c r="K11" s="74">
        <f>'BSH 6700'!CF20</f>
        <v/>
      </c>
      <c r="L11" s="74">
        <f>'Q7 6727'!CE20</f>
        <v/>
      </c>
    </row>
    <row r="12" ht="18.75" customHeight="1">
      <c r="A12" s="37" t="inlineStr">
        <is>
          <t>CAIXA M VERDE</t>
        </is>
      </c>
      <c r="B12" s="88" t="n">
        <v>100</v>
      </c>
      <c r="C12" s="872" t="n">
        <v>232.14</v>
      </c>
      <c r="D12" s="81" t="inlineStr">
        <is>
          <t>11039802-0001</t>
        </is>
      </c>
      <c r="E12" s="74">
        <f>'Q2 12466'!CE21</f>
        <v/>
      </c>
      <c r="F12" s="74">
        <f>'MD 12942'!CE21</f>
        <v/>
      </c>
      <c r="G12" s="74">
        <f>'TT 13370'!CE21</f>
        <v/>
      </c>
      <c r="H12" s="74">
        <f>'BOUL 13868'!CE21</f>
        <v/>
      </c>
      <c r="I12" s="74">
        <f>'TDQ 20000'!BZ21</f>
        <v/>
      </c>
      <c r="J12" s="74">
        <f>'GET 23049'!CE21</f>
        <v/>
      </c>
      <c r="K12" s="74">
        <f>'BSH 6700'!CF21</f>
        <v/>
      </c>
      <c r="L12" s="74">
        <f>'Q7 6727'!CE21</f>
        <v/>
      </c>
    </row>
    <row r="13" ht="18.75" customHeight="1">
      <c r="A13" s="96" t="inlineStr">
        <is>
          <t>CAIXA G VERDE</t>
        </is>
      </c>
      <c r="B13" s="86" t="n">
        <v>50</v>
      </c>
      <c r="C13" s="872" t="n">
        <v>225.25</v>
      </c>
      <c r="D13" s="82" t="inlineStr">
        <is>
          <t>11039805-0001</t>
        </is>
      </c>
      <c r="E13" s="74">
        <f>'Q2 12466'!CE22</f>
        <v/>
      </c>
      <c r="F13" s="74">
        <f>'MD 12942'!CE22</f>
        <v/>
      </c>
      <c r="G13" s="74">
        <f>'TT 13370'!CE22</f>
        <v/>
      </c>
      <c r="H13" s="74">
        <f>'BOUL 13868'!CE22</f>
        <v/>
      </c>
      <c r="I13" s="74">
        <f>'TDQ 20000'!BZ22</f>
        <v/>
      </c>
      <c r="J13" s="74">
        <f>'GET 23049'!CE22</f>
        <v/>
      </c>
      <c r="K13" s="74">
        <f>'BSH 6700'!CF22</f>
        <v/>
      </c>
      <c r="L13" s="74">
        <f>'Q7 6727'!CE22</f>
        <v/>
      </c>
    </row>
    <row r="14" ht="18.75" customHeight="1">
      <c r="A14" s="96" t="inlineStr">
        <is>
          <t>CARTUCHO M VERDE</t>
        </is>
      </c>
      <c r="B14" s="461" t="n"/>
      <c r="C14" s="873" t="n"/>
      <c r="D14" s="463" t="n"/>
      <c r="E14" s="74">
        <f>'Q2 12466'!CE23</f>
        <v/>
      </c>
      <c r="F14" s="74">
        <f>'MD 12942'!CE23</f>
        <v/>
      </c>
      <c r="G14" s="74">
        <f>'TT 13370'!CE23</f>
        <v/>
      </c>
      <c r="H14" s="74">
        <f>'BOUL 13868'!CE23</f>
        <v/>
      </c>
      <c r="I14" s="74">
        <f>'TDQ 20000'!BZ23</f>
        <v/>
      </c>
      <c r="J14" s="74">
        <f>'GET 23049'!CE23</f>
        <v/>
      </c>
      <c r="K14" s="74">
        <f>'BSH 6700'!CF23</f>
        <v/>
      </c>
      <c r="L14" s="74">
        <f>'Q7 6727'!CE23</f>
        <v/>
      </c>
    </row>
    <row r="15" ht="18.75" customHeight="1">
      <c r="A15" s="629" t="inlineStr">
        <is>
          <t>DIVERSOS P/ LOJA</t>
        </is>
      </c>
      <c r="B15" s="39" t="n"/>
      <c r="C15" s="874" t="n"/>
      <c r="D15" s="91" t="n"/>
      <c r="E15" s="92" t="n"/>
      <c r="F15" s="92" t="n"/>
      <c r="G15" s="92" t="n"/>
      <c r="H15" s="92" t="n"/>
      <c r="I15" s="92" t="n"/>
      <c r="J15" s="6" t="n"/>
      <c r="K15" s="92" t="n"/>
      <c r="L15" s="6" t="n"/>
    </row>
    <row r="16" ht="18.75" customHeight="1">
      <c r="A16" s="37" t="inlineStr">
        <is>
          <t xml:space="preserve">PAPEL DE SEDA </t>
        </is>
      </c>
      <c r="B16" s="85" t="n">
        <v>500</v>
      </c>
      <c r="C16" s="872" t="n">
        <v>75.08</v>
      </c>
      <c r="D16" s="87" t="inlineStr">
        <is>
          <t>15004219-0002</t>
        </is>
      </c>
      <c r="E16" s="74">
        <f>'Q2 12466'!CE14</f>
        <v/>
      </c>
      <c r="F16" s="74">
        <f>'MD 12942'!CE14</f>
        <v/>
      </c>
      <c r="G16" s="74">
        <f>'TT 13370'!CE14</f>
        <v/>
      </c>
      <c r="H16" s="74">
        <f>'BOUL 13868'!CE14</f>
        <v/>
      </c>
      <c r="I16" s="74">
        <f>'TDQ 20000'!BZ14</f>
        <v/>
      </c>
      <c r="J16" s="74">
        <f>'GET 23049'!CE14</f>
        <v/>
      </c>
      <c r="K16" s="74">
        <f>'BSH 6700'!CF14</f>
        <v/>
      </c>
      <c r="L16" s="74">
        <f>'Q7 6727'!CE14</f>
        <v/>
      </c>
    </row>
    <row r="17" ht="18.75" customHeight="1">
      <c r="A17" s="37" t="inlineStr">
        <is>
          <t xml:space="preserve">ETIQUETAS ROLO 35X35 </t>
        </is>
      </c>
      <c r="B17" s="88" t="n">
        <v>2000</v>
      </c>
      <c r="C17" s="875" t="n">
        <v>41.6</v>
      </c>
      <c r="D17" s="81" t="inlineStr">
        <is>
          <t>15004204-0001</t>
        </is>
      </c>
      <c r="E17" s="74">
        <f>'Q2 12466'!CE15</f>
        <v/>
      </c>
      <c r="F17" s="74">
        <f>'MD 12942'!CE15</f>
        <v/>
      </c>
      <c r="G17" s="74">
        <f>'TT 13370'!CE15</f>
        <v/>
      </c>
      <c r="H17" s="74">
        <f>'BOUL 13868'!CE15</f>
        <v/>
      </c>
      <c r="I17" s="74">
        <f>'TDQ 20000'!BZ15</f>
        <v/>
      </c>
      <c r="J17" s="74">
        <f>'GET 23049'!CE15</f>
        <v/>
      </c>
      <c r="K17" s="74">
        <f>'BSH 6700'!CF15</f>
        <v/>
      </c>
      <c r="L17" s="74">
        <f>'Q7 6727'!CE15</f>
        <v/>
      </c>
    </row>
    <row r="18" ht="18.75" customHeight="1">
      <c r="A18" s="37" t="inlineStr">
        <is>
          <t xml:space="preserve">TAGS </t>
        </is>
      </c>
      <c r="B18" s="88" t="n">
        <v>200</v>
      </c>
      <c r="C18" s="875" t="n">
        <v>7.72</v>
      </c>
      <c r="D18" s="81" t="inlineStr">
        <is>
          <t>13014467-0001</t>
        </is>
      </c>
      <c r="E18" s="74">
        <f>'Q2 12466'!CE16</f>
        <v/>
      </c>
      <c r="F18" s="74">
        <f>'MD 12942'!CE16</f>
        <v/>
      </c>
      <c r="G18" s="74">
        <f>'TT 13370'!CE16</f>
        <v/>
      </c>
      <c r="H18" s="74">
        <f>'BOUL 13868'!CE16</f>
        <v/>
      </c>
      <c r="I18" s="74">
        <f>'TDQ 20000'!BZ16</f>
        <v/>
      </c>
      <c r="J18" s="74">
        <f>'GET 23049'!CE16</f>
        <v/>
      </c>
      <c r="K18" s="74">
        <f>'BSH 6700'!CF16</f>
        <v/>
      </c>
      <c r="L18" s="74">
        <f>'Q7 6727'!CE16</f>
        <v/>
      </c>
    </row>
    <row r="19" ht="19.5" customHeight="1" thickBot="1">
      <c r="A19" s="37" t="inlineStr">
        <is>
          <t>LÂMINA OLFATIVA</t>
        </is>
      </c>
      <c r="B19" s="88" t="n">
        <v>3000</v>
      </c>
      <c r="C19" s="875" t="n">
        <v>62.46</v>
      </c>
      <c r="D19" s="81" t="inlineStr">
        <is>
          <t>13012369-0001</t>
        </is>
      </c>
      <c r="E19" s="74">
        <f>'Q2 12466'!CE17</f>
        <v/>
      </c>
      <c r="F19" s="74">
        <f>'MD 12942'!CE17</f>
        <v/>
      </c>
      <c r="G19" s="74">
        <f>'TT 13370'!CE17</f>
        <v/>
      </c>
      <c r="H19" s="74">
        <f>'BOUL 13868'!CE17</f>
        <v/>
      </c>
      <c r="I19" s="74">
        <f>'TDQ 20000'!BZ17</f>
        <v/>
      </c>
      <c r="J19" s="74">
        <f>'GET 23049'!CE17</f>
        <v/>
      </c>
      <c r="K19" s="74">
        <f>'BSH 6700'!CF17</f>
        <v/>
      </c>
      <c r="L19" s="74">
        <f>'Q7 6727'!CE17</f>
        <v/>
      </c>
    </row>
    <row r="20" ht="19.5" customHeight="1" thickBot="1">
      <c r="A20" s="101" t="n"/>
      <c r="B20" s="102" t="n"/>
      <c r="C20" s="103" t="n"/>
      <c r="D20" s="103" t="n"/>
      <c r="E20" s="160" t="n"/>
      <c r="F20" s="160" t="n"/>
      <c r="G20" s="160" t="n"/>
      <c r="H20" s="160" t="n"/>
      <c r="I20" s="160" t="n"/>
      <c r="J20" s="160" t="n"/>
      <c r="K20" s="160" t="n"/>
      <c r="L20" s="97" t="n"/>
    </row>
    <row r="21" ht="19.5" customHeight="1">
      <c r="A21" s="627" t="inlineStr">
        <is>
          <t xml:space="preserve">CDB E ERB </t>
        </is>
      </c>
      <c r="B21" s="782" t="n"/>
      <c r="C21" s="782" t="n"/>
      <c r="D21" s="782" t="n"/>
      <c r="E21" s="782" t="n"/>
      <c r="F21" s="782" t="n"/>
      <c r="G21" s="782" t="n"/>
      <c r="H21" s="782" t="n"/>
      <c r="I21" s="782" t="n"/>
      <c r="J21" s="782" t="n"/>
      <c r="K21" s="782" t="n"/>
      <c r="L21" s="782" t="n"/>
      <c r="M21" s="782" t="n"/>
    </row>
    <row r="22" ht="19.5" customHeight="1">
      <c r="A22" s="318" t="n"/>
      <c r="B22" s="319" t="n"/>
      <c r="C22" s="319" t="n"/>
      <c r="D22" s="319" t="n"/>
      <c r="E22" s="319" t="inlineStr">
        <is>
          <t>CD</t>
        </is>
      </c>
      <c r="F22" s="319" t="inlineStr">
        <is>
          <t>ER</t>
        </is>
      </c>
      <c r="G22" s="319" t="n"/>
      <c r="H22" s="628" t="n"/>
      <c r="I22" s="628" t="n"/>
      <c r="J22" s="628" t="n"/>
      <c r="K22" s="628" t="n"/>
      <c r="L22" s="319" t="inlineStr">
        <is>
          <t>CD</t>
        </is>
      </c>
      <c r="M22" s="319" t="inlineStr">
        <is>
          <t>ER</t>
        </is>
      </c>
    </row>
    <row r="23" ht="18.75" customHeight="1">
      <c r="A23" s="353" t="inlineStr">
        <is>
          <t>SACOLAS BOTICÁRIO</t>
        </is>
      </c>
      <c r="B23" s="354" t="n"/>
      <c r="C23" s="354" t="n"/>
      <c r="D23" s="354" t="inlineStr">
        <is>
          <t>jau</t>
        </is>
      </c>
      <c r="E23" s="355" t="n">
        <v>23280</v>
      </c>
      <c r="F23" s="355" t="n">
        <v>22851</v>
      </c>
      <c r="G23" s="5" t="n"/>
      <c r="H23" s="272" t="inlineStr">
        <is>
          <t>SACOLAS OUI</t>
        </is>
      </c>
      <c r="I23" s="273" t="n"/>
      <c r="J23" s="273" t="n"/>
      <c r="K23" s="273" t="n"/>
      <c r="L23" s="276" t="n">
        <v>23280</v>
      </c>
      <c r="M23" s="276" t="n">
        <v>22851</v>
      </c>
    </row>
    <row r="24" ht="18.75" customHeight="1">
      <c r="A24" s="351" t="inlineStr">
        <is>
          <t>SACOLA PP VERDE</t>
        </is>
      </c>
      <c r="B24" s="85" t="n"/>
      <c r="C24" s="869" t="n">
        <v>127.82</v>
      </c>
      <c r="D24" s="352" t="inlineStr">
        <is>
          <t>13018337-0002</t>
        </is>
      </c>
      <c r="E24" s="74">
        <f>'CDB - 23280'!CF8</f>
        <v/>
      </c>
      <c r="F24" s="74">
        <f>'ERB - 22851'!CE8</f>
        <v/>
      </c>
      <c r="H24" s="98" t="inlineStr">
        <is>
          <t>SACOLAS P OUI</t>
        </is>
      </c>
      <c r="I24" s="731" t="n"/>
      <c r="J24" s="731" t="n"/>
      <c r="K24" s="775" t="n"/>
      <c r="L24" s="74">
        <f>'CDB - 23280'!CF36</f>
        <v/>
      </c>
      <c r="M24" s="74">
        <f>'ERB - 22851'!CE41</f>
        <v/>
      </c>
    </row>
    <row r="25" ht="18.75" customHeight="1">
      <c r="A25" s="65" t="inlineStr">
        <is>
          <t>SACOLA P VERDE</t>
        </is>
      </c>
      <c r="B25" s="85" t="n"/>
      <c r="C25" s="869" t="n">
        <v>110.96</v>
      </c>
      <c r="D25" s="86" t="inlineStr">
        <is>
          <t>13018341-0002</t>
        </is>
      </c>
      <c r="E25" s="74">
        <f>'CDB - 23280'!CF9</f>
        <v/>
      </c>
      <c r="F25" s="74">
        <f>'ERB - 22851'!CE9</f>
        <v/>
      </c>
      <c r="H25" s="98" t="inlineStr">
        <is>
          <t>SACOLAS M OUI</t>
        </is>
      </c>
      <c r="I25" s="731" t="n"/>
      <c r="J25" s="731" t="n"/>
      <c r="K25" s="775" t="n"/>
      <c r="L25" s="74">
        <f>'CDB - 23280'!CF37</f>
        <v/>
      </c>
      <c r="M25" s="74">
        <f>'ERB - 22851'!CE42</f>
        <v/>
      </c>
    </row>
    <row r="26" ht="18.75" customHeight="1">
      <c r="A26" s="104" t="inlineStr">
        <is>
          <t>SACOLA M VERDE</t>
        </is>
      </c>
      <c r="B26" s="85" t="n"/>
      <c r="C26" s="869" t="n">
        <v>145.85</v>
      </c>
      <c r="D26" s="81" t="inlineStr">
        <is>
          <t>13018344-0002</t>
        </is>
      </c>
      <c r="E26" s="74">
        <f>'CDB - 23280'!CF10</f>
        <v/>
      </c>
      <c r="F26" s="74">
        <f>'ERB - 22851'!CE10</f>
        <v/>
      </c>
      <c r="H26" s="98" t="inlineStr">
        <is>
          <t>SACOLAS G OUI</t>
        </is>
      </c>
      <c r="I26" s="731" t="n"/>
      <c r="J26" s="731" t="n"/>
      <c r="K26" s="775" t="n"/>
      <c r="L26" s="74">
        <f>'CDB - 23280'!CF38</f>
        <v/>
      </c>
      <c r="M26" s="74">
        <f>'ERB - 22851'!CE50</f>
        <v/>
      </c>
    </row>
    <row r="27" ht="18.75" customHeight="1">
      <c r="A27" s="96" t="inlineStr">
        <is>
          <t>SACOLA G VERDE</t>
        </is>
      </c>
      <c r="B27" s="163" t="n"/>
      <c r="C27" s="869" t="n">
        <v>130.44</v>
      </c>
      <c r="D27" s="82" t="inlineStr">
        <is>
          <t>13018348-0002</t>
        </is>
      </c>
      <c r="E27" s="74">
        <f>'CDB - 23280'!CF11</f>
        <v/>
      </c>
      <c r="F27" s="74">
        <f>'ERB - 22851'!CE11</f>
        <v/>
      </c>
      <c r="H27" s="98" t="inlineStr">
        <is>
          <t>KIT CAIXA P OUI</t>
        </is>
      </c>
      <c r="I27" s="731" t="n"/>
      <c r="J27" s="731" t="n"/>
      <c r="K27" s="775" t="n"/>
      <c r="L27" s="74">
        <f>'CDB - 23280'!CF42</f>
        <v/>
      </c>
      <c r="M27" s="74">
        <f>'ERB - 22851'!CE44</f>
        <v/>
      </c>
    </row>
    <row r="28" ht="18.75" customHeight="1">
      <c r="A28" s="629" t="inlineStr">
        <is>
          <t>SACOLA KRAFT</t>
        </is>
      </c>
      <c r="B28" s="731" t="n"/>
      <c r="C28" s="731" t="n"/>
      <c r="D28" s="731" t="n"/>
      <c r="E28" s="731" t="n"/>
      <c r="F28" s="36" t="n"/>
      <c r="H28" s="98" t="inlineStr">
        <is>
          <t>KIT CAIXA M OUI</t>
        </is>
      </c>
      <c r="I28" s="731" t="n"/>
      <c r="J28" s="731" t="n"/>
      <c r="K28" s="775" t="n"/>
      <c r="L28" s="74">
        <f>'CDB - 23280'!CF43</f>
        <v/>
      </c>
      <c r="M28" s="74">
        <f>'ERB - 22851'!CE45</f>
        <v/>
      </c>
    </row>
    <row r="29" ht="18.75" customHeight="1">
      <c r="A29" s="98" t="inlineStr">
        <is>
          <t>SACOLA KRAFT M PARDA</t>
        </is>
      </c>
      <c r="B29" s="731" t="n"/>
      <c r="C29" s="731" t="n"/>
      <c r="D29" s="775" t="n"/>
      <c r="E29" s="267" t="n">
        <v>0</v>
      </c>
      <c r="F29" s="74">
        <f>'ERB - 22851'!CE12</f>
        <v/>
      </c>
      <c r="H29" s="98" t="inlineStr">
        <is>
          <t>KIT CAIXA G OUI</t>
        </is>
      </c>
      <c r="I29" s="731" t="n"/>
      <c r="J29" s="731" t="n"/>
      <c r="K29" s="775" t="n"/>
      <c r="L29" s="74">
        <f>'CDB - 23280'!CF44</f>
        <v/>
      </c>
      <c r="M29" s="74">
        <f>'ERB - 22851'!CE44</f>
        <v/>
      </c>
    </row>
    <row r="30" ht="18.75" customHeight="1">
      <c r="A30" s="623" t="inlineStr">
        <is>
          <t>SACOLA KRAFT G PARDA</t>
        </is>
      </c>
      <c r="B30" s="88" t="n"/>
      <c r="C30" s="876" t="n"/>
      <c r="D30" s="81" t="n"/>
      <c r="E30" s="267" t="n">
        <v>0</v>
      </c>
      <c r="F30" s="74">
        <f>'ERB - 22851'!CE13</f>
        <v/>
      </c>
      <c r="H30" s="98" t="inlineStr">
        <is>
          <t>PAPEL DE SEDA OUI</t>
        </is>
      </c>
      <c r="I30" s="731" t="n"/>
      <c r="J30" s="731" t="n"/>
      <c r="K30" s="775" t="n"/>
      <c r="L30" s="74" t="n">
        <v>0</v>
      </c>
      <c r="M30" s="74">
        <f>'ERB - 22851'!CE44</f>
        <v/>
      </c>
    </row>
    <row r="31" ht="18.75" customHeight="1">
      <c r="A31" s="191" t="inlineStr">
        <is>
          <t>SACOLAS VENDAS BOTI</t>
        </is>
      </c>
      <c r="B31" s="92" t="n"/>
      <c r="C31" s="92" t="n"/>
      <c r="D31" s="92" t="n"/>
      <c r="E31" s="92" t="n"/>
      <c r="F31" s="270" t="n"/>
      <c r="H31" s="98" t="inlineStr">
        <is>
          <t>ETIQUETA OUI</t>
        </is>
      </c>
      <c r="I31" s="731" t="n"/>
      <c r="J31" s="731" t="n"/>
      <c r="K31" s="775" t="n"/>
      <c r="L31" s="74" t="n">
        <v>0</v>
      </c>
      <c r="M31" s="74">
        <f>'ERB - 22851'!CE45</f>
        <v/>
      </c>
    </row>
    <row r="32" ht="18.75" customHeight="1">
      <c r="A32" s="37" t="inlineStr">
        <is>
          <t xml:space="preserve">SACOLA PP VERDE </t>
        </is>
      </c>
      <c r="B32" s="144" t="n"/>
      <c r="C32" s="877" t="n"/>
      <c r="D32" s="146" t="n"/>
      <c r="E32" s="74">
        <f>'CDB - 23280'!CF16</f>
        <v/>
      </c>
      <c r="F32" s="74">
        <f>'ERB - 22851'!CE22</f>
        <v/>
      </c>
      <c r="H32" s="98" t="inlineStr">
        <is>
          <t>LÂMINA OLFATIVA OUI</t>
        </is>
      </c>
      <c r="I32" s="731" t="n"/>
      <c r="J32" s="731" t="n"/>
      <c r="K32" s="775" t="n"/>
      <c r="L32" s="74" t="n">
        <v>0</v>
      </c>
      <c r="M32" s="74">
        <f>'ERB - 22851'!CE46</f>
        <v/>
      </c>
    </row>
    <row r="33" ht="18.75" customHeight="1">
      <c r="A33" s="37" t="inlineStr">
        <is>
          <t>SACOLA P VERDE</t>
        </is>
      </c>
      <c r="B33" s="144" t="n"/>
      <c r="C33" s="877" t="n"/>
      <c r="D33" s="146" t="n"/>
      <c r="E33" s="74">
        <f>'CDB - 23280'!CF17</f>
        <v/>
      </c>
      <c r="F33" s="74">
        <f>'ERB - 22851'!CE23</f>
        <v/>
      </c>
      <c r="H33" s="98" t="inlineStr">
        <is>
          <t>SACO M OUI</t>
        </is>
      </c>
      <c r="I33" s="731" t="n"/>
      <c r="J33" s="731" t="n"/>
      <c r="K33" s="775" t="n"/>
      <c r="L33" s="74">
        <f>'CDB - 23280'!CF39</f>
        <v/>
      </c>
      <c r="M33" s="74">
        <f>'ERB - 22851'!CE47</f>
        <v/>
      </c>
    </row>
    <row r="34" ht="18.75" customHeight="1">
      <c r="A34" s="37" t="inlineStr">
        <is>
          <t>SACOLA M VERDE</t>
        </is>
      </c>
      <c r="B34" s="144" t="n"/>
      <c r="C34" s="877" t="n"/>
      <c r="D34" s="146" t="n"/>
      <c r="E34" s="74">
        <f>'CDB - 23280'!CF18</f>
        <v/>
      </c>
      <c r="F34" s="74">
        <f>'ERB - 22851'!CE24</f>
        <v/>
      </c>
      <c r="H34" s="274" t="inlineStr">
        <is>
          <t>SACOLAS QDB</t>
        </is>
      </c>
      <c r="I34" s="275" t="n"/>
      <c r="J34" s="275" t="n"/>
      <c r="K34" s="275" t="n"/>
      <c r="L34" s="168" t="n">
        <v>23280</v>
      </c>
      <c r="M34" s="168" t="n">
        <v>22851</v>
      </c>
    </row>
    <row r="35" ht="18.75" customHeight="1">
      <c r="A35" s="629" t="inlineStr">
        <is>
          <t>CAIXAS VDS</t>
        </is>
      </c>
      <c r="B35" s="84" t="n"/>
      <c r="C35" s="84" t="n"/>
      <c r="D35" s="84" t="n"/>
      <c r="E35" s="268" t="n"/>
      <c r="F35" s="271" t="n"/>
      <c r="H35" s="98" t="inlineStr">
        <is>
          <t>SACOLAS P QDB</t>
        </is>
      </c>
      <c r="I35" s="731" t="n"/>
      <c r="J35" s="731" t="n"/>
      <c r="K35" s="775" t="n"/>
      <c r="L35" s="699" t="n">
        <v>0</v>
      </c>
      <c r="M35" s="699" t="n">
        <v>0</v>
      </c>
    </row>
    <row r="36" ht="18.75" customHeight="1">
      <c r="A36" s="98" t="inlineStr">
        <is>
          <t>KIT CAIXA P VERDE - VD</t>
        </is>
      </c>
      <c r="B36" s="85" t="n">
        <v>75</v>
      </c>
      <c r="C36" s="878" t="n">
        <v>203.31</v>
      </c>
      <c r="D36" s="87" t="inlineStr">
        <is>
          <t>11039840-0001</t>
        </is>
      </c>
      <c r="E36" s="74">
        <f>'CDB - 23280'!CF26</f>
        <v/>
      </c>
      <c r="F36" s="74">
        <f>'ERB - 22851'!CE32</f>
        <v/>
      </c>
      <c r="H36" s="98" t="inlineStr">
        <is>
          <t>SACOLAS M QDB</t>
        </is>
      </c>
      <c r="I36" s="731" t="n"/>
      <c r="J36" s="731" t="n"/>
      <c r="K36" s="775" t="n"/>
      <c r="L36" s="699" t="n">
        <v>0</v>
      </c>
      <c r="M36" s="699" t="n">
        <v>0</v>
      </c>
    </row>
    <row r="37" ht="18.75" customHeight="1">
      <c r="A37" s="98" t="inlineStr">
        <is>
          <t>KIT CAIXA M VERDE - VD</t>
        </is>
      </c>
      <c r="B37" s="88" t="n">
        <v>75</v>
      </c>
      <c r="C37" s="879" t="n">
        <v>265.4</v>
      </c>
      <c r="D37" s="81" t="inlineStr">
        <is>
          <t>11039842-0001</t>
        </is>
      </c>
      <c r="E37" s="74">
        <f>'CDB - 23280'!CF27</f>
        <v/>
      </c>
      <c r="F37" s="74">
        <f>'ERB - 22851'!CE33</f>
        <v/>
      </c>
      <c r="H37" s="98" t="inlineStr">
        <is>
          <t>SACOLAS G QDB</t>
        </is>
      </c>
      <c r="I37" s="731" t="n"/>
      <c r="J37" s="731" t="n"/>
      <c r="K37" s="775" t="n"/>
      <c r="L37" s="699" t="n">
        <v>0</v>
      </c>
      <c r="M37" s="699" t="n">
        <v>0</v>
      </c>
    </row>
    <row r="38" ht="18.75" customHeight="1">
      <c r="A38" s="98" t="inlineStr">
        <is>
          <t>KIT CAIXA G VERDE - VD</t>
        </is>
      </c>
      <c r="B38" s="88" t="n">
        <v>50</v>
      </c>
      <c r="C38" s="879" t="n">
        <v>292.03</v>
      </c>
      <c r="D38" s="81" t="inlineStr">
        <is>
          <t>11039845-0001</t>
        </is>
      </c>
      <c r="E38" s="74">
        <f>'CDB - 23280'!CF28</f>
        <v/>
      </c>
      <c r="F38" s="74">
        <f>'ERB - 22851'!CE34</f>
        <v/>
      </c>
      <c r="H38" s="98" t="inlineStr">
        <is>
          <t>PAPEL DE SEDA QDB</t>
        </is>
      </c>
      <c r="I38" s="731" t="n"/>
      <c r="J38" s="731" t="n"/>
      <c r="K38" s="775" t="n"/>
      <c r="L38" s="74" t="n">
        <v>0</v>
      </c>
      <c r="M38" s="74" t="n">
        <v>0</v>
      </c>
    </row>
    <row r="39" ht="18.75" customHeight="1">
      <c r="A39" s="629" t="inlineStr">
        <is>
          <t>DIVERSOS P/ VD</t>
        </is>
      </c>
      <c r="B39" s="84" t="n"/>
      <c r="C39" s="84" t="n"/>
      <c r="D39" s="84" t="n"/>
      <c r="E39" s="268" t="n"/>
      <c r="F39" s="271" t="n"/>
      <c r="H39" s="98" t="inlineStr">
        <is>
          <t>ETIQUETA QDB</t>
        </is>
      </c>
      <c r="I39" s="731" t="n"/>
      <c r="J39" s="731" t="n"/>
      <c r="K39" s="775" t="n"/>
      <c r="L39" s="74" t="n">
        <v>0</v>
      </c>
      <c r="M39" s="74" t="n">
        <v>0</v>
      </c>
    </row>
    <row r="40" ht="18.75" customHeight="1">
      <c r="A40" s="98" t="inlineStr">
        <is>
          <t>PAPEL DE SEDA</t>
        </is>
      </c>
      <c r="B40" s="88" t="n"/>
      <c r="C40" s="879" t="n">
        <v>432</v>
      </c>
      <c r="D40" s="81" t="inlineStr">
        <is>
          <t>11040788-0001</t>
        </is>
      </c>
      <c r="E40" s="269" t="n">
        <v>0</v>
      </c>
      <c r="F40" s="74">
        <f>'ERB - 22851'!CE16</f>
        <v/>
      </c>
      <c r="H40" s="98" t="inlineStr">
        <is>
          <t>TAG QDB</t>
        </is>
      </c>
      <c r="I40" s="731" t="n"/>
      <c r="J40" s="731" t="n"/>
      <c r="K40" s="775" t="n"/>
      <c r="L40" s="74" t="n">
        <v>0</v>
      </c>
      <c r="M40" s="74" t="n">
        <v>0</v>
      </c>
    </row>
    <row r="41" ht="18.75" customHeight="1">
      <c r="A41" s="98" t="inlineStr">
        <is>
          <t>ROLO DE ETIQUETAS</t>
        </is>
      </c>
      <c r="B41" s="88" t="n"/>
      <c r="C41" s="879" t="n">
        <v>339</v>
      </c>
      <c r="D41" s="81" t="inlineStr">
        <is>
          <t>11040790-0001</t>
        </is>
      </c>
      <c r="E41" s="269" t="n">
        <v>0</v>
      </c>
      <c r="F41" s="74">
        <f>'ERB - 22851'!CE17</f>
        <v/>
      </c>
      <c r="H41" s="98" t="inlineStr">
        <is>
          <t>LÂMINA OLFATIVA QBD</t>
        </is>
      </c>
      <c r="I41" s="731" t="n"/>
      <c r="J41" s="731" t="n"/>
      <c r="K41" s="775" t="n"/>
      <c r="L41" s="74" t="n">
        <v>0</v>
      </c>
      <c r="M41" s="74" t="n">
        <v>0</v>
      </c>
    </row>
    <row r="42" ht="18.75" customHeight="1">
      <c r="A42" s="98" t="inlineStr">
        <is>
          <t xml:space="preserve">TAG </t>
        </is>
      </c>
      <c r="B42" s="88" t="n"/>
      <c r="C42" s="879" t="n">
        <v>237.5</v>
      </c>
      <c r="D42" s="81" t="inlineStr">
        <is>
          <t>11040792-0001</t>
        </is>
      </c>
      <c r="E42" s="269" t="n">
        <v>0</v>
      </c>
      <c r="F42" s="74">
        <f>'ERB - 22851'!CE18</f>
        <v/>
      </c>
      <c r="H42" s="98" t="inlineStr">
        <is>
          <t>CAIXA P QDB</t>
        </is>
      </c>
      <c r="I42" s="731" t="n"/>
      <c r="J42" s="731" t="n"/>
      <c r="K42" s="775" t="n"/>
      <c r="L42" s="74" t="n">
        <v>0</v>
      </c>
      <c r="M42" s="74" t="n">
        <v>0</v>
      </c>
    </row>
    <row r="43" ht="18.75" customHeight="1">
      <c r="A43" s="98" t="inlineStr">
        <is>
          <t>LÂMINA OLFATIVA</t>
        </is>
      </c>
      <c r="B43" s="88" t="n">
        <v>500</v>
      </c>
      <c r="C43" s="879" t="n">
        <v>130</v>
      </c>
      <c r="D43" s="81" t="inlineStr">
        <is>
          <t>15004262-0001</t>
        </is>
      </c>
      <c r="E43" s="269" t="n">
        <v>0</v>
      </c>
      <c r="F43" s="74">
        <f>'ERB - 22851'!CE19</f>
        <v/>
      </c>
      <c r="H43" s="98" t="inlineStr">
        <is>
          <t>CAIXA M QDB</t>
        </is>
      </c>
      <c r="I43" s="731" t="n"/>
      <c r="J43" s="731" t="n"/>
      <c r="K43" s="775" t="n"/>
      <c r="L43" s="74" t="n">
        <v>0</v>
      </c>
      <c r="M43" s="74" t="n">
        <v>0</v>
      </c>
    </row>
    <row r="44" ht="18.75" customHeight="1">
      <c r="A44" s="629" t="inlineStr">
        <is>
          <t>DIVERSOS P/ VD</t>
        </is>
      </c>
      <c r="B44" s="84" t="n"/>
      <c r="C44" s="84" t="n"/>
      <c r="D44" s="84" t="n"/>
      <c r="E44" s="271" t="n"/>
      <c r="F44" s="271" t="n"/>
      <c r="H44" s="98" t="inlineStr">
        <is>
          <t>CAIXA G QDB</t>
        </is>
      </c>
      <c r="I44" s="731" t="n"/>
      <c r="J44" s="731" t="n"/>
      <c r="K44" s="775" t="n"/>
      <c r="L44" s="74" t="n">
        <v>0</v>
      </c>
      <c r="M44" s="74" t="n">
        <v>0</v>
      </c>
    </row>
    <row r="45" ht="18.75" customHeight="1">
      <c r="A45" s="98" t="inlineStr">
        <is>
          <t>KIT PAPEL DE SEDA 20 C/ 25</t>
        </is>
      </c>
      <c r="B45" s="85" t="n">
        <v>500</v>
      </c>
      <c r="C45" s="878" t="n">
        <v>75.08</v>
      </c>
      <c r="D45" s="87" t="inlineStr">
        <is>
          <t>15002138-0001</t>
        </is>
      </c>
      <c r="E45" s="74">
        <f>'CDB - 23280'!CF21</f>
        <v/>
      </c>
      <c r="F45" s="74">
        <f>'ERB - 22851'!CE27</f>
        <v/>
      </c>
      <c r="H45" s="631" t="inlineStr">
        <is>
          <t>SACOLAS E CAIXAS EUDORA</t>
        </is>
      </c>
      <c r="I45" s="880" t="n"/>
      <c r="J45" s="880" t="n"/>
      <c r="K45" s="880" t="n"/>
      <c r="L45" s="631" t="n">
        <v>23280</v>
      </c>
      <c r="M45" s="632" t="n">
        <v>22851</v>
      </c>
    </row>
    <row r="46" ht="18.75" customHeight="1">
      <c r="A46" s="98" t="inlineStr">
        <is>
          <t>KIT ETIQUETAS 50 C/ 50</t>
        </is>
      </c>
      <c r="B46" s="88" t="n">
        <v>2500</v>
      </c>
      <c r="C46" s="879" t="n">
        <v>55.64</v>
      </c>
      <c r="D46" s="81" t="inlineStr">
        <is>
          <t>15004205-0001</t>
        </is>
      </c>
      <c r="E46" s="74">
        <f>'CDB - 23280'!CF22</f>
        <v/>
      </c>
      <c r="F46" s="74">
        <f>'ERB - 22851'!CE28</f>
        <v/>
      </c>
      <c r="H46" s="626" t="inlineStr">
        <is>
          <t>SACOLA P EUDORA</t>
        </is>
      </c>
      <c r="I46" s="731" t="n"/>
      <c r="J46" s="731" t="n"/>
      <c r="K46" s="775" t="n"/>
      <c r="L46" s="74">
        <f>'CDB - 23280'!CF55</f>
        <v/>
      </c>
      <c r="M46" s="74">
        <f>'ERB - 22851'!CE67</f>
        <v/>
      </c>
    </row>
    <row r="47" ht="19.5" customHeight="1">
      <c r="A47" s="98" t="inlineStr">
        <is>
          <t>KIT TAGS 21 C/ 50</t>
        </is>
      </c>
      <c r="B47" s="88" t="n">
        <v>1050</v>
      </c>
      <c r="C47" s="879" t="n">
        <v>40.49</v>
      </c>
      <c r="D47" s="81" t="inlineStr">
        <is>
          <t>11029388-0001</t>
        </is>
      </c>
      <c r="E47" s="74">
        <f>'CDB - 23280'!CF23</f>
        <v/>
      </c>
      <c r="F47" s="74">
        <f>'ERB - 22851'!CE29</f>
        <v/>
      </c>
      <c r="H47" s="626" t="inlineStr">
        <is>
          <t>SACOLA M EUDORA</t>
        </is>
      </c>
      <c r="I47" s="731" t="n"/>
      <c r="J47" s="731" t="n"/>
      <c r="K47" s="775" t="n"/>
      <c r="L47" s="74">
        <f>'CDB - 23280'!CF56</f>
        <v/>
      </c>
      <c r="M47" s="74">
        <f>'ERB - 22851'!CE68</f>
        <v/>
      </c>
    </row>
    <row r="48" ht="18.75" customHeight="1">
      <c r="A48" s="36" t="inlineStr">
        <is>
          <t>SACOLAS OMNI BOTICÁRIO</t>
        </is>
      </c>
      <c r="B48" s="84" t="n"/>
      <c r="C48" s="84" t="n"/>
      <c r="D48" s="84" t="n"/>
      <c r="E48" s="271" t="n"/>
      <c r="F48" s="271" t="n"/>
      <c r="H48" s="626" t="inlineStr">
        <is>
          <t>SACOLA G EUDORA</t>
        </is>
      </c>
      <c r="I48" s="731" t="n"/>
      <c r="J48" s="731" t="n"/>
      <c r="K48" s="775" t="n"/>
      <c r="L48" s="74">
        <f>'CDB - 23280'!CF57</f>
        <v/>
      </c>
      <c r="M48" s="74">
        <f>'ERB - 22851'!CE69</f>
        <v/>
      </c>
    </row>
    <row r="49" ht="18.75" customHeight="1">
      <c r="A49" s="37" t="inlineStr">
        <is>
          <t>KIT OVERBAG OMNI P</t>
        </is>
      </c>
      <c r="B49" s="88" t="n"/>
      <c r="C49" s="879" t="n"/>
      <c r="D49" s="81" t="n"/>
      <c r="E49" s="269" t="n">
        <v>0</v>
      </c>
      <c r="F49" s="699" t="n">
        <v>0</v>
      </c>
      <c r="H49" s="626" t="inlineStr">
        <is>
          <t>PAPEL DE SEDA EUDORA</t>
        </is>
      </c>
      <c r="I49" s="731" t="n"/>
      <c r="J49" s="731" t="n"/>
      <c r="K49" s="775" t="n"/>
      <c r="L49" s="74" t="n">
        <v>0</v>
      </c>
      <c r="M49" s="74">
        <f>'ERB - 22851'!CE70</f>
        <v/>
      </c>
    </row>
    <row r="50" ht="18.75" customHeight="1">
      <c r="A50" s="37" t="inlineStr">
        <is>
          <t>KIT OVERBAG OMNI M</t>
        </is>
      </c>
      <c r="B50" s="88" t="n"/>
      <c r="C50" s="879" t="n"/>
      <c r="D50" s="81" t="n"/>
      <c r="E50" s="269" t="n">
        <v>0</v>
      </c>
      <c r="F50" s="699" t="n">
        <v>0</v>
      </c>
      <c r="H50" s="626" t="inlineStr">
        <is>
          <t>ADESIVOS EUDORA</t>
        </is>
      </c>
      <c r="I50" s="731" t="n"/>
      <c r="J50" s="731" t="n"/>
      <c r="K50" s="775" t="n"/>
      <c r="L50" s="74" t="n">
        <v>0</v>
      </c>
      <c r="M50" s="74">
        <f>'ERB - 22851'!CE71</f>
        <v/>
      </c>
    </row>
    <row r="51" ht="18.75" customHeight="1">
      <c r="A51" s="270" t="inlineStr">
        <is>
          <t>CAIXAS PAPELÃO OMNI</t>
        </is>
      </c>
      <c r="B51" s="270" t="n"/>
      <c r="C51" s="270" t="n"/>
      <c r="D51" s="270" t="n"/>
      <c r="E51" s="191" t="n"/>
      <c r="F51" s="36" t="n"/>
      <c r="H51" s="626" t="inlineStr">
        <is>
          <t>LÂMINA  EUDORA</t>
        </is>
      </c>
      <c r="I51" s="731" t="n"/>
      <c r="J51" s="731" t="n"/>
      <c r="K51" s="775" t="n"/>
      <c r="L51" s="74" t="n">
        <v>0</v>
      </c>
      <c r="M51" s="74">
        <f>'ERB - 22851'!CE72</f>
        <v/>
      </c>
    </row>
    <row r="52" ht="18.75" customHeight="1">
      <c r="A52" s="37" t="inlineStr">
        <is>
          <t>CAIXA OMNI P</t>
        </is>
      </c>
      <c r="B52" s="217" t="n"/>
      <c r="C52" s="217" t="n"/>
      <c r="D52" s="217" t="n"/>
      <c r="E52" s="74">
        <f>'CDB - 23280'!CF66</f>
        <v/>
      </c>
      <c r="F52" s="699" t="n">
        <v>0</v>
      </c>
      <c r="H52" s="626" t="inlineStr">
        <is>
          <t>KIT SACOLA P EUDORA</t>
        </is>
      </c>
      <c r="I52" s="731" t="n"/>
      <c r="J52" s="731" t="n"/>
      <c r="K52" s="775" t="n"/>
      <c r="L52" s="74">
        <f>'CDB - 23280'!CF58</f>
        <v/>
      </c>
      <c r="M52" s="74">
        <f>'ERB - 22851'!CE73</f>
        <v/>
      </c>
    </row>
    <row r="53" ht="18.75" customHeight="1">
      <c r="A53" s="37" t="inlineStr">
        <is>
          <t>CAIXA OMNI M</t>
        </is>
      </c>
      <c r="E53" s="74">
        <f>'CDB - 23280'!CF67</f>
        <v/>
      </c>
      <c r="F53" s="32" t="n">
        <v>0</v>
      </c>
      <c r="H53" s="626" t="inlineStr">
        <is>
          <t>KIT SACOLA M EUDORA</t>
        </is>
      </c>
      <c r="I53" s="731" t="n"/>
      <c r="J53" s="731" t="n"/>
      <c r="K53" s="775" t="n"/>
      <c r="L53" s="74">
        <f>'CDB - 23280'!CF59</f>
        <v/>
      </c>
      <c r="M53" s="74">
        <f>'ERB - 22851'!CE74</f>
        <v/>
      </c>
    </row>
    <row r="54" ht="18.75" customHeight="1">
      <c r="A54" s="37" t="inlineStr">
        <is>
          <t>CAIXA OMNI G</t>
        </is>
      </c>
      <c r="E54" s="74">
        <f>'CDB - 23280'!CF68</f>
        <v/>
      </c>
      <c r="F54" s="32" t="n">
        <v>0</v>
      </c>
      <c r="H54" s="626" t="inlineStr">
        <is>
          <t>KIT SACOLA G EUDORA</t>
        </is>
      </c>
      <c r="I54" s="731" t="n"/>
      <c r="J54" s="731" t="n"/>
      <c r="K54" s="775" t="n"/>
      <c r="L54" s="74">
        <f>'CDB - 23280'!CF60</f>
        <v/>
      </c>
      <c r="M54" s="74">
        <f>'ERB - 22851'!CE75</f>
        <v/>
      </c>
    </row>
    <row r="55" ht="18.75" customHeight="1">
      <c r="H55" s="626" t="inlineStr">
        <is>
          <t>KIT CAIXA P EUDORA</t>
        </is>
      </c>
      <c r="I55" s="731" t="n"/>
      <c r="J55" s="731" t="n"/>
      <c r="K55" s="775" t="n"/>
      <c r="L55" s="74">
        <f>'CDB - 23280'!CF61</f>
        <v/>
      </c>
      <c r="M55" s="74">
        <f>'ERB - 22851'!CE76</f>
        <v/>
      </c>
    </row>
    <row r="56" ht="18.75" customHeight="1">
      <c r="H56" s="626" t="inlineStr">
        <is>
          <t>KIT CAIXA M EUDORA</t>
        </is>
      </c>
      <c r="I56" s="731" t="n"/>
      <c r="J56" s="731" t="n"/>
      <c r="K56" s="775" t="n"/>
      <c r="L56" s="74">
        <f>'CDB - 23280'!CF62</f>
        <v/>
      </c>
      <c r="M56" s="74">
        <f>'ERB - 22851'!CE77</f>
        <v/>
      </c>
    </row>
    <row r="57" ht="18.75" customHeight="1">
      <c r="H57" s="626" t="inlineStr">
        <is>
          <t>KIT CAIXA G EUDORA</t>
        </is>
      </c>
      <c r="I57" s="731" t="n"/>
      <c r="J57" s="731" t="n"/>
      <c r="K57" s="775" t="n"/>
      <c r="L57" s="74">
        <f>'CDB - 23280'!CF63</f>
        <v/>
      </c>
      <c r="M57" s="74">
        <f>'ERB - 22851'!CE78</f>
        <v/>
      </c>
    </row>
  </sheetData>
  <mergeCells count="36">
    <mergeCell ref="H28:K28"/>
    <mergeCell ref="H27:K27"/>
    <mergeCell ref="H47:K47"/>
    <mergeCell ref="A29:D29"/>
    <mergeCell ref="H48:K48"/>
    <mergeCell ref="H24:K24"/>
    <mergeCell ref="H33:K33"/>
    <mergeCell ref="H42:K42"/>
    <mergeCell ref="H30:K30"/>
    <mergeCell ref="H26:K26"/>
    <mergeCell ref="H53:K53"/>
    <mergeCell ref="H35:K35"/>
    <mergeCell ref="H38:K38"/>
    <mergeCell ref="H29:K29"/>
    <mergeCell ref="H54:K54"/>
    <mergeCell ref="H43:K43"/>
    <mergeCell ref="H41:K41"/>
    <mergeCell ref="H55:K55"/>
    <mergeCell ref="H50:K50"/>
    <mergeCell ref="H44:K44"/>
    <mergeCell ref="H40:K40"/>
    <mergeCell ref="H31:K31"/>
    <mergeCell ref="H56:K56"/>
    <mergeCell ref="H39:K39"/>
    <mergeCell ref="H25:K25"/>
    <mergeCell ref="H46:K46"/>
    <mergeCell ref="H51:K51"/>
    <mergeCell ref="H49:K49"/>
    <mergeCell ref="H36:K36"/>
    <mergeCell ref="H52:K52"/>
    <mergeCell ref="A28:E28"/>
    <mergeCell ref="A21:M21"/>
    <mergeCell ref="H32:K32"/>
    <mergeCell ref="H45:K45"/>
    <mergeCell ref="H57:K57"/>
    <mergeCell ref="H37:K37"/>
  </mergeCells>
  <conditionalFormatting sqref="E28:F28 E29:E30">
    <cfRule type="cellIs" priority="23" operator="greaterThan" dxfId="0">
      <formula>0</formula>
    </cfRule>
  </conditionalFormatting>
  <conditionalFormatting sqref="E40:E43">
    <cfRule type="cellIs" priority="20" operator="greaterThan" dxfId="0">
      <formula>0</formula>
    </cfRule>
  </conditionalFormatting>
  <conditionalFormatting sqref="E48:F50">
    <cfRule type="cellIs" priority="19" operator="greaterThan" dxfId="0">
      <formula>0</formula>
    </cfRule>
  </conditionalFormatting>
  <conditionalFormatting sqref="F52">
    <cfRule type="cellIs" priority="18" operator="greaterThan" dxfId="0">
      <formula>0</formula>
    </cfRule>
  </conditionalFormatting>
  <conditionalFormatting sqref="E6:L19">
    <cfRule type="cellIs" priority="24" operator="greaterThan" dxfId="0">
      <formula>0</formula>
    </cfRule>
  </conditionalFormatting>
  <conditionalFormatting sqref="L30:L33">
    <cfRule type="cellIs" priority="22" operator="greaterThan" dxfId="0">
      <formula>0</formula>
    </cfRule>
  </conditionalFormatting>
  <conditionalFormatting sqref="L35:M44">
    <cfRule type="cellIs" priority="21" operator="greaterThan" dxfId="0">
      <formula>0</formula>
    </cfRule>
  </conditionalFormatting>
  <conditionalFormatting sqref="L49:L51">
    <cfRule type="cellIs" priority="17" operator="greaterThan" dxfId="0">
      <formula>0</formula>
    </cfRule>
  </conditionalFormatting>
  <conditionalFormatting sqref="E52:E54">
    <cfRule type="cellIs" priority="16" operator="greaterThan" dxfId="0">
      <formula>0</formula>
    </cfRule>
  </conditionalFormatting>
  <conditionalFormatting sqref="E24:E27">
    <cfRule type="cellIs" priority="15" operator="greaterThan" dxfId="0">
      <formula>0</formula>
    </cfRule>
  </conditionalFormatting>
  <conditionalFormatting sqref="E32:E34">
    <cfRule type="cellIs" priority="14" operator="greaterThan" dxfId="0">
      <formula>0</formula>
    </cfRule>
  </conditionalFormatting>
  <conditionalFormatting sqref="E36:E38">
    <cfRule type="cellIs" priority="13" operator="greaterThan" dxfId="0">
      <formula>0</formula>
    </cfRule>
  </conditionalFormatting>
  <conditionalFormatting sqref="E45:E47">
    <cfRule type="cellIs" priority="12" operator="greaterThan" dxfId="0">
      <formula>0</formula>
    </cfRule>
  </conditionalFormatting>
  <conditionalFormatting sqref="L24:L29">
    <cfRule type="cellIs" priority="11" operator="greaterThan" dxfId="0">
      <formula>0</formula>
    </cfRule>
  </conditionalFormatting>
  <conditionalFormatting sqref="L46:L48">
    <cfRule type="cellIs" priority="10" operator="greaterThan" dxfId="0">
      <formula>0</formula>
    </cfRule>
  </conditionalFormatting>
  <conditionalFormatting sqref="L52:L57">
    <cfRule type="cellIs" priority="9" operator="greaterThan" dxfId="0">
      <formula>0</formula>
    </cfRule>
  </conditionalFormatting>
  <conditionalFormatting sqref="M46:M57">
    <cfRule type="cellIs" priority="8" operator="greaterThan" dxfId="0">
      <formula>0</formula>
    </cfRule>
  </conditionalFormatting>
  <conditionalFormatting sqref="M24:M33">
    <cfRule type="cellIs" priority="7" operator="greaterThan" dxfId="0">
      <formula>0</formula>
    </cfRule>
  </conditionalFormatting>
  <conditionalFormatting sqref="F24:F27">
    <cfRule type="cellIs" priority="6" operator="greaterThan" dxfId="0">
      <formula>0</formula>
    </cfRule>
  </conditionalFormatting>
  <conditionalFormatting sqref="F29:F30">
    <cfRule type="cellIs" priority="5" operator="greaterThan" dxfId="0">
      <formula>0</formula>
    </cfRule>
  </conditionalFormatting>
  <conditionalFormatting sqref="F32:F34">
    <cfRule type="cellIs" priority="4" operator="greaterThan" dxfId="0">
      <formula>0</formula>
    </cfRule>
  </conditionalFormatting>
  <conditionalFormatting sqref="F36:F38">
    <cfRule type="cellIs" priority="3" operator="greaterThan" dxfId="0">
      <formula>0</formula>
    </cfRule>
  </conditionalFormatting>
  <conditionalFormatting sqref="F40:F43">
    <cfRule type="cellIs" priority="2" operator="greaterThan" dxfId="0">
      <formula>0</formula>
    </cfRule>
  </conditionalFormatting>
  <conditionalFormatting sqref="F45:F47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77"/>
</worksheet>
</file>

<file path=xl/worksheets/sheet34.xml><?xml version="1.0" encoding="utf-8"?>
<worksheet xmlns="http://schemas.openxmlformats.org/spreadsheetml/2006/main">
  <sheetPr codeName="Planilha18">
    <tabColor theme="9" tint="-0.499984740745262"/>
    <outlinePr summaryBelow="1" summaryRight="1"/>
    <pageSetUpPr/>
  </sheetPr>
  <dimension ref="A1:R79"/>
  <sheetViews>
    <sheetView zoomScale="85" zoomScaleNormal="85" workbookViewId="0">
      <selection activeCell="P26" sqref="P26"/>
    </sheetView>
  </sheetViews>
  <sheetFormatPr baseColWidth="8" defaultRowHeight="15"/>
  <cols>
    <col width="32.85546875" customWidth="1" min="1" max="1"/>
    <col width="9.5703125" customWidth="1" min="2" max="5"/>
    <col width="9.7109375" bestFit="1" customWidth="1" min="6" max="6"/>
    <col width="9.5703125" customWidth="1" min="9" max="9"/>
    <col width="11.140625" customWidth="1" min="13" max="13"/>
    <col width="10" customWidth="1" min="14" max="14"/>
    <col width="9.5703125" customWidth="1" min="15" max="15"/>
    <col width="11.85546875" customWidth="1" min="18" max="18"/>
    <col width="10.85546875" bestFit="1" customWidth="1" min="23" max="23"/>
  </cols>
  <sheetData>
    <row r="1" ht="18" customHeight="1">
      <c r="A1" s="881" t="inlineStr">
        <is>
          <t>GASTO DE SACOLAS E ITENS DOADOS NATAL/2025 - MENSAIS</t>
        </is>
      </c>
      <c r="B1" s="859" t="n"/>
      <c r="C1" s="859" t="n"/>
      <c r="D1" s="859" t="n"/>
      <c r="E1" s="859" t="n"/>
      <c r="F1" s="859" t="n"/>
      <c r="G1" s="859" t="n"/>
      <c r="H1" s="859" t="n"/>
      <c r="I1" s="859" t="n"/>
      <c r="J1" s="859" t="n"/>
      <c r="K1" s="859" t="n"/>
      <c r="L1" s="859" t="n"/>
      <c r="M1" s="859" t="n"/>
      <c r="N1" s="860" t="n"/>
      <c r="P1" s="882" t="inlineStr">
        <is>
          <t>INÍCIO UTILIZAÇÃO</t>
        </is>
      </c>
      <c r="Q1" s="775" t="n"/>
    </row>
    <row r="2" ht="18" customHeight="1">
      <c r="A2" s="635" t="inlineStr">
        <is>
          <t>BAURU SHOPPING</t>
        </is>
      </c>
      <c r="B2" s="883" t="inlineStr">
        <is>
          <t>NOVEMBRO</t>
        </is>
      </c>
      <c r="C2" s="731" t="n"/>
      <c r="D2" s="731" t="n"/>
      <c r="E2" s="731" t="n"/>
      <c r="F2" s="775" t="n"/>
      <c r="G2" s="883" t="inlineStr">
        <is>
          <t>DEZEMBRO</t>
        </is>
      </c>
      <c r="H2" s="731" t="n"/>
      <c r="I2" s="731" t="n"/>
      <c r="J2" s="731" t="n"/>
      <c r="K2" s="731" t="n"/>
      <c r="L2" s="775" t="n"/>
      <c r="M2" s="644" t="inlineStr">
        <is>
          <t>USOU ATÉ NATAL</t>
        </is>
      </c>
      <c r="N2" s="646" t="inlineStr">
        <is>
          <t>TOTAL GERAL</t>
        </is>
      </c>
      <c r="P2" s="254" t="inlineStr">
        <is>
          <t>VD</t>
        </is>
      </c>
      <c r="Q2" s="884" t="n">
        <v>45964</v>
      </c>
      <c r="R2" s="640" t="inlineStr">
        <is>
          <t>CICLO 16</t>
        </is>
      </c>
    </row>
    <row r="3" ht="15.75" customHeight="1">
      <c r="A3" s="862" t="n"/>
      <c r="B3" s="261" t="n">
        <v>45964</v>
      </c>
      <c r="C3" s="262" t="n">
        <v>45971</v>
      </c>
      <c r="D3" s="262" t="n">
        <v>45978</v>
      </c>
      <c r="E3" s="261" t="n">
        <v>45985</v>
      </c>
      <c r="F3" s="263" t="inlineStr">
        <is>
          <t>USOU</t>
        </is>
      </c>
      <c r="G3" s="261" t="n">
        <v>45992</v>
      </c>
      <c r="H3" s="262" t="n">
        <v>45999</v>
      </c>
      <c r="I3" s="262" t="n">
        <v>46006</v>
      </c>
      <c r="J3" s="262" t="n">
        <v>46013</v>
      </c>
      <c r="K3" s="261" t="n">
        <v>46020</v>
      </c>
      <c r="L3" s="263" t="inlineStr">
        <is>
          <t>USOU</t>
        </is>
      </c>
      <c r="M3" s="863" t="n"/>
      <c r="N3" s="864" t="n"/>
      <c r="P3" s="254" t="inlineStr">
        <is>
          <t>LOJA</t>
        </is>
      </c>
      <c r="Q3" s="884" t="n">
        <v>45964</v>
      </c>
      <c r="R3" s="885" t="n"/>
    </row>
    <row r="4" ht="15.75" customHeight="1">
      <c r="A4" s="204" t="inlineStr">
        <is>
          <t>SACOLA P</t>
        </is>
      </c>
      <c r="B4" s="115" t="n">
        <v>200</v>
      </c>
      <c r="C4" s="115" t="n">
        <v>0</v>
      </c>
      <c r="D4" s="115" t="n">
        <v>1060</v>
      </c>
      <c r="E4" s="115" t="n">
        <v>230</v>
      </c>
      <c r="F4" s="206">
        <f>B4+C4+D4+E4</f>
        <v/>
      </c>
      <c r="G4" s="115" t="n">
        <v>1210</v>
      </c>
      <c r="H4" s="115" t="n">
        <v>500</v>
      </c>
      <c r="I4" s="115" t="n">
        <v>0</v>
      </c>
      <c r="J4" s="115" t="n"/>
      <c r="K4" s="115" t="n"/>
      <c r="L4" s="206">
        <f>G4+H4+I4+J4+K4</f>
        <v/>
      </c>
      <c r="M4" s="266">
        <f>B4+C4+D4+E4+G4+H4+I4+J4</f>
        <v/>
      </c>
      <c r="N4" s="264">
        <f>F4+L4</f>
        <v/>
      </c>
    </row>
    <row r="5" ht="15.75" customHeight="1">
      <c r="A5" s="204" t="inlineStr">
        <is>
          <t>SACOLA M</t>
        </is>
      </c>
      <c r="B5" s="115" t="n">
        <v>400</v>
      </c>
      <c r="C5" s="115" t="n">
        <v>0</v>
      </c>
      <c r="D5" s="115" t="n">
        <v>320</v>
      </c>
      <c r="E5" s="115" t="n">
        <v>280</v>
      </c>
      <c r="F5" s="206">
        <f>B5+C5+D5+E5</f>
        <v/>
      </c>
      <c r="G5" s="115" t="n">
        <v>1040</v>
      </c>
      <c r="H5" s="115" t="n">
        <v>200</v>
      </c>
      <c r="I5" s="115" t="n">
        <v>360</v>
      </c>
      <c r="J5" s="115" t="n"/>
      <c r="K5" s="115" t="n"/>
      <c r="L5" s="206">
        <f>G5+H5+I5+J5+K5</f>
        <v/>
      </c>
      <c r="M5" s="266">
        <f>B5+C5+D5+E5+G5+H5+I5+J5</f>
        <v/>
      </c>
      <c r="N5" s="264">
        <f>F5+L5</f>
        <v/>
      </c>
    </row>
    <row r="6" ht="15.75" customHeight="1">
      <c r="A6" s="204" t="inlineStr">
        <is>
          <t>SACOLA G</t>
        </is>
      </c>
      <c r="B6" s="115" t="n">
        <v>0</v>
      </c>
      <c r="C6" s="115" t="n">
        <v>0</v>
      </c>
      <c r="D6" s="115" t="n">
        <v>64</v>
      </c>
      <c r="E6" s="115" t="n">
        <v>16</v>
      </c>
      <c r="F6" s="206">
        <f>B6+C6+D6+E6</f>
        <v/>
      </c>
      <c r="G6" s="115" t="n">
        <v>40</v>
      </c>
      <c r="H6" s="115" t="n">
        <v>220</v>
      </c>
      <c r="I6" s="115" t="n">
        <v>20</v>
      </c>
      <c r="J6" s="115" t="n"/>
      <c r="K6" s="115" t="n"/>
      <c r="L6" s="206">
        <f>G6+H6+I6+J6+K6</f>
        <v/>
      </c>
      <c r="M6" s="266">
        <f>B6+C6+D6+E6+G6+H6+I6+J6</f>
        <v/>
      </c>
      <c r="N6" s="264">
        <f>F6+L6</f>
        <v/>
      </c>
    </row>
    <row r="7" ht="15.75" customHeight="1">
      <c r="A7" s="134" t="inlineStr">
        <is>
          <t xml:space="preserve">PAPEL DE SEDA </t>
        </is>
      </c>
      <c r="B7" s="115" t="n">
        <v>0</v>
      </c>
      <c r="C7" s="115" t="n">
        <v>0</v>
      </c>
      <c r="D7" s="115" t="n">
        <v>15</v>
      </c>
      <c r="E7" s="115" t="n">
        <v>1</v>
      </c>
      <c r="F7" s="206">
        <f>B7+C7+D7+E7</f>
        <v/>
      </c>
      <c r="G7" s="115" t="n">
        <v>0</v>
      </c>
      <c r="H7" s="115" t="n">
        <v>0</v>
      </c>
      <c r="I7" s="115" t="n">
        <v>6</v>
      </c>
      <c r="J7" s="115" t="n"/>
      <c r="K7" s="115" t="n"/>
      <c r="L7" s="206">
        <f>G7+H7+I7+J7+K7</f>
        <v/>
      </c>
      <c r="M7" s="266">
        <f>B7+C7+D7+E7+G7+H7+I7+J7</f>
        <v/>
      </c>
      <c r="N7" s="264">
        <f>F7+L7</f>
        <v/>
      </c>
    </row>
    <row r="8" ht="15.75" customHeight="1">
      <c r="A8" s="134" t="inlineStr">
        <is>
          <t xml:space="preserve">TAGS </t>
        </is>
      </c>
      <c r="B8" s="115" t="n">
        <v>0</v>
      </c>
      <c r="C8" s="115" t="n">
        <v>0</v>
      </c>
      <c r="D8" s="115" t="n">
        <v>3</v>
      </c>
      <c r="E8" s="115" t="n">
        <v>2</v>
      </c>
      <c r="F8" s="206">
        <f>B8+C8+D8+E8</f>
        <v/>
      </c>
      <c r="G8" s="115" t="n">
        <v>0</v>
      </c>
      <c r="H8" s="115" t="n">
        <v>3</v>
      </c>
      <c r="I8" s="115" t="n">
        <v>0</v>
      </c>
      <c r="J8" s="115" t="n"/>
      <c r="K8" s="115" t="n"/>
      <c r="L8" s="206">
        <f>G8+H8+I8+J8+K8</f>
        <v/>
      </c>
      <c r="M8" s="266">
        <f>B8+C8+D8+E8+G8+H8+I8+J8</f>
        <v/>
      </c>
      <c r="N8" s="264">
        <f>F8+L8</f>
        <v/>
      </c>
    </row>
    <row r="9" ht="15.75" customHeight="1">
      <c r="A9" s="127" t="inlineStr">
        <is>
          <t>TOTAL DE SACOLAS</t>
        </is>
      </c>
      <c r="B9" s="126">
        <f>B4+B5+B6</f>
        <v/>
      </c>
      <c r="C9" s="126">
        <f>C4+C5+C6</f>
        <v/>
      </c>
      <c r="D9" s="126">
        <f>D4+D5+D6</f>
        <v/>
      </c>
      <c r="E9" s="126">
        <f>E4+E5+E6</f>
        <v/>
      </c>
      <c r="F9" s="126">
        <f>F4+F5+F6</f>
        <v/>
      </c>
      <c r="G9" s="126">
        <f>G4+G5+G6</f>
        <v/>
      </c>
      <c r="H9" s="126">
        <f>H4+H5+H6</f>
        <v/>
      </c>
      <c r="I9" s="126">
        <f>I4+I5+I6</f>
        <v/>
      </c>
      <c r="J9" s="126">
        <f>J4+J5+J6</f>
        <v/>
      </c>
      <c r="K9" s="126">
        <f>K4+K5+K6</f>
        <v/>
      </c>
      <c r="L9" s="256">
        <f>L4+L5+L6</f>
        <v/>
      </c>
      <c r="M9" s="265">
        <f>M4+M5+M6</f>
        <v/>
      </c>
      <c r="N9" s="265">
        <f>N4+N5+N6</f>
        <v/>
      </c>
    </row>
    <row r="11" ht="15.75" customHeight="1">
      <c r="A11" s="881" t="inlineStr">
        <is>
          <t>GASTO DE SACOLAS E ITENS DOADOS NATAL/2025 - MENSAIS</t>
        </is>
      </c>
      <c r="B11" s="859" t="n"/>
      <c r="C11" s="859" t="n"/>
      <c r="D11" s="859" t="n"/>
      <c r="E11" s="859" t="n"/>
      <c r="F11" s="859" t="n"/>
      <c r="G11" s="859" t="n"/>
      <c r="H11" s="859" t="n"/>
      <c r="I11" s="859" t="n"/>
      <c r="J11" s="859" t="n"/>
      <c r="K11" s="859" t="n"/>
      <c r="L11" s="859" t="n"/>
      <c r="M11" s="859" t="n"/>
      <c r="N11" s="860" t="n"/>
    </row>
    <row r="12" ht="18" customHeight="1">
      <c r="A12" s="635" t="inlineStr">
        <is>
          <t>BOULEVAD</t>
        </is>
      </c>
      <c r="B12" s="883" t="inlineStr">
        <is>
          <t>NOVEMBRO</t>
        </is>
      </c>
      <c r="C12" s="731" t="n"/>
      <c r="D12" s="731" t="n"/>
      <c r="E12" s="731" t="n"/>
      <c r="F12" s="775" t="n"/>
      <c r="G12" s="883" t="inlineStr">
        <is>
          <t>DEZEMBRO</t>
        </is>
      </c>
      <c r="H12" s="731" t="n"/>
      <c r="I12" s="731" t="n"/>
      <c r="J12" s="731" t="n"/>
      <c r="K12" s="731" t="n"/>
      <c r="L12" s="775" t="n"/>
      <c r="M12" s="644" t="inlineStr">
        <is>
          <t>USOU ATÉ NATAL</t>
        </is>
      </c>
      <c r="N12" s="646" t="inlineStr">
        <is>
          <t>TOTAL GERAL</t>
        </is>
      </c>
    </row>
    <row r="13" ht="20.25" customHeight="1">
      <c r="A13" s="862" t="n"/>
      <c r="B13" s="261" t="n">
        <v>45964</v>
      </c>
      <c r="C13" s="262" t="n">
        <v>45971</v>
      </c>
      <c r="D13" s="262" t="n">
        <v>45978</v>
      </c>
      <c r="E13" s="261" t="n">
        <v>45985</v>
      </c>
      <c r="F13" s="263" t="inlineStr">
        <is>
          <t>USOU</t>
        </is>
      </c>
      <c r="G13" s="261" t="n">
        <v>45992</v>
      </c>
      <c r="H13" s="262" t="n">
        <v>45999</v>
      </c>
      <c r="I13" s="262" t="n">
        <v>46006</v>
      </c>
      <c r="J13" s="262" t="n">
        <v>46013</v>
      </c>
      <c r="K13" s="261" t="n">
        <v>46020</v>
      </c>
      <c r="L13" s="263" t="inlineStr">
        <is>
          <t>USOU</t>
        </is>
      </c>
      <c r="M13" s="863" t="n"/>
      <c r="N13" s="864" t="n"/>
    </row>
    <row r="14" ht="15.75" customHeight="1">
      <c r="A14" s="204" t="inlineStr">
        <is>
          <t>SACOLA P</t>
        </is>
      </c>
      <c r="B14" s="115" t="n">
        <v>170</v>
      </c>
      <c r="C14" s="115" t="n">
        <v>430</v>
      </c>
      <c r="D14" s="115" t="n">
        <v>290</v>
      </c>
      <c r="E14" s="115" t="n">
        <v>380</v>
      </c>
      <c r="F14" s="206">
        <f>B14+C14+D14+E14</f>
        <v/>
      </c>
      <c r="G14" s="115" t="n">
        <v>550</v>
      </c>
      <c r="H14" s="115" t="n">
        <v>530</v>
      </c>
      <c r="I14" s="115" t="n">
        <v>720</v>
      </c>
      <c r="J14" s="115" t="n">
        <v>130</v>
      </c>
      <c r="K14" s="115" t="n"/>
      <c r="L14" s="206">
        <f>G14+H14+I14+J14+K14</f>
        <v/>
      </c>
      <c r="M14" s="266">
        <f>B14+C14+D14+E14+G14+H14+I14+J14</f>
        <v/>
      </c>
      <c r="N14" s="264">
        <f>F14+L14</f>
        <v/>
      </c>
    </row>
    <row r="15" ht="15.75" customHeight="1">
      <c r="A15" s="204" t="inlineStr">
        <is>
          <t>SACOLA M</t>
        </is>
      </c>
      <c r="B15" s="115" t="n">
        <v>140</v>
      </c>
      <c r="C15" s="115" t="n">
        <v>250</v>
      </c>
      <c r="D15" s="115" t="n">
        <v>190</v>
      </c>
      <c r="E15" s="115" t="n">
        <v>260</v>
      </c>
      <c r="F15" s="206">
        <f>B15+C15+D15+E15</f>
        <v/>
      </c>
      <c r="G15" s="115" t="n">
        <v>370</v>
      </c>
      <c r="H15" s="115" t="n">
        <v>380</v>
      </c>
      <c r="I15" s="115" t="n">
        <v>560</v>
      </c>
      <c r="J15" s="115" t="n">
        <v>50</v>
      </c>
      <c r="K15" s="115" t="n"/>
      <c r="L15" s="206">
        <f>G15+H15+I15+J15+K15</f>
        <v/>
      </c>
      <c r="M15" s="266">
        <f>B15+C15+D15+E15+G15+H15+I15+J15</f>
        <v/>
      </c>
      <c r="N15" s="264">
        <f>F15+L15</f>
        <v/>
      </c>
    </row>
    <row r="16" ht="15.75" customHeight="1">
      <c r="A16" s="204" t="inlineStr">
        <is>
          <t>SACOLA G</t>
        </is>
      </c>
      <c r="B16" s="115" t="n">
        <v>0</v>
      </c>
      <c r="C16" s="115" t="n">
        <v>0</v>
      </c>
      <c r="D16" s="115" t="n">
        <v>10</v>
      </c>
      <c r="E16" s="115" t="n">
        <v>10</v>
      </c>
      <c r="F16" s="206">
        <f>B16+C16+D16+E16</f>
        <v/>
      </c>
      <c r="G16" s="115" t="n">
        <v>60</v>
      </c>
      <c r="H16" s="115" t="n">
        <v>90</v>
      </c>
      <c r="I16" s="115" t="n">
        <v>80</v>
      </c>
      <c r="J16" s="115" t="n">
        <v>90</v>
      </c>
      <c r="K16" s="115" t="n"/>
      <c r="L16" s="206">
        <f>G16+H16+I16+J16+K16</f>
        <v/>
      </c>
      <c r="M16" s="266">
        <f>B16+C16+D16+E16+G16+H16+I16+J16</f>
        <v/>
      </c>
      <c r="N16" s="264">
        <f>F16+L16</f>
        <v/>
      </c>
    </row>
    <row r="17" ht="15.75" customHeight="1">
      <c r="A17" s="134" t="inlineStr">
        <is>
          <t xml:space="preserve">PAPEL DE SEDA </t>
        </is>
      </c>
      <c r="B17" s="115" t="n">
        <v>1</v>
      </c>
      <c r="C17" s="115" t="n">
        <v>0</v>
      </c>
      <c r="D17" s="115" t="n">
        <v>0</v>
      </c>
      <c r="E17" s="115" t="n">
        <v>1</v>
      </c>
      <c r="F17" s="206">
        <f>B17+C17+D17+E17</f>
        <v/>
      </c>
      <c r="G17" s="115" t="n">
        <v>2</v>
      </c>
      <c r="H17" s="115" t="n">
        <v>4</v>
      </c>
      <c r="I17" s="115" t="n">
        <v>7</v>
      </c>
      <c r="J17" s="115" t="n">
        <v>10</v>
      </c>
      <c r="K17" s="115" t="n"/>
      <c r="L17" s="206">
        <f>G17+H17+I17+J17+K17</f>
        <v/>
      </c>
      <c r="M17" s="266">
        <f>B17+C17+D17+E17+G17+H17+I17+J17</f>
        <v/>
      </c>
      <c r="N17" s="264">
        <f>F17+L17</f>
        <v/>
      </c>
    </row>
    <row r="18" ht="15.75" customHeight="1">
      <c r="A18" s="134" t="inlineStr">
        <is>
          <t xml:space="preserve">TAGS </t>
        </is>
      </c>
      <c r="B18" s="115" t="n">
        <v>0</v>
      </c>
      <c r="C18" s="115" t="n">
        <v>1</v>
      </c>
      <c r="D18" s="115" t="n">
        <v>0</v>
      </c>
      <c r="E18" s="115" t="n">
        <v>1</v>
      </c>
      <c r="F18" s="206">
        <f>B18+C18+D18+E18</f>
        <v/>
      </c>
      <c r="G18" s="115" t="n">
        <v>1</v>
      </c>
      <c r="H18" s="115" t="n">
        <v>3</v>
      </c>
      <c r="I18" s="115" t="n">
        <v>3</v>
      </c>
      <c r="J18" s="115" t="n">
        <v>0</v>
      </c>
      <c r="K18" s="115" t="n"/>
      <c r="L18" s="206">
        <f>G18+H18+I18+J18+K18</f>
        <v/>
      </c>
      <c r="M18" s="266">
        <f>B18+C18+D18+E18+G18+H18+I18+J18</f>
        <v/>
      </c>
      <c r="N18" s="264">
        <f>F18+L18</f>
        <v/>
      </c>
    </row>
    <row r="19" ht="15.75" customHeight="1">
      <c r="A19" s="127" t="inlineStr">
        <is>
          <t>TOTAL DE SACOLAS</t>
        </is>
      </c>
      <c r="B19" s="126">
        <f>B14+B15+B16</f>
        <v/>
      </c>
      <c r="C19" s="126">
        <f>C14+C15+C16</f>
        <v/>
      </c>
      <c r="D19" s="126">
        <f>D14+D15+D16</f>
        <v/>
      </c>
      <c r="E19" s="126">
        <f>E14+E15+E16</f>
        <v/>
      </c>
      <c r="F19" s="126">
        <f>F14+F15+F16</f>
        <v/>
      </c>
      <c r="G19" s="126">
        <f>G14+G15+G16</f>
        <v/>
      </c>
      <c r="H19" s="126">
        <f>H14+H15+H16</f>
        <v/>
      </c>
      <c r="I19" s="126">
        <f>I14+I15+I16</f>
        <v/>
      </c>
      <c r="J19" s="126">
        <f>J14+J15+J16</f>
        <v/>
      </c>
      <c r="K19" s="126">
        <f>K14+K15+K16</f>
        <v/>
      </c>
      <c r="L19" s="256">
        <f>L14+L15+L16</f>
        <v/>
      </c>
      <c r="M19" s="265">
        <f>M14+M15+M16</f>
        <v/>
      </c>
      <c r="N19" s="265">
        <f>N14+N15+N16</f>
        <v/>
      </c>
    </row>
    <row r="21" ht="15.75" customHeight="1">
      <c r="A21" s="881" t="inlineStr">
        <is>
          <t>GASTO DE SACOLAS E ITENS DOADOS NATAL/2025 - MENSAIS</t>
        </is>
      </c>
      <c r="B21" s="859" t="n"/>
      <c r="C21" s="859" t="n"/>
      <c r="D21" s="859" t="n"/>
      <c r="E21" s="859" t="n"/>
      <c r="F21" s="859" t="n"/>
      <c r="G21" s="859" t="n"/>
      <c r="H21" s="859" t="n"/>
      <c r="I21" s="859" t="n"/>
      <c r="J21" s="859" t="n"/>
      <c r="K21" s="859" t="n"/>
      <c r="L21" s="859" t="n"/>
      <c r="M21" s="859" t="n"/>
      <c r="N21" s="860" t="n"/>
    </row>
    <row r="22" ht="15.75" customHeight="1">
      <c r="A22" s="635" t="inlineStr">
        <is>
          <t>TAUSTE RIO</t>
        </is>
      </c>
      <c r="B22" s="883" t="inlineStr">
        <is>
          <t>NOVEMBRO</t>
        </is>
      </c>
      <c r="C22" s="731" t="n"/>
      <c r="D22" s="731" t="n"/>
      <c r="E22" s="731" t="n"/>
      <c r="F22" s="775" t="n"/>
      <c r="G22" s="883" t="inlineStr">
        <is>
          <t>DEZEMBRO</t>
        </is>
      </c>
      <c r="H22" s="731" t="n"/>
      <c r="I22" s="731" t="n"/>
      <c r="J22" s="731" t="n"/>
      <c r="K22" s="731" t="n"/>
      <c r="L22" s="775" t="n"/>
      <c r="M22" s="644" t="inlineStr">
        <is>
          <t>USOU ATÉ NATAL</t>
        </is>
      </c>
      <c r="N22" s="646" t="inlineStr">
        <is>
          <t>TOTAL GERAL</t>
        </is>
      </c>
    </row>
    <row r="23" ht="15.75" customHeight="1">
      <c r="A23" s="862" t="n"/>
      <c r="B23" s="261" t="n">
        <v>45964</v>
      </c>
      <c r="C23" s="262" t="n">
        <v>45971</v>
      </c>
      <c r="D23" s="262" t="n">
        <v>45978</v>
      </c>
      <c r="E23" s="261" t="n">
        <v>45985</v>
      </c>
      <c r="F23" s="263" t="inlineStr">
        <is>
          <t>USOU</t>
        </is>
      </c>
      <c r="G23" s="261" t="n">
        <v>45992</v>
      </c>
      <c r="H23" s="262" t="n">
        <v>45999</v>
      </c>
      <c r="I23" s="262" t="n">
        <v>46006</v>
      </c>
      <c r="J23" s="262" t="n">
        <v>46013</v>
      </c>
      <c r="K23" s="261" t="n">
        <v>46020</v>
      </c>
      <c r="L23" s="263" t="inlineStr">
        <is>
          <t>USOU</t>
        </is>
      </c>
      <c r="M23" s="863" t="n"/>
      <c r="N23" s="864" t="n"/>
    </row>
    <row r="24" ht="15.75" customHeight="1">
      <c r="A24" s="204" t="inlineStr">
        <is>
          <t>SACOLA P</t>
        </is>
      </c>
      <c r="B24" s="115" t="n">
        <v>0</v>
      </c>
      <c r="C24" s="115" t="n">
        <v>540</v>
      </c>
      <c r="D24" s="115" t="n"/>
      <c r="E24" s="115" t="n">
        <v>800</v>
      </c>
      <c r="F24" s="206">
        <f>B24+C24+D24+E24</f>
        <v/>
      </c>
      <c r="G24" s="115" t="n">
        <v>460</v>
      </c>
      <c r="H24" s="115" t="n">
        <v>200</v>
      </c>
      <c r="I24" s="115" t="n">
        <v>0</v>
      </c>
      <c r="J24" s="115" t="n">
        <v>0</v>
      </c>
      <c r="K24" s="115" t="n"/>
      <c r="L24" s="206">
        <f>G24+H24+I24+J24+K24</f>
        <v/>
      </c>
      <c r="M24" s="266">
        <f>B24+C24+D24+E24+G24+H24+I24+J24</f>
        <v/>
      </c>
      <c r="N24" s="264">
        <f>F24+L24</f>
        <v/>
      </c>
    </row>
    <row r="25" ht="15.75" customHeight="1">
      <c r="A25" s="204" t="inlineStr">
        <is>
          <t>SACOLA M</t>
        </is>
      </c>
      <c r="B25" s="115" t="n">
        <v>0</v>
      </c>
      <c r="C25" s="115" t="n">
        <v>180</v>
      </c>
      <c r="D25" s="115" t="n"/>
      <c r="E25" s="115" t="n">
        <v>280</v>
      </c>
      <c r="F25" s="206">
        <f>B25+C25+D25+E25</f>
        <v/>
      </c>
      <c r="G25" s="115" t="n">
        <v>160</v>
      </c>
      <c r="H25" s="115" t="n">
        <v>160</v>
      </c>
      <c r="I25" s="115" t="n">
        <v>220</v>
      </c>
      <c r="J25" s="115" t="n">
        <v>200</v>
      </c>
      <c r="K25" s="115" t="n"/>
      <c r="L25" s="206">
        <f>G25+H25+I25+J25+K25</f>
        <v/>
      </c>
      <c r="M25" s="266">
        <f>B25+C25+D25+E25+G25+H25+I25+J25</f>
        <v/>
      </c>
      <c r="N25" s="264">
        <f>F25+L25</f>
        <v/>
      </c>
    </row>
    <row r="26" ht="15.75" customHeight="1">
      <c r="A26" s="204" t="inlineStr">
        <is>
          <t>SACOLA G</t>
        </is>
      </c>
      <c r="B26" s="115" t="n">
        <v>0</v>
      </c>
      <c r="C26" s="115" t="n">
        <v>0</v>
      </c>
      <c r="D26" s="115" t="n"/>
      <c r="E26" s="115" t="n">
        <v>60</v>
      </c>
      <c r="F26" s="206">
        <f>B26+C26+D26+E26</f>
        <v/>
      </c>
      <c r="G26" s="115" t="n">
        <v>40</v>
      </c>
      <c r="H26" s="115" t="n">
        <v>0</v>
      </c>
      <c r="I26" s="115" t="n">
        <v>0</v>
      </c>
      <c r="J26" s="115" t="n">
        <v>0</v>
      </c>
      <c r="K26" s="115" t="n"/>
      <c r="L26" s="206">
        <f>G26+H26+I26+J26+K26</f>
        <v/>
      </c>
      <c r="M26" s="266">
        <f>B26+C26+D26+E26+G26+H26+I26+J26</f>
        <v/>
      </c>
      <c r="N26" s="264">
        <f>F26+L26</f>
        <v/>
      </c>
    </row>
    <row r="27" ht="15.75" customHeight="1">
      <c r="A27" s="134" t="inlineStr">
        <is>
          <t xml:space="preserve">PAPEL DE SEDA </t>
        </is>
      </c>
      <c r="B27" s="115" t="n">
        <v>0</v>
      </c>
      <c r="C27" s="115" t="n">
        <v>0</v>
      </c>
      <c r="D27" s="115" t="n"/>
      <c r="E27" s="115" t="n">
        <v>5</v>
      </c>
      <c r="F27" s="206">
        <f>B27+C27+D27+E27</f>
        <v/>
      </c>
      <c r="G27" s="115" t="n">
        <v>0</v>
      </c>
      <c r="H27" s="115" t="n">
        <v>3</v>
      </c>
      <c r="I27" s="115" t="n">
        <v>5</v>
      </c>
      <c r="J27" s="115" t="n">
        <v>6</v>
      </c>
      <c r="K27" s="115" t="n"/>
      <c r="L27" s="206">
        <f>G27+H27+I27+J27+K27</f>
        <v/>
      </c>
      <c r="M27" s="266">
        <f>B27+C27+D27+E27+G27+H27+I27+J27</f>
        <v/>
      </c>
      <c r="N27" s="264">
        <f>F27+L27</f>
        <v/>
      </c>
    </row>
    <row r="28" ht="15.75" customHeight="1">
      <c r="A28" s="134" t="inlineStr">
        <is>
          <t xml:space="preserve">TAGS </t>
        </is>
      </c>
      <c r="B28" s="115" t="n">
        <v>0</v>
      </c>
      <c r="C28" s="115" t="n">
        <v>0</v>
      </c>
      <c r="D28" s="115" t="n"/>
      <c r="E28" s="115" t="n">
        <v>1</v>
      </c>
      <c r="F28" s="206">
        <f>B28+C28+D28+E28</f>
        <v/>
      </c>
      <c r="G28" s="115" t="n">
        <v>0</v>
      </c>
      <c r="H28" s="115" t="n">
        <v>0</v>
      </c>
      <c r="I28" s="115" t="n">
        <v>1</v>
      </c>
      <c r="J28" s="115" t="n">
        <v>5</v>
      </c>
      <c r="K28" s="115" t="n"/>
      <c r="L28" s="206">
        <f>G28+H28+I28+J28+K28</f>
        <v/>
      </c>
      <c r="M28" s="266">
        <f>B28+C28+D28+E28+G28+H28+I28+J28</f>
        <v/>
      </c>
      <c r="N28" s="264">
        <f>F28+L28</f>
        <v/>
      </c>
    </row>
    <row r="29" ht="15.75" customHeight="1">
      <c r="A29" s="127" t="inlineStr">
        <is>
          <t>TOTAL DE SACOLAS</t>
        </is>
      </c>
      <c r="B29" s="126">
        <f>B24+B25+B26</f>
        <v/>
      </c>
      <c r="C29" s="126">
        <f>C24+C25+C26</f>
        <v/>
      </c>
      <c r="D29" s="126">
        <f>D24+D25+D26</f>
        <v/>
      </c>
      <c r="E29" s="126">
        <f>E24+E25+E26</f>
        <v/>
      </c>
      <c r="F29" s="126">
        <f>F24+F25+F26</f>
        <v/>
      </c>
      <c r="G29" s="126">
        <f>G24+G25+G26</f>
        <v/>
      </c>
      <c r="H29" s="126">
        <f>H24+H25+H26</f>
        <v/>
      </c>
      <c r="I29" s="126">
        <f>I24+I25+I26</f>
        <v/>
      </c>
      <c r="J29" s="126">
        <f>J24+J25+J26</f>
        <v/>
      </c>
      <c r="K29" s="126">
        <f>K24+K25+K26</f>
        <v/>
      </c>
      <c r="L29" s="256">
        <f>L24+L25+L26</f>
        <v/>
      </c>
      <c r="M29" s="265">
        <f>M24+M25+M26</f>
        <v/>
      </c>
      <c r="N29" s="265">
        <f>N24+N25+N26</f>
        <v/>
      </c>
    </row>
    <row r="31" ht="15.75" customHeight="1">
      <c r="A31" s="881" t="inlineStr">
        <is>
          <t>GASTO DE SACOLAS E ITENS DOADOS NATAL/2025 - MENSAIS</t>
        </is>
      </c>
      <c r="B31" s="859" t="n"/>
      <c r="C31" s="859" t="n"/>
      <c r="D31" s="859" t="n"/>
      <c r="E31" s="859" t="n"/>
      <c r="F31" s="859" t="n"/>
      <c r="G31" s="859" t="n"/>
      <c r="H31" s="859" t="n"/>
      <c r="I31" s="859" t="n"/>
      <c r="J31" s="859" t="n"/>
      <c r="K31" s="859" t="n"/>
      <c r="L31" s="859" t="n"/>
      <c r="M31" s="859" t="n"/>
      <c r="N31" s="860" t="n"/>
    </row>
    <row r="32" ht="15.75" customHeight="1">
      <c r="A32" s="635" t="inlineStr">
        <is>
          <t>TAUSTE DUQUE</t>
        </is>
      </c>
      <c r="B32" s="883" t="inlineStr">
        <is>
          <t>NOVEMBRO</t>
        </is>
      </c>
      <c r="C32" s="731" t="n"/>
      <c r="D32" s="731" t="n"/>
      <c r="E32" s="731" t="n"/>
      <c r="F32" s="775" t="n"/>
      <c r="G32" s="883" t="inlineStr">
        <is>
          <t>DEZEMBRO</t>
        </is>
      </c>
      <c r="H32" s="731" t="n"/>
      <c r="I32" s="731" t="n"/>
      <c r="J32" s="731" t="n"/>
      <c r="K32" s="731" t="n"/>
      <c r="L32" s="775" t="n"/>
      <c r="M32" s="644" t="inlineStr">
        <is>
          <t>USOU ATÉ NATAL</t>
        </is>
      </c>
      <c r="N32" s="646" t="inlineStr">
        <is>
          <t>TOTAL GERAL</t>
        </is>
      </c>
    </row>
    <row r="33" ht="15.75" customHeight="1">
      <c r="A33" s="862" t="n"/>
      <c r="B33" s="261" t="n">
        <v>45964</v>
      </c>
      <c r="C33" s="262" t="n">
        <v>45971</v>
      </c>
      <c r="D33" s="262" t="n">
        <v>45978</v>
      </c>
      <c r="E33" s="261" t="n">
        <v>45985</v>
      </c>
      <c r="F33" s="263" t="inlineStr">
        <is>
          <t>USOU</t>
        </is>
      </c>
      <c r="G33" s="261" t="n">
        <v>45992</v>
      </c>
      <c r="H33" s="262" t="n">
        <v>45999</v>
      </c>
      <c r="I33" s="262" t="n">
        <v>46006</v>
      </c>
      <c r="J33" s="262" t="n">
        <v>46013</v>
      </c>
      <c r="K33" s="261" t="n">
        <v>46020</v>
      </c>
      <c r="L33" s="263" t="inlineStr">
        <is>
          <t>USOU</t>
        </is>
      </c>
      <c r="M33" s="863" t="n"/>
      <c r="N33" s="864" t="n"/>
    </row>
    <row r="34" ht="15.75" customHeight="1">
      <c r="A34" s="204" t="inlineStr">
        <is>
          <t>SACOLA P</t>
        </is>
      </c>
      <c r="B34" s="115" t="n">
        <v>170</v>
      </c>
      <c r="C34" s="115" t="n">
        <v>310</v>
      </c>
      <c r="D34" s="115" t="n"/>
      <c r="E34" s="115" t="n">
        <v>380</v>
      </c>
      <c r="F34" s="206">
        <f>B34+C34+D34+E34</f>
        <v/>
      </c>
      <c r="G34" s="115" t="n">
        <v>280</v>
      </c>
      <c r="H34" s="115" t="n">
        <v>600</v>
      </c>
      <c r="I34" s="115" t="n">
        <v>0</v>
      </c>
      <c r="J34" s="115" t="n">
        <v>0</v>
      </c>
      <c r="K34" s="115" t="n"/>
      <c r="L34" s="206">
        <f>G34+H34+I34+J34+K34</f>
        <v/>
      </c>
      <c r="M34" s="266">
        <f>B34+C34+D34+E34+G34+H34+I34+J34</f>
        <v/>
      </c>
      <c r="N34" s="264">
        <f>F34+L34</f>
        <v/>
      </c>
    </row>
    <row r="35" ht="15.75" customHeight="1">
      <c r="A35" s="204" t="inlineStr">
        <is>
          <t>SACOLA M</t>
        </is>
      </c>
      <c r="B35" s="115" t="n">
        <v>160</v>
      </c>
      <c r="C35" s="115" t="n">
        <v>240</v>
      </c>
      <c r="D35" s="115" t="n"/>
      <c r="E35" s="115" t="n">
        <v>200</v>
      </c>
      <c r="F35" s="206">
        <f>B35+C35+D35+E35</f>
        <v/>
      </c>
      <c r="G35" s="115" t="n">
        <v>100</v>
      </c>
      <c r="H35" s="115" t="n">
        <v>200</v>
      </c>
      <c r="I35" s="115" t="n">
        <v>160</v>
      </c>
      <c r="J35" s="115" t="n">
        <v>40</v>
      </c>
      <c r="K35" s="115" t="n"/>
      <c r="L35" s="206">
        <f>G35+H35+I35+J35+K35</f>
        <v/>
      </c>
      <c r="M35" s="266">
        <f>B35+C35+D35+E35+G35+H35+I35+J35</f>
        <v/>
      </c>
      <c r="N35" s="264">
        <f>F35+L35</f>
        <v/>
      </c>
    </row>
    <row r="36" ht="15.75" customHeight="1">
      <c r="A36" s="204" t="inlineStr">
        <is>
          <t>SACOLA G</t>
        </is>
      </c>
      <c r="B36" s="115" t="n">
        <v>10</v>
      </c>
      <c r="C36" s="115" t="n">
        <v>50</v>
      </c>
      <c r="D36" s="115" t="n"/>
      <c r="E36" s="115" t="n">
        <v>40</v>
      </c>
      <c r="F36" s="206">
        <f>B36+C36+D36+E36</f>
        <v/>
      </c>
      <c r="G36" s="115" t="n">
        <v>0</v>
      </c>
      <c r="H36" s="115" t="n">
        <v>0</v>
      </c>
      <c r="I36" s="115" t="n">
        <v>0</v>
      </c>
      <c r="J36" s="115" t="n">
        <v>0</v>
      </c>
      <c r="K36" s="115" t="n"/>
      <c r="L36" s="206">
        <f>G36+H36+I36+J36+K36</f>
        <v/>
      </c>
      <c r="M36" s="266">
        <f>B36+C36+D36+E36+G36+H36+I36+J36</f>
        <v/>
      </c>
      <c r="N36" s="264">
        <f>F36+L36</f>
        <v/>
      </c>
    </row>
    <row r="37" ht="15.75" customHeight="1">
      <c r="A37" s="134" t="inlineStr">
        <is>
          <t xml:space="preserve">PAPEL DE SEDA </t>
        </is>
      </c>
      <c r="B37" s="115" t="n">
        <v>3</v>
      </c>
      <c r="C37" s="115" t="n">
        <v>1</v>
      </c>
      <c r="D37" s="115" t="n"/>
      <c r="E37" s="115" t="n">
        <v>3</v>
      </c>
      <c r="F37" s="206">
        <f>B37+C37+D37+E37</f>
        <v/>
      </c>
      <c r="G37" s="115" t="n">
        <v>0</v>
      </c>
      <c r="H37" s="115" t="n">
        <v>2</v>
      </c>
      <c r="I37" s="115" t="n">
        <v>0</v>
      </c>
      <c r="J37" s="115" t="n">
        <v>0</v>
      </c>
      <c r="K37" s="115" t="n"/>
      <c r="L37" s="206">
        <f>G37+H37+I37+J37+K37</f>
        <v/>
      </c>
      <c r="M37" s="266">
        <f>B37+C37+D37+E37+G37+H37+I37+J37</f>
        <v/>
      </c>
      <c r="N37" s="264">
        <f>F37+L37</f>
        <v/>
      </c>
    </row>
    <row r="38" ht="15.75" customHeight="1">
      <c r="A38" s="134" t="inlineStr">
        <is>
          <t xml:space="preserve">TAGS </t>
        </is>
      </c>
      <c r="B38" s="115" t="n">
        <v>1</v>
      </c>
      <c r="C38" s="115" t="n">
        <v>0</v>
      </c>
      <c r="D38" s="115" t="n"/>
      <c r="E38" s="115" t="n">
        <v>1</v>
      </c>
      <c r="F38" s="206">
        <f>B38+C38+D38+E38</f>
        <v/>
      </c>
      <c r="G38" s="115" t="n">
        <v>0</v>
      </c>
      <c r="H38" s="115" t="n">
        <v>2</v>
      </c>
      <c r="I38" s="115" t="n">
        <v>3</v>
      </c>
      <c r="J38" s="115" t="n">
        <v>0</v>
      </c>
      <c r="K38" s="115" t="n"/>
      <c r="L38" s="206">
        <f>G38+H38+I38+J38+K38</f>
        <v/>
      </c>
      <c r="M38" s="266">
        <f>B38+C38+D38+E38+G38+H38+I38+J38</f>
        <v/>
      </c>
      <c r="N38" s="264">
        <f>F38+L38</f>
        <v/>
      </c>
    </row>
    <row r="39" ht="15.75" customHeight="1">
      <c r="A39" s="127" t="inlineStr">
        <is>
          <t>TOTAL DE SACOLAS</t>
        </is>
      </c>
      <c r="B39" s="126">
        <f>B34+B35+B36</f>
        <v/>
      </c>
      <c r="C39" s="126">
        <f>C34+C35+C36</f>
        <v/>
      </c>
      <c r="D39" s="126">
        <f>D34+D35+D36</f>
        <v/>
      </c>
      <c r="E39" s="126">
        <f>E34+E35+E36</f>
        <v/>
      </c>
      <c r="F39" s="126">
        <f>F34+F35+F36</f>
        <v/>
      </c>
      <c r="G39" s="126">
        <f>G34+G35+G36</f>
        <v/>
      </c>
      <c r="H39" s="126">
        <f>H34+H35+H36</f>
        <v/>
      </c>
      <c r="I39" s="126">
        <f>I34+I35+I36</f>
        <v/>
      </c>
      <c r="J39" s="126">
        <f>J34+J35+J36</f>
        <v/>
      </c>
      <c r="K39" s="126">
        <f>K34+K35+K36</f>
        <v/>
      </c>
      <c r="L39" s="256">
        <f>L34+L35+L36</f>
        <v/>
      </c>
      <c r="M39" s="265">
        <f>M34+M35+M36</f>
        <v/>
      </c>
      <c r="N39" s="265">
        <f>N34+N35+N36</f>
        <v/>
      </c>
    </row>
    <row r="41" ht="15.75" customHeight="1">
      <c r="A41" s="881" t="inlineStr">
        <is>
          <t>GASTO DE SACOLAS E ITENS DOADOS NATAL/2025 - MENSAIS</t>
        </is>
      </c>
      <c r="B41" s="859" t="n"/>
      <c r="C41" s="859" t="n"/>
      <c r="D41" s="859" t="n"/>
      <c r="E41" s="859" t="n"/>
      <c r="F41" s="859" t="n"/>
      <c r="G41" s="859" t="n"/>
      <c r="H41" s="859" t="n"/>
      <c r="I41" s="859" t="n"/>
      <c r="J41" s="859" t="n"/>
      <c r="K41" s="859" t="n"/>
      <c r="L41" s="859" t="n"/>
      <c r="M41" s="859" t="n"/>
      <c r="N41" s="860" t="n"/>
    </row>
    <row r="42" ht="15.75" customHeight="1">
      <c r="A42" s="635" t="inlineStr">
        <is>
          <t>GETÚLIO</t>
        </is>
      </c>
      <c r="B42" s="883" t="inlineStr">
        <is>
          <t>NOVEMBRO</t>
        </is>
      </c>
      <c r="C42" s="731" t="n"/>
      <c r="D42" s="731" t="n"/>
      <c r="E42" s="731" t="n"/>
      <c r="F42" s="775" t="n"/>
      <c r="G42" s="883" t="inlineStr">
        <is>
          <t>DEZEMBRO</t>
        </is>
      </c>
      <c r="H42" s="731" t="n"/>
      <c r="I42" s="731" t="n"/>
      <c r="J42" s="731" t="n"/>
      <c r="K42" s="731" t="n"/>
      <c r="L42" s="775" t="n"/>
      <c r="M42" s="644" t="inlineStr">
        <is>
          <t>USOU ATÉ NATAL</t>
        </is>
      </c>
      <c r="N42" s="646" t="inlineStr">
        <is>
          <t>TOTAL GERAL</t>
        </is>
      </c>
    </row>
    <row r="43" ht="15.75" customHeight="1">
      <c r="A43" s="862" t="n"/>
      <c r="B43" s="261" t="n">
        <v>45964</v>
      </c>
      <c r="C43" s="262" t="n">
        <v>45971</v>
      </c>
      <c r="D43" s="262" t="n">
        <v>45978</v>
      </c>
      <c r="E43" s="261" t="n">
        <v>45985</v>
      </c>
      <c r="F43" s="263" t="inlineStr">
        <is>
          <t>USOU</t>
        </is>
      </c>
      <c r="G43" s="261" t="n">
        <v>45992</v>
      </c>
      <c r="H43" s="262" t="n">
        <v>45999</v>
      </c>
      <c r="I43" s="262" t="n">
        <v>46006</v>
      </c>
      <c r="J43" s="262" t="n">
        <v>46013</v>
      </c>
      <c r="K43" s="261" t="n">
        <v>46020</v>
      </c>
      <c r="L43" s="263" t="inlineStr">
        <is>
          <t>USOU</t>
        </is>
      </c>
      <c r="M43" s="863" t="n"/>
      <c r="N43" s="864" t="n"/>
    </row>
    <row r="44" ht="15.75" customHeight="1">
      <c r="A44" s="204" t="inlineStr">
        <is>
          <t>SACOLA P</t>
        </is>
      </c>
      <c r="B44" s="115" t="n">
        <v>40</v>
      </c>
      <c r="C44" s="115" t="n">
        <v>140</v>
      </c>
      <c r="D44" s="115" t="n"/>
      <c r="E44" s="115" t="n">
        <v>120</v>
      </c>
      <c r="F44" s="206">
        <f>B44+C44+D44+E44</f>
        <v/>
      </c>
      <c r="G44" s="115" t="n">
        <v>240</v>
      </c>
      <c r="H44" s="115" t="n">
        <v>340</v>
      </c>
      <c r="I44" s="115" t="n">
        <v>300</v>
      </c>
      <c r="J44" s="115" t="n">
        <v>200</v>
      </c>
      <c r="K44" s="115" t="n"/>
      <c r="L44" s="206">
        <f>G44+H44+I44+J44+K44</f>
        <v/>
      </c>
      <c r="M44" s="266">
        <f>B44+C44+D44+E44+G44+H44+I44+J44</f>
        <v/>
      </c>
      <c r="N44" s="264">
        <f>F44+L44</f>
        <v/>
      </c>
    </row>
    <row r="45" ht="15.75" customHeight="1">
      <c r="A45" s="204" t="inlineStr">
        <is>
          <t>SACOLA M</t>
        </is>
      </c>
      <c r="B45" s="115" t="n">
        <v>40</v>
      </c>
      <c r="C45" s="115" t="n">
        <v>100</v>
      </c>
      <c r="D45" s="115" t="n"/>
      <c r="E45" s="115" t="n">
        <v>0</v>
      </c>
      <c r="F45" s="206">
        <f>B45+C45+D45+E45</f>
        <v/>
      </c>
      <c r="G45" s="115" t="n">
        <v>60</v>
      </c>
      <c r="H45" s="115" t="n">
        <v>140</v>
      </c>
      <c r="I45" s="115" t="n">
        <v>180</v>
      </c>
      <c r="J45" s="115" t="n">
        <v>220</v>
      </c>
      <c r="K45" s="115" t="n"/>
      <c r="L45" s="206">
        <f>G45+H45+I45+J45+K45</f>
        <v/>
      </c>
      <c r="M45" s="266">
        <f>B45+C45+D45+E45+G45+H45+I45+J45</f>
        <v/>
      </c>
      <c r="N45" s="264">
        <f>F45+L45</f>
        <v/>
      </c>
    </row>
    <row r="46" ht="15.75" customHeight="1">
      <c r="A46" s="204" t="inlineStr">
        <is>
          <t>SACOLA G</t>
        </is>
      </c>
      <c r="B46" s="115" t="n">
        <v>0</v>
      </c>
      <c r="C46" s="115" t="n">
        <v>10</v>
      </c>
      <c r="D46" s="115" t="n"/>
      <c r="E46" s="115" t="n">
        <v>30</v>
      </c>
      <c r="F46" s="206">
        <f>B46+C46+D46+E46</f>
        <v/>
      </c>
      <c r="G46" s="115" t="n">
        <v>20</v>
      </c>
      <c r="H46" s="115" t="n">
        <v>20</v>
      </c>
      <c r="I46" s="115" t="n">
        <v>20</v>
      </c>
      <c r="J46" s="115" t="n">
        <v>0</v>
      </c>
      <c r="K46" s="115" t="n"/>
      <c r="L46" s="206">
        <f>G46+H46+I46+J46+K46</f>
        <v/>
      </c>
      <c r="M46" s="266">
        <f>B46+C46+D46+E46+G46+H46+I46+J46</f>
        <v/>
      </c>
      <c r="N46" s="264">
        <f>F46+L46</f>
        <v/>
      </c>
    </row>
    <row r="47" ht="15.75" customHeight="1">
      <c r="A47" s="134" t="inlineStr">
        <is>
          <t xml:space="preserve">PAPEL DE SEDA </t>
        </is>
      </c>
      <c r="B47" s="115" t="n">
        <v>0</v>
      </c>
      <c r="C47" s="115" t="n">
        <v>0</v>
      </c>
      <c r="D47" s="115" t="n"/>
      <c r="E47" s="115" t="n">
        <v>1</v>
      </c>
      <c r="F47" s="206">
        <f>B47+C47+D47+E47</f>
        <v/>
      </c>
      <c r="G47" s="115" t="n">
        <v>1</v>
      </c>
      <c r="H47" s="115" t="n">
        <v>3</v>
      </c>
      <c r="I47" s="115" t="n">
        <v>4</v>
      </c>
      <c r="J47" s="115" t="n">
        <v>0</v>
      </c>
      <c r="K47" s="115" t="n"/>
      <c r="L47" s="206">
        <f>G47+H47+I47+J47+K47</f>
        <v/>
      </c>
      <c r="M47" s="266">
        <f>B47+C47+D47+E47+G47+H47+I47+J47</f>
        <v/>
      </c>
      <c r="N47" s="264">
        <f>F47+L47</f>
        <v/>
      </c>
    </row>
    <row r="48" ht="15.75" customHeight="1">
      <c r="A48" s="134" t="inlineStr">
        <is>
          <t xml:space="preserve">TAGS </t>
        </is>
      </c>
      <c r="B48" s="115" t="n">
        <v>0</v>
      </c>
      <c r="C48" s="115" t="n">
        <v>1</v>
      </c>
      <c r="D48" s="115" t="n"/>
      <c r="E48" s="115" t="n">
        <v>0</v>
      </c>
      <c r="F48" s="206">
        <f>B48+C48+D48+E48</f>
        <v/>
      </c>
      <c r="G48" s="115" t="n">
        <v>0</v>
      </c>
      <c r="H48" s="115" t="n">
        <v>0</v>
      </c>
      <c r="I48" s="115" t="n">
        <v>6</v>
      </c>
      <c r="J48" s="115" t="n">
        <v>0</v>
      </c>
      <c r="K48" s="115" t="n"/>
      <c r="L48" s="206">
        <f>G48+H48+I48+J48+K48</f>
        <v/>
      </c>
      <c r="M48" s="266">
        <f>B48+C48+D48+E48+G48+H48+I48+J48</f>
        <v/>
      </c>
      <c r="N48" s="264">
        <f>F48+L48</f>
        <v/>
      </c>
    </row>
    <row r="49" ht="15.75" customHeight="1">
      <c r="A49" s="127" t="inlineStr">
        <is>
          <t>TOTAL DE SACOLAS</t>
        </is>
      </c>
      <c r="B49" s="126">
        <f>B44+B45+B46</f>
        <v/>
      </c>
      <c r="C49" s="126">
        <f>C44+C45+C46</f>
        <v/>
      </c>
      <c r="D49" s="126">
        <f>D44+D45+D46</f>
        <v/>
      </c>
      <c r="E49" s="126">
        <f>E44+E45+E46</f>
        <v/>
      </c>
      <c r="F49" s="126">
        <f>F44+F45+F46</f>
        <v/>
      </c>
      <c r="G49" s="126">
        <f>G44+G45+G46</f>
        <v/>
      </c>
      <c r="H49" s="126">
        <f>H44+H45+H46</f>
        <v/>
      </c>
      <c r="I49" s="126">
        <f>I44+I45+I46</f>
        <v/>
      </c>
      <c r="J49" s="126">
        <f>J44+J45+J46</f>
        <v/>
      </c>
      <c r="K49" s="126">
        <f>K44+K45+K46</f>
        <v/>
      </c>
      <c r="L49" s="256">
        <f>L44+L45+L46</f>
        <v/>
      </c>
      <c r="M49" s="265">
        <f>M44+M45+M46</f>
        <v/>
      </c>
      <c r="N49" s="265">
        <f>N44+N45+N46</f>
        <v/>
      </c>
    </row>
    <row r="51" ht="15.75" customHeight="1">
      <c r="A51" s="881" t="inlineStr">
        <is>
          <t>GASTO DE SACOLAS E ITENS DOADOS NATAL/2025 - MENSAIS</t>
        </is>
      </c>
      <c r="B51" s="859" t="n"/>
      <c r="C51" s="859" t="n"/>
      <c r="D51" s="859" t="n"/>
      <c r="E51" s="859" t="n"/>
      <c r="F51" s="859" t="n"/>
      <c r="G51" s="859" t="n"/>
      <c r="H51" s="859" t="n"/>
      <c r="I51" s="859" t="n"/>
      <c r="J51" s="859" t="n"/>
      <c r="K51" s="859" t="n"/>
      <c r="L51" s="859" t="n"/>
      <c r="M51" s="859" t="n"/>
      <c r="N51" s="860" t="n"/>
    </row>
    <row r="52" ht="15.75" customHeight="1">
      <c r="A52" s="635" t="inlineStr">
        <is>
          <t>QUADRA 7</t>
        </is>
      </c>
      <c r="B52" s="883" t="inlineStr">
        <is>
          <t>NOVEMBRO</t>
        </is>
      </c>
      <c r="C52" s="731" t="n"/>
      <c r="D52" s="731" t="n"/>
      <c r="E52" s="731" t="n"/>
      <c r="F52" s="775" t="n"/>
      <c r="G52" s="883" t="inlineStr">
        <is>
          <t>DEZEMBRO</t>
        </is>
      </c>
      <c r="H52" s="731" t="n"/>
      <c r="I52" s="731" t="n"/>
      <c r="J52" s="731" t="n"/>
      <c r="K52" s="731" t="n"/>
      <c r="L52" s="775" t="n"/>
      <c r="M52" s="644" t="inlineStr">
        <is>
          <t>USOU ATÉ NATAL</t>
        </is>
      </c>
      <c r="N52" s="646" t="inlineStr">
        <is>
          <t>TOTAL GERAL</t>
        </is>
      </c>
    </row>
    <row r="53" ht="15.75" customHeight="1">
      <c r="A53" s="862" t="n"/>
      <c r="B53" s="261" t="n">
        <v>45964</v>
      </c>
      <c r="C53" s="262" t="n">
        <v>45971</v>
      </c>
      <c r="D53" s="262" t="n">
        <v>45978</v>
      </c>
      <c r="E53" s="261" t="n">
        <v>45985</v>
      </c>
      <c r="F53" s="263" t="inlineStr">
        <is>
          <t>USOU</t>
        </is>
      </c>
      <c r="G53" s="261" t="n">
        <v>45992</v>
      </c>
      <c r="H53" s="262" t="n">
        <v>45999</v>
      </c>
      <c r="I53" s="262" t="n">
        <v>46006</v>
      </c>
      <c r="J53" s="262" t="n">
        <v>46013</v>
      </c>
      <c r="K53" s="261" t="n">
        <v>46020</v>
      </c>
      <c r="L53" s="263" t="inlineStr">
        <is>
          <t>USOU</t>
        </is>
      </c>
      <c r="M53" s="863" t="n"/>
      <c r="N53" s="864" t="n"/>
    </row>
    <row r="54" ht="15.75" customHeight="1">
      <c r="A54" s="204" t="inlineStr">
        <is>
          <t>SACOLA P</t>
        </is>
      </c>
      <c r="B54" s="115" t="n">
        <v>0</v>
      </c>
      <c r="C54" s="115" t="n">
        <v>300</v>
      </c>
      <c r="D54" s="115" t="n"/>
      <c r="E54" s="115" t="n">
        <v>240</v>
      </c>
      <c r="F54" s="206">
        <f>B54+C54+D54+E54</f>
        <v/>
      </c>
      <c r="G54" s="115" t="n">
        <v>260</v>
      </c>
      <c r="H54" s="115" t="n">
        <v>340</v>
      </c>
      <c r="I54" s="115" t="n">
        <v>360</v>
      </c>
      <c r="J54" s="115" t="n">
        <v>0</v>
      </c>
      <c r="K54" s="115" t="n"/>
      <c r="L54" s="206">
        <f>G54+H54+I54+J54+K54</f>
        <v/>
      </c>
      <c r="M54" s="266">
        <f>B54+C54+D54+E54+G54+H54+I54+J54</f>
        <v/>
      </c>
      <c r="N54" s="264">
        <f>F54+L54</f>
        <v/>
      </c>
    </row>
    <row r="55" ht="15.75" customHeight="1">
      <c r="A55" s="204" t="inlineStr">
        <is>
          <t>SACOLA M</t>
        </is>
      </c>
      <c r="B55" s="115" t="n">
        <v>0</v>
      </c>
      <c r="C55" s="115" t="n">
        <v>300</v>
      </c>
      <c r="D55" s="115" t="n"/>
      <c r="E55" s="115" t="n">
        <v>140</v>
      </c>
      <c r="F55" s="206">
        <f>B55+C55+D55+E55</f>
        <v/>
      </c>
      <c r="G55" s="115" t="n">
        <v>120</v>
      </c>
      <c r="H55" s="115" t="n">
        <v>380</v>
      </c>
      <c r="I55" s="115" t="n">
        <v>180</v>
      </c>
      <c r="J55" s="115" t="n">
        <v>120</v>
      </c>
      <c r="K55" s="115" t="n"/>
      <c r="L55" s="206">
        <f>G55+H55+I55+J55+K55</f>
        <v/>
      </c>
      <c r="M55" s="266">
        <f>B55+C55+D55+E55+G55+H55+I55+J55</f>
        <v/>
      </c>
      <c r="N55" s="264">
        <f>F55+L55</f>
        <v/>
      </c>
    </row>
    <row r="56" ht="15.75" customHeight="1">
      <c r="A56" s="204" t="inlineStr">
        <is>
          <t>SACOLA G</t>
        </is>
      </c>
      <c r="B56" s="115" t="n">
        <v>0</v>
      </c>
      <c r="C56" s="115" t="n">
        <v>100</v>
      </c>
      <c r="D56" s="115" t="n"/>
      <c r="E56" s="115" t="n">
        <v>0</v>
      </c>
      <c r="F56" s="206">
        <f>B56+C56+D56+E56</f>
        <v/>
      </c>
      <c r="G56" s="115" t="n">
        <v>40</v>
      </c>
      <c r="H56" s="115" t="n">
        <v>20</v>
      </c>
      <c r="I56" s="115" t="n">
        <v>40</v>
      </c>
      <c r="J56" s="115" t="n">
        <v>0</v>
      </c>
      <c r="K56" s="115" t="n"/>
      <c r="L56" s="206">
        <f>G56+H56+I56+J56+K56</f>
        <v/>
      </c>
      <c r="M56" s="266">
        <f>B56+C56+D56+E56+G56+H56+I56+J56</f>
        <v/>
      </c>
      <c r="N56" s="264">
        <f>F56+L56</f>
        <v/>
      </c>
    </row>
    <row r="57" ht="15.75" customHeight="1">
      <c r="A57" s="134" t="inlineStr">
        <is>
          <t xml:space="preserve">PAPEL DE SEDA </t>
        </is>
      </c>
      <c r="B57" s="115" t="n">
        <v>0</v>
      </c>
      <c r="C57" s="115" t="n">
        <v>2</v>
      </c>
      <c r="D57" s="115" t="n"/>
      <c r="E57" s="115" t="n">
        <v>1</v>
      </c>
      <c r="F57" s="206">
        <f>B57+C57+D57+E57</f>
        <v/>
      </c>
      <c r="G57" s="115" t="n">
        <v>3</v>
      </c>
      <c r="H57" s="115" t="n">
        <v>2</v>
      </c>
      <c r="I57" s="115" t="n">
        <v>6</v>
      </c>
      <c r="J57" s="115" t="n">
        <v>5</v>
      </c>
      <c r="K57" s="115" t="n"/>
      <c r="L57" s="206">
        <f>G57+H57+I57+J57+K57</f>
        <v/>
      </c>
      <c r="M57" s="266">
        <f>B57+C57+D57+E57+G57+H57+I57+J57</f>
        <v/>
      </c>
      <c r="N57" s="264">
        <f>F57+L57</f>
        <v/>
      </c>
    </row>
    <row r="58" ht="15.75" customHeight="1">
      <c r="A58" s="134" t="inlineStr">
        <is>
          <t xml:space="preserve">TAGS </t>
        </is>
      </c>
      <c r="B58" s="115" t="n">
        <v>0</v>
      </c>
      <c r="C58" s="115" t="n">
        <v>1</v>
      </c>
      <c r="D58" s="115" t="n"/>
      <c r="E58" s="115" t="n">
        <v>1</v>
      </c>
      <c r="F58" s="206">
        <f>B58+C58+D58+E58</f>
        <v/>
      </c>
      <c r="G58" s="115" t="n">
        <v>1</v>
      </c>
      <c r="H58" s="115" t="n">
        <v>5</v>
      </c>
      <c r="I58" s="115" t="n">
        <v>1</v>
      </c>
      <c r="J58" s="115" t="n">
        <v>0</v>
      </c>
      <c r="K58" s="115" t="n"/>
      <c r="L58" s="206">
        <f>G58+H58+I58+J58+K58</f>
        <v/>
      </c>
      <c r="M58" s="266">
        <f>B58+C58+D58+E58+G58+H58+I58+J58</f>
        <v/>
      </c>
      <c r="N58" s="264">
        <f>F58+L58</f>
        <v/>
      </c>
    </row>
    <row r="59" ht="15.75" customHeight="1">
      <c r="A59" s="127" t="inlineStr">
        <is>
          <t>TOTAL DE SACOLAS</t>
        </is>
      </c>
      <c r="B59" s="126">
        <f>B54+B55+B56</f>
        <v/>
      </c>
      <c r="C59" s="126">
        <f>C54+C55+C56</f>
        <v/>
      </c>
      <c r="D59" s="126">
        <f>D54+D55+D56</f>
        <v/>
      </c>
      <c r="E59" s="126">
        <f>E54+E55+E56</f>
        <v/>
      </c>
      <c r="F59" s="126">
        <f>F54+F55+F56</f>
        <v/>
      </c>
      <c r="G59" s="126">
        <f>G54+G55+G56</f>
        <v/>
      </c>
      <c r="H59" s="126">
        <f>H54+H55+H56</f>
        <v/>
      </c>
      <c r="I59" s="126">
        <f>I54+I55+I56</f>
        <v/>
      </c>
      <c r="J59" s="126">
        <f>J54+J55+J56</f>
        <v/>
      </c>
      <c r="K59" s="126">
        <f>K54+K55+K56</f>
        <v/>
      </c>
      <c r="L59" s="256">
        <f>L54+L55+L56</f>
        <v/>
      </c>
      <c r="M59" s="265">
        <f>M54+M55+M56</f>
        <v/>
      </c>
      <c r="N59" s="265">
        <f>N54+N55+N56</f>
        <v/>
      </c>
    </row>
    <row r="61" ht="15.75" customHeight="1">
      <c r="A61" s="881" t="inlineStr">
        <is>
          <t>GASTO DE SACOLAS E ITENS DOADOS NATAL/2025 - MENSAIS</t>
        </is>
      </c>
      <c r="B61" s="859" t="n"/>
      <c r="C61" s="859" t="n"/>
      <c r="D61" s="859" t="n"/>
      <c r="E61" s="859" t="n"/>
      <c r="F61" s="859" t="n"/>
      <c r="G61" s="859" t="n"/>
      <c r="H61" s="859" t="n"/>
      <c r="I61" s="859" t="n"/>
      <c r="J61" s="859" t="n"/>
      <c r="K61" s="859" t="n"/>
      <c r="L61" s="859" t="n"/>
      <c r="M61" s="859" t="n"/>
      <c r="N61" s="860" t="n"/>
    </row>
    <row r="62" ht="15.75" customHeight="1">
      <c r="A62" s="635" t="inlineStr">
        <is>
          <t>QUADRA 2</t>
        </is>
      </c>
      <c r="B62" s="883" t="inlineStr">
        <is>
          <t>NOVEMBRO</t>
        </is>
      </c>
      <c r="C62" s="731" t="n"/>
      <c r="D62" s="731" t="n"/>
      <c r="E62" s="731" t="n"/>
      <c r="F62" s="775" t="n"/>
      <c r="G62" s="883" t="inlineStr">
        <is>
          <t>DEZEMBRO</t>
        </is>
      </c>
      <c r="H62" s="731" t="n"/>
      <c r="I62" s="731" t="n"/>
      <c r="J62" s="731" t="n"/>
      <c r="K62" s="731" t="n"/>
      <c r="L62" s="775" t="n"/>
      <c r="M62" s="644" t="inlineStr">
        <is>
          <t>USOU ATÉ NATAL</t>
        </is>
      </c>
      <c r="N62" s="646" t="inlineStr">
        <is>
          <t>TOTAL GERAL</t>
        </is>
      </c>
    </row>
    <row r="63" ht="15.75" customHeight="1">
      <c r="A63" s="862" t="n"/>
      <c r="B63" s="261" t="n">
        <v>45964</v>
      </c>
      <c r="C63" s="262" t="n">
        <v>45971</v>
      </c>
      <c r="D63" s="262" t="n">
        <v>45978</v>
      </c>
      <c r="E63" s="261" t="n">
        <v>45985</v>
      </c>
      <c r="F63" s="263" t="inlineStr">
        <is>
          <t>USOU</t>
        </is>
      </c>
      <c r="G63" s="261" t="n">
        <v>45992</v>
      </c>
      <c r="H63" s="262" t="n">
        <v>45999</v>
      </c>
      <c r="I63" s="262" t="n">
        <v>46006</v>
      </c>
      <c r="J63" s="262" t="n">
        <v>46013</v>
      </c>
      <c r="K63" s="261" t="n">
        <v>46020</v>
      </c>
      <c r="L63" s="263" t="inlineStr">
        <is>
          <t>USOU</t>
        </is>
      </c>
      <c r="M63" s="863" t="n"/>
      <c r="N63" s="864" t="n"/>
    </row>
    <row r="64" ht="15.75" customHeight="1">
      <c r="A64" s="204" t="inlineStr">
        <is>
          <t>SACOLA P</t>
        </is>
      </c>
      <c r="B64" s="115" t="n">
        <v>0</v>
      </c>
      <c r="C64" s="115" t="n">
        <v>300</v>
      </c>
      <c r="D64" s="115" t="n"/>
      <c r="E64" s="115" t="n">
        <v>180</v>
      </c>
      <c r="F64" s="206">
        <f>B64+C64+D64+E64</f>
        <v/>
      </c>
      <c r="G64" s="115" t="n">
        <v>120</v>
      </c>
      <c r="H64" s="115" t="n">
        <v>200</v>
      </c>
      <c r="I64" s="115" t="n">
        <v>0</v>
      </c>
      <c r="J64" s="115" t="n">
        <v>0</v>
      </c>
      <c r="K64" s="115" t="n"/>
      <c r="L64" s="206">
        <f>G64+H64+I64+J64+K64</f>
        <v/>
      </c>
      <c r="M64" s="266">
        <f>B64+C64+D64+E64+G64+H64+I64+J64</f>
        <v/>
      </c>
      <c r="N64" s="264">
        <f>F64+L64</f>
        <v/>
      </c>
    </row>
    <row r="65" ht="15.75" customHeight="1">
      <c r="A65" s="204" t="inlineStr">
        <is>
          <t>SACOLA M</t>
        </is>
      </c>
      <c r="B65" s="115" t="n">
        <v>100</v>
      </c>
      <c r="C65" s="115" t="n">
        <v>40</v>
      </c>
      <c r="D65" s="115" t="n"/>
      <c r="E65" s="115" t="n">
        <v>60</v>
      </c>
      <c r="F65" s="206">
        <f>B65+C65+D65+E65</f>
        <v/>
      </c>
      <c r="G65" s="115" t="n">
        <v>60</v>
      </c>
      <c r="H65" s="115" t="n">
        <v>160</v>
      </c>
      <c r="I65" s="115" t="n">
        <v>80</v>
      </c>
      <c r="J65" s="115" t="n">
        <v>220</v>
      </c>
      <c r="K65" s="115" t="n"/>
      <c r="L65" s="206">
        <f>G65+H65+I65+J65+K65</f>
        <v/>
      </c>
      <c r="M65" s="266">
        <f>B65+C65+D65+E65+G65+H65+I65+J65</f>
        <v/>
      </c>
      <c r="N65" s="264">
        <f>F65+L65</f>
        <v/>
      </c>
    </row>
    <row r="66" ht="15.75" customHeight="1">
      <c r="A66" s="204" t="inlineStr">
        <is>
          <t>SACOLA G</t>
        </is>
      </c>
      <c r="B66" s="115" t="n">
        <v>20</v>
      </c>
      <c r="C66" s="115" t="n">
        <v>0</v>
      </c>
      <c r="D66" s="115" t="n"/>
      <c r="E66" s="115" t="n">
        <v>0</v>
      </c>
      <c r="F66" s="206">
        <f>B66+C66+D66+E66</f>
        <v/>
      </c>
      <c r="G66" s="115" t="n">
        <v>30</v>
      </c>
      <c r="H66" s="115" t="n">
        <v>50</v>
      </c>
      <c r="I66" s="115" t="n">
        <v>0</v>
      </c>
      <c r="J66" s="115" t="n">
        <v>0</v>
      </c>
      <c r="K66" s="115" t="n"/>
      <c r="L66" s="206">
        <f>G66+H66+I66+J66+K66</f>
        <v/>
      </c>
      <c r="M66" s="266">
        <f>B66+C66+D66+E66+G66+H66+I66+J66</f>
        <v/>
      </c>
      <c r="N66" s="264">
        <f>F66+L66</f>
        <v/>
      </c>
    </row>
    <row r="67" ht="15.75" customHeight="1">
      <c r="A67" s="134" t="inlineStr">
        <is>
          <t xml:space="preserve">PAPEL DE SEDA </t>
        </is>
      </c>
      <c r="B67" s="115" t="n">
        <v>0</v>
      </c>
      <c r="C67" s="115" t="n">
        <v>1</v>
      </c>
      <c r="D67" s="115" t="n"/>
      <c r="E67" s="115" t="n">
        <v>0</v>
      </c>
      <c r="F67" s="206">
        <f>B67+C67+D67+E67</f>
        <v/>
      </c>
      <c r="G67" s="115" t="n">
        <v>1</v>
      </c>
      <c r="H67" s="115" t="n">
        <v>2</v>
      </c>
      <c r="I67" s="115" t="n">
        <v>1</v>
      </c>
      <c r="J67" s="115" t="n">
        <v>4</v>
      </c>
      <c r="K67" s="115" t="n"/>
      <c r="L67" s="206">
        <f>G67+H67+I67+J67+K67</f>
        <v/>
      </c>
      <c r="M67" s="266">
        <f>B67+C67+D67+E67+G67+H67+I67+J67</f>
        <v/>
      </c>
      <c r="N67" s="264">
        <f>F67+L67</f>
        <v/>
      </c>
    </row>
    <row r="68" ht="15.75" customHeight="1">
      <c r="A68" s="134" t="inlineStr">
        <is>
          <t xml:space="preserve">TAGS </t>
        </is>
      </c>
      <c r="B68" s="115" t="n">
        <v>0</v>
      </c>
      <c r="C68" s="115" t="n">
        <v>1</v>
      </c>
      <c r="D68" s="115" t="n"/>
      <c r="E68" s="115" t="n">
        <v>1</v>
      </c>
      <c r="F68" s="206">
        <f>B68+C68+D68+E68</f>
        <v/>
      </c>
      <c r="G68" s="115" t="n">
        <v>0</v>
      </c>
      <c r="H68" s="115" t="n">
        <v>1</v>
      </c>
      <c r="I68" s="115" t="n">
        <v>3</v>
      </c>
      <c r="J68" s="115" t="n">
        <v>0</v>
      </c>
      <c r="K68" s="115" t="n"/>
      <c r="L68" s="206">
        <f>G68+H68+I68+J68+K68</f>
        <v/>
      </c>
      <c r="M68" s="266">
        <f>B68+C68+D68+E68+G68+H68+I68+J68</f>
        <v/>
      </c>
      <c r="N68" s="264">
        <f>F68+L68</f>
        <v/>
      </c>
    </row>
    <row r="69" ht="15.75" customHeight="1">
      <c r="A69" s="127" t="inlineStr">
        <is>
          <t>TOTAL DE SACOLAS</t>
        </is>
      </c>
      <c r="B69" s="126">
        <f>B64+B65+B66</f>
        <v/>
      </c>
      <c r="C69" s="126">
        <f>C64+C65+C66</f>
        <v/>
      </c>
      <c r="D69" s="126">
        <f>D64+D65+D66</f>
        <v/>
      </c>
      <c r="E69" s="126">
        <f>E64+E65+E66</f>
        <v/>
      </c>
      <c r="F69" s="126">
        <f>F64+F65+F66</f>
        <v/>
      </c>
      <c r="G69" s="126">
        <f>G64+G65+G66</f>
        <v/>
      </c>
      <c r="H69" s="126">
        <f>H64+H65+H66</f>
        <v/>
      </c>
      <c r="I69" s="126">
        <f>I64+I65+I66</f>
        <v/>
      </c>
      <c r="J69" s="126">
        <f>J64+J65+J66</f>
        <v/>
      </c>
      <c r="K69" s="126">
        <f>K64+K65+K66</f>
        <v/>
      </c>
      <c r="L69" s="256">
        <f>L64+L65+L66</f>
        <v/>
      </c>
      <c r="M69" s="265">
        <f>M64+M65+M66</f>
        <v/>
      </c>
      <c r="N69" s="265">
        <f>N64+N65+N66</f>
        <v/>
      </c>
    </row>
    <row r="71" ht="15.75" customHeight="1">
      <c r="A71" s="881" t="inlineStr">
        <is>
          <t>GASTO DE SACOLAS E ITENS DOADOS NATAL/2025 - MENSAIS</t>
        </is>
      </c>
      <c r="B71" s="859" t="n"/>
      <c r="C71" s="859" t="n"/>
      <c r="D71" s="859" t="n"/>
      <c r="E71" s="859" t="n"/>
      <c r="F71" s="859" t="n"/>
      <c r="G71" s="859" t="n"/>
      <c r="H71" s="859" t="n"/>
      <c r="I71" s="859" t="n"/>
      <c r="J71" s="859" t="n"/>
      <c r="K71" s="859" t="n"/>
      <c r="L71" s="859" t="n"/>
      <c r="M71" s="859" t="n"/>
      <c r="N71" s="860" t="n"/>
    </row>
    <row r="72" ht="15.75" customHeight="1">
      <c r="A72" s="635" t="inlineStr">
        <is>
          <t>MARY DOTA</t>
        </is>
      </c>
      <c r="B72" s="883" t="inlineStr">
        <is>
          <t>NOVEMBRO</t>
        </is>
      </c>
      <c r="C72" s="731" t="n"/>
      <c r="D72" s="731" t="n"/>
      <c r="E72" s="731" t="n"/>
      <c r="F72" s="775" t="n"/>
      <c r="G72" s="883" t="inlineStr">
        <is>
          <t>DEZEMBRO</t>
        </is>
      </c>
      <c r="H72" s="731" t="n"/>
      <c r="I72" s="731" t="n"/>
      <c r="J72" s="731" t="n"/>
      <c r="K72" s="731" t="n"/>
      <c r="L72" s="775" t="n"/>
      <c r="M72" s="644" t="inlineStr">
        <is>
          <t>USOU ATÉ NATAL</t>
        </is>
      </c>
      <c r="N72" s="646" t="inlineStr">
        <is>
          <t>TOTAL GERAL</t>
        </is>
      </c>
    </row>
    <row r="73" ht="15.75" customHeight="1">
      <c r="A73" s="862" t="n"/>
      <c r="B73" s="261" t="n">
        <v>45964</v>
      </c>
      <c r="C73" s="262" t="n">
        <v>45971</v>
      </c>
      <c r="D73" s="262" t="n">
        <v>45978</v>
      </c>
      <c r="E73" s="261" t="n">
        <v>45985</v>
      </c>
      <c r="F73" s="263" t="inlineStr">
        <is>
          <t>USOU</t>
        </is>
      </c>
      <c r="G73" s="261" t="n">
        <v>45992</v>
      </c>
      <c r="H73" s="262" t="n">
        <v>45999</v>
      </c>
      <c r="I73" s="262" t="n">
        <v>46006</v>
      </c>
      <c r="J73" s="262" t="n">
        <v>46013</v>
      </c>
      <c r="K73" s="261" t="n">
        <v>46020</v>
      </c>
      <c r="L73" s="263" t="inlineStr">
        <is>
          <t>USOU</t>
        </is>
      </c>
      <c r="M73" s="863" t="n"/>
      <c r="N73" s="864" t="n"/>
    </row>
    <row r="74" ht="15.75" customHeight="1">
      <c r="A74" s="204" t="inlineStr">
        <is>
          <t>SACOLA P</t>
        </is>
      </c>
      <c r="B74" s="115" t="n">
        <v>80</v>
      </c>
      <c r="C74" s="115" t="n">
        <v>40</v>
      </c>
      <c r="D74" s="115" t="n"/>
      <c r="E74" s="115" t="n">
        <v>100</v>
      </c>
      <c r="F74" s="206">
        <f>B74+C74+D74+E74</f>
        <v/>
      </c>
      <c r="G74" s="115" t="n">
        <v>50</v>
      </c>
      <c r="H74" s="115" t="n">
        <v>100</v>
      </c>
      <c r="I74" s="115" t="n">
        <v>100</v>
      </c>
      <c r="J74" s="115" t="n">
        <v>250</v>
      </c>
      <c r="K74" s="115" t="n"/>
      <c r="L74" s="206">
        <f>G74+H74+I74+J74+K74</f>
        <v/>
      </c>
      <c r="M74" s="266">
        <f>B74+C74+D74+E74+G74+H74+I74+J74</f>
        <v/>
      </c>
      <c r="N74" s="264">
        <f>F74+L74</f>
        <v/>
      </c>
    </row>
    <row r="75" ht="15.75" customHeight="1">
      <c r="A75" s="204" t="inlineStr">
        <is>
          <t>SACOLA M</t>
        </is>
      </c>
      <c r="B75" s="115" t="n">
        <v>80</v>
      </c>
      <c r="C75" s="115" t="n">
        <v>40</v>
      </c>
      <c r="D75" s="115" t="n"/>
      <c r="E75" s="115" t="n">
        <v>0</v>
      </c>
      <c r="F75" s="206">
        <f>B75+C75+D75+E75</f>
        <v/>
      </c>
      <c r="G75" s="115" t="n">
        <v>10</v>
      </c>
      <c r="H75" s="115" t="n">
        <v>120</v>
      </c>
      <c r="I75" s="115" t="n">
        <v>40</v>
      </c>
      <c r="J75" s="115" t="n">
        <v>50</v>
      </c>
      <c r="K75" s="115" t="n"/>
      <c r="L75" s="206">
        <f>G75+H75+I75+J75+K75</f>
        <v/>
      </c>
      <c r="M75" s="266">
        <f>B75+C75+D75+E75+G75+H75+I75+J75</f>
        <v/>
      </c>
      <c r="N75" s="264">
        <f>F75+L75</f>
        <v/>
      </c>
    </row>
    <row r="76" ht="15.75" customHeight="1">
      <c r="A76" s="204" t="inlineStr">
        <is>
          <t>SACOLA G</t>
        </is>
      </c>
      <c r="B76" s="115" t="n">
        <v>0</v>
      </c>
      <c r="C76" s="115" t="n">
        <v>0</v>
      </c>
      <c r="D76" s="115" t="n"/>
      <c r="E76" s="115" t="n">
        <v>0</v>
      </c>
      <c r="F76" s="206">
        <f>B76+C76+D76+E76</f>
        <v/>
      </c>
      <c r="G76" s="115" t="n">
        <v>0</v>
      </c>
      <c r="H76" s="115" t="n">
        <v>0</v>
      </c>
      <c r="I76" s="115" t="n">
        <v>0</v>
      </c>
      <c r="J76" s="115" t="n">
        <v>0</v>
      </c>
      <c r="K76" s="115" t="n"/>
      <c r="L76" s="206">
        <f>G76+H76+I76+J76+K76</f>
        <v/>
      </c>
      <c r="M76" s="266">
        <f>B76+C76+D76+E76+G76+H76+I76+J76</f>
        <v/>
      </c>
      <c r="N76" s="264">
        <f>F76+L76</f>
        <v/>
      </c>
    </row>
    <row r="77" ht="15.75" customHeight="1">
      <c r="A77" s="134" t="inlineStr">
        <is>
          <t xml:space="preserve">PAPEL DE SEDA </t>
        </is>
      </c>
      <c r="B77" s="115" t="n">
        <v>1</v>
      </c>
      <c r="C77" s="115" t="n">
        <v>0</v>
      </c>
      <c r="D77" s="115" t="n"/>
      <c r="E77" s="115" t="n">
        <v>0</v>
      </c>
      <c r="F77" s="206">
        <f>B77+C77+D77+E77</f>
        <v/>
      </c>
      <c r="G77" s="115" t="n">
        <v>2</v>
      </c>
      <c r="H77" s="115" t="n">
        <v>5</v>
      </c>
      <c r="I77" s="115" t="n">
        <v>0</v>
      </c>
      <c r="J77" s="115" t="n">
        <v>0</v>
      </c>
      <c r="K77" s="115" t="n"/>
      <c r="L77" s="206">
        <f>G77+H77+I77+J77+K77</f>
        <v/>
      </c>
      <c r="M77" s="266">
        <f>B77+C77+D77+E77+G77+H77+I77+J77</f>
        <v/>
      </c>
      <c r="N77" s="264">
        <f>F77+L77</f>
        <v/>
      </c>
    </row>
    <row r="78" ht="15.75" customHeight="1">
      <c r="A78" s="134" t="inlineStr">
        <is>
          <t xml:space="preserve">TAGS </t>
        </is>
      </c>
      <c r="B78" s="115" t="n">
        <v>2</v>
      </c>
      <c r="C78" s="115" t="n">
        <v>0</v>
      </c>
      <c r="D78" s="115" t="n"/>
      <c r="E78" s="115" t="n">
        <v>0</v>
      </c>
      <c r="F78" s="206">
        <f>B78+C78+D78+E78</f>
        <v/>
      </c>
      <c r="G78" s="115" t="n">
        <v>0</v>
      </c>
      <c r="H78" s="115" t="n">
        <v>2</v>
      </c>
      <c r="I78" s="115" t="n">
        <v>0</v>
      </c>
      <c r="J78" s="115" t="n">
        <v>0</v>
      </c>
      <c r="K78" s="115" t="n"/>
      <c r="L78" s="206">
        <f>G78+H78+I78+J78+K78</f>
        <v/>
      </c>
      <c r="M78" s="266">
        <f>B78+C78+D78+E78+G78+H78+I78+J78</f>
        <v/>
      </c>
      <c r="N78" s="264">
        <f>F78+L78</f>
        <v/>
      </c>
    </row>
    <row r="79" ht="15.75" customHeight="1">
      <c r="A79" s="127" t="inlineStr">
        <is>
          <t>TOTAL DE SACOLAS</t>
        </is>
      </c>
      <c r="B79" s="126">
        <f>B74+B75+B76</f>
        <v/>
      </c>
      <c r="C79" s="126">
        <f>C74+C75+C76</f>
        <v/>
      </c>
      <c r="D79" s="126">
        <f>D74+D75+D76</f>
        <v/>
      </c>
      <c r="E79" s="126">
        <f>E74+E75+E76</f>
        <v/>
      </c>
      <c r="F79" s="126">
        <f>F74+F75+F76</f>
        <v/>
      </c>
      <c r="G79" s="126">
        <f>G74+G75+G76</f>
        <v/>
      </c>
      <c r="H79" s="126">
        <f>H74+H75+H76</f>
        <v/>
      </c>
      <c r="I79" s="126">
        <f>I74+I75+I76</f>
        <v/>
      </c>
      <c r="J79" s="126">
        <f>J74+J75+J76</f>
        <v/>
      </c>
      <c r="K79" s="126">
        <f>K74+K75+K76</f>
        <v/>
      </c>
      <c r="L79" s="256">
        <f>L74+L75+L76</f>
        <v/>
      </c>
      <c r="M79" s="265">
        <f>M74+M75+M76</f>
        <v/>
      </c>
      <c r="N79" s="265">
        <f>N74+N75+N76</f>
        <v/>
      </c>
    </row>
    <row r="89" ht="15.75" customHeight="1"/>
    <row r="96" ht="15.75" customHeight="1"/>
    <row r="100" ht="15.75" customHeight="1"/>
    <row r="111" ht="15.75" customHeight="1"/>
    <row r="126" ht="15.75" customHeight="1"/>
    <row r="138" ht="15.75" customHeight="1"/>
  </sheetData>
  <mergeCells count="50">
    <mergeCell ref="N32:N33"/>
    <mergeCell ref="A31:N31"/>
    <mergeCell ref="N22:N23"/>
    <mergeCell ref="B62:F62"/>
    <mergeCell ref="B72:F72"/>
    <mergeCell ref="G62:L62"/>
    <mergeCell ref="N12:N13"/>
    <mergeCell ref="P1:Q1"/>
    <mergeCell ref="M2:M3"/>
    <mergeCell ref="A51:N51"/>
    <mergeCell ref="B22:F22"/>
    <mergeCell ref="N2:N3"/>
    <mergeCell ref="A11:N11"/>
    <mergeCell ref="N62:N63"/>
    <mergeCell ref="A1:N1"/>
    <mergeCell ref="B52:F52"/>
    <mergeCell ref="B12:F12"/>
    <mergeCell ref="A61:N61"/>
    <mergeCell ref="N52:N53"/>
    <mergeCell ref="M22:M23"/>
    <mergeCell ref="B2:F2"/>
    <mergeCell ref="A12:A13"/>
    <mergeCell ref="B42:F42"/>
    <mergeCell ref="M12:M13"/>
    <mergeCell ref="A41:N41"/>
    <mergeCell ref="N42:N43"/>
    <mergeCell ref="A2:A3"/>
    <mergeCell ref="A32:A33"/>
    <mergeCell ref="M32:M33"/>
    <mergeCell ref="A22:A23"/>
    <mergeCell ref="G32:L32"/>
    <mergeCell ref="A42:A43"/>
    <mergeCell ref="A21:N21"/>
    <mergeCell ref="G22:L22"/>
    <mergeCell ref="A72:A73"/>
    <mergeCell ref="M42:M43"/>
    <mergeCell ref="A71:N71"/>
    <mergeCell ref="M72:M73"/>
    <mergeCell ref="R2:R3"/>
    <mergeCell ref="G12:L12"/>
    <mergeCell ref="A62:A63"/>
    <mergeCell ref="G72:L72"/>
    <mergeCell ref="G52:L52"/>
    <mergeCell ref="M62:M63"/>
    <mergeCell ref="G2:L2"/>
    <mergeCell ref="A52:A53"/>
    <mergeCell ref="G42:L42"/>
    <mergeCell ref="M52:M53"/>
    <mergeCell ref="B32:F32"/>
    <mergeCell ref="N72:N73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Bruno Parronchi</dc:creator>
  <dcterms:created xsi:type="dcterms:W3CDTF">2019-03-11T11:12:00Z</dcterms:created>
  <dcterms:modified xsi:type="dcterms:W3CDTF">2026-05-19T14:32:30Z</dcterms:modified>
  <cp:lastModifiedBy>Stiphanie da Silva Lima</cp:lastModifiedBy>
  <cp:lastPrinted>2026-05-14T12:55:00Z</cp:lastPrinted>
</cp:coreProperties>
</file>