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EstaPasta_de_trabalho" defaultThemeVersion="124226"/>
  <mc:AlternateContent xmlns:mc="http://schemas.openxmlformats.org/markup-compatibility/2006">
    <mc:Choice Requires="x15">
      <x15ac:absPath xmlns:x15ac="http://schemas.microsoft.com/office/spreadsheetml/2010/11/ac" url="C:\GESTÁO FINANCEIRA - MARGARETH\GESTÁO FINANCEIRA - KITNET\"/>
    </mc:Choice>
  </mc:AlternateContent>
  <bookViews>
    <workbookView xWindow="0" yWindow="0" windowWidth="15360" windowHeight="6795" tabRatio="894" firstSheet="1" activeTab="2"/>
  </bookViews>
  <sheets>
    <sheet name="Fluxo de caixa 1 semestre" sheetId="3" r:id="rId1"/>
    <sheet name="fluxo de caixa 2 semestre" sheetId="2" r:id="rId2"/>
    <sheet name="CONTOLE DE CAIXA BANCOS" sheetId="7" r:id="rId3"/>
    <sheet name="FLUXO DE CAIXA " sheetId="6" r:id="rId4"/>
    <sheet name="CONTAS A RECEBER" sheetId="4" r:id="rId5"/>
    <sheet name="CONTAS A PAGAR" sheetId="5" r:id="rId6"/>
    <sheet name="Base das contas" sheetId="9" r:id="rId7"/>
    <sheet name="Controle diario" sheetId="12" r:id="rId8"/>
    <sheet name="Relatorio diario caixa" sheetId="16" r:id="rId9"/>
    <sheet name="Resumo mensal de despesas caixa" sheetId="17" r:id="rId10"/>
  </sheets>
  <definedNames>
    <definedName name="_xlnm._FilterDatabase" localSheetId="2" hidden="1">'CONTOLE DE CAIXA BANCOS'!$A$1:$J$60</definedName>
    <definedName name="_xlnm._FilterDatabase" localSheetId="7" hidden="1">'Controle diario'!$A$4:$H$35</definedName>
  </definedNames>
  <calcPr calcId="152511"/>
</workbook>
</file>

<file path=xl/calcChain.xml><?xml version="1.0" encoding="utf-8"?>
<calcChain xmlns="http://schemas.openxmlformats.org/spreadsheetml/2006/main">
  <c r="M93" i="7" l="1"/>
  <c r="B27" i="7"/>
  <c r="D93" i="7"/>
  <c r="L93" i="7"/>
  <c r="D70" i="7"/>
  <c r="O50" i="17" l="1"/>
  <c r="O51" i="17"/>
  <c r="G51" i="17"/>
  <c r="K50" i="17"/>
  <c r="J50" i="17"/>
  <c r="N49" i="17"/>
  <c r="F49" i="17"/>
  <c r="N47" i="17"/>
  <c r="F47" i="17"/>
  <c r="K46" i="17"/>
  <c r="J46" i="17"/>
  <c r="N45" i="17"/>
  <c r="F45" i="17"/>
  <c r="N43" i="17"/>
  <c r="F43" i="17"/>
  <c r="K42" i="17"/>
  <c r="J42" i="17"/>
  <c r="N41" i="17"/>
  <c r="F41" i="17"/>
  <c r="J40" i="17"/>
  <c r="N39" i="17"/>
  <c r="F39" i="17"/>
  <c r="K38" i="17"/>
  <c r="J38" i="17"/>
  <c r="N37" i="17"/>
  <c r="F37" i="17"/>
  <c r="J36" i="17"/>
  <c r="N35" i="17"/>
  <c r="F35" i="17"/>
  <c r="K34" i="17"/>
  <c r="J34" i="17"/>
  <c r="N33" i="17"/>
  <c r="F33" i="17"/>
  <c r="N31" i="17"/>
  <c r="F31" i="17"/>
  <c r="K30" i="17"/>
  <c r="J30" i="17"/>
  <c r="N29" i="17"/>
  <c r="F29" i="17"/>
  <c r="N27" i="17"/>
  <c r="F27" i="17"/>
  <c r="K26" i="17"/>
  <c r="J26" i="17"/>
  <c r="N25" i="17"/>
  <c r="F25" i="17"/>
  <c r="J24" i="17"/>
  <c r="K23" i="17"/>
  <c r="G23" i="17"/>
  <c r="O22" i="17"/>
  <c r="L22" i="17"/>
  <c r="K22" i="17"/>
  <c r="H22" i="17"/>
  <c r="G22" i="17"/>
  <c r="D22" i="17"/>
  <c r="O21" i="17"/>
  <c r="K21" i="17"/>
  <c r="G21" i="17"/>
  <c r="G20" i="17"/>
  <c r="O19" i="17"/>
  <c r="K19" i="17"/>
  <c r="G19" i="17"/>
  <c r="O18" i="17"/>
  <c r="L18" i="17"/>
  <c r="K18" i="17"/>
  <c r="H18" i="17"/>
  <c r="G18" i="17"/>
  <c r="D18" i="17"/>
  <c r="K17" i="17"/>
  <c r="G17" i="17"/>
  <c r="O16" i="17"/>
  <c r="O15" i="17"/>
  <c r="K15" i="17"/>
  <c r="G15" i="17"/>
  <c r="D5" i="17"/>
  <c r="D9" i="17"/>
  <c r="D10" i="17"/>
  <c r="O5" i="17"/>
  <c r="O6" i="17"/>
  <c r="O9" i="17"/>
  <c r="O10" i="17"/>
  <c r="N5" i="17"/>
  <c r="N8" i="17"/>
  <c r="N9" i="17"/>
  <c r="N10" i="17"/>
  <c r="M5" i="17"/>
  <c r="M6" i="17"/>
  <c r="M9" i="17"/>
  <c r="M10" i="17"/>
  <c r="L5" i="17"/>
  <c r="L8" i="17"/>
  <c r="L9" i="17"/>
  <c r="L10" i="17"/>
  <c r="K5" i="17"/>
  <c r="K6" i="17"/>
  <c r="K9" i="17"/>
  <c r="K10" i="17"/>
  <c r="J5" i="17"/>
  <c r="J8" i="17"/>
  <c r="J9" i="17"/>
  <c r="J10" i="17"/>
  <c r="I5" i="17"/>
  <c r="I6" i="17"/>
  <c r="I9" i="17"/>
  <c r="I10" i="17"/>
  <c r="H5" i="17"/>
  <c r="H8" i="17"/>
  <c r="H9" i="17"/>
  <c r="H10" i="17"/>
  <c r="G5" i="17"/>
  <c r="G6" i="17"/>
  <c r="G9" i="17"/>
  <c r="G10" i="17"/>
  <c r="N4" i="17"/>
  <c r="F7" i="17"/>
  <c r="F10" i="17"/>
  <c r="E5" i="17"/>
  <c r="E8" i="17"/>
  <c r="E9" i="17"/>
  <c r="E10" i="17"/>
  <c r="A5" i="12"/>
  <c r="A6" i="12"/>
  <c r="A7" i="12"/>
  <c r="A8" i="12"/>
  <c r="A9" i="12"/>
  <c r="A10" i="12"/>
  <c r="A11" i="12"/>
  <c r="A12" i="12"/>
  <c r="A13" i="12"/>
  <c r="A14" i="12"/>
  <c r="A15" i="12"/>
  <c r="A16" i="12"/>
  <c r="A17" i="12"/>
  <c r="A18" i="12"/>
  <c r="A19" i="12"/>
  <c r="A20" i="12"/>
  <c r="A21" i="12"/>
  <c r="A22" i="12"/>
  <c r="A23" i="12"/>
  <c r="A24" i="12"/>
  <c r="A25" i="12"/>
  <c r="A26" i="12"/>
  <c r="A27" i="12"/>
  <c r="A28" i="12"/>
  <c r="A29" i="12"/>
  <c r="A30" i="12"/>
  <c r="A31" i="12"/>
  <c r="A32" i="12"/>
  <c r="A33" i="12"/>
  <c r="A34" i="12"/>
  <c r="A35" i="12"/>
  <c r="G10" i="12"/>
  <c r="G8" i="12"/>
  <c r="G6" i="12"/>
  <c r="G7" i="12"/>
  <c r="G9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34" i="12"/>
  <c r="G35" i="12"/>
  <c r="C51" i="17"/>
  <c r="K51" i="17" s="1"/>
  <c r="C50" i="17"/>
  <c r="C49" i="17"/>
  <c r="J49" i="17" s="1"/>
  <c r="C48" i="17"/>
  <c r="J48" i="17" s="1"/>
  <c r="C47" i="17"/>
  <c r="J47" i="17" s="1"/>
  <c r="C46" i="17"/>
  <c r="C45" i="17"/>
  <c r="C44" i="17"/>
  <c r="C43" i="17"/>
  <c r="J43" i="17" s="1"/>
  <c r="C42" i="17"/>
  <c r="C41" i="17"/>
  <c r="J41" i="17" s="1"/>
  <c r="C40" i="17"/>
  <c r="C39" i="17"/>
  <c r="J39" i="17" s="1"/>
  <c r="C38" i="17"/>
  <c r="C37" i="17"/>
  <c r="J37" i="17" s="1"/>
  <c r="C36" i="17"/>
  <c r="C35" i="17"/>
  <c r="J35" i="17" s="1"/>
  <c r="C34" i="17"/>
  <c r="C33" i="17"/>
  <c r="C32" i="17"/>
  <c r="C31" i="17"/>
  <c r="J31" i="17" s="1"/>
  <c r="C30" i="17"/>
  <c r="C29" i="17"/>
  <c r="J29" i="17" s="1"/>
  <c r="C28" i="17"/>
  <c r="C27" i="17"/>
  <c r="J27" i="17" s="1"/>
  <c r="C26" i="17"/>
  <c r="C25" i="17"/>
  <c r="C24" i="17"/>
  <c r="C23" i="17"/>
  <c r="L23" i="17" s="1"/>
  <c r="C22" i="17"/>
  <c r="N22" i="17" s="1"/>
  <c r="C21" i="17"/>
  <c r="C20" i="17"/>
  <c r="C19" i="17"/>
  <c r="N19" i="17" s="1"/>
  <c r="C18" i="17"/>
  <c r="N18" i="17" s="1"/>
  <c r="C17" i="17"/>
  <c r="C16" i="17"/>
  <c r="C15" i="17"/>
  <c r="N15" i="17" s="1"/>
  <c r="C9" i="17"/>
  <c r="F9" i="17" s="1"/>
  <c r="C8" i="17"/>
  <c r="C7" i="17"/>
  <c r="C6" i="17"/>
  <c r="D6" i="17" s="1"/>
  <c r="C5" i="17"/>
  <c r="F5" i="17" s="1"/>
  <c r="C4" i="17"/>
  <c r="B8" i="16"/>
  <c r="D2" i="12"/>
  <c r="G5" i="12"/>
  <c r="O7" i="17" l="1"/>
  <c r="M7" i="17"/>
  <c r="K7" i="17"/>
  <c r="I7" i="17"/>
  <c r="G7" i="17"/>
  <c r="E7" i="17"/>
  <c r="D7" i="17"/>
  <c r="N7" i="17"/>
  <c r="L7" i="17"/>
  <c r="J7" i="17"/>
  <c r="H7" i="17"/>
  <c r="N20" i="17"/>
  <c r="J20" i="17"/>
  <c r="F20" i="17"/>
  <c r="M20" i="17"/>
  <c r="I20" i="17"/>
  <c r="E20" i="17"/>
  <c r="L20" i="17"/>
  <c r="H20" i="17"/>
  <c r="D20" i="17"/>
  <c r="M32" i="17"/>
  <c r="I32" i="17"/>
  <c r="E32" i="17"/>
  <c r="L32" i="17"/>
  <c r="H32" i="17"/>
  <c r="D32" i="17"/>
  <c r="O32" i="17"/>
  <c r="G32" i="17"/>
  <c r="N32" i="17"/>
  <c r="F32" i="17"/>
  <c r="K32" i="17"/>
  <c r="J32" i="17"/>
  <c r="N16" i="17"/>
  <c r="J16" i="17"/>
  <c r="F16" i="17"/>
  <c r="M16" i="17"/>
  <c r="I16" i="17"/>
  <c r="E16" i="17"/>
  <c r="L16" i="17"/>
  <c r="H16" i="17"/>
  <c r="D16" i="17"/>
  <c r="M24" i="17"/>
  <c r="L24" i="17"/>
  <c r="H24" i="17"/>
  <c r="D24" i="17"/>
  <c r="O24" i="17"/>
  <c r="I24" i="17"/>
  <c r="N24" i="17"/>
  <c r="G24" i="17"/>
  <c r="K24" i="17"/>
  <c r="F24" i="17"/>
  <c r="M28" i="17"/>
  <c r="I28" i="17"/>
  <c r="E28" i="17"/>
  <c r="L28" i="17"/>
  <c r="H28" i="17"/>
  <c r="D28" i="17"/>
  <c r="O28" i="17"/>
  <c r="G28" i="17"/>
  <c r="N28" i="17"/>
  <c r="F28" i="17"/>
  <c r="K28" i="17"/>
  <c r="M36" i="17"/>
  <c r="I36" i="17"/>
  <c r="E36" i="17"/>
  <c r="L36" i="17"/>
  <c r="H36" i="17"/>
  <c r="D36" i="17"/>
  <c r="O36" i="17"/>
  <c r="G36" i="17"/>
  <c r="N36" i="17"/>
  <c r="F36" i="17"/>
  <c r="K36" i="17"/>
  <c r="M40" i="17"/>
  <c r="I40" i="17"/>
  <c r="E40" i="17"/>
  <c r="L40" i="17"/>
  <c r="H40" i="17"/>
  <c r="D40" i="17"/>
  <c r="O40" i="17"/>
  <c r="G40" i="17"/>
  <c r="N40" i="17"/>
  <c r="F40" i="17"/>
  <c r="K40" i="17"/>
  <c r="M44" i="17"/>
  <c r="I44" i="17"/>
  <c r="E44" i="17"/>
  <c r="L44" i="17"/>
  <c r="H44" i="17"/>
  <c r="D44" i="17"/>
  <c r="O44" i="17"/>
  <c r="G44" i="17"/>
  <c r="N44" i="17"/>
  <c r="F44" i="17"/>
  <c r="K44" i="17"/>
  <c r="M48" i="17"/>
  <c r="I48" i="17"/>
  <c r="E48" i="17"/>
  <c r="L48" i="17"/>
  <c r="H48" i="17"/>
  <c r="D48" i="17"/>
  <c r="O48" i="17"/>
  <c r="G48" i="17"/>
  <c r="N48" i="17"/>
  <c r="F48" i="17"/>
  <c r="K48" i="17"/>
  <c r="G16" i="17"/>
  <c r="K20" i="17"/>
  <c r="G4" i="17"/>
  <c r="K4" i="17"/>
  <c r="O4" i="17"/>
  <c r="D4" i="17"/>
  <c r="H4" i="17"/>
  <c r="L4" i="17"/>
  <c r="I4" i="17"/>
  <c r="M4" i="17"/>
  <c r="E4" i="17"/>
  <c r="F8" i="17"/>
  <c r="O8" i="17"/>
  <c r="M8" i="17"/>
  <c r="K8" i="17"/>
  <c r="I8" i="17"/>
  <c r="G8" i="17"/>
  <c r="D8" i="17"/>
  <c r="N17" i="17"/>
  <c r="J17" i="17"/>
  <c r="F17" i="17"/>
  <c r="M17" i="17"/>
  <c r="I17" i="17"/>
  <c r="E17" i="17"/>
  <c r="L17" i="17"/>
  <c r="H17" i="17"/>
  <c r="D17" i="17"/>
  <c r="N21" i="17"/>
  <c r="J21" i="17"/>
  <c r="F21" i="17"/>
  <c r="M21" i="17"/>
  <c r="I21" i="17"/>
  <c r="E21" i="17"/>
  <c r="L21" i="17"/>
  <c r="H21" i="17"/>
  <c r="D21" i="17"/>
  <c r="F4" i="17"/>
  <c r="J4" i="17"/>
  <c r="J11" i="17" s="1"/>
  <c r="K16" i="17"/>
  <c r="O17" i="17"/>
  <c r="O20" i="17"/>
  <c r="E24" i="17"/>
  <c r="J28" i="17"/>
  <c r="J44" i="17"/>
  <c r="M25" i="17"/>
  <c r="I25" i="17"/>
  <c r="E25" i="17"/>
  <c r="L25" i="17"/>
  <c r="H25" i="17"/>
  <c r="D25" i="17"/>
  <c r="M33" i="17"/>
  <c r="I33" i="17"/>
  <c r="E33" i="17"/>
  <c r="L33" i="17"/>
  <c r="H33" i="17"/>
  <c r="D33" i="17"/>
  <c r="M45" i="17"/>
  <c r="I45" i="17"/>
  <c r="E45" i="17"/>
  <c r="L45" i="17"/>
  <c r="H45" i="17"/>
  <c r="D45" i="17"/>
  <c r="F6" i="17"/>
  <c r="D15" i="17"/>
  <c r="H15" i="17"/>
  <c r="L15" i="17"/>
  <c r="D19" i="17"/>
  <c r="H19" i="17"/>
  <c r="L19" i="17"/>
  <c r="D23" i="17"/>
  <c r="H23" i="17"/>
  <c r="M23" i="17"/>
  <c r="G25" i="17"/>
  <c r="O25" i="17"/>
  <c r="G27" i="17"/>
  <c r="O27" i="17"/>
  <c r="G29" i="17"/>
  <c r="O29" i="17"/>
  <c r="G31" i="17"/>
  <c r="O31" i="17"/>
  <c r="G33" i="17"/>
  <c r="O33" i="17"/>
  <c r="G35" i="17"/>
  <c r="O35" i="17"/>
  <c r="G37" i="17"/>
  <c r="O37" i="17"/>
  <c r="G39" i="17"/>
  <c r="O39" i="17"/>
  <c r="G41" i="17"/>
  <c r="O41" i="17"/>
  <c r="G43" i="17"/>
  <c r="O43" i="17"/>
  <c r="G45" i="17"/>
  <c r="O45" i="17"/>
  <c r="G47" i="17"/>
  <c r="O47" i="17"/>
  <c r="G49" i="17"/>
  <c r="O49" i="17"/>
  <c r="H51" i="17"/>
  <c r="M26" i="17"/>
  <c r="I26" i="17"/>
  <c r="E26" i="17"/>
  <c r="L26" i="17"/>
  <c r="H26" i="17"/>
  <c r="D26" i="17"/>
  <c r="M30" i="17"/>
  <c r="I30" i="17"/>
  <c r="E30" i="17"/>
  <c r="L30" i="17"/>
  <c r="H30" i="17"/>
  <c r="D30" i="17"/>
  <c r="M34" i="17"/>
  <c r="I34" i="17"/>
  <c r="E34" i="17"/>
  <c r="L34" i="17"/>
  <c r="H34" i="17"/>
  <c r="D34" i="17"/>
  <c r="M38" i="17"/>
  <c r="I38" i="17"/>
  <c r="E38" i="17"/>
  <c r="L38" i="17"/>
  <c r="H38" i="17"/>
  <c r="D38" i="17"/>
  <c r="M42" i="17"/>
  <c r="I42" i="17"/>
  <c r="E42" i="17"/>
  <c r="L42" i="17"/>
  <c r="H42" i="17"/>
  <c r="D42" i="17"/>
  <c r="M46" i="17"/>
  <c r="I46" i="17"/>
  <c r="E46" i="17"/>
  <c r="L46" i="17"/>
  <c r="H46" i="17"/>
  <c r="D46" i="17"/>
  <c r="M50" i="17"/>
  <c r="I50" i="17"/>
  <c r="E50" i="17"/>
  <c r="L50" i="17"/>
  <c r="H50" i="17"/>
  <c r="D50" i="17"/>
  <c r="E6" i="17"/>
  <c r="E11" i="17" s="1"/>
  <c r="H6" i="17"/>
  <c r="J6" i="17"/>
  <c r="L6" i="17"/>
  <c r="N6" i="17"/>
  <c r="N11" i="17" s="1"/>
  <c r="E15" i="17"/>
  <c r="I15" i="17"/>
  <c r="M15" i="17"/>
  <c r="E18" i="17"/>
  <c r="I18" i="17"/>
  <c r="M18" i="17"/>
  <c r="E19" i="17"/>
  <c r="I19" i="17"/>
  <c r="M19" i="17"/>
  <c r="E22" i="17"/>
  <c r="I22" i="17"/>
  <c r="M22" i="17"/>
  <c r="E23" i="17"/>
  <c r="I23" i="17"/>
  <c r="N23" i="17"/>
  <c r="J25" i="17"/>
  <c r="F26" i="17"/>
  <c r="N26" i="17"/>
  <c r="F30" i="17"/>
  <c r="N30" i="17"/>
  <c r="J33" i="17"/>
  <c r="F34" i="17"/>
  <c r="N34" i="17"/>
  <c r="F38" i="17"/>
  <c r="N38" i="17"/>
  <c r="F42" i="17"/>
  <c r="N42" i="17"/>
  <c r="J45" i="17"/>
  <c r="F46" i="17"/>
  <c r="N46" i="17"/>
  <c r="F50" i="17"/>
  <c r="N50" i="17"/>
  <c r="M29" i="17"/>
  <c r="I29" i="17"/>
  <c r="E29" i="17"/>
  <c r="L29" i="17"/>
  <c r="H29" i="17"/>
  <c r="D29" i="17"/>
  <c r="M37" i="17"/>
  <c r="I37" i="17"/>
  <c r="E37" i="17"/>
  <c r="L37" i="17"/>
  <c r="H37" i="17"/>
  <c r="D37" i="17"/>
  <c r="M41" i="17"/>
  <c r="I41" i="17"/>
  <c r="E41" i="17"/>
  <c r="L41" i="17"/>
  <c r="H41" i="17"/>
  <c r="D41" i="17"/>
  <c r="M49" i="17"/>
  <c r="I49" i="17"/>
  <c r="E49" i="17"/>
  <c r="L49" i="17"/>
  <c r="H49" i="17"/>
  <c r="D49" i="17"/>
  <c r="M27" i="17"/>
  <c r="I27" i="17"/>
  <c r="E27" i="17"/>
  <c r="L27" i="17"/>
  <c r="H27" i="17"/>
  <c r="D27" i="17"/>
  <c r="M31" i="17"/>
  <c r="I31" i="17"/>
  <c r="E31" i="17"/>
  <c r="L31" i="17"/>
  <c r="H31" i="17"/>
  <c r="D31" i="17"/>
  <c r="M35" i="17"/>
  <c r="I35" i="17"/>
  <c r="E35" i="17"/>
  <c r="L35" i="17"/>
  <c r="H35" i="17"/>
  <c r="D35" i="17"/>
  <c r="M39" i="17"/>
  <c r="I39" i="17"/>
  <c r="E39" i="17"/>
  <c r="L39" i="17"/>
  <c r="H39" i="17"/>
  <c r="D39" i="17"/>
  <c r="M43" i="17"/>
  <c r="I43" i="17"/>
  <c r="E43" i="17"/>
  <c r="L43" i="17"/>
  <c r="H43" i="17"/>
  <c r="D43" i="17"/>
  <c r="M47" i="17"/>
  <c r="I47" i="17"/>
  <c r="E47" i="17"/>
  <c r="L47" i="17"/>
  <c r="H47" i="17"/>
  <c r="D47" i="17"/>
  <c r="N51" i="17"/>
  <c r="J51" i="17"/>
  <c r="F51" i="17"/>
  <c r="M51" i="17"/>
  <c r="I51" i="17"/>
  <c r="E51" i="17"/>
  <c r="F15" i="17"/>
  <c r="J15" i="17"/>
  <c r="F18" i="17"/>
  <c r="J18" i="17"/>
  <c r="F19" i="17"/>
  <c r="J19" i="17"/>
  <c r="F22" i="17"/>
  <c r="J22" i="17"/>
  <c r="F23" i="17"/>
  <c r="J23" i="17"/>
  <c r="O23" i="17"/>
  <c r="K25" i="17"/>
  <c r="G26" i="17"/>
  <c r="O26" i="17"/>
  <c r="K27" i="17"/>
  <c r="K29" i="17"/>
  <c r="G30" i="17"/>
  <c r="O30" i="17"/>
  <c r="K31" i="17"/>
  <c r="K33" i="17"/>
  <c r="G34" i="17"/>
  <c r="O34" i="17"/>
  <c r="K35" i="17"/>
  <c r="K37" i="17"/>
  <c r="G38" i="17"/>
  <c r="O38" i="17"/>
  <c r="K39" i="17"/>
  <c r="K41" i="17"/>
  <c r="G42" i="17"/>
  <c r="O42" i="17"/>
  <c r="K43" i="17"/>
  <c r="K45" i="17"/>
  <c r="G46" i="17"/>
  <c r="O46" i="17"/>
  <c r="K47" i="17"/>
  <c r="K49" i="17"/>
  <c r="G50" i="17"/>
  <c r="D51" i="17"/>
  <c r="L51" i="17"/>
  <c r="B5" i="12"/>
  <c r="B20" i="16"/>
  <c r="D20" i="16" s="1"/>
  <c r="B32" i="16"/>
  <c r="D32" i="16" s="1"/>
  <c r="B16" i="16"/>
  <c r="D16" i="16" s="1"/>
  <c r="B36" i="16"/>
  <c r="D36" i="16" s="1"/>
  <c r="B28" i="16"/>
  <c r="D28" i="16" s="1"/>
  <c r="B12" i="16"/>
  <c r="D12" i="16" s="1"/>
  <c r="B24" i="16"/>
  <c r="D24" i="16" s="1"/>
  <c r="D8" i="16"/>
  <c r="B35" i="16"/>
  <c r="B31" i="16"/>
  <c r="B27" i="16"/>
  <c r="B23" i="16"/>
  <c r="B19" i="16"/>
  <c r="B15" i="16"/>
  <c r="B11" i="16"/>
  <c r="B7" i="16"/>
  <c r="E7" i="16" s="1"/>
  <c r="B34" i="16"/>
  <c r="B30" i="16"/>
  <c r="B26" i="16"/>
  <c r="B22" i="16"/>
  <c r="B18" i="16"/>
  <c r="B14" i="16"/>
  <c r="B10" i="16"/>
  <c r="B37" i="16"/>
  <c r="B33" i="16"/>
  <c r="B29" i="16"/>
  <c r="B25" i="16"/>
  <c r="B21" i="16"/>
  <c r="B17" i="16"/>
  <c r="B13" i="16"/>
  <c r="B9" i="16"/>
  <c r="E20" i="16"/>
  <c r="C42" i="9"/>
  <c r="C43" i="9"/>
  <c r="C44" i="9"/>
  <c r="C45" i="9"/>
  <c r="C46" i="9"/>
  <c r="C47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11" i="9"/>
  <c r="C5" i="9"/>
  <c r="C6" i="9"/>
  <c r="C7" i="9"/>
  <c r="C8" i="9"/>
  <c r="C9" i="9"/>
  <c r="C4" i="9"/>
  <c r="J81" i="7"/>
  <c r="J19" i="7"/>
  <c r="F11" i="17" l="1"/>
  <c r="G52" i="17"/>
  <c r="O52" i="17"/>
  <c r="F53" i="17"/>
  <c r="I11" i="17"/>
  <c r="N53" i="17"/>
  <c r="K52" i="17"/>
  <c r="N52" i="17"/>
  <c r="G11" i="17"/>
  <c r="G53" i="17" s="1"/>
  <c r="M52" i="17"/>
  <c r="H52" i="17"/>
  <c r="D11" i="17"/>
  <c r="I52" i="17"/>
  <c r="D52" i="17"/>
  <c r="O11" i="17"/>
  <c r="M11" i="17"/>
  <c r="J52" i="17"/>
  <c r="J53" i="17" s="1"/>
  <c r="E52" i="17"/>
  <c r="E53" i="17" s="1"/>
  <c r="L11" i="17"/>
  <c r="L53" i="17" s="1"/>
  <c r="K11" i="17"/>
  <c r="F52" i="17"/>
  <c r="L52" i="17"/>
  <c r="H11" i="17"/>
  <c r="H53" i="17" s="1"/>
  <c r="E28" i="16"/>
  <c r="E24" i="16"/>
  <c r="E32" i="16"/>
  <c r="E16" i="16"/>
  <c r="E8" i="16"/>
  <c r="E36" i="16"/>
  <c r="E22" i="16"/>
  <c r="D22" i="16"/>
  <c r="E23" i="16"/>
  <c r="D23" i="16"/>
  <c r="E13" i="16"/>
  <c r="D13" i="16"/>
  <c r="E29" i="16"/>
  <c r="D29" i="16"/>
  <c r="D10" i="16"/>
  <c r="E10" i="16"/>
  <c r="D26" i="16"/>
  <c r="E26" i="16"/>
  <c r="E11" i="16"/>
  <c r="D11" i="16"/>
  <c r="E27" i="16"/>
  <c r="D27" i="16"/>
  <c r="D9" i="16"/>
  <c r="E9" i="16"/>
  <c r="E17" i="16"/>
  <c r="D17" i="16"/>
  <c r="E33" i="16"/>
  <c r="D33" i="16"/>
  <c r="D14" i="16"/>
  <c r="E14" i="16"/>
  <c r="D30" i="16"/>
  <c r="E30" i="16"/>
  <c r="D15" i="16"/>
  <c r="E15" i="16"/>
  <c r="D31" i="16"/>
  <c r="E31" i="16"/>
  <c r="D25" i="16"/>
  <c r="E25" i="16"/>
  <c r="D7" i="16"/>
  <c r="F7" i="16" s="1"/>
  <c r="D21" i="16"/>
  <c r="E21" i="16"/>
  <c r="D37" i="16"/>
  <c r="E37" i="16"/>
  <c r="E18" i="16"/>
  <c r="D18" i="16"/>
  <c r="E34" i="16"/>
  <c r="D34" i="16"/>
  <c r="D19" i="16"/>
  <c r="E19" i="16"/>
  <c r="D35" i="16"/>
  <c r="E35" i="16"/>
  <c r="B14" i="3"/>
  <c r="O53" i="17" l="1"/>
  <c r="K53" i="17"/>
  <c r="M53" i="17"/>
  <c r="D53" i="17"/>
  <c r="I53" i="17"/>
  <c r="F8" i="16"/>
  <c r="F9" i="16" s="1"/>
  <c r="F10" i="16" s="1"/>
  <c r="F11" i="16" s="1"/>
  <c r="D124" i="7"/>
  <c r="C124" i="7"/>
  <c r="L14" i="3"/>
  <c r="J14" i="3"/>
  <c r="H14" i="3"/>
  <c r="F14" i="3"/>
  <c r="D14" i="3"/>
  <c r="D53" i="6" l="1"/>
  <c r="C53" i="6"/>
  <c r="E4" i="6"/>
  <c r="E5" i="6" s="1"/>
  <c r="E6" i="6" s="1"/>
  <c r="E7" i="6" s="1"/>
  <c r="E8" i="6" s="1"/>
  <c r="E9" i="6" s="1"/>
  <c r="E10" i="6" s="1"/>
  <c r="E11" i="6" s="1"/>
  <c r="E12" i="6" s="1"/>
  <c r="E13" i="6" s="1"/>
  <c r="E14" i="6" s="1"/>
  <c r="E15" i="6" s="1"/>
  <c r="E16" i="6" s="1"/>
  <c r="E17" i="6" s="1"/>
  <c r="E18" i="6" s="1"/>
  <c r="E19" i="6" s="1"/>
  <c r="E20" i="6" s="1"/>
  <c r="E21" i="6" s="1"/>
  <c r="E22" i="6" s="1"/>
  <c r="E23" i="6" s="1"/>
  <c r="E24" i="6" s="1"/>
  <c r="E25" i="6" s="1"/>
  <c r="E26" i="6" s="1"/>
  <c r="E27" i="6" s="1"/>
  <c r="E28" i="6" s="1"/>
  <c r="E29" i="6" s="1"/>
  <c r="E30" i="6" s="1"/>
  <c r="E31" i="6" s="1"/>
  <c r="E32" i="6" s="1"/>
  <c r="E33" i="6" s="1"/>
  <c r="E34" i="6" s="1"/>
  <c r="E35" i="6" s="1"/>
  <c r="E36" i="6" s="1"/>
  <c r="E37" i="6" s="1"/>
  <c r="E38" i="6" s="1"/>
  <c r="E39" i="6" s="1"/>
  <c r="E40" i="6" s="1"/>
  <c r="E41" i="6" s="1"/>
  <c r="E42" i="6" s="1"/>
  <c r="E43" i="6" s="1"/>
  <c r="E44" i="6" s="1"/>
  <c r="E45" i="6" s="1"/>
  <c r="E46" i="6" s="1"/>
  <c r="E47" i="6" s="1"/>
  <c r="E48" i="6" s="1"/>
  <c r="E49" i="6" s="1"/>
  <c r="E50" i="6" s="1"/>
  <c r="E51" i="6" s="1"/>
  <c r="E52" i="6" s="1"/>
  <c r="E12" i="4" l="1"/>
  <c r="D12" i="4"/>
  <c r="E4" i="7" l="1"/>
  <c r="E6" i="7" s="1"/>
  <c r="E7" i="7" s="1"/>
  <c r="E8" i="7" s="1"/>
  <c r="E9" i="7" s="1"/>
  <c r="E10" i="7" s="1"/>
  <c r="E11" i="7" s="1"/>
  <c r="E12" i="7" s="1"/>
  <c r="E13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2" i="7" l="1"/>
  <c r="E33" i="7" s="1"/>
  <c r="E34" i="7" s="1"/>
  <c r="E35" i="7" s="1"/>
  <c r="E36" i="7" s="1"/>
  <c r="E37" i="7" s="1"/>
  <c r="E38" i="7" s="1"/>
  <c r="E39" i="7" s="1"/>
  <c r="E42" i="7" s="1"/>
  <c r="E43" i="7" s="1"/>
  <c r="E44" i="7" s="1"/>
  <c r="E45" i="7" s="1"/>
  <c r="E48" i="7" s="1"/>
  <c r="D60" i="7"/>
  <c r="C60" i="7"/>
  <c r="C17" i="4"/>
  <c r="C16" i="4"/>
  <c r="C48" i="5"/>
  <c r="C12" i="4"/>
  <c r="C14" i="4" s="1"/>
  <c r="E93" i="7" l="1"/>
  <c r="B28" i="7" s="1"/>
  <c r="E49" i="7"/>
  <c r="E50" i="7" s="1"/>
  <c r="E51" i="7" s="1"/>
  <c r="E52" i="7" s="1"/>
  <c r="E53" i="7" s="1"/>
  <c r="E54" i="7" s="1"/>
  <c r="E55" i="7" s="1"/>
  <c r="E56" i="7" s="1"/>
  <c r="E58" i="7" s="1"/>
  <c r="E59" i="7" s="1"/>
  <c r="E65" i="7" s="1"/>
  <c r="E66" i="7" s="1"/>
  <c r="E67" i="7" s="1"/>
  <c r="E68" i="7" s="1"/>
  <c r="E70" i="7" s="1"/>
  <c r="E71" i="7" s="1"/>
  <c r="E72" i="7" s="1"/>
  <c r="E73" i="7" s="1"/>
  <c r="E74" i="7" s="1"/>
  <c r="E75" i="7" s="1"/>
  <c r="E76" i="7" s="1"/>
  <c r="E77" i="7" s="1"/>
  <c r="E78" i="7" s="1"/>
  <c r="E79" i="7" s="1"/>
  <c r="E80" i="7" s="1"/>
  <c r="E81" i="7" s="1"/>
  <c r="E82" i="7" s="1"/>
  <c r="E84" i="7" s="1"/>
  <c r="E85" i="7" s="1"/>
  <c r="E86" i="7" s="1"/>
  <c r="E87" i="7" s="1"/>
  <c r="E88" i="7" s="1"/>
  <c r="E89" i="7" s="1"/>
  <c r="E90" i="7" s="1"/>
  <c r="E91" i="7" s="1"/>
  <c r="E92" i="7" s="1"/>
  <c r="M32" i="2"/>
  <c r="L32" i="2"/>
  <c r="K32" i="2"/>
  <c r="J32" i="2"/>
  <c r="I32" i="2"/>
  <c r="H32" i="2"/>
  <c r="G32" i="2"/>
  <c r="F32" i="2"/>
  <c r="E32" i="2"/>
  <c r="D32" i="2"/>
  <c r="C32" i="2"/>
  <c r="B32" i="2"/>
  <c r="M8" i="2"/>
  <c r="M33" i="2" s="1"/>
  <c r="L8" i="2"/>
  <c r="K8" i="2"/>
  <c r="K33" i="2" s="1"/>
  <c r="J8" i="2"/>
  <c r="I8" i="2"/>
  <c r="I33" i="2" s="1"/>
  <c r="H8" i="2"/>
  <c r="H33" i="2" s="1"/>
  <c r="G8" i="2"/>
  <c r="G33" i="2" s="1"/>
  <c r="F8" i="2"/>
  <c r="F33" i="2" s="1"/>
  <c r="E8" i="2"/>
  <c r="E33" i="2" s="1"/>
  <c r="D8" i="2"/>
  <c r="C8" i="2"/>
  <c r="C33" i="2" s="1"/>
  <c r="B8" i="2"/>
  <c r="C32" i="3"/>
  <c r="D32" i="3"/>
  <c r="E32" i="3"/>
  <c r="F32" i="3"/>
  <c r="G32" i="3"/>
  <c r="H32" i="3"/>
  <c r="I32" i="3"/>
  <c r="J32" i="3"/>
  <c r="K32" i="3"/>
  <c r="L32" i="3"/>
  <c r="M32" i="3"/>
  <c r="B32" i="3"/>
  <c r="C8" i="3"/>
  <c r="D8" i="3"/>
  <c r="E8" i="3"/>
  <c r="E33" i="3" s="1"/>
  <c r="F8" i="3"/>
  <c r="G8" i="3"/>
  <c r="H8" i="3"/>
  <c r="I8" i="3"/>
  <c r="I33" i="3" s="1"/>
  <c r="J8" i="3"/>
  <c r="K8" i="3"/>
  <c r="L8" i="3"/>
  <c r="M8" i="3"/>
  <c r="B8" i="3"/>
  <c r="E94" i="7" l="1"/>
  <c r="E95" i="7" s="1"/>
  <c r="E96" i="7" s="1"/>
  <c r="E97" i="7" s="1"/>
  <c r="E98" i="7" s="1"/>
  <c r="E99" i="7" s="1"/>
  <c r="E100" i="7" s="1"/>
  <c r="E101" i="7" s="1"/>
  <c r="E102" i="7" s="1"/>
  <c r="E103" i="7" s="1"/>
  <c r="E104" i="7" s="1"/>
  <c r="E105" i="7" s="1"/>
  <c r="E106" i="7" s="1"/>
  <c r="E107" i="7" s="1"/>
  <c r="E108" i="7" s="1"/>
  <c r="E109" i="7" s="1"/>
  <c r="E110" i="7" s="1"/>
  <c r="E111" i="7" s="1"/>
  <c r="E112" i="7" s="1"/>
  <c r="E113" i="7" s="1"/>
  <c r="E114" i="7" s="1"/>
  <c r="E115" i="7" s="1"/>
  <c r="E116" i="7" s="1"/>
  <c r="E117" i="7" s="1"/>
  <c r="E118" i="7" s="1"/>
  <c r="E119" i="7" s="1"/>
  <c r="E120" i="7" s="1"/>
  <c r="E121" i="7" s="1"/>
  <c r="E122" i="7" s="1"/>
  <c r="E123" i="7" s="1"/>
  <c r="L33" i="2"/>
  <c r="B33" i="2"/>
  <c r="M33" i="3"/>
  <c r="L33" i="3"/>
  <c r="J33" i="3"/>
  <c r="H33" i="3"/>
  <c r="F33" i="3"/>
  <c r="J33" i="2"/>
  <c r="C33" i="3"/>
  <c r="C35" i="3" s="1"/>
  <c r="C37" i="3" s="1"/>
  <c r="E34" i="3" s="1"/>
  <c r="E35" i="3" s="1"/>
  <c r="E37" i="3" s="1"/>
  <c r="G34" i="3" s="1"/>
  <c r="D33" i="2"/>
  <c r="K33" i="3"/>
  <c r="G33" i="3"/>
  <c r="D33" i="3"/>
  <c r="B33" i="3"/>
  <c r="B35" i="3" s="1"/>
  <c r="B37" i="3" s="1"/>
  <c r="G35" i="3" l="1"/>
  <c r="G37" i="3" s="1"/>
  <c r="I34" i="3" s="1"/>
  <c r="I35" i="3" s="1"/>
  <c r="I37" i="3" s="1"/>
  <c r="K34" i="3" s="1"/>
  <c r="K35" i="3" s="1"/>
  <c r="K37" i="3" s="1"/>
  <c r="M34" i="3" s="1"/>
  <c r="M35" i="3" s="1"/>
  <c r="M37" i="3" s="1"/>
  <c r="C34" i="2" s="1"/>
  <c r="C35" i="2" s="1"/>
  <c r="C37" i="2" s="1"/>
  <c r="E34" i="2" s="1"/>
  <c r="E35" i="2" s="1"/>
  <c r="E37" i="2" s="1"/>
  <c r="G34" i="2" s="1"/>
  <c r="G35" i="2" s="1"/>
  <c r="G37" i="2" s="1"/>
  <c r="I34" i="2" s="1"/>
  <c r="I35" i="2" s="1"/>
  <c r="I37" i="2" s="1"/>
  <c r="K34" i="2" s="1"/>
  <c r="K35" i="2" s="1"/>
  <c r="K37" i="2" s="1"/>
  <c r="M34" i="2" s="1"/>
  <c r="M35" i="2" s="1"/>
  <c r="M37" i="2" s="1"/>
  <c r="D34" i="3"/>
  <c r="D35" i="3" s="1"/>
  <c r="D37" i="3" s="1"/>
  <c r="F34" i="3" s="1"/>
  <c r="F35" i="3" s="1"/>
  <c r="F37" i="3" s="1"/>
  <c r="H34" i="3" s="1"/>
  <c r="H35" i="3" s="1"/>
  <c r="H37" i="3" s="1"/>
  <c r="J34" i="3" s="1"/>
  <c r="J35" i="3" s="1"/>
  <c r="J37" i="3" s="1"/>
  <c r="L34" i="3" s="1"/>
  <c r="L35" i="3" s="1"/>
  <c r="L37" i="3" s="1"/>
  <c r="B34" i="2" s="1"/>
  <c r="B35" i="2" s="1"/>
  <c r="B37" i="2" s="1"/>
  <c r="D34" i="2" s="1"/>
  <c r="D35" i="2" s="1"/>
  <c r="D37" i="2" s="1"/>
  <c r="F34" i="2" s="1"/>
  <c r="F35" i="2" s="1"/>
  <c r="F37" i="2" s="1"/>
  <c r="H34" i="2" s="1"/>
  <c r="H35" i="2" s="1"/>
  <c r="H37" i="2" s="1"/>
  <c r="J34" i="2" s="1"/>
  <c r="J35" i="2" s="1"/>
  <c r="J37" i="2" s="1"/>
  <c r="L34" i="2" s="1"/>
  <c r="L35" i="2" s="1"/>
  <c r="L37" i="2" s="1"/>
  <c r="E12" i="16"/>
  <c r="F12" i="16" s="1"/>
  <c r="F13" i="16" s="1"/>
  <c r="F14" i="16" s="1"/>
  <c r="F15" i="16" s="1"/>
  <c r="F16" i="16" s="1"/>
  <c r="F17" i="16" s="1"/>
  <c r="F18" i="16" s="1"/>
  <c r="F19" i="16" s="1"/>
  <c r="F20" i="16" s="1"/>
  <c r="F21" i="16" s="1"/>
  <c r="F22" i="16" s="1"/>
  <c r="F23" i="16" s="1"/>
  <c r="F24" i="16" s="1"/>
  <c r="F25" i="16" s="1"/>
  <c r="F26" i="16" s="1"/>
  <c r="F27" i="16" s="1"/>
  <c r="F28" i="16" s="1"/>
  <c r="F29" i="16" s="1"/>
  <c r="F30" i="16" s="1"/>
  <c r="F31" i="16" s="1"/>
  <c r="F32" i="16" s="1"/>
  <c r="F33" i="16" s="1"/>
  <c r="F34" i="16" s="1"/>
  <c r="F35" i="16" s="1"/>
  <c r="F36" i="16" s="1"/>
  <c r="F37" i="16" s="1"/>
</calcChain>
</file>

<file path=xl/sharedStrings.xml><?xml version="1.0" encoding="utf-8"?>
<sst xmlns="http://schemas.openxmlformats.org/spreadsheetml/2006/main" count="587" uniqueCount="278">
  <si>
    <t>ENTRADAS</t>
  </si>
  <si>
    <t>Fornecedores</t>
  </si>
  <si>
    <t>Folha de pagamento</t>
  </si>
  <si>
    <t>INSS a recolher</t>
  </si>
  <si>
    <t>FGTS</t>
  </si>
  <si>
    <t>Impostos s/ vendas</t>
  </si>
  <si>
    <t>Aluguéis</t>
  </si>
  <si>
    <t>Energia elétrica</t>
  </si>
  <si>
    <t>Telefone</t>
  </si>
  <si>
    <t>Serviços contabilidade</t>
  </si>
  <si>
    <t>Combustíveis</t>
  </si>
  <si>
    <t>Manut. de veículos</t>
  </si>
  <si>
    <t>Manutenção fábrica</t>
  </si>
  <si>
    <t>Despesas diversas</t>
  </si>
  <si>
    <t>Férias</t>
  </si>
  <si>
    <t>13º salário</t>
  </si>
  <si>
    <t>Verbas para rescisão</t>
  </si>
  <si>
    <t>Empréstimos bancários</t>
  </si>
  <si>
    <t>Financiamentos equip.</t>
  </si>
  <si>
    <t>Despesas financeiras</t>
  </si>
  <si>
    <t>Previsão de recebimento vendas</t>
  </si>
  <si>
    <t>Outros recebimentos</t>
  </si>
  <si>
    <t>TOTAL DAS ENTRADAS</t>
  </si>
  <si>
    <t>SAÍDAS</t>
  </si>
  <si>
    <t>Retiradas sócios</t>
  </si>
  <si>
    <t>Pagamento novos empréstimos</t>
  </si>
  <si>
    <t>TOTAL DAS SAÍDAS</t>
  </si>
  <si>
    <t>1 (ENTRADAS - SAÍDAS)</t>
  </si>
  <si>
    <t>2 SALDO ANTERIOR</t>
  </si>
  <si>
    <t>4 NECESSIDADE EMPRÉSTIMOS</t>
  </si>
  <si>
    <t>5 SALDO FINAL (3 + 4)</t>
  </si>
  <si>
    <t>Previsão</t>
  </si>
  <si>
    <t>Realizado</t>
  </si>
  <si>
    <t>PLANILHA DE FLUXO DE CAIXA</t>
  </si>
  <si>
    <t>3 SALDO ACUMULADO (1 + 2 )</t>
  </si>
  <si>
    <t>Outros pagamentos</t>
  </si>
  <si>
    <t>Contas a receber-vendas realizadas</t>
  </si>
  <si>
    <t>CONTAS A RECEBER - ALUGUEL KITNET</t>
  </si>
  <si>
    <t>DIA</t>
  </si>
  <si>
    <t>JANEIRO</t>
  </si>
  <si>
    <t>FEVEREIRO</t>
  </si>
  <si>
    <t>MARCO</t>
  </si>
  <si>
    <t>ABRIL</t>
  </si>
  <si>
    <t>MAIO</t>
  </si>
  <si>
    <t>JUNHO</t>
  </si>
  <si>
    <t>JULHO</t>
  </si>
  <si>
    <t>AGOSTO</t>
  </si>
  <si>
    <t>SETEMBRO</t>
  </si>
  <si>
    <t>OUTUBRO</t>
  </si>
  <si>
    <t>NOBEMBRO</t>
  </si>
  <si>
    <t>DEZEMBRO</t>
  </si>
  <si>
    <t>ALUGUEL ANDREZA</t>
  </si>
  <si>
    <t xml:space="preserve">DESCRICAO </t>
  </si>
  <si>
    <t>ALUGUEL MARIA CLARA</t>
  </si>
  <si>
    <t>ALUGUEL ELLEN</t>
  </si>
  <si>
    <t>ALUGUEL MACIEL</t>
  </si>
  <si>
    <t>ALUGUEL ANA 1 PARC</t>
  </si>
  <si>
    <t>ALUGUEL ANA 2 PARC</t>
  </si>
  <si>
    <t>ALUGUEL ANDRESSA</t>
  </si>
  <si>
    <t>ALUGUEL ANA CLAUDIA</t>
  </si>
  <si>
    <t>ALUGUEL AUGUSTO CESAR</t>
  </si>
  <si>
    <t>TOTAIS</t>
  </si>
  <si>
    <t>A RECEBER     (R$)</t>
  </si>
  <si>
    <t>CONTAS A PAGAR -  KITNET</t>
  </si>
  <si>
    <t>LUZ KITNET</t>
  </si>
  <si>
    <t>AGUA KITNET</t>
  </si>
  <si>
    <t>INTERNET KITNET</t>
  </si>
  <si>
    <t>A PAGAR     (R$)</t>
  </si>
  <si>
    <t>CARTAO CAIXA - PRO LABORE</t>
  </si>
  <si>
    <t>COND BURITI - PRO LABORE</t>
  </si>
  <si>
    <t>CARTAO AME - PRO LABORE</t>
  </si>
  <si>
    <t>NETIFLIX - PRO LABORE</t>
  </si>
  <si>
    <t>LUZ BURITI  - PRO LABORE</t>
  </si>
  <si>
    <t>AGUA BURITI  - PRO LABORE</t>
  </si>
  <si>
    <t>INTERNET BURITI  - PRO LABORE</t>
  </si>
  <si>
    <t>CLARO  - PRO LABORE</t>
  </si>
  <si>
    <t>PAGO (R$)             DATA E CONTA</t>
  </si>
  <si>
    <t>REC.CP MAR</t>
  </si>
  <si>
    <t>REC.CP MAE</t>
  </si>
  <si>
    <t>TOTAL 2022- CONTAS</t>
  </si>
  <si>
    <t>MAR</t>
  </si>
  <si>
    <t>MAE</t>
  </si>
  <si>
    <t>SEGURO DE VIDA DER  - PRO LABORE</t>
  </si>
  <si>
    <t>SEGURO DE VIDA MAR- PRO LABORE</t>
  </si>
  <si>
    <t>PRESTACAO APT PARC 233   - PRO LABORE</t>
  </si>
  <si>
    <t>PRESTACAO APT  PARC 232- PRO LABORE</t>
  </si>
  <si>
    <t>GAS  - PRO LABORE</t>
  </si>
  <si>
    <t>CAFU  - PRO LABORE</t>
  </si>
  <si>
    <t>AGUA TOLENDAL  - PRO LABORE</t>
  </si>
  <si>
    <t>ENEL TOLENDAL -  PRO LABORE</t>
  </si>
  <si>
    <t>COLIRIO DIGBY - PRO LABORE</t>
  </si>
  <si>
    <t>MEI MAE-  - PRO LABORE</t>
  </si>
  <si>
    <t>IPTU KITNET</t>
  </si>
  <si>
    <t>BOLETO TOLENDAL 3/3</t>
  </si>
  <si>
    <t>PRO-LABORE MAE</t>
  </si>
  <si>
    <t>MEI MARGARETH- PRO LABORE</t>
  </si>
  <si>
    <t>IPTU BURITI -  PRO LABORE</t>
  </si>
  <si>
    <t>IPVA AGILE - PRO LABORE</t>
  </si>
  <si>
    <t>FLUXO DE CAIXA - KITNET</t>
  </si>
  <si>
    <t>A RECEBER  (R$)</t>
  </si>
  <si>
    <t>A PAGAR    (R$)</t>
  </si>
  <si>
    <t>SALDO ANTERIOR</t>
  </si>
  <si>
    <t>SALDO</t>
  </si>
  <si>
    <t>EMPRESTIMO DERLON</t>
  </si>
  <si>
    <t>CLARO  - PRO LABORE (100)</t>
  </si>
  <si>
    <t>ALUGUEL</t>
  </si>
  <si>
    <t>BOLETO RELOGIO TOLENDAL 3/3</t>
  </si>
  <si>
    <t>ENTRADAS (R$)</t>
  </si>
  <si>
    <t>SAIDAS               (R$)</t>
  </si>
  <si>
    <t>SALDO (R$)</t>
  </si>
  <si>
    <t>TIPO DE CONTA</t>
  </si>
  <si>
    <t>TAXA DE JUROS CAIXA</t>
  </si>
  <si>
    <t xml:space="preserve">TROCA MIOLO KIT 6+2COPIAS CHAVES </t>
  </si>
  <si>
    <t>EMPRESTIMO MAE</t>
  </si>
  <si>
    <t>PRESTACAO APT PARC 233 24/12   - PRO LABORE</t>
  </si>
  <si>
    <t>IOF ITAU</t>
  </si>
  <si>
    <t>JUROS ITAU</t>
  </si>
  <si>
    <t>LUZ BURITI  28/12- PRO LABORE</t>
  </si>
  <si>
    <t>COMPRAS ALIMENTACAO - PRO LABORE</t>
  </si>
  <si>
    <t>AGUA TOLENDAL  30/11- PRO LABORE</t>
  </si>
  <si>
    <t>LUZ KITNET 10/12</t>
  </si>
  <si>
    <t>ENEL TOLENDAL 09/12 -  PRO LABORE</t>
  </si>
  <si>
    <t>PRO-LABORE</t>
  </si>
  <si>
    <t>A VISTA</t>
  </si>
  <si>
    <t>GASOLINA</t>
  </si>
  <si>
    <t>PECA KIT 7 - REGISTRO CHUVEIRO.</t>
  </si>
  <si>
    <t>DEVOLUCAO MAE EMPRESTIMO</t>
  </si>
  <si>
    <t>AGUA E LUZ</t>
  </si>
  <si>
    <t>JUROS BANCARIOS</t>
  </si>
  <si>
    <t>BOLETO IBAMA- CONCURSO PRO-LABORE</t>
  </si>
  <si>
    <t>MANUTENCAO PREDIAL</t>
  </si>
  <si>
    <t>EMPRESTIMO</t>
  </si>
  <si>
    <t>RACAO CACHORROS - PRO LABORE</t>
  </si>
  <si>
    <t>Obs: aqui no fluxo de caixa e que se percebe a quantia real de seu disponivel circulante para financiamento e novas atividades.</t>
  </si>
  <si>
    <t>As atividades do porte financeiro tem como base a analise do balanco patrimonial ,mas principalmente o do fluxo de caixa.</t>
  </si>
  <si>
    <t>Com as informacoes do fluxo de caixa o empresario pode elaborar a:</t>
  </si>
  <si>
    <t>1-estrutura gerencial de resultados</t>
  </si>
  <si>
    <t>2-a analise de sensibilidade</t>
  </si>
  <si>
    <t>3-calcular a rentabilidade</t>
  </si>
  <si>
    <t>4-a lucratividade</t>
  </si>
  <si>
    <t>5- o ponto de equilibrio</t>
  </si>
  <si>
    <t>6- o prazo de retorno do investimento</t>
  </si>
  <si>
    <t>RESULTADO NEGATITO NO FLUXO DE CAIXA PODE SER:</t>
  </si>
  <si>
    <t>PREJUIZO</t>
  </si>
  <si>
    <t>IMPREVISTO</t>
  </si>
  <si>
    <t>FALHA NO PLANEJAMENTO</t>
  </si>
  <si>
    <t>Telefone/internet</t>
  </si>
  <si>
    <t>Despesas diversas - agua</t>
  </si>
  <si>
    <t>PLANILHA DE FLUXO DE CAIXA - 2022</t>
  </si>
  <si>
    <t>MARMITA CANAA - PROLABORE</t>
  </si>
  <si>
    <t>MERCADO MINEIRAO-PROLABORE</t>
  </si>
  <si>
    <t>MARMITA PEIXE VIVO - PROLABORE</t>
  </si>
  <si>
    <t>SEGURO EMPRESTIMO- JUROS BANCARIOS</t>
  </si>
  <si>
    <t>CONTROLE DE CAIXA - KITNET - JANEIRO 2022</t>
  </si>
  <si>
    <t>CONTROLE DE CAIXA - KITNET - FEVEREIRO-2022</t>
  </si>
  <si>
    <t>Impostos s/ vendas - IPTU</t>
  </si>
  <si>
    <t>DEMONSTRATIVO DE FLUXO DE CAIXA  DE 2017</t>
  </si>
  <si>
    <t>Saldo inicial</t>
  </si>
  <si>
    <t>(+)ENTRADAS</t>
  </si>
  <si>
    <t>Receita 2017</t>
  </si>
  <si>
    <t>Emprestimo</t>
  </si>
  <si>
    <t>Duplicatas a receber 2016</t>
  </si>
  <si>
    <t>(-) SAIDAS</t>
  </si>
  <si>
    <t>Salarios</t>
  </si>
  <si>
    <t>Despesas</t>
  </si>
  <si>
    <t>Despesas financeiras (juros)</t>
  </si>
  <si>
    <t>Moveis e utensilios</t>
  </si>
  <si>
    <t>Veiculos</t>
  </si>
  <si>
    <t>Aplicacao</t>
  </si>
  <si>
    <t>Saldo final de caixa</t>
  </si>
  <si>
    <t>Pro-labore</t>
  </si>
  <si>
    <t>Caixa</t>
  </si>
  <si>
    <t>Banco</t>
  </si>
  <si>
    <t>Capital social</t>
  </si>
  <si>
    <t>Data</t>
  </si>
  <si>
    <t>Resultado</t>
  </si>
  <si>
    <t>Fluxo de caixa</t>
  </si>
  <si>
    <t>Entrada</t>
  </si>
  <si>
    <t>Tipos de recebimento</t>
  </si>
  <si>
    <t>DEPOSITO CP MAE</t>
  </si>
  <si>
    <t>DEPOSITO CP DERLON</t>
  </si>
  <si>
    <t>CARTAO ALIMENTACAO</t>
  </si>
  <si>
    <t>CARTAO DE CREDITO</t>
  </si>
  <si>
    <t>Saidas</t>
  </si>
  <si>
    <t>Descricao</t>
  </si>
  <si>
    <t>Entradas</t>
  </si>
  <si>
    <t>TAXA DE JUROS</t>
  </si>
  <si>
    <t>MARMITAS</t>
  </si>
  <si>
    <t>MATERIAIS MANUTENCAO KITNET</t>
  </si>
  <si>
    <t>RACAO CACHORROS</t>
  </si>
  <si>
    <t>REMEDIOS CACHORROS</t>
  </si>
  <si>
    <t xml:space="preserve">CARTAO AME </t>
  </si>
  <si>
    <t>CARTAO CAIXA</t>
  </si>
  <si>
    <t>COND BURITI</t>
  </si>
  <si>
    <t xml:space="preserve">AGUA BURITI  </t>
  </si>
  <si>
    <t xml:space="preserve">LUZ BURITI  </t>
  </si>
  <si>
    <t>GAS</t>
  </si>
  <si>
    <t>MAO DE OBRA MANUTENCAO KITNET</t>
  </si>
  <si>
    <t>MAO DE OBRA MANUTNECAO APTO BURITI</t>
  </si>
  <si>
    <t>PRESTACAO APT PARC</t>
  </si>
  <si>
    <t>SEGURO KITNET</t>
  </si>
  <si>
    <t>SEGURO DE VIDA</t>
  </si>
  <si>
    <t>SEGURO APT BURITI</t>
  </si>
  <si>
    <t>SEGURO EMPRESTIMO</t>
  </si>
  <si>
    <t xml:space="preserve">EMPRESTIMO </t>
  </si>
  <si>
    <t>IPTU</t>
  </si>
  <si>
    <t>IPVA</t>
  </si>
  <si>
    <t>MEI</t>
  </si>
  <si>
    <t>AJUDAS FINANCEIRAS</t>
  </si>
  <si>
    <t>COMISSAO - MANUTENCAO KITNET</t>
  </si>
  <si>
    <t>ALIMENTACAO</t>
  </si>
  <si>
    <t>MANUTENCAO CARRO</t>
  </si>
  <si>
    <t>GASOLINA VIAGEM</t>
  </si>
  <si>
    <t>SALAO</t>
  </si>
  <si>
    <t>LAZER</t>
  </si>
  <si>
    <t>LOJAS</t>
  </si>
  <si>
    <t>ENERGIA KITNET</t>
  </si>
  <si>
    <t>Tipo</t>
  </si>
  <si>
    <t>Valor Bruto</t>
  </si>
  <si>
    <t>Taxa desconto</t>
  </si>
  <si>
    <t>Valor liquido</t>
  </si>
  <si>
    <t>Prazo para execucao</t>
  </si>
  <si>
    <t>3 - DEPOSITO CP DERLON</t>
  </si>
  <si>
    <t>Cod.</t>
  </si>
  <si>
    <t>1 - DEPOSITO CP MAE</t>
  </si>
  <si>
    <t>4 - CARTAO ALIMENTACAO</t>
  </si>
  <si>
    <t>Dia do faturamento da venda ou do gasto</t>
  </si>
  <si>
    <t>Data recebimento do credito  ou vencimento da fatura</t>
  </si>
  <si>
    <t>Vendas Liquidas</t>
  </si>
  <si>
    <t>CAIXA</t>
  </si>
  <si>
    <t>CAIXA LIQUIDO</t>
  </si>
  <si>
    <t>SALDO DE CAIXA</t>
  </si>
  <si>
    <t>ANO</t>
  </si>
  <si>
    <t>MÊS</t>
  </si>
  <si>
    <t>CAIXA2</t>
  </si>
  <si>
    <t>Mês</t>
  </si>
  <si>
    <t>Obs</t>
  </si>
  <si>
    <t>Saldo inical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</si>
  <si>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</si>
  <si>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</si>
  <si>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</si>
  <si>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</si>
  <si>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</si>
  <si>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</si>
  <si>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</si>
  <si>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</si>
  <si>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</si>
  <si>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</si>
  <si>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</si>
  <si>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</si>
  <si>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Receitas Liquidas</t>
  </si>
  <si>
    <t>DEPOSITO CP MARGARETH</t>
  </si>
  <si>
    <t>Despesas Gerais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</si>
  <si>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</si>
  <si>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</si>
  <si>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</si>
  <si>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</si>
  <si>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</si>
  <si>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</si>
  <si>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</si>
  <si>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</si>
  <si>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</si>
  <si>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</si>
  <si>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</si>
  <si>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</si>
  <si>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dia</t>
  </si>
  <si>
    <t>Saldo</t>
  </si>
  <si>
    <t>2 - DEPOSITO CP MARGARETH</t>
  </si>
  <si>
    <t>Total</t>
  </si>
  <si>
    <t>REGIME DE CAIXA - mesal</t>
  </si>
  <si>
    <t>Contas a pagar curto prazo</t>
  </si>
  <si>
    <t>Compra de maquina para municao R$ 50000,00 parc 15x</t>
  </si>
  <si>
    <t>Fornecedores a longo prazo</t>
  </si>
  <si>
    <t>Fornecedoress a curto prazo</t>
  </si>
  <si>
    <t>Software</t>
  </si>
  <si>
    <t>Abertura da empresa com escrituracao de 350.000,00 com deposito bancario</t>
  </si>
  <si>
    <t>Internet buriti</t>
  </si>
  <si>
    <t>cp mar 20/01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</si>
</sst>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#,##0.00_ ;\-#,##0.00\ "/>
    <numFmt numFmtId="165" formatCode="&quot;R$&quot;\ #,##0.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theme="3"/>
      <name val="Calibri"/>
      <family val="2"/>
      <scheme val="minor"/>
    </font>
    <font>
      <sz val="8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Symbol"/>
      <family val="1"/>
      <charset val="2"/>
    </font>
    <font>
      <sz val="9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3" tint="0.79998168889431442"/>
      <name val="Calibri"/>
      <family val="2"/>
      <scheme val="minor"/>
    </font>
    <font>
      <sz val="9"/>
      <color rgb="FFFF000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49">
    <xf numFmtId="0" fontId="0" fillId="0" borderId="0" xfId="0"/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2" borderId="0" xfId="0" applyFill="1"/>
    <xf numFmtId="0" fontId="2" fillId="3" borderId="10" xfId="0" applyFont="1" applyFill="1" applyBorder="1"/>
    <xf numFmtId="0" fontId="2" fillId="3" borderId="16" xfId="0" applyFont="1" applyFill="1" applyBorder="1"/>
    <xf numFmtId="0" fontId="0" fillId="2" borderId="0" xfId="0" applyFill="1" applyProtection="1">
      <protection locked="0"/>
    </xf>
    <xf numFmtId="0" fontId="0" fillId="2" borderId="0" xfId="0" applyFill="1" applyProtection="1"/>
    <xf numFmtId="0" fontId="2" fillId="4" borderId="10" xfId="0" applyFont="1" applyFill="1" applyBorder="1" applyProtection="1"/>
    <xf numFmtId="0" fontId="2" fillId="3" borderId="2" xfId="0" applyFont="1" applyFill="1" applyBorder="1"/>
    <xf numFmtId="0" fontId="0" fillId="3" borderId="3" xfId="0" applyFill="1" applyBorder="1"/>
    <xf numFmtId="0" fontId="0" fillId="3" borderId="4" xfId="0" applyFill="1" applyBorder="1"/>
    <xf numFmtId="4" fontId="0" fillId="3" borderId="11" xfId="1" applyNumberFormat="1" applyFont="1" applyFill="1" applyBorder="1"/>
    <xf numFmtId="4" fontId="0" fillId="0" borderId="1" xfId="1" applyNumberFormat="1" applyFont="1" applyBorder="1" applyProtection="1">
      <protection locked="0"/>
    </xf>
    <xf numFmtId="4" fontId="0" fillId="0" borderId="6" xfId="1" applyNumberFormat="1" applyFont="1" applyBorder="1" applyProtection="1">
      <protection locked="0"/>
    </xf>
    <xf numFmtId="4" fontId="0" fillId="0" borderId="8" xfId="1" applyNumberFormat="1" applyFont="1" applyBorder="1" applyProtection="1">
      <protection locked="0"/>
    </xf>
    <xf numFmtId="4" fontId="0" fillId="0" borderId="9" xfId="1" applyNumberFormat="1" applyFont="1" applyBorder="1" applyProtection="1">
      <protection locked="0"/>
    </xf>
    <xf numFmtId="4" fontId="0" fillId="0" borderId="14" xfId="1" applyNumberFormat="1" applyFont="1" applyBorder="1" applyProtection="1">
      <protection locked="0"/>
    </xf>
    <xf numFmtId="4" fontId="0" fillId="0" borderId="15" xfId="1" applyNumberFormat="1" applyFont="1" applyBorder="1" applyProtection="1">
      <protection locked="0"/>
    </xf>
    <xf numFmtId="4" fontId="0" fillId="3" borderId="12" xfId="1" applyNumberFormat="1" applyFont="1" applyFill="1" applyBorder="1"/>
    <xf numFmtId="4" fontId="0" fillId="4" borderId="11" xfId="1" applyNumberFormat="1" applyFont="1" applyFill="1" applyBorder="1" applyProtection="1">
      <protection locked="0"/>
    </xf>
    <xf numFmtId="4" fontId="0" fillId="3" borderId="11" xfId="1" applyNumberFormat="1" applyFont="1" applyFill="1" applyBorder="1" applyProtection="1"/>
    <xf numFmtId="4" fontId="0" fillId="3" borderId="12" xfId="1" applyNumberFormat="1" applyFont="1" applyFill="1" applyBorder="1" applyProtection="1"/>
    <xf numFmtId="4" fontId="0" fillId="4" borderId="12" xfId="1" applyNumberFormat="1" applyFont="1" applyFill="1" applyBorder="1" applyProtection="1">
      <protection locked="0"/>
    </xf>
    <xf numFmtId="4" fontId="0" fillId="3" borderId="17" xfId="1" applyNumberFormat="1" applyFont="1" applyFill="1" applyBorder="1"/>
    <xf numFmtId="4" fontId="0" fillId="3" borderId="18" xfId="1" applyNumberFormat="1" applyFont="1" applyFill="1" applyBorder="1"/>
    <xf numFmtId="164" fontId="0" fillId="0" borderId="1" xfId="1" applyNumberFormat="1" applyFont="1" applyBorder="1" applyProtection="1">
      <protection locked="0"/>
    </xf>
    <xf numFmtId="164" fontId="0" fillId="0" borderId="6" xfId="1" applyNumberFormat="1" applyFont="1" applyBorder="1" applyProtection="1">
      <protection locked="0"/>
    </xf>
    <xf numFmtId="164" fontId="0" fillId="0" borderId="8" xfId="1" applyNumberFormat="1" applyFont="1" applyBorder="1" applyProtection="1">
      <protection locked="0"/>
    </xf>
    <xf numFmtId="164" fontId="0" fillId="0" borderId="9" xfId="1" applyNumberFormat="1" applyFont="1" applyBorder="1" applyProtection="1">
      <protection locked="0"/>
    </xf>
    <xf numFmtId="164" fontId="0" fillId="3" borderId="11" xfId="1" applyNumberFormat="1" applyFont="1" applyFill="1" applyBorder="1"/>
    <xf numFmtId="164" fontId="0" fillId="0" borderId="14" xfId="1" applyNumberFormat="1" applyFont="1" applyBorder="1" applyProtection="1">
      <protection locked="0"/>
    </xf>
    <xf numFmtId="164" fontId="0" fillId="0" borderId="15" xfId="1" applyNumberFormat="1" applyFont="1" applyBorder="1" applyProtection="1">
      <protection locked="0"/>
    </xf>
    <xf numFmtId="164" fontId="0" fillId="3" borderId="12" xfId="1" applyNumberFormat="1" applyFont="1" applyFill="1" applyBorder="1"/>
    <xf numFmtId="164" fontId="0" fillId="3" borderId="11" xfId="1" applyNumberFormat="1" applyFont="1" applyFill="1" applyBorder="1" applyProtection="1">
      <protection locked="0"/>
    </xf>
    <xf numFmtId="164" fontId="0" fillId="3" borderId="11" xfId="1" applyNumberFormat="1" applyFont="1" applyFill="1" applyBorder="1" applyProtection="1"/>
    <xf numFmtId="164" fontId="0" fillId="3" borderId="12" xfId="1" applyNumberFormat="1" applyFont="1" applyFill="1" applyBorder="1" applyProtection="1"/>
    <xf numFmtId="164" fontId="0" fillId="4" borderId="11" xfId="1" applyNumberFormat="1" applyFont="1" applyFill="1" applyBorder="1" applyProtection="1">
      <protection locked="0"/>
    </xf>
    <xf numFmtId="164" fontId="0" fillId="4" borderId="12" xfId="1" applyNumberFormat="1" applyFont="1" applyFill="1" applyBorder="1" applyProtection="1">
      <protection locked="0"/>
    </xf>
    <xf numFmtId="164" fontId="0" fillId="3" borderId="17" xfId="1" applyNumberFormat="1" applyFont="1" applyFill="1" applyBorder="1"/>
    <xf numFmtId="164" fontId="0" fillId="3" borderId="18" xfId="1" applyNumberFormat="1" applyFont="1" applyFill="1" applyBorder="1"/>
    <xf numFmtId="0" fontId="2" fillId="3" borderId="2" xfId="0" applyFont="1" applyFill="1" applyBorder="1" applyProtection="1"/>
    <xf numFmtId="4" fontId="0" fillId="3" borderId="3" xfId="1" applyNumberFormat="1" applyFont="1" applyFill="1" applyBorder="1" applyProtection="1"/>
    <xf numFmtId="4" fontId="0" fillId="3" borderId="4" xfId="1" applyNumberFormat="1" applyFont="1" applyFill="1" applyBorder="1" applyProtection="1"/>
    <xf numFmtId="49" fontId="0" fillId="0" borderId="5" xfId="0" applyNumberFormat="1" applyBorder="1" applyAlignment="1" applyProtection="1">
      <alignment horizontal="left"/>
      <protection locked="0"/>
    </xf>
    <xf numFmtId="49" fontId="0" fillId="0" borderId="13" xfId="0" applyNumberFormat="1" applyBorder="1" applyAlignment="1" applyProtection="1">
      <alignment horizontal="left"/>
      <protection locked="0"/>
    </xf>
    <xf numFmtId="49" fontId="0" fillId="0" borderId="7" xfId="0" applyNumberFormat="1" applyBorder="1" applyAlignment="1" applyProtection="1">
      <alignment horizontal="left"/>
      <protection locked="0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0" xfId="0" applyFill="1" applyAlignment="1">
      <alignment horizontal="center"/>
    </xf>
    <xf numFmtId="164" fontId="0" fillId="3" borderId="3" xfId="1" applyNumberFormat="1" applyFont="1" applyFill="1" applyBorder="1" applyProtection="1"/>
    <xf numFmtId="164" fontId="0" fillId="3" borderId="4" xfId="1" applyNumberFormat="1" applyFont="1" applyFill="1" applyBorder="1" applyProtection="1"/>
    <xf numFmtId="0" fontId="0" fillId="0" borderId="1" xfId="0" applyBorder="1"/>
    <xf numFmtId="0" fontId="4" fillId="0" borderId="0" xfId="0" applyFont="1"/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right"/>
    </xf>
    <xf numFmtId="16" fontId="4" fillId="0" borderId="1" xfId="0" applyNumberFormat="1" applyFont="1" applyBorder="1"/>
    <xf numFmtId="16" fontId="6" fillId="4" borderId="1" xfId="0" applyNumberFormat="1" applyFont="1" applyFill="1" applyBorder="1"/>
    <xf numFmtId="4" fontId="7" fillId="4" borderId="1" xfId="0" applyNumberFormat="1" applyFont="1" applyFill="1" applyBorder="1"/>
    <xf numFmtId="4" fontId="7" fillId="4" borderId="1" xfId="0" applyNumberFormat="1" applyFont="1" applyFill="1" applyBorder="1" applyAlignment="1">
      <alignment horizontal="center"/>
    </xf>
    <xf numFmtId="16" fontId="6" fillId="4" borderId="1" xfId="0" applyNumberFormat="1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/>
    <xf numFmtId="4" fontId="4" fillId="0" borderId="0" xfId="0" applyNumberFormat="1" applyFont="1"/>
    <xf numFmtId="0" fontId="8" fillId="0" borderId="1" xfId="0" applyFont="1" applyBorder="1"/>
    <xf numFmtId="0" fontId="6" fillId="5" borderId="1" xfId="0" applyFont="1" applyFill="1" applyBorder="1"/>
    <xf numFmtId="4" fontId="6" fillId="5" borderId="1" xfId="0" applyNumberFormat="1" applyFont="1" applyFill="1" applyBorder="1"/>
    <xf numFmtId="0" fontId="4" fillId="0" borderId="0" xfId="0" applyFont="1" applyBorder="1"/>
    <xf numFmtId="4" fontId="4" fillId="0" borderId="1" xfId="0" applyNumberFormat="1" applyFont="1" applyBorder="1"/>
    <xf numFmtId="4" fontId="0" fillId="0" borderId="1" xfId="0" applyNumberFormat="1" applyBorder="1"/>
    <xf numFmtId="4" fontId="4" fillId="0" borderId="23" xfId="0" applyNumberFormat="1" applyFont="1" applyBorder="1"/>
    <xf numFmtId="4" fontId="8" fillId="0" borderId="1" xfId="0" applyNumberFormat="1" applyFont="1" applyBorder="1"/>
    <xf numFmtId="0" fontId="5" fillId="0" borderId="1" xfId="0" applyFont="1" applyBorder="1"/>
    <xf numFmtId="4" fontId="4" fillId="0" borderId="1" xfId="0" applyNumberFormat="1" applyFont="1" applyBorder="1" applyAlignment="1">
      <alignment horizontal="center"/>
    </xf>
    <xf numFmtId="4" fontId="4" fillId="0" borderId="1" xfId="0" applyNumberFormat="1" applyFont="1" applyBorder="1" applyAlignment="1">
      <alignment horizontal="center" vertical="center" wrapText="1"/>
    </xf>
    <xf numFmtId="4" fontId="0" fillId="0" borderId="0" xfId="0" applyNumberFormat="1"/>
    <xf numFmtId="4" fontId="6" fillId="0" borderId="1" xfId="0" applyNumberFormat="1" applyFont="1" applyBorder="1"/>
    <xf numFmtId="0" fontId="6" fillId="0" borderId="1" xfId="0" applyFont="1" applyBorder="1"/>
    <xf numFmtId="0" fontId="4" fillId="0" borderId="1" xfId="0" applyFont="1" applyBorder="1" applyAlignment="1">
      <alignment horizontal="center"/>
    </xf>
    <xf numFmtId="0" fontId="11" fillId="0" borderId="1" xfId="0" applyFont="1" applyBorder="1" applyAlignment="1">
      <alignment vertical="center"/>
    </xf>
    <xf numFmtId="0" fontId="11" fillId="0" borderId="1" xfId="0" applyFont="1" applyBorder="1" applyAlignment="1">
      <alignment vertical="center" wrapText="1"/>
    </xf>
    <xf numFmtId="0" fontId="11" fillId="0" borderId="0" xfId="0" applyFont="1" applyAlignment="1">
      <alignment vertical="center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 wrapText="1"/>
    </xf>
    <xf numFmtId="0" fontId="8" fillId="0" borderId="1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4" fillId="0" borderId="26" xfId="0" applyFont="1" applyBorder="1" applyAlignment="1">
      <alignment horizontal="center" vertical="center"/>
    </xf>
    <xf numFmtId="4" fontId="4" fillId="0" borderId="26" xfId="0" applyNumberFormat="1" applyFont="1" applyBorder="1" applyAlignment="1">
      <alignment horizontal="center" vertical="center" wrapText="1"/>
    </xf>
    <xf numFmtId="4" fontId="4" fillId="0" borderId="26" xfId="0" applyNumberFormat="1" applyFont="1" applyBorder="1" applyAlignment="1">
      <alignment horizontal="center" vertical="center"/>
    </xf>
    <xf numFmtId="0" fontId="11" fillId="0" borderId="26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 wrapText="1"/>
    </xf>
    <xf numFmtId="0" fontId="0" fillId="0" borderId="0" xfId="0" applyBorder="1" applyAlignment="1">
      <alignment horizontal="right"/>
    </xf>
    <xf numFmtId="4" fontId="4" fillId="0" borderId="0" xfId="0" applyNumberFormat="1" applyFont="1" applyBorder="1"/>
    <xf numFmtId="0" fontId="11" fillId="0" borderId="0" xfId="0" applyFont="1" applyBorder="1" applyAlignment="1">
      <alignment vertical="center"/>
    </xf>
    <xf numFmtId="0" fontId="0" fillId="0" borderId="0" xfId="0" applyBorder="1"/>
    <xf numFmtId="0" fontId="4" fillId="0" borderId="0" xfId="0" applyFont="1" applyBorder="1" applyAlignment="1">
      <alignment horizontal="center" wrapText="1"/>
    </xf>
    <xf numFmtId="0" fontId="4" fillId="0" borderId="0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3" borderId="3" xfId="0" applyFont="1" applyFill="1" applyBorder="1"/>
    <xf numFmtId="4" fontId="0" fillId="0" borderId="1" xfId="0" applyNumberFormat="1" applyFont="1" applyBorder="1"/>
    <xf numFmtId="0" fontId="0" fillId="0" borderId="0" xfId="0" applyFont="1"/>
    <xf numFmtId="0" fontId="0" fillId="2" borderId="0" xfId="0" applyFont="1" applyFill="1"/>
    <xf numFmtId="0" fontId="0" fillId="0" borderId="0" xfId="0" applyAlignment="1">
      <alignment horizontal="center"/>
    </xf>
    <xf numFmtId="0" fontId="12" fillId="0" borderId="1" xfId="0" applyFont="1" applyBorder="1"/>
    <xf numFmtId="4" fontId="5" fillId="0" borderId="1" xfId="0" applyNumberFormat="1" applyFont="1" applyBorder="1"/>
    <xf numFmtId="0" fontId="5" fillId="0" borderId="1" xfId="0" applyFont="1" applyFill="1" applyBorder="1"/>
    <xf numFmtId="4" fontId="12" fillId="0" borderId="1" xfId="0" applyNumberFormat="1" applyFont="1" applyBorder="1"/>
    <xf numFmtId="0" fontId="12" fillId="0" borderId="1" xfId="0" applyFont="1" applyBorder="1" applyAlignment="1"/>
    <xf numFmtId="14" fontId="0" fillId="0" borderId="1" xfId="0" applyNumberFormat="1" applyBorder="1"/>
    <xf numFmtId="165" fontId="0" fillId="0" borderId="1" xfId="0" applyNumberFormat="1" applyBorder="1"/>
    <xf numFmtId="0" fontId="5" fillId="0" borderId="0" xfId="0" applyFont="1"/>
    <xf numFmtId="165" fontId="0" fillId="0" borderId="1" xfId="0" applyNumberFormat="1" applyBorder="1" applyAlignment="1">
      <alignment horizontal="left"/>
    </xf>
    <xf numFmtId="0" fontId="5" fillId="0" borderId="0" xfId="0" applyFont="1" applyBorder="1"/>
    <xf numFmtId="0" fontId="14" fillId="0" borderId="0" xfId="0" applyFont="1"/>
    <xf numFmtId="0" fontId="15" fillId="7" borderId="0" xfId="0" applyFont="1" applyFill="1" applyBorder="1" applyAlignment="1"/>
    <xf numFmtId="0" fontId="5" fillId="4" borderId="0" xfId="0" applyFont="1" applyFill="1"/>
    <xf numFmtId="0" fontId="15" fillId="6" borderId="0" xfId="0" applyFont="1" applyFill="1"/>
    <xf numFmtId="0" fontId="15" fillId="7" borderId="22" xfId="0" applyFont="1" applyFill="1" applyBorder="1"/>
    <xf numFmtId="0" fontId="5" fillId="0" borderId="22" xfId="0" applyFont="1" applyBorder="1"/>
    <xf numFmtId="0" fontId="5" fillId="0" borderId="22" xfId="0" applyFont="1" applyFill="1" applyBorder="1"/>
    <xf numFmtId="0" fontId="15" fillId="7" borderId="1" xfId="0" applyFont="1" applyFill="1" applyBorder="1" applyAlignment="1"/>
    <xf numFmtId="0" fontId="15" fillId="6" borderId="1" xfId="0" applyFont="1" applyFill="1" applyBorder="1"/>
    <xf numFmtId="0" fontId="6" fillId="0" borderId="1" xfId="0" applyFont="1" applyBorder="1" applyAlignment="1">
      <alignment vertical="center"/>
    </xf>
    <xf numFmtId="0" fontId="4" fillId="0" borderId="1" xfId="0" applyFont="1" applyFill="1" applyBorder="1" applyAlignment="1">
      <alignment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3" xfId="0" applyBorder="1"/>
    <xf numFmtId="14" fontId="0" fillId="0" borderId="22" xfId="0" applyNumberFormat="1" applyBorder="1"/>
    <xf numFmtId="0" fontId="0" fillId="0" borderId="27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6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0" xfId="0" applyAlignment="1"/>
    <xf numFmtId="0" fontId="0" fillId="0" borderId="0" xfId="0" applyBorder="1" applyAlignment="1"/>
    <xf numFmtId="14" fontId="0" fillId="0" borderId="0" xfId="0" applyNumberFormat="1"/>
    <xf numFmtId="0" fontId="16" fillId="8" borderId="0" xfId="0" applyFont="1" applyFill="1" applyAlignment="1"/>
    <xf numFmtId="0" fontId="13" fillId="0" borderId="0" xfId="0" applyFont="1" applyAlignment="1">
      <alignment horizontal="center"/>
    </xf>
    <xf numFmtId="165" fontId="0" fillId="0" borderId="0" xfId="0" applyNumberFormat="1"/>
    <xf numFmtId="0" fontId="16" fillId="8" borderId="0" xfId="0" applyFont="1" applyFill="1" applyAlignment="1">
      <alignment horizontal="left"/>
    </xf>
    <xf numFmtId="0" fontId="13" fillId="9" borderId="0" xfId="0" applyFont="1" applyFill="1" applyAlignment="1">
      <alignment horizontal="center" vertical="center"/>
    </xf>
    <xf numFmtId="0" fontId="13" fillId="0" borderId="1" xfId="0" applyFont="1" applyBorder="1" applyAlignment="1">
      <alignment horizontal="center" vertical="top" wrapText="1"/>
    </xf>
    <xf numFmtId="0" fontId="13" fillId="0" borderId="1" xfId="0" applyFont="1" applyBorder="1" applyAlignment="1">
      <alignment horizontal="center" vertical="top"/>
    </xf>
    <xf numFmtId="0" fontId="0" fillId="0" borderId="0" xfId="0" applyFont="1" applyAlignment="1">
      <alignment horizontal="center"/>
    </xf>
    <xf numFmtId="0" fontId="0" fillId="5" borderId="0" xfId="0" applyFont="1" applyFill="1" applyAlignment="1">
      <alignment horizontal="center" vertical="center"/>
    </xf>
    <xf numFmtId="0" fontId="0" fillId="6" borderId="0" xfId="0" applyFont="1" applyFill="1" applyAlignment="1">
      <alignment horizontal="center" vertical="center"/>
    </xf>
    <xf numFmtId="0" fontId="0" fillId="0" borderId="1" xfId="0" applyFont="1" applyBorder="1" applyAlignment="1">
      <alignment horizontal="center" vertical="top"/>
    </xf>
    <xf numFmtId="0" fontId="18" fillId="11" borderId="0" xfId="0" applyFont="1" applyFill="1" applyAlignment="1">
      <alignment horizontal="left"/>
    </xf>
    <xf numFmtId="0" fontId="0" fillId="0" borderId="1" xfId="0" applyFont="1" applyBorder="1" applyAlignment="1">
      <alignment horizontal="center" vertical="center"/>
    </xf>
    <xf numFmtId="165" fontId="0" fillId="0" borderId="26" xfId="0" applyNumberFormat="1" applyFont="1" applyBorder="1" applyAlignment="1">
      <alignment horizontal="center" vertical="center"/>
    </xf>
    <xf numFmtId="14" fontId="16" fillId="8" borderId="0" xfId="0" applyNumberFormat="1" applyFont="1" applyFill="1" applyAlignment="1">
      <alignment horizontal="left"/>
    </xf>
    <xf numFmtId="14" fontId="18" fillId="11" borderId="0" xfId="0" applyNumberFormat="1" applyFont="1" applyFill="1" applyAlignment="1">
      <alignment horizontal="left"/>
    </xf>
    <xf numFmtId="165" fontId="0" fillId="0" borderId="0" xfId="0" applyNumberFormat="1" applyAlignment="1">
      <alignment horizontal="left"/>
    </xf>
    <xf numFmtId="0" fontId="5" fillId="0" borderId="0" xfId="0" applyFont="1" applyFill="1" applyBorder="1"/>
    <xf numFmtId="0" fontId="0" fillId="0" borderId="1" xfId="0" applyBorder="1" applyAlignment="1"/>
    <xf numFmtId="0" fontId="0" fillId="0" borderId="14" xfId="0" applyBorder="1" applyAlignment="1"/>
    <xf numFmtId="0" fontId="16" fillId="8" borderId="1" xfId="0" applyFont="1" applyFill="1" applyBorder="1" applyAlignment="1"/>
    <xf numFmtId="0" fontId="5" fillId="4" borderId="1" xfId="0" applyFont="1" applyFill="1" applyBorder="1"/>
    <xf numFmtId="0" fontId="5" fillId="0" borderId="23" xfId="0" applyFont="1" applyBorder="1"/>
    <xf numFmtId="0" fontId="4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 wrapText="1"/>
    </xf>
    <xf numFmtId="0" fontId="6" fillId="0" borderId="0" xfId="0" applyFont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4" fontId="0" fillId="0" borderId="1" xfId="2" applyNumberFormat="1" applyFont="1" applyBorder="1"/>
    <xf numFmtId="0" fontId="0" fillId="0" borderId="1" xfId="0" applyNumberFormat="1" applyBorder="1" applyAlignment="1">
      <alignment horizontal="center"/>
    </xf>
    <xf numFmtId="0" fontId="4" fillId="4" borderId="23" xfId="0" applyFont="1" applyFill="1" applyBorder="1"/>
    <xf numFmtId="165" fontId="4" fillId="0" borderId="1" xfId="0" applyNumberFormat="1" applyFont="1" applyBorder="1"/>
    <xf numFmtId="0" fontId="4" fillId="0" borderId="23" xfId="0" applyFont="1" applyFill="1" applyBorder="1"/>
    <xf numFmtId="0" fontId="5" fillId="0" borderId="29" xfId="0" applyFont="1" applyFill="1" applyBorder="1"/>
    <xf numFmtId="165" fontId="0" fillId="0" borderId="29" xfId="0" applyNumberFormat="1" applyBorder="1"/>
    <xf numFmtId="165" fontId="0" fillId="0" borderId="23" xfId="0" applyNumberFormat="1" applyBorder="1"/>
    <xf numFmtId="0" fontId="5" fillId="10" borderId="23" xfId="0" applyFont="1" applyFill="1" applyBorder="1"/>
    <xf numFmtId="165" fontId="0" fillId="10" borderId="1" xfId="0" applyNumberFormat="1" applyFill="1" applyBorder="1"/>
    <xf numFmtId="0" fontId="5" fillId="6" borderId="23" xfId="0" applyFont="1" applyFill="1" applyBorder="1"/>
    <xf numFmtId="165" fontId="0" fillId="6" borderId="1" xfId="0" applyNumberFormat="1" applyFill="1" applyBorder="1"/>
    <xf numFmtId="0" fontId="0" fillId="12" borderId="0" xfId="0" applyFill="1" applyBorder="1"/>
    <xf numFmtId="0" fontId="5" fillId="12" borderId="0" xfId="0" applyFont="1" applyFill="1" applyBorder="1"/>
    <xf numFmtId="0" fontId="17" fillId="12" borderId="1" xfId="0" applyFont="1" applyFill="1" applyBorder="1" applyAlignment="1"/>
    <xf numFmtId="165" fontId="17" fillId="12" borderId="1" xfId="0" applyNumberFormat="1" applyFont="1" applyFill="1" applyBorder="1" applyAlignment="1"/>
    <xf numFmtId="0" fontId="0" fillId="12" borderId="0" xfId="0" applyFill="1"/>
    <xf numFmtId="0" fontId="19" fillId="12" borderId="1" xfId="0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/>
    </xf>
    <xf numFmtId="4" fontId="4" fillId="10" borderId="23" xfId="0" applyNumberFormat="1" applyFont="1" applyFill="1" applyBorder="1"/>
    <xf numFmtId="4" fontId="4" fillId="10" borderId="1" xfId="0" applyNumberFormat="1" applyFont="1" applyFill="1" applyBorder="1"/>
    <xf numFmtId="0" fontId="11" fillId="10" borderId="1" xfId="0" applyFont="1" applyFill="1" applyBorder="1" applyAlignment="1">
      <alignment vertical="center"/>
    </xf>
    <xf numFmtId="0" fontId="4" fillId="13" borderId="1" xfId="0" applyFont="1" applyFill="1" applyBorder="1" applyAlignment="1">
      <alignment horizontal="center"/>
    </xf>
    <xf numFmtId="0" fontId="4" fillId="14" borderId="1" xfId="0" applyFont="1" applyFill="1" applyBorder="1" applyAlignment="1">
      <alignment horizontal="center"/>
    </xf>
    <xf numFmtId="0" fontId="0" fillId="15" borderId="0" xfId="0" applyFill="1"/>
    <xf numFmtId="0" fontId="0" fillId="13" borderId="0" xfId="0" applyFill="1"/>
    <xf numFmtId="0" fontId="0" fillId="14" borderId="0" xfId="0" applyFill="1"/>
    <xf numFmtId="0" fontId="0" fillId="16" borderId="0" xfId="0" applyFill="1"/>
    <xf numFmtId="4" fontId="4" fillId="14" borderId="1" xfId="0" applyNumberFormat="1" applyFont="1" applyFill="1" applyBorder="1"/>
    <xf numFmtId="0" fontId="4" fillId="16" borderId="1" xfId="0" applyFont="1" applyFill="1" applyBorder="1" applyAlignment="1">
      <alignment horizontal="center"/>
    </xf>
    <xf numFmtId="4" fontId="4" fillId="16" borderId="1" xfId="0" applyNumberFormat="1" applyFont="1" applyFill="1" applyBorder="1"/>
    <xf numFmtId="0" fontId="4" fillId="15" borderId="1" xfId="0" applyFont="1" applyFill="1" applyBorder="1" applyAlignment="1">
      <alignment horizontal="center"/>
    </xf>
    <xf numFmtId="4" fontId="4" fillId="15" borderId="1" xfId="0" applyNumberFormat="1" applyFont="1" applyFill="1" applyBorder="1"/>
    <xf numFmtId="0" fontId="11" fillId="15" borderId="1" xfId="0" applyFont="1" applyFill="1" applyBorder="1" applyAlignment="1">
      <alignment vertical="center"/>
    </xf>
    <xf numFmtId="4" fontId="4" fillId="13" borderId="1" xfId="0" applyNumberFormat="1" applyFont="1" applyFill="1" applyBorder="1"/>
    <xf numFmtId="4" fontId="4" fillId="17" borderId="1" xfId="0" applyNumberFormat="1" applyFont="1" applyFill="1" applyBorder="1"/>
    <xf numFmtId="0" fontId="4" fillId="18" borderId="1" xfId="0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4" fontId="4" fillId="7" borderId="1" xfId="0" applyNumberFormat="1" applyFont="1" applyFill="1" applyBorder="1"/>
    <xf numFmtId="0" fontId="0" fillId="7" borderId="0" xfId="0" applyFill="1"/>
    <xf numFmtId="4" fontId="4" fillId="0" borderId="1" xfId="0" applyNumberFormat="1" applyFont="1" applyBorder="1" applyAlignment="1">
      <alignment vertical="center"/>
    </xf>
    <xf numFmtId="43" fontId="4" fillId="0" borderId="26" xfId="0" applyNumberFormat="1" applyFont="1" applyBorder="1" applyAlignment="1">
      <alignment horizontal="center" vertical="center" wrapText="1"/>
    </xf>
    <xf numFmtId="43" fontId="4" fillId="0" borderId="1" xfId="0" applyNumberFormat="1" applyFont="1" applyBorder="1" applyAlignment="1">
      <alignment horizontal="center"/>
    </xf>
    <xf numFmtId="43" fontId="4" fillId="0" borderId="1" xfId="0" applyNumberFormat="1" applyFont="1" applyBorder="1"/>
    <xf numFmtId="43" fontId="4" fillId="0" borderId="23" xfId="0" applyNumberFormat="1" applyFont="1" applyBorder="1"/>
    <xf numFmtId="43" fontId="4" fillId="12" borderId="1" xfId="0" applyNumberFormat="1" applyFont="1" applyFill="1" applyBorder="1"/>
    <xf numFmtId="43" fontId="8" fillId="0" borderId="1" xfId="0" applyNumberFormat="1" applyFont="1" applyBorder="1"/>
    <xf numFmtId="43" fontId="4" fillId="10" borderId="23" xfId="0" applyNumberFormat="1" applyFont="1" applyFill="1" applyBorder="1"/>
    <xf numFmtId="43" fontId="4" fillId="7" borderId="1" xfId="0" applyNumberFormat="1" applyFont="1" applyFill="1" applyBorder="1"/>
    <xf numFmtId="43" fontId="4" fillId="16" borderId="1" xfId="0" applyNumberFormat="1" applyFont="1" applyFill="1" applyBorder="1"/>
    <xf numFmtId="43" fontId="4" fillId="0" borderId="0" xfId="0" applyNumberFormat="1" applyFont="1" applyBorder="1"/>
    <xf numFmtId="43" fontId="4" fillId="17" borderId="1" xfId="0" applyNumberFormat="1" applyFont="1" applyFill="1" applyBorder="1"/>
    <xf numFmtId="43" fontId="4" fillId="0" borderId="0" xfId="0" applyNumberFormat="1" applyFont="1"/>
    <xf numFmtId="0" fontId="4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9" fillId="0" borderId="25" xfId="0" applyFont="1" applyBorder="1" applyAlignment="1">
      <alignment horizontal="left" vertical="center" wrapText="1"/>
    </xf>
    <xf numFmtId="0" fontId="9" fillId="0" borderId="0" xfId="0" applyFont="1" applyAlignment="1">
      <alignment horizontal="left" vertical="center" wrapText="1"/>
    </xf>
    <xf numFmtId="0" fontId="0" fillId="0" borderId="25" xfId="0" applyBorder="1" applyAlignment="1">
      <alignment horizontal="left" wrapText="1"/>
    </xf>
    <xf numFmtId="0" fontId="0" fillId="0" borderId="0" xfId="0" applyAlignment="1">
      <alignment horizontal="left" wrapText="1"/>
    </xf>
    <xf numFmtId="0" fontId="12" fillId="0" borderId="22" xfId="0" applyFont="1" applyBorder="1" applyAlignment="1">
      <alignment horizontal="center"/>
    </xf>
    <xf numFmtId="0" fontId="12" fillId="0" borderId="23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0" fillId="0" borderId="1" xfId="0" applyBorder="1" applyAlignment="1">
      <alignment horizontal="right"/>
    </xf>
    <xf numFmtId="0" fontId="0" fillId="0" borderId="22" xfId="0" applyBorder="1" applyAlignment="1">
      <alignment horizontal="right"/>
    </xf>
    <xf numFmtId="0" fontId="0" fillId="0" borderId="23" xfId="0" applyBorder="1" applyAlignment="1">
      <alignment horizontal="right"/>
    </xf>
    <xf numFmtId="0" fontId="0" fillId="0" borderId="24" xfId="0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7" fillId="0" borderId="1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23" xfId="0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23" xfId="0" applyFont="1" applyBorder="1" applyAlignment="1">
      <alignment horizontal="center"/>
    </xf>
  </cellXfs>
  <cellStyles count="3">
    <cellStyle name="Normal" xfId="0" builtinId="0"/>
    <cellStyle name="Porcentagem" xfId="2" builtinId="5"/>
    <cellStyle name="Vírgula" xfId="1" builtinId="3"/>
  </cellStyles>
  <dxfs count="17"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numFmt numFmtId="19" formatCode="dd/mm/yyyy"/>
    </dxf>
    <dxf>
      <numFmt numFmtId="19" formatCode="dd/mm/yyyy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5" formatCode="&quot;R$&quot;\ 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4" formatCode="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4" formatCode="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ela1" displayName="Tabela1" ref="A4:I35" totalsRowShown="0" headerRowDxfId="16" headerRowBorderDxfId="15" tableBorderDxfId="14" totalsRowBorderDxfId="13">
  <autoFilter ref="A4:I35"/>
  <tableColumns count="9">
    <tableColumn id="1" name="MÊS" dataDxfId="12">
      <calculatedColumnFormula>MONTH(Tabela1[[#This Row],[Data recebimento do credito  ou vencimento da fatura]])</calculatedColumnFormula>
    </tableColumn>
    <tableColumn id="2" name="Dia do faturamento da venda ou do gasto" dataDxfId="11">
      <calculatedColumnFormula>DATE($C$1,$D$2,1)</calculatedColumnFormula>
    </tableColumn>
    <tableColumn id="3" name="Tipo" dataDxfId="10"/>
    <tableColumn id="4" name="Cod." dataDxfId="9"/>
    <tableColumn id="5" name="Valor Bruto" dataDxfId="8"/>
    <tableColumn id="6" name="Taxa desconto" dataDxfId="7" dataCellStyle="Porcentagem"/>
    <tableColumn id="7" name="Valor liquido" dataDxfId="6">
      <calculatedColumnFormula>Tabela1[[#This Row],[Valor Bruto]]-(Tabela1[[#This Row],[Valor Bruto]]*Tabela1[[#This Row],[Taxa desconto]])</calculatedColumnFormula>
    </tableColumn>
    <tableColumn id="8" name="Prazo para execucao" dataDxfId="5"/>
    <tableColumn id="9" name="Data recebimento do credito  ou vencimento da fatura" dataDxfId="4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8" name="Tabela8" displayName="Tabela8" ref="A4:G37" totalsRowShown="0">
  <autoFilter ref="A4:G37"/>
  <tableColumns count="7">
    <tableColumn id="1" name="dia"/>
    <tableColumn id="2" name="Data" dataDxfId="3">
      <calculatedColumnFormula>DATE($D$1,$E$2,Tabela8[[#This Row],[dia]])</calculatedColumnFormula>
    </tableColumn>
    <tableColumn id="3" name="Obs"/>
    <tableColumn id="4" name="CAIXA"/>
    <tableColumn id="5" name="CAIXA2"/>
    <tableColumn id="6" name="CAIXA LIQUIDO"/>
    <tableColumn id="7" name="SALDO DE CAIXA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/>
  <dimension ref="A1:M54"/>
  <sheetViews>
    <sheetView zoomScale="71" zoomScaleNormal="71" workbookViewId="0">
      <selection activeCell="D19" sqref="D19"/>
    </sheetView>
  </sheetViews>
  <sheetFormatPr defaultRowHeight="15" x14ac:dyDescent="0.25"/>
  <cols>
    <col min="1" max="1" width="32.7109375" style="4" customWidth="1"/>
    <col min="2" max="2" width="13.140625" style="107" customWidth="1"/>
    <col min="3" max="13" width="13.140625" style="4" customWidth="1"/>
    <col min="14" max="16384" width="9.140625" style="4"/>
  </cols>
  <sheetData>
    <row r="1" spans="1:13" ht="26.25" customHeight="1" thickBot="1" x14ac:dyDescent="0.3">
      <c r="A1" s="223" t="s">
        <v>148</v>
      </c>
      <c r="B1" s="224"/>
      <c r="C1" s="224"/>
      <c r="D1" s="224"/>
      <c r="E1" s="224"/>
      <c r="F1" s="224"/>
      <c r="G1" s="224"/>
      <c r="H1" s="224"/>
      <c r="I1" s="224"/>
      <c r="J1" s="224"/>
      <c r="K1" s="224"/>
      <c r="L1" s="224"/>
      <c r="M1" s="225"/>
    </row>
    <row r="2" spans="1:13" s="51" customFormat="1" x14ac:dyDescent="0.25">
      <c r="A2" s="48"/>
      <c r="B2" s="102" t="s">
        <v>31</v>
      </c>
      <c r="C2" s="49" t="s">
        <v>32</v>
      </c>
      <c r="D2" s="49" t="s">
        <v>31</v>
      </c>
      <c r="E2" s="49" t="s">
        <v>32</v>
      </c>
      <c r="F2" s="49" t="s">
        <v>31</v>
      </c>
      <c r="G2" s="49" t="s">
        <v>32</v>
      </c>
      <c r="H2" s="49" t="s">
        <v>31</v>
      </c>
      <c r="I2" s="49" t="s">
        <v>32</v>
      </c>
      <c r="J2" s="49" t="s">
        <v>31</v>
      </c>
      <c r="K2" s="49" t="s">
        <v>32</v>
      </c>
      <c r="L2" s="49" t="s">
        <v>31</v>
      </c>
      <c r="M2" s="50" t="s">
        <v>32</v>
      </c>
    </row>
    <row r="3" spans="1:13" ht="15" customHeight="1" thickBot="1" x14ac:dyDescent="0.3">
      <c r="A3" s="1"/>
      <c r="B3" s="103">
        <v>1</v>
      </c>
      <c r="C3" s="2">
        <v>1</v>
      </c>
      <c r="D3" s="2">
        <v>2</v>
      </c>
      <c r="E3" s="2">
        <v>2</v>
      </c>
      <c r="F3" s="2">
        <v>3</v>
      </c>
      <c r="G3" s="2">
        <v>3</v>
      </c>
      <c r="H3" s="2">
        <v>4</v>
      </c>
      <c r="I3" s="2">
        <v>4</v>
      </c>
      <c r="J3" s="2">
        <v>5</v>
      </c>
      <c r="K3" s="2">
        <v>5</v>
      </c>
      <c r="L3" s="2">
        <v>6</v>
      </c>
      <c r="M3" s="3">
        <v>6</v>
      </c>
    </row>
    <row r="4" spans="1:13" x14ac:dyDescent="0.25">
      <c r="A4" s="10" t="s">
        <v>0</v>
      </c>
      <c r="B4" s="104"/>
      <c r="C4" s="11"/>
      <c r="D4" s="11"/>
      <c r="E4" s="11"/>
      <c r="F4" s="11"/>
      <c r="G4" s="11"/>
      <c r="H4" s="11"/>
      <c r="I4" s="11"/>
      <c r="J4" s="11"/>
      <c r="K4" s="11"/>
      <c r="L4" s="11"/>
      <c r="M4" s="12"/>
    </row>
    <row r="5" spans="1:13" s="8" customFormat="1" x14ac:dyDescent="0.25">
      <c r="A5" s="45" t="s">
        <v>20</v>
      </c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5"/>
    </row>
    <row r="6" spans="1:13" s="8" customFormat="1" x14ac:dyDescent="0.25">
      <c r="A6" s="45" t="s">
        <v>36</v>
      </c>
      <c r="B6" s="14">
        <v>8859.4</v>
      </c>
      <c r="C6" s="14"/>
      <c r="D6" s="14">
        <v>8859.4</v>
      </c>
      <c r="E6" s="14"/>
      <c r="F6" s="14">
        <v>8859.4</v>
      </c>
      <c r="G6" s="14"/>
      <c r="H6" s="14">
        <v>8859.4</v>
      </c>
      <c r="I6" s="14"/>
      <c r="J6" s="14">
        <v>8859.4</v>
      </c>
      <c r="K6" s="14"/>
      <c r="L6" s="14">
        <v>8859.4</v>
      </c>
      <c r="M6" s="15"/>
    </row>
    <row r="7" spans="1:13" s="8" customFormat="1" ht="15.75" thickBot="1" x14ac:dyDescent="0.3">
      <c r="A7" s="47" t="s">
        <v>21</v>
      </c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7"/>
    </row>
    <row r="8" spans="1:13" ht="15.75" thickBot="1" x14ac:dyDescent="0.3">
      <c r="A8" s="5" t="s">
        <v>22</v>
      </c>
      <c r="B8" s="13">
        <f>SUM(B5:B7)</f>
        <v>8859.4</v>
      </c>
      <c r="C8" s="13">
        <f t="shared" ref="C8:M8" si="0">SUM(C5:C7)</f>
        <v>0</v>
      </c>
      <c r="D8" s="13">
        <f t="shared" si="0"/>
        <v>8859.4</v>
      </c>
      <c r="E8" s="13">
        <f t="shared" si="0"/>
        <v>0</v>
      </c>
      <c r="F8" s="13">
        <f t="shared" si="0"/>
        <v>8859.4</v>
      </c>
      <c r="G8" s="13">
        <f t="shared" si="0"/>
        <v>0</v>
      </c>
      <c r="H8" s="13">
        <f t="shared" si="0"/>
        <v>8859.4</v>
      </c>
      <c r="I8" s="13">
        <f t="shared" si="0"/>
        <v>0</v>
      </c>
      <c r="J8" s="13">
        <f t="shared" si="0"/>
        <v>8859.4</v>
      </c>
      <c r="K8" s="13">
        <f t="shared" si="0"/>
        <v>0</v>
      </c>
      <c r="L8" s="13">
        <f t="shared" si="0"/>
        <v>8859.4</v>
      </c>
      <c r="M8" s="13">
        <f t="shared" si="0"/>
        <v>0</v>
      </c>
    </row>
    <row r="9" spans="1:13" s="7" customFormat="1" x14ac:dyDescent="0.25">
      <c r="A9" s="42" t="s">
        <v>23</v>
      </c>
      <c r="B9" s="43"/>
      <c r="C9" s="43"/>
      <c r="D9" s="43"/>
      <c r="E9" s="43"/>
      <c r="F9" s="43"/>
      <c r="G9" s="43"/>
      <c r="H9" s="43"/>
      <c r="I9" s="43"/>
      <c r="J9" s="43"/>
      <c r="K9" s="43"/>
      <c r="L9" s="43"/>
      <c r="M9" s="44"/>
    </row>
    <row r="10" spans="1:13" s="8" customFormat="1" x14ac:dyDescent="0.25">
      <c r="A10" s="45" t="s">
        <v>1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5"/>
    </row>
    <row r="11" spans="1:13" s="8" customFormat="1" x14ac:dyDescent="0.25">
      <c r="A11" s="45" t="s">
        <v>2</v>
      </c>
      <c r="B11" s="14">
        <v>420</v>
      </c>
      <c r="C11" s="14"/>
      <c r="D11" s="14">
        <v>420</v>
      </c>
      <c r="E11" s="14"/>
      <c r="F11" s="14">
        <v>420</v>
      </c>
      <c r="G11" s="14"/>
      <c r="H11" s="14">
        <v>420</v>
      </c>
      <c r="I11" s="14"/>
      <c r="J11" s="14">
        <v>420</v>
      </c>
      <c r="K11" s="14"/>
      <c r="L11" s="14">
        <v>420</v>
      </c>
      <c r="M11" s="15"/>
    </row>
    <row r="12" spans="1:13" s="8" customFormat="1" x14ac:dyDescent="0.25">
      <c r="A12" s="45" t="s">
        <v>3</v>
      </c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5"/>
    </row>
    <row r="13" spans="1:13" s="8" customFormat="1" x14ac:dyDescent="0.25">
      <c r="A13" s="45" t="s">
        <v>4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5"/>
    </row>
    <row r="14" spans="1:13" s="8" customFormat="1" x14ac:dyDescent="0.25">
      <c r="A14" s="45" t="s">
        <v>24</v>
      </c>
      <c r="B14" s="14">
        <f>5302.27+220</f>
        <v>5522.27</v>
      </c>
      <c r="C14" s="14"/>
      <c r="D14" s="14">
        <f>4671+200+200</f>
        <v>5071</v>
      </c>
      <c r="E14" s="14"/>
      <c r="F14" s="14">
        <f>4671+200+200</f>
        <v>5071</v>
      </c>
      <c r="G14" s="14"/>
      <c r="H14" s="14">
        <f>4671+200+200</f>
        <v>5071</v>
      </c>
      <c r="I14" s="14"/>
      <c r="J14" s="14">
        <f>4671+200+200</f>
        <v>5071</v>
      </c>
      <c r="K14" s="14"/>
      <c r="L14" s="14">
        <f>4671+200+200</f>
        <v>5071</v>
      </c>
      <c r="M14" s="15"/>
    </row>
    <row r="15" spans="1:13" s="8" customFormat="1" x14ac:dyDescent="0.25">
      <c r="A15" s="45" t="s">
        <v>155</v>
      </c>
      <c r="B15" s="14">
        <v>130</v>
      </c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5"/>
    </row>
    <row r="16" spans="1:13" s="8" customFormat="1" x14ac:dyDescent="0.25">
      <c r="A16" s="45" t="s">
        <v>6</v>
      </c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5"/>
    </row>
    <row r="17" spans="1:13" s="8" customFormat="1" x14ac:dyDescent="0.25">
      <c r="A17" s="45" t="s">
        <v>7</v>
      </c>
      <c r="B17" s="105">
        <v>131.63</v>
      </c>
      <c r="C17" s="14"/>
      <c r="D17" s="73">
        <v>131.63</v>
      </c>
      <c r="E17" s="14"/>
      <c r="F17" s="73">
        <v>131.63</v>
      </c>
      <c r="G17" s="14"/>
      <c r="H17" s="73">
        <v>131.63</v>
      </c>
      <c r="I17" s="14"/>
      <c r="J17" s="73">
        <v>131.63</v>
      </c>
      <c r="K17" s="14"/>
      <c r="L17" s="73">
        <v>131.63</v>
      </c>
      <c r="M17" s="15"/>
    </row>
    <row r="18" spans="1:13" s="8" customFormat="1" x14ac:dyDescent="0.25">
      <c r="A18" s="45" t="s">
        <v>146</v>
      </c>
      <c r="B18" s="105">
        <v>99.9</v>
      </c>
      <c r="C18" s="14"/>
      <c r="D18" s="73">
        <v>99.9</v>
      </c>
      <c r="E18" s="14"/>
      <c r="F18" s="73">
        <v>99.9</v>
      </c>
      <c r="G18" s="14"/>
      <c r="H18" s="73">
        <v>99.9</v>
      </c>
      <c r="I18" s="14"/>
      <c r="J18" s="73">
        <v>99.9</v>
      </c>
      <c r="K18" s="14"/>
      <c r="L18" s="73">
        <v>99.9</v>
      </c>
      <c r="M18" s="15"/>
    </row>
    <row r="19" spans="1:13" s="8" customFormat="1" x14ac:dyDescent="0.25">
      <c r="A19" s="45" t="s">
        <v>9</v>
      </c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5"/>
    </row>
    <row r="20" spans="1:13" s="8" customFormat="1" x14ac:dyDescent="0.25">
      <c r="A20" s="45" t="s">
        <v>10</v>
      </c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5"/>
    </row>
    <row r="21" spans="1:13" s="8" customFormat="1" x14ac:dyDescent="0.25">
      <c r="A21" s="45" t="s">
        <v>11</v>
      </c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5"/>
    </row>
    <row r="22" spans="1:13" s="8" customFormat="1" x14ac:dyDescent="0.25">
      <c r="A22" s="45" t="s">
        <v>12</v>
      </c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5"/>
    </row>
    <row r="23" spans="1:13" s="8" customFormat="1" x14ac:dyDescent="0.25">
      <c r="A23" s="45" t="s">
        <v>147</v>
      </c>
      <c r="B23" s="105">
        <v>89.12</v>
      </c>
      <c r="C23" s="14"/>
      <c r="D23" s="73">
        <v>89.12</v>
      </c>
      <c r="E23" s="14"/>
      <c r="F23" s="73">
        <v>89.12</v>
      </c>
      <c r="G23" s="14"/>
      <c r="H23" s="73">
        <v>89.12</v>
      </c>
      <c r="I23" s="14"/>
      <c r="J23" s="73">
        <v>89.12</v>
      </c>
      <c r="K23" s="14"/>
      <c r="L23" s="73">
        <v>89.12</v>
      </c>
      <c r="M23" s="15"/>
    </row>
    <row r="24" spans="1:13" s="8" customFormat="1" x14ac:dyDescent="0.25">
      <c r="A24" s="45" t="s">
        <v>14</v>
      </c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5"/>
    </row>
    <row r="25" spans="1:13" s="8" customFormat="1" x14ac:dyDescent="0.25">
      <c r="A25" s="45" t="s">
        <v>15</v>
      </c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5"/>
    </row>
    <row r="26" spans="1:13" s="8" customFormat="1" x14ac:dyDescent="0.25">
      <c r="A26" s="45" t="s">
        <v>16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5"/>
    </row>
    <row r="27" spans="1:13" s="8" customFormat="1" x14ac:dyDescent="0.25">
      <c r="A27" s="45" t="s">
        <v>17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5"/>
    </row>
    <row r="28" spans="1:13" s="8" customFormat="1" x14ac:dyDescent="0.25">
      <c r="A28" s="45" t="s">
        <v>18</v>
      </c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5"/>
    </row>
    <row r="29" spans="1:13" s="8" customFormat="1" x14ac:dyDescent="0.25">
      <c r="A29" s="45" t="s">
        <v>19</v>
      </c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5"/>
    </row>
    <row r="30" spans="1:13" s="8" customFormat="1" x14ac:dyDescent="0.25">
      <c r="A30" s="46" t="s">
        <v>25</v>
      </c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9"/>
    </row>
    <row r="31" spans="1:13" s="8" customFormat="1" ht="15.75" thickBot="1" x14ac:dyDescent="0.3">
      <c r="A31" s="45" t="s">
        <v>35</v>
      </c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5"/>
    </row>
    <row r="32" spans="1:13" ht="15.75" thickBot="1" x14ac:dyDescent="0.3">
      <c r="A32" s="5" t="s">
        <v>26</v>
      </c>
      <c r="B32" s="13">
        <f t="shared" ref="B32:M32" si="1">SUM(B10:B31)</f>
        <v>6392.92</v>
      </c>
      <c r="C32" s="13">
        <f t="shared" si="1"/>
        <v>0</v>
      </c>
      <c r="D32" s="13">
        <f t="shared" si="1"/>
        <v>5811.65</v>
      </c>
      <c r="E32" s="13">
        <f t="shared" si="1"/>
        <v>0</v>
      </c>
      <c r="F32" s="13">
        <f t="shared" si="1"/>
        <v>5811.65</v>
      </c>
      <c r="G32" s="13">
        <f t="shared" si="1"/>
        <v>0</v>
      </c>
      <c r="H32" s="13">
        <f t="shared" si="1"/>
        <v>5811.65</v>
      </c>
      <c r="I32" s="13">
        <f t="shared" si="1"/>
        <v>0</v>
      </c>
      <c r="J32" s="13">
        <f t="shared" si="1"/>
        <v>5811.65</v>
      </c>
      <c r="K32" s="13">
        <f t="shared" si="1"/>
        <v>0</v>
      </c>
      <c r="L32" s="13">
        <f t="shared" si="1"/>
        <v>5811.65</v>
      </c>
      <c r="M32" s="20">
        <f t="shared" si="1"/>
        <v>0</v>
      </c>
    </row>
    <row r="33" spans="1:13" ht="15.75" thickBot="1" x14ac:dyDescent="0.3">
      <c r="A33" s="5" t="s">
        <v>27</v>
      </c>
      <c r="B33" s="13">
        <f t="shared" ref="B33:M33" si="2">B8-B32</f>
        <v>2466.4799999999996</v>
      </c>
      <c r="C33" s="13">
        <f t="shared" si="2"/>
        <v>0</v>
      </c>
      <c r="D33" s="13">
        <f t="shared" si="2"/>
        <v>3047.75</v>
      </c>
      <c r="E33" s="13">
        <f t="shared" si="2"/>
        <v>0</v>
      </c>
      <c r="F33" s="13">
        <f t="shared" si="2"/>
        <v>3047.75</v>
      </c>
      <c r="G33" s="13">
        <f t="shared" si="2"/>
        <v>0</v>
      </c>
      <c r="H33" s="13">
        <f t="shared" si="2"/>
        <v>3047.75</v>
      </c>
      <c r="I33" s="13">
        <f t="shared" si="2"/>
        <v>0</v>
      </c>
      <c r="J33" s="13">
        <f t="shared" si="2"/>
        <v>3047.75</v>
      </c>
      <c r="K33" s="13">
        <f t="shared" si="2"/>
        <v>0</v>
      </c>
      <c r="L33" s="13">
        <f t="shared" si="2"/>
        <v>3047.75</v>
      </c>
      <c r="M33" s="20">
        <f t="shared" si="2"/>
        <v>0</v>
      </c>
    </row>
    <row r="34" spans="1:13" ht="15.75" thickBot="1" x14ac:dyDescent="0.3">
      <c r="A34" s="5" t="s">
        <v>28</v>
      </c>
      <c r="B34" s="21"/>
      <c r="C34" s="21"/>
      <c r="D34" s="22">
        <f t="shared" ref="D34:M34" si="3">B37</f>
        <v>2466.4799999999996</v>
      </c>
      <c r="E34" s="22">
        <f t="shared" si="3"/>
        <v>0</v>
      </c>
      <c r="F34" s="22">
        <f t="shared" si="3"/>
        <v>5514.23</v>
      </c>
      <c r="G34" s="22">
        <f t="shared" si="3"/>
        <v>0</v>
      </c>
      <c r="H34" s="22">
        <f t="shared" si="3"/>
        <v>8561.98</v>
      </c>
      <c r="I34" s="22">
        <f t="shared" si="3"/>
        <v>0</v>
      </c>
      <c r="J34" s="22">
        <f t="shared" si="3"/>
        <v>11609.73</v>
      </c>
      <c r="K34" s="22">
        <f t="shared" si="3"/>
        <v>0</v>
      </c>
      <c r="L34" s="22">
        <f t="shared" si="3"/>
        <v>14657.48</v>
      </c>
      <c r="M34" s="23">
        <f t="shared" si="3"/>
        <v>0</v>
      </c>
    </row>
    <row r="35" spans="1:13" ht="15.75" thickBot="1" x14ac:dyDescent="0.3">
      <c r="A35" s="5" t="s">
        <v>34</v>
      </c>
      <c r="B35" s="13">
        <f>B33+B34</f>
        <v>2466.4799999999996</v>
      </c>
      <c r="C35" s="13">
        <f t="shared" ref="C35:M35" si="4">C33+C34</f>
        <v>0</v>
      </c>
      <c r="D35" s="13">
        <f t="shared" si="4"/>
        <v>5514.23</v>
      </c>
      <c r="E35" s="13">
        <f t="shared" si="4"/>
        <v>0</v>
      </c>
      <c r="F35" s="13">
        <f t="shared" si="4"/>
        <v>8561.98</v>
      </c>
      <c r="G35" s="13">
        <f t="shared" si="4"/>
        <v>0</v>
      </c>
      <c r="H35" s="13">
        <f t="shared" si="4"/>
        <v>11609.73</v>
      </c>
      <c r="I35" s="13">
        <f t="shared" si="4"/>
        <v>0</v>
      </c>
      <c r="J35" s="13">
        <f t="shared" si="4"/>
        <v>14657.48</v>
      </c>
      <c r="K35" s="13">
        <f t="shared" si="4"/>
        <v>0</v>
      </c>
      <c r="L35" s="13">
        <f t="shared" si="4"/>
        <v>17705.23</v>
      </c>
      <c r="M35" s="20">
        <f t="shared" si="4"/>
        <v>0</v>
      </c>
    </row>
    <row r="36" spans="1:13" s="8" customFormat="1" ht="15.75" thickBot="1" x14ac:dyDescent="0.3">
      <c r="A36" s="9" t="s">
        <v>29</v>
      </c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4"/>
    </row>
    <row r="37" spans="1:13" ht="15.75" thickBot="1" x14ac:dyDescent="0.3">
      <c r="A37" s="6" t="s">
        <v>30</v>
      </c>
      <c r="B37" s="25">
        <f>B35+B36</f>
        <v>2466.4799999999996</v>
      </c>
      <c r="C37" s="25">
        <f t="shared" ref="C37:M37" si="5">C35+C36</f>
        <v>0</v>
      </c>
      <c r="D37" s="25">
        <f t="shared" si="5"/>
        <v>5514.23</v>
      </c>
      <c r="E37" s="25">
        <f t="shared" si="5"/>
        <v>0</v>
      </c>
      <c r="F37" s="25">
        <f t="shared" si="5"/>
        <v>8561.98</v>
      </c>
      <c r="G37" s="25">
        <f t="shared" si="5"/>
        <v>0</v>
      </c>
      <c r="H37" s="25">
        <f t="shared" si="5"/>
        <v>11609.73</v>
      </c>
      <c r="I37" s="25">
        <f t="shared" si="5"/>
        <v>0</v>
      </c>
      <c r="J37" s="25">
        <f t="shared" si="5"/>
        <v>14657.48</v>
      </c>
      <c r="K37" s="25">
        <f t="shared" si="5"/>
        <v>0</v>
      </c>
      <c r="L37" s="25">
        <f t="shared" si="5"/>
        <v>17705.23</v>
      </c>
      <c r="M37" s="26">
        <f t="shared" si="5"/>
        <v>0</v>
      </c>
    </row>
    <row r="39" spans="1:13" x14ac:dyDescent="0.25">
      <c r="A39" s="229" t="s">
        <v>134</v>
      </c>
      <c r="B39" s="230"/>
      <c r="C39" s="230"/>
      <c r="D39" s="230"/>
      <c r="E39" s="230"/>
      <c r="F39" s="230"/>
      <c r="G39" s="230"/>
      <c r="H39" s="230"/>
    </row>
    <row r="40" spans="1:13" x14ac:dyDescent="0.25">
      <c r="A40" s="227" t="s">
        <v>133</v>
      </c>
      <c r="B40" s="228"/>
      <c r="C40" s="228"/>
      <c r="D40" s="228"/>
      <c r="E40" s="228"/>
      <c r="F40" s="228"/>
      <c r="G40" s="228"/>
      <c r="H40" s="228"/>
    </row>
    <row r="41" spans="1:13" x14ac:dyDescent="0.25">
      <c r="A41" s="227"/>
      <c r="B41" s="228"/>
      <c r="C41" s="228"/>
      <c r="D41" s="228"/>
      <c r="E41" s="228"/>
      <c r="F41" s="228"/>
      <c r="G41" s="228"/>
      <c r="H41" s="228"/>
    </row>
    <row r="42" spans="1:13" x14ac:dyDescent="0.25">
      <c r="A42"/>
      <c r="B42" s="106"/>
      <c r="C42"/>
      <c r="D42"/>
      <c r="E42"/>
      <c r="F42"/>
      <c r="G42"/>
      <c r="H42"/>
    </row>
    <row r="43" spans="1:13" x14ac:dyDescent="0.25">
      <c r="A43"/>
      <c r="B43" s="226" t="s">
        <v>135</v>
      </c>
      <c r="C43" s="226"/>
      <c r="D43" s="226"/>
      <c r="E43" s="226"/>
      <c r="F43" s="226"/>
      <c r="G43" s="226"/>
      <c r="H43" s="226"/>
    </row>
    <row r="44" spans="1:13" x14ac:dyDescent="0.25">
      <c r="A44"/>
      <c r="B44" s="226" t="s">
        <v>136</v>
      </c>
      <c r="C44" s="226"/>
      <c r="D44" s="226"/>
      <c r="E44" s="226"/>
      <c r="F44" s="226"/>
      <c r="G44" s="226"/>
      <c r="H44" s="226"/>
    </row>
    <row r="45" spans="1:13" x14ac:dyDescent="0.25">
      <c r="A45"/>
      <c r="B45" s="226" t="s">
        <v>137</v>
      </c>
      <c r="C45" s="226"/>
      <c r="D45" s="226"/>
      <c r="E45" s="226"/>
      <c r="F45" s="226"/>
      <c r="G45" s="226"/>
      <c r="H45" s="226"/>
    </row>
    <row r="46" spans="1:13" x14ac:dyDescent="0.25">
      <c r="A46"/>
      <c r="B46" s="226" t="s">
        <v>138</v>
      </c>
      <c r="C46" s="226"/>
      <c r="D46" s="226"/>
      <c r="E46" s="226"/>
      <c r="F46" s="226"/>
      <c r="G46" s="226"/>
      <c r="H46" s="226"/>
    </row>
    <row r="47" spans="1:13" x14ac:dyDescent="0.25">
      <c r="A47"/>
      <c r="B47" s="226" t="s">
        <v>139</v>
      </c>
      <c r="C47" s="226"/>
      <c r="D47" s="226"/>
      <c r="E47" s="226"/>
      <c r="F47" s="226"/>
      <c r="G47" s="226"/>
      <c r="H47" s="226"/>
    </row>
    <row r="48" spans="1:13" x14ac:dyDescent="0.25">
      <c r="A48"/>
      <c r="B48" s="226" t="s">
        <v>140</v>
      </c>
      <c r="C48" s="226"/>
      <c r="D48" s="226"/>
      <c r="E48" s="226"/>
      <c r="F48" s="226"/>
      <c r="G48" s="226"/>
      <c r="H48" s="226"/>
    </row>
    <row r="49" spans="1:8" x14ac:dyDescent="0.25">
      <c r="A49"/>
      <c r="B49" s="226" t="s">
        <v>141</v>
      </c>
      <c r="C49" s="226"/>
      <c r="D49" s="226"/>
      <c r="E49" s="226"/>
      <c r="F49" s="226"/>
      <c r="G49" s="226"/>
      <c r="H49" s="226"/>
    </row>
    <row r="50" spans="1:8" x14ac:dyDescent="0.25">
      <c r="A50"/>
      <c r="B50" s="226"/>
      <c r="C50" s="226"/>
      <c r="D50" s="226"/>
      <c r="E50" s="226"/>
      <c r="F50" s="226"/>
      <c r="G50" s="226"/>
      <c r="H50" s="226"/>
    </row>
    <row r="51" spans="1:8" x14ac:dyDescent="0.25">
      <c r="A51"/>
      <c r="B51" s="226" t="s">
        <v>142</v>
      </c>
      <c r="C51" s="226"/>
      <c r="D51" s="226"/>
      <c r="E51" s="226"/>
      <c r="F51" s="226"/>
      <c r="G51" s="226"/>
      <c r="H51" s="226"/>
    </row>
    <row r="52" spans="1:8" x14ac:dyDescent="0.25">
      <c r="A52"/>
      <c r="B52" s="222" t="s">
        <v>143</v>
      </c>
      <c r="C52" s="222"/>
      <c r="D52" s="222"/>
      <c r="E52" s="222"/>
      <c r="F52" s="222"/>
      <c r="G52" s="222"/>
      <c r="H52" s="222"/>
    </row>
    <row r="53" spans="1:8" x14ac:dyDescent="0.25">
      <c r="A53"/>
      <c r="B53" s="222" t="s">
        <v>144</v>
      </c>
      <c r="C53" s="222"/>
      <c r="D53" s="222"/>
      <c r="E53" s="222"/>
      <c r="F53" s="222"/>
      <c r="G53" s="222"/>
      <c r="H53" s="222"/>
    </row>
    <row r="54" spans="1:8" x14ac:dyDescent="0.25">
      <c r="A54"/>
      <c r="B54" s="222" t="s">
        <v>145</v>
      </c>
      <c r="C54" s="222"/>
      <c r="D54" s="222"/>
      <c r="E54" s="222"/>
      <c r="F54" s="222"/>
      <c r="G54" s="222"/>
      <c r="H54" s="222"/>
    </row>
  </sheetData>
  <sheetProtection formatCells="0" formatColumns="0" formatRows="0" deleteColumns="0" deleteRows="0" selectLockedCells="1" sort="0"/>
  <mergeCells count="18">
    <mergeCell ref="B44:H44"/>
    <mergeCell ref="B45:H45"/>
    <mergeCell ref="B54:D54"/>
    <mergeCell ref="E52:H52"/>
    <mergeCell ref="E53:H53"/>
    <mergeCell ref="E54:H54"/>
    <mergeCell ref="A1:M1"/>
    <mergeCell ref="B51:H51"/>
    <mergeCell ref="B43:H43"/>
    <mergeCell ref="B52:D52"/>
    <mergeCell ref="B53:D53"/>
    <mergeCell ref="B46:H46"/>
    <mergeCell ref="B47:H47"/>
    <mergeCell ref="B48:H48"/>
    <mergeCell ref="B49:H49"/>
    <mergeCell ref="B50:H50"/>
    <mergeCell ref="A40:H41"/>
    <mergeCell ref="A39:H39"/>
  </mergeCells>
  <conditionalFormatting sqref="B33:M33">
    <cfRule type="cellIs" dxfId="2" priority="2" operator="lessThan">
      <formula>0</formula>
    </cfRule>
  </conditionalFormatting>
  <conditionalFormatting sqref="B35:M35 B37:M37">
    <cfRule type="cellIs" dxfId="1" priority="1" operator="lessThan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3"/>
  <sheetViews>
    <sheetView showGridLines="0" topLeftCell="C3" workbookViewId="0">
      <selection activeCell="O53" sqref="C53:O53"/>
    </sheetView>
  </sheetViews>
  <sheetFormatPr defaultRowHeight="15" x14ac:dyDescent="0.25"/>
  <cols>
    <col min="1" max="1" width="4.5703125" style="99" hidden="1" customWidth="1"/>
    <col min="2" max="2" width="28.42578125" style="99" hidden="1" customWidth="1"/>
    <col min="3" max="3" width="28.7109375" customWidth="1"/>
    <col min="4" max="4" width="8" bestFit="1" customWidth="1"/>
    <col min="5" max="5" width="12" bestFit="1" customWidth="1"/>
    <col min="6" max="6" width="7.7109375" customWidth="1"/>
    <col min="7" max="9" width="9.140625" bestFit="1" customWidth="1"/>
    <col min="10" max="10" width="8.7109375" customWidth="1"/>
    <col min="11" max="11" width="7.7109375" customWidth="1"/>
    <col min="12" max="12" width="8.7109375" customWidth="1"/>
    <col min="13" max="13" width="9.140625" bestFit="1" customWidth="1"/>
    <col min="14" max="14" width="9" customWidth="1"/>
    <col min="15" max="15" width="8.42578125" customWidth="1"/>
  </cols>
  <sheetData>
    <row r="1" spans="1:15" ht="15.75" x14ac:dyDescent="0.25">
      <c r="B1" s="243" t="s">
        <v>269</v>
      </c>
      <c r="C1" s="243"/>
      <c r="D1" s="243"/>
      <c r="E1" s="243"/>
      <c r="F1" s="243"/>
      <c r="G1" s="243"/>
      <c r="H1" s="243"/>
      <c r="I1" s="243"/>
      <c r="J1" s="243"/>
      <c r="K1" s="243"/>
      <c r="L1" s="243"/>
      <c r="M1" s="243"/>
      <c r="N1" s="243"/>
      <c r="O1" s="243"/>
    </row>
    <row r="2" spans="1:15" x14ac:dyDescent="0.25">
      <c r="B2" s="244" t="s">
        <v>250</v>
      </c>
      <c r="C2" s="245"/>
      <c r="D2" s="245"/>
      <c r="E2" s="245"/>
      <c r="F2" s="245"/>
      <c r="G2" s="245"/>
      <c r="H2" s="245"/>
      <c r="I2" s="245"/>
      <c r="J2" s="245"/>
      <c r="K2" s="245"/>
      <c r="L2" s="245"/>
      <c r="M2" s="245"/>
      <c r="N2" s="245"/>
      <c r="O2" s="246"/>
    </row>
    <row r="3" spans="1:15" x14ac:dyDescent="0.25">
      <c r="B3" s="118"/>
      <c r="C3" s="163"/>
      <c r="D3" s="54" t="s">
        <v>253</v>
      </c>
      <c r="E3" s="54" t="s">
        <v>254</v>
      </c>
      <c r="F3" s="54" t="s">
        <v>255</v>
      </c>
      <c r="G3" s="54" t="s">
        <v>256</v>
      </c>
      <c r="H3" s="54" t="s">
        <v>257</v>
      </c>
      <c r="I3" s="54" t="s">
        <v>258</v>
      </c>
      <c r="J3" s="54" t="s">
        <v>259</v>
      </c>
      <c r="K3" s="54" t="s">
        <v>260</v>
      </c>
      <c r="L3" s="54" t="s">
        <v>261</v>
      </c>
      <c r="M3" s="54" t="s">
        <v>262</v>
      </c>
      <c r="N3" s="54" t="s">
        <v>263</v>
      </c>
      <c r="O3" s="54" t="s">
        <v>264</v>
      </c>
    </row>
    <row r="4" spans="1:15" x14ac:dyDescent="0.25">
      <c r="A4" s="118">
        <v>1</v>
      </c>
      <c r="B4" s="118" t="s">
        <v>179</v>
      </c>
      <c r="C4" s="170" t="str">
        <f t="shared" ref="C4:C9" si="0">A4&amp;" - "&amp;B4</f>
        <v>1 - DEPOSITO CP MAE</v>
      </c>
      <c r="D4" s="171">
        <f>SUMIFS('Controle diario'!$G:$G,'Controle diario'!$A:$A,VLOOKUP('Resumo mensal de despesas caixa'!D$3,'Base das contas'!$E$2:$F$12,2,0),'Controle diario'!$D:$D,'Resumo mensal de despesas caixa'!$C4)</f>
        <v>0</v>
      </c>
      <c r="E4" s="171">
        <f>SUMIFS('Controle diario'!$G:$G,'Controle diario'!$A:$A,VLOOKUP('Resumo mensal de despesas caixa'!$E$3,'Base das contas'!$E$2:$F$12,2,0),'Controle diario'!$D:$D,'Resumo mensal de despesas caixa'!$C4)</f>
        <v>1290</v>
      </c>
      <c r="F4" s="171">
        <f>SUMIFS('Controle diario'!$G:$G,'Controle diario'!$A:$A,VLOOKUP('Resumo mensal de despesas caixa'!F$3,'Base das contas'!$E$2:$F$12,2,0),'Controle diario'!$D:$D,'Resumo mensal de despesas caixa'!$C4)</f>
        <v>0</v>
      </c>
      <c r="G4" s="171">
        <f>SUMIFS('Controle diario'!$G:$G,'Controle diario'!$A:$A,VLOOKUP('Resumo mensal de despesas caixa'!G$3,'Base das contas'!$E$2:$F$12,2,0),'Controle diario'!$D:$D,'Resumo mensal de despesas caixa'!$C4)</f>
        <v>0</v>
      </c>
      <c r="H4" s="171">
        <f>SUMIFS('Controle diario'!$G:$G,'Controle diario'!$A:$A,VLOOKUP('Resumo mensal de despesas caixa'!H$3,'Base das contas'!$E$2:$F$12,2,0),'Controle diario'!$D:$D,'Resumo mensal de despesas caixa'!$C4)</f>
        <v>0</v>
      </c>
      <c r="I4" s="171">
        <f>SUMIFS('Controle diario'!$G:$G,'Controle diario'!$A:$A,VLOOKUP('Resumo mensal de despesas caixa'!I$3,'Base das contas'!$E$2:$F$12,2,0),'Controle diario'!$D:$D,'Resumo mensal de despesas caixa'!$C4)</f>
        <v>0</v>
      </c>
      <c r="J4" s="171">
        <f>SUMIFS('Controle diario'!$G:$G,'Controle diario'!$A:$A,VLOOKUP('Resumo mensal de despesas caixa'!J$3,'Base das contas'!$E$2:$F$12,2,0),'Controle diario'!$D:$D,'Resumo mensal de despesas caixa'!$C4)</f>
        <v>0</v>
      </c>
      <c r="K4" s="171">
        <f>SUMIFS('Controle diario'!$G:$G,'Controle diario'!$A:$A,VLOOKUP('Resumo mensal de despesas caixa'!K$3,'Base das contas'!$E$2:$F$12,2,0),'Controle diario'!$D:$D,'Resumo mensal de despesas caixa'!$C4)</f>
        <v>0</v>
      </c>
      <c r="L4" s="171">
        <f>SUMIFS('Controle diario'!$G:$G,'Controle diario'!$A:$A,VLOOKUP('Resumo mensal de despesas caixa'!L$3,'Base das contas'!$E$2:$F$12,2,0),'Controle diario'!$D:$D,'Resumo mensal de despesas caixa'!$C4)</f>
        <v>0</v>
      </c>
      <c r="M4" s="171">
        <f>SUMIFS('Controle diario'!$G:$G,'Controle diario'!$A:$A,VLOOKUP('Resumo mensal de despesas caixa'!M$3,'Base das contas'!$E$2:$F$12,2,0),'Controle diario'!$D:$D,'Resumo mensal de despesas caixa'!$C4)</f>
        <v>0</v>
      </c>
      <c r="N4" s="171">
        <f>SUMIFS('Controle diario'!$G:$G,'Controle diario'!$A:$A,VLOOKUP('Resumo mensal de despesas caixa'!N$3,'Base das contas'!$E$2:$F$12,2,0),'Controle diario'!$D:$D,'Resumo mensal de despesas caixa'!$C4)</f>
        <v>0</v>
      </c>
      <c r="O4" s="171">
        <f>SUMIFS('Controle diario'!$G:$G,'Controle diario'!$A:$A,VLOOKUP('Resumo mensal de despesas caixa'!O$3,'Base das contas'!$E$2:$F$12,2,0),'Controle diario'!$D:$D,'Resumo mensal de despesas caixa'!$C4)</f>
        <v>0</v>
      </c>
    </row>
    <row r="5" spans="1:15" x14ac:dyDescent="0.25">
      <c r="A5" s="118">
        <v>2</v>
      </c>
      <c r="B5" s="118" t="s">
        <v>251</v>
      </c>
      <c r="C5" s="170" t="str">
        <f t="shared" si="0"/>
        <v>2 - DEPOSITO CP MARGARETH</v>
      </c>
      <c r="D5" s="171">
        <f>SUMIFS('Controle diario'!$G:$G,'Controle diario'!$A:$A,VLOOKUP('Resumo mensal de despesas caixa'!D$3,'Base das contas'!$E$2:$F$12,2,0),'Controle diario'!$D:$D,'Resumo mensal de despesas caixa'!$C5)</f>
        <v>0</v>
      </c>
      <c r="E5" s="171">
        <f>SUMIFS('Controle diario'!$G:$G,'Controle diario'!$A:$A,VLOOKUP('Resumo mensal de despesas caixa'!$E$3,'Base das contas'!$E$2:$F$12,2,0),'Controle diario'!$D:$D,'Resumo mensal de despesas caixa'!$C5)</f>
        <v>420</v>
      </c>
      <c r="F5" s="171">
        <f>SUMIFS('Controle diario'!$G:$G,'Controle diario'!$A:$A,VLOOKUP('Resumo mensal de despesas caixa'!F$3,'Base das contas'!$E$2:$F$12,2,0),'Controle diario'!$D:$D,'Resumo mensal de despesas caixa'!$C5)</f>
        <v>0</v>
      </c>
      <c r="G5" s="171">
        <f>SUMIFS('Controle diario'!$G:$G,'Controle diario'!$A:$A,VLOOKUP('Resumo mensal de despesas caixa'!G$3,'Base das contas'!$E$2:$F$12,2,0),'Controle diario'!$D:$D,'Resumo mensal de despesas caixa'!$C5)</f>
        <v>0</v>
      </c>
      <c r="H5" s="171">
        <f>SUMIFS('Controle diario'!$G:$G,'Controle diario'!$A:$A,VLOOKUP('Resumo mensal de despesas caixa'!H$3,'Base das contas'!$E$2:$F$12,2,0),'Controle diario'!$D:$D,'Resumo mensal de despesas caixa'!$C5)</f>
        <v>0</v>
      </c>
      <c r="I5" s="171">
        <f>SUMIFS('Controle diario'!$G:$G,'Controle diario'!$A:$A,VLOOKUP('Resumo mensal de despesas caixa'!I$3,'Base das contas'!$E$2:$F$12,2,0),'Controle diario'!$D:$D,'Resumo mensal de despesas caixa'!$C5)</f>
        <v>0</v>
      </c>
      <c r="J5" s="171">
        <f>SUMIFS('Controle diario'!$G:$G,'Controle diario'!$A:$A,VLOOKUP('Resumo mensal de despesas caixa'!J$3,'Base das contas'!$E$2:$F$12,2,0),'Controle diario'!$D:$D,'Resumo mensal de despesas caixa'!$C5)</f>
        <v>0</v>
      </c>
      <c r="K5" s="171">
        <f>SUMIFS('Controle diario'!$G:$G,'Controle diario'!$A:$A,VLOOKUP('Resumo mensal de despesas caixa'!K$3,'Base das contas'!$E$2:$F$12,2,0),'Controle diario'!$D:$D,'Resumo mensal de despesas caixa'!$C5)</f>
        <v>0</v>
      </c>
      <c r="L5" s="171">
        <f>SUMIFS('Controle diario'!$G:$G,'Controle diario'!$A:$A,VLOOKUP('Resumo mensal de despesas caixa'!L$3,'Base das contas'!$E$2:$F$12,2,0),'Controle diario'!$D:$D,'Resumo mensal de despesas caixa'!$C5)</f>
        <v>0</v>
      </c>
      <c r="M5" s="171">
        <f>SUMIFS('Controle diario'!$G:$G,'Controle diario'!$A:$A,VLOOKUP('Resumo mensal de despesas caixa'!M$3,'Base das contas'!$E$2:$F$12,2,0),'Controle diario'!$D:$D,'Resumo mensal de despesas caixa'!$C5)</f>
        <v>0</v>
      </c>
      <c r="N5" s="171">
        <f>SUMIFS('Controle diario'!$G:$G,'Controle diario'!$A:$A,VLOOKUP('Resumo mensal de despesas caixa'!N$3,'Base das contas'!$E$2:$F$12,2,0),'Controle diario'!$D:$D,'Resumo mensal de despesas caixa'!$C5)</f>
        <v>0</v>
      </c>
      <c r="O5" s="171">
        <f>SUMIFS('Controle diario'!$G:$G,'Controle diario'!$A:$A,VLOOKUP('Resumo mensal de despesas caixa'!O$3,'Base das contas'!$E$2:$F$12,2,0),'Controle diario'!$D:$D,'Resumo mensal de despesas caixa'!$C5)</f>
        <v>0</v>
      </c>
    </row>
    <row r="6" spans="1:15" x14ac:dyDescent="0.25">
      <c r="A6" s="118">
        <v>3</v>
      </c>
      <c r="B6" s="118" t="s">
        <v>180</v>
      </c>
      <c r="C6" s="170" t="str">
        <f t="shared" si="0"/>
        <v>3 - DEPOSITO CP DERLON</v>
      </c>
      <c r="D6" s="171">
        <f>SUMIFS('Controle diario'!$G:$G,'Controle diario'!$A:$A,VLOOKUP('Resumo mensal de despesas caixa'!D$3,'Base das contas'!$E$2:$F$12,2,0),'Controle diario'!$D:$D,'Resumo mensal de despesas caixa'!$C6)</f>
        <v>0</v>
      </c>
      <c r="E6" s="171">
        <f>SUMIFS('Controle diario'!$G:$G,'Controle diario'!$A:$A,VLOOKUP('Resumo mensal de despesas caixa'!$E$3,'Base das contas'!$E$2:$F$12,2,0),'Controle diario'!$D:$D,'Resumo mensal de despesas caixa'!$C6)</f>
        <v>5549.4</v>
      </c>
      <c r="F6" s="171">
        <f>SUMIFS('Controle diario'!$G:$G,'Controle diario'!$A:$A,VLOOKUP('Resumo mensal de despesas caixa'!F$3,'Base das contas'!$E$2:$F$12,2,0),'Controle diario'!$D:$D,'Resumo mensal de despesas caixa'!$C6)</f>
        <v>0</v>
      </c>
      <c r="G6" s="171">
        <f>SUMIFS('Controle diario'!$G:$G,'Controle diario'!$A:$A,VLOOKUP('Resumo mensal de despesas caixa'!G$3,'Base das contas'!$E$2:$F$12,2,0),'Controle diario'!$D:$D,'Resumo mensal de despesas caixa'!$C6)</f>
        <v>0</v>
      </c>
      <c r="H6" s="171">
        <f>SUMIFS('Controle diario'!$G:$G,'Controle diario'!$A:$A,VLOOKUP('Resumo mensal de despesas caixa'!H$3,'Base das contas'!$E$2:$F$12,2,0),'Controle diario'!$D:$D,'Resumo mensal de despesas caixa'!$C6)</f>
        <v>0</v>
      </c>
      <c r="I6" s="171">
        <f>SUMIFS('Controle diario'!$G:$G,'Controle diario'!$A:$A,VLOOKUP('Resumo mensal de despesas caixa'!I$3,'Base das contas'!$E$2:$F$12,2,0),'Controle diario'!$D:$D,'Resumo mensal de despesas caixa'!$C6)</f>
        <v>0</v>
      </c>
      <c r="J6" s="171">
        <f>SUMIFS('Controle diario'!$G:$G,'Controle diario'!$A:$A,VLOOKUP('Resumo mensal de despesas caixa'!J$3,'Base das contas'!$E$2:$F$12,2,0),'Controle diario'!$D:$D,'Resumo mensal de despesas caixa'!$C6)</f>
        <v>0</v>
      </c>
      <c r="K6" s="171">
        <f>SUMIFS('Controle diario'!$G:$G,'Controle diario'!$A:$A,VLOOKUP('Resumo mensal de despesas caixa'!K$3,'Base das contas'!$E$2:$F$12,2,0),'Controle diario'!$D:$D,'Resumo mensal de despesas caixa'!$C6)</f>
        <v>0</v>
      </c>
      <c r="L6" s="171">
        <f>SUMIFS('Controle diario'!$G:$G,'Controle diario'!$A:$A,VLOOKUP('Resumo mensal de despesas caixa'!L$3,'Base das contas'!$E$2:$F$12,2,0),'Controle diario'!$D:$D,'Resumo mensal de despesas caixa'!$C6)</f>
        <v>0</v>
      </c>
      <c r="M6" s="171">
        <f>SUMIFS('Controle diario'!$G:$G,'Controle diario'!$A:$A,VLOOKUP('Resumo mensal de despesas caixa'!M$3,'Base das contas'!$E$2:$F$12,2,0),'Controle diario'!$D:$D,'Resumo mensal de despesas caixa'!$C6)</f>
        <v>0</v>
      </c>
      <c r="N6" s="171">
        <f>SUMIFS('Controle diario'!$G:$G,'Controle diario'!$A:$A,VLOOKUP('Resumo mensal de despesas caixa'!N$3,'Base das contas'!$E$2:$F$12,2,0),'Controle diario'!$D:$D,'Resumo mensal de despesas caixa'!$C6)</f>
        <v>0</v>
      </c>
      <c r="O6" s="171">
        <f>SUMIFS('Controle diario'!$G:$G,'Controle diario'!$A:$A,VLOOKUP('Resumo mensal de despesas caixa'!O$3,'Base das contas'!$E$2:$F$12,2,0),'Controle diario'!$D:$D,'Resumo mensal de despesas caixa'!$C6)</f>
        <v>0</v>
      </c>
    </row>
    <row r="7" spans="1:15" x14ac:dyDescent="0.25">
      <c r="A7" s="118">
        <v>4</v>
      </c>
      <c r="B7" s="158" t="s">
        <v>181</v>
      </c>
      <c r="C7" s="170" t="str">
        <f t="shared" si="0"/>
        <v>4 - CARTAO ALIMENTACAO</v>
      </c>
      <c r="D7" s="171">
        <f>SUMIFS('Controle diario'!$G:$G,'Controle diario'!$A:$A,VLOOKUP('Resumo mensal de despesas caixa'!D$3,'Base das contas'!$E$2:$F$12,2,0),'Controle diario'!$D:$D,'Resumo mensal de despesas caixa'!$C7)</f>
        <v>0</v>
      </c>
      <c r="E7" s="171">
        <f>SUMIFS('Controle diario'!$G:$G,'Controle diario'!$A:$A,VLOOKUP('Resumo mensal de despesas caixa'!$E$3,'Base das contas'!$E$2:$F$12,2,0),'Controle diario'!$D:$D,'Resumo mensal de despesas caixa'!$C7)</f>
        <v>700</v>
      </c>
      <c r="F7" s="171">
        <f>SUMIFS('Controle diario'!$G:$G,'Controle diario'!$A:$A,VLOOKUP('Resumo mensal de despesas caixa'!F$3,'Base das contas'!$E$2:$F$12,2,0),'Controle diario'!$D:$D,'Resumo mensal de despesas caixa'!$C7)</f>
        <v>0</v>
      </c>
      <c r="G7" s="171">
        <f>SUMIFS('Controle diario'!$G:$G,'Controle diario'!$A:$A,VLOOKUP('Resumo mensal de despesas caixa'!G$3,'Base das contas'!$E$2:$F$12,2,0),'Controle diario'!$D:$D,'Resumo mensal de despesas caixa'!$C7)</f>
        <v>0</v>
      </c>
      <c r="H7" s="171">
        <f>SUMIFS('Controle diario'!$G:$G,'Controle diario'!$A:$A,VLOOKUP('Resumo mensal de despesas caixa'!H$3,'Base das contas'!$E$2:$F$12,2,0),'Controle diario'!$D:$D,'Resumo mensal de despesas caixa'!$C7)</f>
        <v>0</v>
      </c>
      <c r="I7" s="171">
        <f>SUMIFS('Controle diario'!$G:$G,'Controle diario'!$A:$A,VLOOKUP('Resumo mensal de despesas caixa'!I$3,'Base das contas'!$E$2:$F$12,2,0),'Controle diario'!$D:$D,'Resumo mensal de despesas caixa'!$C7)</f>
        <v>0</v>
      </c>
      <c r="J7" s="171">
        <f>SUMIFS('Controle diario'!$G:$G,'Controle diario'!$A:$A,VLOOKUP('Resumo mensal de despesas caixa'!J$3,'Base das contas'!$E$2:$F$12,2,0),'Controle diario'!$D:$D,'Resumo mensal de despesas caixa'!$C7)</f>
        <v>0</v>
      </c>
      <c r="K7" s="171">
        <f>SUMIFS('Controle diario'!$G:$G,'Controle diario'!$A:$A,VLOOKUP('Resumo mensal de despesas caixa'!K$3,'Base das contas'!$E$2:$F$12,2,0),'Controle diario'!$D:$D,'Resumo mensal de despesas caixa'!$C7)</f>
        <v>0</v>
      </c>
      <c r="L7" s="171">
        <f>SUMIFS('Controle diario'!$G:$G,'Controle diario'!$A:$A,VLOOKUP('Resumo mensal de despesas caixa'!L$3,'Base das contas'!$E$2:$F$12,2,0),'Controle diario'!$D:$D,'Resumo mensal de despesas caixa'!$C7)</f>
        <v>0</v>
      </c>
      <c r="M7" s="171">
        <f>SUMIFS('Controle diario'!$G:$G,'Controle diario'!$A:$A,VLOOKUP('Resumo mensal de despesas caixa'!M$3,'Base das contas'!$E$2:$F$12,2,0),'Controle diario'!$D:$D,'Resumo mensal de despesas caixa'!$C7)</f>
        <v>0</v>
      </c>
      <c r="N7" s="171">
        <f>SUMIFS('Controle diario'!$G:$G,'Controle diario'!$A:$A,VLOOKUP('Resumo mensal de despesas caixa'!N$3,'Base das contas'!$E$2:$F$12,2,0),'Controle diario'!$D:$D,'Resumo mensal de despesas caixa'!$C7)</f>
        <v>0</v>
      </c>
      <c r="O7" s="171">
        <f>SUMIFS('Controle diario'!$G:$G,'Controle diario'!$A:$A,VLOOKUP('Resumo mensal de despesas caixa'!O$3,'Base das contas'!$E$2:$F$12,2,0),'Controle diario'!$D:$D,'Resumo mensal de despesas caixa'!$C7)</f>
        <v>0</v>
      </c>
    </row>
    <row r="8" spans="1:15" x14ac:dyDescent="0.25">
      <c r="A8" s="118">
        <v>5</v>
      </c>
      <c r="B8" s="158" t="s">
        <v>182</v>
      </c>
      <c r="C8" s="170" t="str">
        <f t="shared" si="0"/>
        <v>5 - CARTAO DE CREDITO</v>
      </c>
      <c r="D8" s="171">
        <f>SUMIFS('Controle diario'!$G:$G,'Controle diario'!$A:$A,VLOOKUP('Resumo mensal de despesas caixa'!D$3,'Base das contas'!$E$2:$F$12,2,0),'Controle diario'!$D:$D,'Resumo mensal de despesas caixa'!$C8)</f>
        <v>0</v>
      </c>
      <c r="E8" s="171">
        <f>SUMIFS('Controle diario'!$G:$G,'Controle diario'!$A:$A,VLOOKUP('Resumo mensal de despesas caixa'!$E$3,'Base das contas'!$E$2:$F$12,2,0),'Controle diario'!$D:$D,'Resumo mensal de despesas caixa'!$C8)</f>
        <v>0</v>
      </c>
      <c r="F8" s="171">
        <f>SUMIFS('Controle diario'!$G:$G,'Controle diario'!$A:$A,VLOOKUP('Resumo mensal de despesas caixa'!F$3,'Base das contas'!$E$2:$F$12,2,0),'Controle diario'!$D:$D,'Resumo mensal de despesas caixa'!$C8)</f>
        <v>0</v>
      </c>
      <c r="G8" s="171">
        <f>SUMIFS('Controle diario'!$G:$G,'Controle diario'!$A:$A,VLOOKUP('Resumo mensal de despesas caixa'!G$3,'Base das contas'!$E$2:$F$12,2,0),'Controle diario'!$D:$D,'Resumo mensal de despesas caixa'!$C8)</f>
        <v>0</v>
      </c>
      <c r="H8" s="171">
        <f>SUMIFS('Controle diario'!$G:$G,'Controle diario'!$A:$A,VLOOKUP('Resumo mensal de despesas caixa'!H$3,'Base das contas'!$E$2:$F$12,2,0),'Controle diario'!$D:$D,'Resumo mensal de despesas caixa'!$C8)</f>
        <v>0</v>
      </c>
      <c r="I8" s="171">
        <f>SUMIFS('Controle diario'!$G:$G,'Controle diario'!$A:$A,VLOOKUP('Resumo mensal de despesas caixa'!I$3,'Base das contas'!$E$2:$F$12,2,0),'Controle diario'!$D:$D,'Resumo mensal de despesas caixa'!$C8)</f>
        <v>0</v>
      </c>
      <c r="J8" s="171">
        <f>SUMIFS('Controle diario'!$G:$G,'Controle diario'!$A:$A,VLOOKUP('Resumo mensal de despesas caixa'!J$3,'Base das contas'!$E$2:$F$12,2,0),'Controle diario'!$D:$D,'Resumo mensal de despesas caixa'!$C8)</f>
        <v>0</v>
      </c>
      <c r="K8" s="171">
        <f>SUMIFS('Controle diario'!$G:$G,'Controle diario'!$A:$A,VLOOKUP('Resumo mensal de despesas caixa'!K$3,'Base das contas'!$E$2:$F$12,2,0),'Controle diario'!$D:$D,'Resumo mensal de despesas caixa'!$C8)</f>
        <v>0</v>
      </c>
      <c r="L8" s="171">
        <f>SUMIFS('Controle diario'!$G:$G,'Controle diario'!$A:$A,VLOOKUP('Resumo mensal de despesas caixa'!L$3,'Base das contas'!$E$2:$F$12,2,0),'Controle diario'!$D:$D,'Resumo mensal de despesas caixa'!$C8)</f>
        <v>0</v>
      </c>
      <c r="M8" s="171">
        <f>SUMIFS('Controle diario'!$G:$G,'Controle diario'!$A:$A,VLOOKUP('Resumo mensal de despesas caixa'!M$3,'Base das contas'!$E$2:$F$12,2,0),'Controle diario'!$D:$D,'Resumo mensal de despesas caixa'!$C8)</f>
        <v>0</v>
      </c>
      <c r="N8" s="171">
        <f>SUMIFS('Controle diario'!$G:$G,'Controle diario'!$A:$A,VLOOKUP('Resumo mensal de despesas caixa'!N$3,'Base das contas'!$E$2:$F$12,2,0),'Controle diario'!$D:$D,'Resumo mensal de despesas caixa'!$C8)</f>
        <v>0</v>
      </c>
      <c r="O8" s="171">
        <f>SUMIFS('Controle diario'!$G:$G,'Controle diario'!$A:$A,VLOOKUP('Resumo mensal de despesas caixa'!O$3,'Base das contas'!$E$2:$F$12,2,0),'Controle diario'!$D:$D,'Resumo mensal de despesas caixa'!$C8)</f>
        <v>0</v>
      </c>
    </row>
    <row r="9" spans="1:15" x14ac:dyDescent="0.25">
      <c r="A9" s="158">
        <v>6</v>
      </c>
      <c r="B9" s="158" t="s">
        <v>131</v>
      </c>
      <c r="C9" s="170" t="str">
        <f t="shared" si="0"/>
        <v>6 - EMPRESTIMO</v>
      </c>
      <c r="D9" s="171">
        <f>SUMIFS('Controle diario'!$G:$G,'Controle diario'!$A:$A,VLOOKUP('Resumo mensal de despesas caixa'!D$3,'Base das contas'!$E$2:$F$12,2,0),'Controle diario'!$D:$D,'Resumo mensal de despesas caixa'!$C9)</f>
        <v>0</v>
      </c>
      <c r="E9" s="171">
        <f>SUMIFS('Controle diario'!$G:$G,'Controle diario'!$A:$A,VLOOKUP('Resumo mensal de despesas caixa'!$E$3,'Base das contas'!$E$2:$F$12,2,0),'Controle diario'!$D:$D,'Resumo mensal de despesas caixa'!$C9)</f>
        <v>0</v>
      </c>
      <c r="F9" s="171">
        <f>SUMIFS('Controle diario'!$G:$G,'Controle diario'!$A:$A,VLOOKUP('Resumo mensal de despesas caixa'!F$3,'Base das contas'!$E$2:$F$12,2,0),'Controle diario'!$D:$D,'Resumo mensal de despesas caixa'!$C9)</f>
        <v>0</v>
      </c>
      <c r="G9" s="171">
        <f>SUMIFS('Controle diario'!$G:$G,'Controle diario'!$A:$A,VLOOKUP('Resumo mensal de despesas caixa'!G$3,'Base das contas'!$E$2:$F$12,2,0),'Controle diario'!$D:$D,'Resumo mensal de despesas caixa'!$C9)</f>
        <v>0</v>
      </c>
      <c r="H9" s="171">
        <f>SUMIFS('Controle diario'!$G:$G,'Controle diario'!$A:$A,VLOOKUP('Resumo mensal de despesas caixa'!H$3,'Base das contas'!$E$2:$F$12,2,0),'Controle diario'!$D:$D,'Resumo mensal de despesas caixa'!$C9)</f>
        <v>0</v>
      </c>
      <c r="I9" s="171">
        <f>SUMIFS('Controle diario'!$G:$G,'Controle diario'!$A:$A,VLOOKUP('Resumo mensal de despesas caixa'!I$3,'Base das contas'!$E$2:$F$12,2,0),'Controle diario'!$D:$D,'Resumo mensal de despesas caixa'!$C9)</f>
        <v>0</v>
      </c>
      <c r="J9" s="171">
        <f>SUMIFS('Controle diario'!$G:$G,'Controle diario'!$A:$A,VLOOKUP('Resumo mensal de despesas caixa'!J$3,'Base das contas'!$E$2:$F$12,2,0),'Controle diario'!$D:$D,'Resumo mensal de despesas caixa'!$C9)</f>
        <v>0</v>
      </c>
      <c r="K9" s="171">
        <f>SUMIFS('Controle diario'!$G:$G,'Controle diario'!$A:$A,VLOOKUP('Resumo mensal de despesas caixa'!K$3,'Base das contas'!$E$2:$F$12,2,0),'Controle diario'!$D:$D,'Resumo mensal de despesas caixa'!$C9)</f>
        <v>0</v>
      </c>
      <c r="L9" s="171">
        <f>SUMIFS('Controle diario'!$G:$G,'Controle diario'!$A:$A,VLOOKUP('Resumo mensal de despesas caixa'!L$3,'Base das contas'!$E$2:$F$12,2,0),'Controle diario'!$D:$D,'Resumo mensal de despesas caixa'!$C9)</f>
        <v>0</v>
      </c>
      <c r="M9" s="171">
        <f>SUMIFS('Controle diario'!$G:$G,'Controle diario'!$A:$A,VLOOKUP('Resumo mensal de despesas caixa'!M$3,'Base das contas'!$E$2:$F$12,2,0),'Controle diario'!$D:$D,'Resumo mensal de despesas caixa'!$C9)</f>
        <v>0</v>
      </c>
      <c r="N9" s="171">
        <f>SUMIFS('Controle diario'!$G:$G,'Controle diario'!$A:$A,VLOOKUP('Resumo mensal de despesas caixa'!N$3,'Base das contas'!$E$2:$F$12,2,0),'Controle diario'!$D:$D,'Resumo mensal de despesas caixa'!$C9)</f>
        <v>0</v>
      </c>
      <c r="O9" s="171">
        <f>SUMIFS('Controle diario'!$G:$G,'Controle diario'!$A:$A,VLOOKUP('Resumo mensal de despesas caixa'!O$3,'Base das contas'!$E$2:$F$12,2,0),'Controle diario'!$D:$D,'Resumo mensal de despesas caixa'!$C9)</f>
        <v>0</v>
      </c>
    </row>
    <row r="10" spans="1:15" x14ac:dyDescent="0.25">
      <c r="B10" s="158"/>
      <c r="C10" s="172"/>
      <c r="D10" s="171">
        <f>SUMIFS('Controle diario'!$G:$G,'Controle diario'!$A:$A,VLOOKUP('Resumo mensal de despesas caixa'!D$3,'Base das contas'!$E$2:$F$12,2,0),'Controle diario'!$D:$D,'Resumo mensal de despesas caixa'!$C10)</f>
        <v>0</v>
      </c>
      <c r="E10" s="171">
        <f>SUMIFS('Controle diario'!$G:$G,'Controle diario'!$A:$A,VLOOKUP('Resumo mensal de despesas caixa'!$E$3,'Base das contas'!$E$2:$F$12,2,0),'Controle diario'!$D:$D,'Resumo mensal de despesas caixa'!$C10)</f>
        <v>0</v>
      </c>
      <c r="F10" s="171">
        <f>SUMIFS('Controle diario'!$G:$G,'Controle diario'!$A:$A,VLOOKUP('Resumo mensal de despesas caixa'!F$3,'Base das contas'!$E$2:$F$12,2,0),'Controle diario'!$D:$D,'Resumo mensal de despesas caixa'!$C10)</f>
        <v>0</v>
      </c>
      <c r="G10" s="171">
        <f>SUMIFS('Controle diario'!$G:$G,'Controle diario'!$A:$A,VLOOKUP('Resumo mensal de despesas caixa'!G$3,'Base das contas'!$E$2:$F$12,2,0),'Controle diario'!$D:$D,'Resumo mensal de despesas caixa'!$C10)</f>
        <v>0</v>
      </c>
      <c r="H10" s="171">
        <f>SUMIFS('Controle diario'!$G:$G,'Controle diario'!$A:$A,VLOOKUP('Resumo mensal de despesas caixa'!H$3,'Base das contas'!$E$2:$F$12,2,0),'Controle diario'!$D:$D,'Resumo mensal de despesas caixa'!$C10)</f>
        <v>0</v>
      </c>
      <c r="I10" s="171">
        <f>SUMIFS('Controle diario'!$G:$G,'Controle diario'!$A:$A,VLOOKUP('Resumo mensal de despesas caixa'!I$3,'Base das contas'!$E$2:$F$12,2,0),'Controle diario'!$D:$D,'Resumo mensal de despesas caixa'!$C10)</f>
        <v>0</v>
      </c>
      <c r="J10" s="171">
        <f>SUMIFS('Controle diario'!$G:$G,'Controle diario'!$A:$A,VLOOKUP('Resumo mensal de despesas caixa'!J$3,'Base das contas'!$E$2:$F$12,2,0),'Controle diario'!$D:$D,'Resumo mensal de despesas caixa'!$C10)</f>
        <v>0</v>
      </c>
      <c r="K10" s="171">
        <f>SUMIFS('Controle diario'!$G:$G,'Controle diario'!$A:$A,VLOOKUP('Resumo mensal de despesas caixa'!K$3,'Base das contas'!$E$2:$F$12,2,0),'Controle diario'!$D:$D,'Resumo mensal de despesas caixa'!$C10)</f>
        <v>0</v>
      </c>
      <c r="L10" s="171">
        <f>SUMIFS('Controle diario'!$G:$G,'Controle diario'!$A:$A,VLOOKUP('Resumo mensal de despesas caixa'!L$3,'Base das contas'!$E$2:$F$12,2,0),'Controle diario'!$D:$D,'Resumo mensal de despesas caixa'!$C10)</f>
        <v>0</v>
      </c>
      <c r="M10" s="171">
        <f>SUMIFS('Controle diario'!$G:$G,'Controle diario'!$A:$A,VLOOKUP('Resumo mensal de despesas caixa'!M$3,'Base das contas'!$E$2:$F$12,2,0),'Controle diario'!$D:$D,'Resumo mensal de despesas caixa'!$C10)</f>
        <v>0</v>
      </c>
      <c r="N10" s="171">
        <f>SUMIFS('Controle diario'!$G:$G,'Controle diario'!$A:$A,VLOOKUP('Resumo mensal de despesas caixa'!N$3,'Base das contas'!$E$2:$F$12,2,0),'Controle diario'!$D:$D,'Resumo mensal de despesas caixa'!$C10)</f>
        <v>0</v>
      </c>
      <c r="O10" s="171">
        <f>SUMIFS('Controle diario'!$G:$G,'Controle diario'!$A:$A,VLOOKUP('Resumo mensal de despesas caixa'!O$3,'Base das contas'!$E$2:$F$12,2,0),'Controle diario'!$D:$D,'Resumo mensal de despesas caixa'!$C10)</f>
        <v>0</v>
      </c>
    </row>
    <row r="11" spans="1:15" x14ac:dyDescent="0.25">
      <c r="B11" s="158" t="s">
        <v>266</v>
      </c>
      <c r="C11" s="176" t="s">
        <v>266</v>
      </c>
      <c r="D11" s="177">
        <f>SUM(D4:D10)</f>
        <v>0</v>
      </c>
      <c r="E11" s="177">
        <f>SUM(E4:E10)</f>
        <v>7959.4</v>
      </c>
      <c r="F11" s="177">
        <f t="shared" ref="F11:O11" si="1">SUM(F4:F10)</f>
        <v>0</v>
      </c>
      <c r="G11" s="177">
        <f t="shared" si="1"/>
        <v>0</v>
      </c>
      <c r="H11" s="177">
        <f t="shared" si="1"/>
        <v>0</v>
      </c>
      <c r="I11" s="177">
        <f t="shared" si="1"/>
        <v>0</v>
      </c>
      <c r="J11" s="177">
        <f t="shared" si="1"/>
        <v>0</v>
      </c>
      <c r="K11" s="177">
        <f t="shared" si="1"/>
        <v>0</v>
      </c>
      <c r="L11" s="177">
        <f t="shared" si="1"/>
        <v>0</v>
      </c>
      <c r="M11" s="177">
        <f t="shared" si="1"/>
        <v>0</v>
      </c>
      <c r="N11" s="177">
        <f t="shared" si="1"/>
        <v>0</v>
      </c>
      <c r="O11" s="177">
        <f t="shared" si="1"/>
        <v>0</v>
      </c>
    </row>
    <row r="12" spans="1:15" x14ac:dyDescent="0.25">
      <c r="B12" s="158"/>
      <c r="C12" s="173"/>
      <c r="D12" s="174"/>
      <c r="E12" s="174"/>
      <c r="F12" s="174"/>
      <c r="G12" s="174"/>
      <c r="H12" s="174"/>
      <c r="I12" s="174"/>
      <c r="J12" s="174"/>
      <c r="K12" s="174"/>
      <c r="L12" s="174"/>
      <c r="M12" s="174"/>
      <c r="N12" s="174"/>
      <c r="O12" s="175"/>
    </row>
    <row r="13" spans="1:15" x14ac:dyDescent="0.25">
      <c r="B13" s="244" t="s">
        <v>252</v>
      </c>
      <c r="C13" s="247"/>
      <c r="D13" s="247"/>
      <c r="E13" s="247"/>
      <c r="F13" s="247"/>
      <c r="G13" s="247"/>
      <c r="H13" s="247"/>
      <c r="I13" s="247"/>
      <c r="J13" s="247"/>
      <c r="K13" s="247"/>
      <c r="L13" s="247"/>
      <c r="M13" s="247"/>
      <c r="N13" s="247"/>
      <c r="O13" s="248"/>
    </row>
    <row r="14" spans="1:15" x14ac:dyDescent="0.25">
      <c r="B14" s="118"/>
      <c r="C14" s="163"/>
      <c r="D14" s="54" t="s">
        <v>253</v>
      </c>
      <c r="E14" s="54" t="s">
        <v>254</v>
      </c>
      <c r="F14" s="54" t="s">
        <v>255</v>
      </c>
      <c r="G14" s="54" t="s">
        <v>256</v>
      </c>
      <c r="H14" s="54" t="s">
        <v>257</v>
      </c>
      <c r="I14" s="54" t="s">
        <v>258</v>
      </c>
      <c r="J14" s="54" t="s">
        <v>259</v>
      </c>
      <c r="K14" s="54" t="s">
        <v>260</v>
      </c>
      <c r="L14" s="54" t="s">
        <v>261</v>
      </c>
      <c r="M14" s="54" t="s">
        <v>262</v>
      </c>
      <c r="N14" s="54" t="s">
        <v>263</v>
      </c>
      <c r="O14" s="54" t="s">
        <v>264</v>
      </c>
    </row>
    <row r="15" spans="1:15" x14ac:dyDescent="0.25">
      <c r="A15" s="118">
        <v>1</v>
      </c>
      <c r="B15" s="164" t="s">
        <v>209</v>
      </c>
      <c r="C15" s="162" t="str">
        <f t="shared" ref="C15:C51" si="2">A15&amp;" - "&amp;B15</f>
        <v>1 - COMISSAO - MANUTENCAO KITNET</v>
      </c>
      <c r="D15" s="171">
        <f>SUMIFS('Controle diario'!$G:$G,'Controle diario'!$A:$A,VLOOKUP('Resumo mensal de despesas caixa'!D$3,'Base das contas'!$E$2:$F$12,2,0),'Controle diario'!$D:$D,'Resumo mensal de despesas caixa'!$C15)</f>
        <v>0</v>
      </c>
      <c r="E15" s="171">
        <f>SUMIFS('Controle diario'!$G:$G,'Controle diario'!$A:$A,VLOOKUP('Resumo mensal de despesas caixa'!$E$3,'Base das contas'!$E$2:$F$12,2,0),'Controle diario'!$D:$D,'Resumo mensal de despesas caixa'!$C15)</f>
        <v>0</v>
      </c>
      <c r="F15" s="171">
        <f>SUMIFS('Controle diario'!$G:$G,'Controle diario'!$A:$A,VLOOKUP('Resumo mensal de despesas caixa'!F$3,'Base das contas'!$E$2:$F$12,2,0),'Controle diario'!$D:$D,'Resumo mensal de despesas caixa'!$C15)</f>
        <v>0</v>
      </c>
      <c r="G15" s="171">
        <f>SUMIFS('Controle diario'!$G:$G,'Controle diario'!$A:$A,VLOOKUP('Resumo mensal de despesas caixa'!G$3,'Base das contas'!$E$2:$F$12,2,0),'Controle diario'!$D:$D,'Resumo mensal de despesas caixa'!$C15)</f>
        <v>0</v>
      </c>
      <c r="H15" s="171">
        <f>SUMIFS('Controle diario'!$G:$G,'Controle diario'!$A:$A,VLOOKUP('Resumo mensal de despesas caixa'!H$3,'Base das contas'!$E$2:$F$12,2,0),'Controle diario'!$D:$D,'Resumo mensal de despesas caixa'!$C15)</f>
        <v>0</v>
      </c>
      <c r="I15" s="171">
        <f>SUMIFS('Controle diario'!$G:$G,'Controle diario'!$A:$A,VLOOKUP('Resumo mensal de despesas caixa'!I$3,'Base das contas'!$E$2:$F$12,2,0),'Controle diario'!$D:$D,'Resumo mensal de despesas caixa'!$C15)</f>
        <v>0</v>
      </c>
      <c r="J15" s="171">
        <f>SUMIFS('Controle diario'!$G:$G,'Controle diario'!$A:$A,VLOOKUP('Resumo mensal de despesas caixa'!J$3,'Base das contas'!$E$2:$F$12,2,0),'Controle diario'!$D:$D,'Resumo mensal de despesas caixa'!$C15)</f>
        <v>0</v>
      </c>
      <c r="K15" s="171">
        <f>SUMIFS('Controle diario'!$G:$G,'Controle diario'!$A:$A,VLOOKUP('Resumo mensal de despesas caixa'!K$3,'Base das contas'!$E$2:$F$12,2,0),'Controle diario'!$D:$D,'Resumo mensal de despesas caixa'!$C15)</f>
        <v>0</v>
      </c>
      <c r="L15" s="171">
        <f>SUMIFS('Controle diario'!$G:$G,'Controle diario'!$A:$A,VLOOKUP('Resumo mensal de despesas caixa'!L$3,'Base das contas'!$E$2:$F$12,2,0),'Controle diario'!$D:$D,'Resumo mensal de despesas caixa'!$C15)</f>
        <v>0</v>
      </c>
      <c r="M15" s="171">
        <f>SUMIFS('Controle diario'!$G:$G,'Controle diario'!$A:$A,VLOOKUP('Resumo mensal de despesas caixa'!M$3,'Base das contas'!$E$2:$F$12,2,0),'Controle diario'!$D:$D,'Resumo mensal de despesas caixa'!$C15)</f>
        <v>0</v>
      </c>
      <c r="N15" s="171">
        <f>SUMIFS('Controle diario'!$G:$G,'Controle diario'!$A:$A,VLOOKUP('Resumo mensal de despesas caixa'!N$3,'Base das contas'!$E$2:$F$12,2,0),'Controle diario'!$D:$D,'Resumo mensal de despesas caixa'!$C15)</f>
        <v>0</v>
      </c>
      <c r="O15" s="171">
        <f>SUMIFS('Controle diario'!$G:$G,'Controle diario'!$A:$A,VLOOKUP('Resumo mensal de despesas caixa'!O$3,'Base das contas'!$E$2:$F$12,2,0),'Controle diario'!$D:$D,'Resumo mensal de despesas caixa'!$C15)</f>
        <v>0</v>
      </c>
    </row>
    <row r="16" spans="1:15" x14ac:dyDescent="0.25">
      <c r="A16" s="118">
        <v>2</v>
      </c>
      <c r="B16" s="158" t="s">
        <v>65</v>
      </c>
      <c r="C16" s="162" t="str">
        <f t="shared" si="2"/>
        <v>2 - AGUA KITNET</v>
      </c>
      <c r="D16" s="171">
        <f>SUMIFS('Controle diario'!$G:$G,'Controle diario'!$A:$A,VLOOKUP('Resumo mensal de despesas caixa'!D$3,'Base das contas'!$E$2:$F$12,2,0),'Controle diario'!$D:$D,'Resumo mensal de despesas caixa'!$C16)</f>
        <v>0</v>
      </c>
      <c r="E16" s="171">
        <f>SUMIFS('Controle diario'!$G:$G,'Controle diario'!$A:$A,VLOOKUP('Resumo mensal de despesas caixa'!$E$3,'Base das contas'!$E$2:$F$12,2,0),'Controle diario'!$D:$D,'Resumo mensal de despesas caixa'!$C16)</f>
        <v>0</v>
      </c>
      <c r="F16" s="171">
        <f>SUMIFS('Controle diario'!$G:$G,'Controle diario'!$A:$A,VLOOKUP('Resumo mensal de despesas caixa'!F$3,'Base das contas'!$E$2:$F$12,2,0),'Controle diario'!$D:$D,'Resumo mensal de despesas caixa'!$C16)</f>
        <v>0</v>
      </c>
      <c r="G16" s="171">
        <f>SUMIFS('Controle diario'!$G:$G,'Controle diario'!$A:$A,VLOOKUP('Resumo mensal de despesas caixa'!G$3,'Base das contas'!$E$2:$F$12,2,0),'Controle diario'!$D:$D,'Resumo mensal de despesas caixa'!$C16)</f>
        <v>0</v>
      </c>
      <c r="H16" s="171">
        <f>SUMIFS('Controle diario'!$G:$G,'Controle diario'!$A:$A,VLOOKUP('Resumo mensal de despesas caixa'!H$3,'Base das contas'!$E$2:$F$12,2,0),'Controle diario'!$D:$D,'Resumo mensal de despesas caixa'!$C16)</f>
        <v>0</v>
      </c>
      <c r="I16" s="171">
        <f>SUMIFS('Controle diario'!$G:$G,'Controle diario'!$A:$A,VLOOKUP('Resumo mensal de despesas caixa'!I$3,'Base das contas'!$E$2:$F$12,2,0),'Controle diario'!$D:$D,'Resumo mensal de despesas caixa'!$C16)</f>
        <v>0</v>
      </c>
      <c r="J16" s="171">
        <f>SUMIFS('Controle diario'!$G:$G,'Controle diario'!$A:$A,VLOOKUP('Resumo mensal de despesas caixa'!J$3,'Base das contas'!$E$2:$F$12,2,0),'Controle diario'!$D:$D,'Resumo mensal de despesas caixa'!$C16)</f>
        <v>0</v>
      </c>
      <c r="K16" s="171">
        <f>SUMIFS('Controle diario'!$G:$G,'Controle diario'!$A:$A,VLOOKUP('Resumo mensal de despesas caixa'!K$3,'Base das contas'!$E$2:$F$12,2,0),'Controle diario'!$D:$D,'Resumo mensal de despesas caixa'!$C16)</f>
        <v>0</v>
      </c>
      <c r="L16" s="171">
        <f>SUMIFS('Controle diario'!$G:$G,'Controle diario'!$A:$A,VLOOKUP('Resumo mensal de despesas caixa'!L$3,'Base das contas'!$E$2:$F$12,2,0),'Controle diario'!$D:$D,'Resumo mensal de despesas caixa'!$C16)</f>
        <v>0</v>
      </c>
      <c r="M16" s="171">
        <f>SUMIFS('Controle diario'!$G:$G,'Controle diario'!$A:$A,VLOOKUP('Resumo mensal de despesas caixa'!M$3,'Base das contas'!$E$2:$F$12,2,0),'Controle diario'!$D:$D,'Resumo mensal de despesas caixa'!$C16)</f>
        <v>0</v>
      </c>
      <c r="N16" s="171">
        <f>SUMIFS('Controle diario'!$G:$G,'Controle diario'!$A:$A,VLOOKUP('Resumo mensal de despesas caixa'!N$3,'Base das contas'!$E$2:$F$12,2,0),'Controle diario'!$D:$D,'Resumo mensal de despesas caixa'!$C16)</f>
        <v>0</v>
      </c>
      <c r="O16" s="171">
        <f>SUMIFS('Controle diario'!$G:$G,'Controle diario'!$A:$A,VLOOKUP('Resumo mensal de despesas caixa'!O$3,'Base das contas'!$E$2:$F$12,2,0),'Controle diario'!$D:$D,'Resumo mensal de despesas caixa'!$C16)</f>
        <v>0</v>
      </c>
    </row>
    <row r="17" spans="1:15" x14ac:dyDescent="0.25">
      <c r="A17" s="118">
        <v>3</v>
      </c>
      <c r="B17" s="158" t="s">
        <v>216</v>
      </c>
      <c r="C17" s="162" t="str">
        <f t="shared" si="2"/>
        <v>3 - ENERGIA KITNET</v>
      </c>
      <c r="D17" s="171">
        <f>SUMIFS('Controle diario'!$G:$G,'Controle diario'!$A:$A,VLOOKUP('Resumo mensal de despesas caixa'!D$3,'Base das contas'!$E$2:$F$12,2,0),'Controle diario'!$D:$D,'Resumo mensal de despesas caixa'!$C17)</f>
        <v>0</v>
      </c>
      <c r="E17" s="171">
        <f>SUMIFS('Controle diario'!$G:$G,'Controle diario'!$A:$A,VLOOKUP('Resumo mensal de despesas caixa'!$E$3,'Base das contas'!$E$2:$F$12,2,0),'Controle diario'!$D:$D,'Resumo mensal de despesas caixa'!$C17)</f>
        <v>0</v>
      </c>
      <c r="F17" s="171">
        <f>SUMIFS('Controle diario'!$G:$G,'Controle diario'!$A:$A,VLOOKUP('Resumo mensal de despesas caixa'!F$3,'Base das contas'!$E$2:$F$12,2,0),'Controle diario'!$D:$D,'Resumo mensal de despesas caixa'!$C17)</f>
        <v>0</v>
      </c>
      <c r="G17" s="171">
        <f>SUMIFS('Controle diario'!$G:$G,'Controle diario'!$A:$A,VLOOKUP('Resumo mensal de despesas caixa'!G$3,'Base das contas'!$E$2:$F$12,2,0),'Controle diario'!$D:$D,'Resumo mensal de despesas caixa'!$C17)</f>
        <v>0</v>
      </c>
      <c r="H17" s="171">
        <f>SUMIFS('Controle diario'!$G:$G,'Controle diario'!$A:$A,VLOOKUP('Resumo mensal de despesas caixa'!H$3,'Base das contas'!$E$2:$F$12,2,0),'Controle diario'!$D:$D,'Resumo mensal de despesas caixa'!$C17)</f>
        <v>0</v>
      </c>
      <c r="I17" s="171">
        <f>SUMIFS('Controle diario'!$G:$G,'Controle diario'!$A:$A,VLOOKUP('Resumo mensal de despesas caixa'!I$3,'Base das contas'!$E$2:$F$12,2,0),'Controle diario'!$D:$D,'Resumo mensal de despesas caixa'!$C17)</f>
        <v>0</v>
      </c>
      <c r="J17" s="171">
        <f>SUMIFS('Controle diario'!$G:$G,'Controle diario'!$A:$A,VLOOKUP('Resumo mensal de despesas caixa'!J$3,'Base das contas'!$E$2:$F$12,2,0),'Controle diario'!$D:$D,'Resumo mensal de despesas caixa'!$C17)</f>
        <v>0</v>
      </c>
      <c r="K17" s="171">
        <f>SUMIFS('Controle diario'!$G:$G,'Controle diario'!$A:$A,VLOOKUP('Resumo mensal de despesas caixa'!K$3,'Base das contas'!$E$2:$F$12,2,0),'Controle diario'!$D:$D,'Resumo mensal de despesas caixa'!$C17)</f>
        <v>0</v>
      </c>
      <c r="L17" s="171">
        <f>SUMIFS('Controle diario'!$G:$G,'Controle diario'!$A:$A,VLOOKUP('Resumo mensal de despesas caixa'!L$3,'Base das contas'!$E$2:$F$12,2,0),'Controle diario'!$D:$D,'Resumo mensal de despesas caixa'!$C17)</f>
        <v>0</v>
      </c>
      <c r="M17" s="171">
        <f>SUMIFS('Controle diario'!$G:$G,'Controle diario'!$A:$A,VLOOKUP('Resumo mensal de despesas caixa'!M$3,'Base das contas'!$E$2:$F$12,2,0),'Controle diario'!$D:$D,'Resumo mensal de despesas caixa'!$C17)</f>
        <v>0</v>
      </c>
      <c r="N17" s="171">
        <f>SUMIFS('Controle diario'!$G:$G,'Controle diario'!$A:$A,VLOOKUP('Resumo mensal de despesas caixa'!N$3,'Base das contas'!$E$2:$F$12,2,0),'Controle diario'!$D:$D,'Resumo mensal de despesas caixa'!$C17)</f>
        <v>0</v>
      </c>
      <c r="O17" s="171">
        <f>SUMIFS('Controle diario'!$G:$G,'Controle diario'!$A:$A,VLOOKUP('Resumo mensal de despesas caixa'!O$3,'Base das contas'!$E$2:$F$12,2,0),'Controle diario'!$D:$D,'Resumo mensal de despesas caixa'!$C17)</f>
        <v>0</v>
      </c>
    </row>
    <row r="18" spans="1:15" x14ac:dyDescent="0.25">
      <c r="A18" s="118">
        <v>4</v>
      </c>
      <c r="B18" s="158" t="s">
        <v>66</v>
      </c>
      <c r="C18" s="162" t="str">
        <f t="shared" si="2"/>
        <v>4 - INTERNET KITNET</v>
      </c>
      <c r="D18" s="171">
        <f>SUMIFS('Controle diario'!$G:$G,'Controle diario'!$A:$A,VLOOKUP('Resumo mensal de despesas caixa'!D$3,'Base das contas'!$E$2:$F$12,2,0),'Controle diario'!$D:$D,'Resumo mensal de despesas caixa'!$C18)</f>
        <v>0</v>
      </c>
      <c r="E18" s="171">
        <f>SUMIFS('Controle diario'!$G:$G,'Controle diario'!$A:$A,VLOOKUP('Resumo mensal de despesas caixa'!$E$3,'Base das contas'!$E$2:$F$12,2,0),'Controle diario'!$D:$D,'Resumo mensal de despesas caixa'!$C18)</f>
        <v>0</v>
      </c>
      <c r="F18" s="171">
        <f>SUMIFS('Controle diario'!$G:$G,'Controle diario'!$A:$A,VLOOKUP('Resumo mensal de despesas caixa'!F$3,'Base das contas'!$E$2:$F$12,2,0),'Controle diario'!$D:$D,'Resumo mensal de despesas caixa'!$C18)</f>
        <v>0</v>
      </c>
      <c r="G18" s="171">
        <f>SUMIFS('Controle diario'!$G:$G,'Controle diario'!$A:$A,VLOOKUP('Resumo mensal de despesas caixa'!G$3,'Base das contas'!$E$2:$F$12,2,0),'Controle diario'!$D:$D,'Resumo mensal de despesas caixa'!$C18)</f>
        <v>0</v>
      </c>
      <c r="H18" s="171">
        <f>SUMIFS('Controle diario'!$G:$G,'Controle diario'!$A:$A,VLOOKUP('Resumo mensal de despesas caixa'!H$3,'Base das contas'!$E$2:$F$12,2,0),'Controle diario'!$D:$D,'Resumo mensal de despesas caixa'!$C18)</f>
        <v>0</v>
      </c>
      <c r="I18" s="171">
        <f>SUMIFS('Controle diario'!$G:$G,'Controle diario'!$A:$A,VLOOKUP('Resumo mensal de despesas caixa'!I$3,'Base das contas'!$E$2:$F$12,2,0),'Controle diario'!$D:$D,'Resumo mensal de despesas caixa'!$C18)</f>
        <v>0</v>
      </c>
      <c r="J18" s="171">
        <f>SUMIFS('Controle diario'!$G:$G,'Controle diario'!$A:$A,VLOOKUP('Resumo mensal de despesas caixa'!J$3,'Base das contas'!$E$2:$F$12,2,0),'Controle diario'!$D:$D,'Resumo mensal de despesas caixa'!$C18)</f>
        <v>0</v>
      </c>
      <c r="K18" s="171">
        <f>SUMIFS('Controle diario'!$G:$G,'Controle diario'!$A:$A,VLOOKUP('Resumo mensal de despesas caixa'!K$3,'Base das contas'!$E$2:$F$12,2,0),'Controle diario'!$D:$D,'Resumo mensal de despesas caixa'!$C18)</f>
        <v>0</v>
      </c>
      <c r="L18" s="171">
        <f>SUMIFS('Controle diario'!$G:$G,'Controle diario'!$A:$A,VLOOKUP('Resumo mensal de despesas caixa'!L$3,'Base das contas'!$E$2:$F$12,2,0),'Controle diario'!$D:$D,'Resumo mensal de despesas caixa'!$C18)</f>
        <v>0</v>
      </c>
      <c r="M18" s="171">
        <f>SUMIFS('Controle diario'!$G:$G,'Controle diario'!$A:$A,VLOOKUP('Resumo mensal de despesas caixa'!M$3,'Base das contas'!$E$2:$F$12,2,0),'Controle diario'!$D:$D,'Resumo mensal de despesas caixa'!$C18)</f>
        <v>0</v>
      </c>
      <c r="N18" s="171">
        <f>SUMIFS('Controle diario'!$G:$G,'Controle diario'!$A:$A,VLOOKUP('Resumo mensal de despesas caixa'!N$3,'Base das contas'!$E$2:$F$12,2,0),'Controle diario'!$D:$D,'Resumo mensal de despesas caixa'!$C18)</f>
        <v>0</v>
      </c>
      <c r="O18" s="171">
        <f>SUMIFS('Controle diario'!$G:$G,'Controle diario'!$A:$A,VLOOKUP('Resumo mensal de despesas caixa'!O$3,'Base das contas'!$E$2:$F$12,2,0),'Controle diario'!$D:$D,'Resumo mensal de despesas caixa'!$C18)</f>
        <v>0</v>
      </c>
    </row>
    <row r="19" spans="1:15" x14ac:dyDescent="0.25">
      <c r="A19" s="118">
        <v>5</v>
      </c>
      <c r="B19" s="164" t="s">
        <v>186</v>
      </c>
      <c r="C19" s="162" t="str">
        <f t="shared" si="2"/>
        <v>5 - TAXA DE JUROS</v>
      </c>
      <c r="D19" s="171">
        <f>SUMIFS('Controle diario'!$G:$G,'Controle diario'!$A:$A,VLOOKUP('Resumo mensal de despesas caixa'!D$3,'Base das contas'!$E$2:$F$12,2,0),'Controle diario'!$D:$D,'Resumo mensal de despesas caixa'!$C19)</f>
        <v>0</v>
      </c>
      <c r="E19" s="171">
        <f>SUMIFS('Controle diario'!$G:$G,'Controle diario'!$A:$A,VLOOKUP('Resumo mensal de despesas caixa'!$E$3,'Base das contas'!$E$2:$F$12,2,0),'Controle diario'!$D:$D,'Resumo mensal de despesas caixa'!$C19)</f>
        <v>0</v>
      </c>
      <c r="F19" s="171">
        <f>SUMIFS('Controle diario'!$G:$G,'Controle diario'!$A:$A,VLOOKUP('Resumo mensal de despesas caixa'!F$3,'Base das contas'!$E$2:$F$12,2,0),'Controle diario'!$D:$D,'Resumo mensal de despesas caixa'!$C19)</f>
        <v>0</v>
      </c>
      <c r="G19" s="171">
        <f>SUMIFS('Controle diario'!$G:$G,'Controle diario'!$A:$A,VLOOKUP('Resumo mensal de despesas caixa'!G$3,'Base das contas'!$E$2:$F$12,2,0),'Controle diario'!$D:$D,'Resumo mensal de despesas caixa'!$C19)</f>
        <v>0</v>
      </c>
      <c r="H19" s="171">
        <f>SUMIFS('Controle diario'!$G:$G,'Controle diario'!$A:$A,VLOOKUP('Resumo mensal de despesas caixa'!H$3,'Base das contas'!$E$2:$F$12,2,0),'Controle diario'!$D:$D,'Resumo mensal de despesas caixa'!$C19)</f>
        <v>0</v>
      </c>
      <c r="I19" s="171">
        <f>SUMIFS('Controle diario'!$G:$G,'Controle diario'!$A:$A,VLOOKUP('Resumo mensal de despesas caixa'!I$3,'Base das contas'!$E$2:$F$12,2,0),'Controle diario'!$D:$D,'Resumo mensal de despesas caixa'!$C19)</f>
        <v>0</v>
      </c>
      <c r="J19" s="171">
        <f>SUMIFS('Controle diario'!$G:$G,'Controle diario'!$A:$A,VLOOKUP('Resumo mensal de despesas caixa'!J$3,'Base das contas'!$E$2:$F$12,2,0),'Controle diario'!$D:$D,'Resumo mensal de despesas caixa'!$C19)</f>
        <v>0</v>
      </c>
      <c r="K19" s="171">
        <f>SUMIFS('Controle diario'!$G:$G,'Controle diario'!$A:$A,VLOOKUP('Resumo mensal de despesas caixa'!K$3,'Base das contas'!$E$2:$F$12,2,0),'Controle diario'!$D:$D,'Resumo mensal de despesas caixa'!$C19)</f>
        <v>0</v>
      </c>
      <c r="L19" s="171">
        <f>SUMIFS('Controle diario'!$G:$G,'Controle diario'!$A:$A,VLOOKUP('Resumo mensal de despesas caixa'!L$3,'Base das contas'!$E$2:$F$12,2,0),'Controle diario'!$D:$D,'Resumo mensal de despesas caixa'!$C19)</f>
        <v>0</v>
      </c>
      <c r="M19" s="171">
        <f>SUMIFS('Controle diario'!$G:$G,'Controle diario'!$A:$A,VLOOKUP('Resumo mensal de despesas caixa'!M$3,'Base das contas'!$E$2:$F$12,2,0),'Controle diario'!$D:$D,'Resumo mensal de despesas caixa'!$C19)</f>
        <v>0</v>
      </c>
      <c r="N19" s="171">
        <f>SUMIFS('Controle diario'!$G:$G,'Controle diario'!$A:$A,VLOOKUP('Resumo mensal de despesas caixa'!N$3,'Base das contas'!$E$2:$F$12,2,0),'Controle diario'!$D:$D,'Resumo mensal de despesas caixa'!$C19)</f>
        <v>0</v>
      </c>
      <c r="O19" s="171">
        <f>SUMIFS('Controle diario'!$G:$G,'Controle diario'!$A:$A,VLOOKUP('Resumo mensal de despesas caixa'!O$3,'Base das contas'!$E$2:$F$12,2,0),'Controle diario'!$D:$D,'Resumo mensal de despesas caixa'!$C19)</f>
        <v>0</v>
      </c>
    </row>
    <row r="20" spans="1:15" x14ac:dyDescent="0.25">
      <c r="A20" s="118">
        <v>6</v>
      </c>
      <c r="B20" s="158" t="s">
        <v>200</v>
      </c>
      <c r="C20" s="162" t="str">
        <f t="shared" si="2"/>
        <v>6 - SEGURO KITNET</v>
      </c>
      <c r="D20" s="171">
        <f>SUMIFS('Controle diario'!$G:$G,'Controle diario'!$A:$A,VLOOKUP('Resumo mensal de despesas caixa'!D$3,'Base das contas'!$E$2:$F$12,2,0),'Controle diario'!$D:$D,'Resumo mensal de despesas caixa'!$C20)</f>
        <v>0</v>
      </c>
      <c r="E20" s="171">
        <f>SUMIFS('Controle diario'!$G:$G,'Controle diario'!$A:$A,VLOOKUP('Resumo mensal de despesas caixa'!$E$3,'Base das contas'!$E$2:$F$12,2,0),'Controle diario'!$D:$D,'Resumo mensal de despesas caixa'!$C20)</f>
        <v>0</v>
      </c>
      <c r="F20" s="171">
        <f>SUMIFS('Controle diario'!$G:$G,'Controle diario'!$A:$A,VLOOKUP('Resumo mensal de despesas caixa'!F$3,'Base das contas'!$E$2:$F$12,2,0),'Controle diario'!$D:$D,'Resumo mensal de despesas caixa'!$C20)</f>
        <v>0</v>
      </c>
      <c r="G20" s="171">
        <f>SUMIFS('Controle diario'!$G:$G,'Controle diario'!$A:$A,VLOOKUP('Resumo mensal de despesas caixa'!G$3,'Base das contas'!$E$2:$F$12,2,0),'Controle diario'!$D:$D,'Resumo mensal de despesas caixa'!$C20)</f>
        <v>0</v>
      </c>
      <c r="H20" s="171">
        <f>SUMIFS('Controle diario'!$G:$G,'Controle diario'!$A:$A,VLOOKUP('Resumo mensal de despesas caixa'!H$3,'Base das contas'!$E$2:$F$12,2,0),'Controle diario'!$D:$D,'Resumo mensal de despesas caixa'!$C20)</f>
        <v>0</v>
      </c>
      <c r="I20" s="171">
        <f>SUMIFS('Controle diario'!$G:$G,'Controle diario'!$A:$A,VLOOKUP('Resumo mensal de despesas caixa'!I$3,'Base das contas'!$E$2:$F$12,2,0),'Controle diario'!$D:$D,'Resumo mensal de despesas caixa'!$C20)</f>
        <v>0</v>
      </c>
      <c r="J20" s="171">
        <f>SUMIFS('Controle diario'!$G:$G,'Controle diario'!$A:$A,VLOOKUP('Resumo mensal de despesas caixa'!J$3,'Base das contas'!$E$2:$F$12,2,0),'Controle diario'!$D:$D,'Resumo mensal de despesas caixa'!$C20)</f>
        <v>0</v>
      </c>
      <c r="K20" s="171">
        <f>SUMIFS('Controle diario'!$G:$G,'Controle diario'!$A:$A,VLOOKUP('Resumo mensal de despesas caixa'!K$3,'Base das contas'!$E$2:$F$12,2,0),'Controle diario'!$D:$D,'Resumo mensal de despesas caixa'!$C20)</f>
        <v>0</v>
      </c>
      <c r="L20" s="171">
        <f>SUMIFS('Controle diario'!$G:$G,'Controle diario'!$A:$A,VLOOKUP('Resumo mensal de despesas caixa'!L$3,'Base das contas'!$E$2:$F$12,2,0),'Controle diario'!$D:$D,'Resumo mensal de despesas caixa'!$C20)</f>
        <v>0</v>
      </c>
      <c r="M20" s="171">
        <f>SUMIFS('Controle diario'!$G:$G,'Controle diario'!$A:$A,VLOOKUP('Resumo mensal de despesas caixa'!M$3,'Base das contas'!$E$2:$F$12,2,0),'Controle diario'!$D:$D,'Resumo mensal de despesas caixa'!$C20)</f>
        <v>0</v>
      </c>
      <c r="N20" s="171">
        <f>SUMIFS('Controle diario'!$G:$G,'Controle diario'!$A:$A,VLOOKUP('Resumo mensal de despesas caixa'!N$3,'Base das contas'!$E$2:$F$12,2,0),'Controle diario'!$D:$D,'Resumo mensal de despesas caixa'!$C20)</f>
        <v>0</v>
      </c>
      <c r="O20" s="171">
        <f>SUMIFS('Controle diario'!$G:$G,'Controle diario'!$A:$A,VLOOKUP('Resumo mensal de despesas caixa'!O$3,'Base das contas'!$E$2:$F$12,2,0),'Controle diario'!$D:$D,'Resumo mensal de despesas caixa'!$C20)</f>
        <v>0</v>
      </c>
    </row>
    <row r="21" spans="1:15" x14ac:dyDescent="0.25">
      <c r="A21" s="118">
        <v>7</v>
      </c>
      <c r="B21" s="158" t="s">
        <v>202</v>
      </c>
      <c r="C21" s="162" t="str">
        <f t="shared" si="2"/>
        <v>7 - SEGURO APT BURITI</v>
      </c>
      <c r="D21" s="171">
        <f>SUMIFS('Controle diario'!$G:$G,'Controle diario'!$A:$A,VLOOKUP('Resumo mensal de despesas caixa'!D$3,'Base das contas'!$E$2:$F$12,2,0),'Controle diario'!$D:$D,'Resumo mensal de despesas caixa'!$C21)</f>
        <v>0</v>
      </c>
      <c r="E21" s="171">
        <f>SUMIFS('Controle diario'!$G:$G,'Controle diario'!$A:$A,VLOOKUP('Resumo mensal de despesas caixa'!$E$3,'Base das contas'!$E$2:$F$12,2,0),'Controle diario'!$D:$D,'Resumo mensal de despesas caixa'!$C21)</f>
        <v>0</v>
      </c>
      <c r="F21" s="171">
        <f>SUMIFS('Controle diario'!$G:$G,'Controle diario'!$A:$A,VLOOKUP('Resumo mensal de despesas caixa'!F$3,'Base das contas'!$E$2:$F$12,2,0),'Controle diario'!$D:$D,'Resumo mensal de despesas caixa'!$C21)</f>
        <v>0</v>
      </c>
      <c r="G21" s="171">
        <f>SUMIFS('Controle diario'!$G:$G,'Controle diario'!$A:$A,VLOOKUP('Resumo mensal de despesas caixa'!G$3,'Base das contas'!$E$2:$F$12,2,0),'Controle diario'!$D:$D,'Resumo mensal de despesas caixa'!$C21)</f>
        <v>0</v>
      </c>
      <c r="H21" s="171">
        <f>SUMIFS('Controle diario'!$G:$G,'Controle diario'!$A:$A,VLOOKUP('Resumo mensal de despesas caixa'!H$3,'Base das contas'!$E$2:$F$12,2,0),'Controle diario'!$D:$D,'Resumo mensal de despesas caixa'!$C21)</f>
        <v>0</v>
      </c>
      <c r="I21" s="171">
        <f>SUMIFS('Controle diario'!$G:$G,'Controle diario'!$A:$A,VLOOKUP('Resumo mensal de despesas caixa'!I$3,'Base das contas'!$E$2:$F$12,2,0),'Controle diario'!$D:$D,'Resumo mensal de despesas caixa'!$C21)</f>
        <v>0</v>
      </c>
      <c r="J21" s="171">
        <f>SUMIFS('Controle diario'!$G:$G,'Controle diario'!$A:$A,VLOOKUP('Resumo mensal de despesas caixa'!J$3,'Base das contas'!$E$2:$F$12,2,0),'Controle diario'!$D:$D,'Resumo mensal de despesas caixa'!$C21)</f>
        <v>0</v>
      </c>
      <c r="K21" s="171">
        <f>SUMIFS('Controle diario'!$G:$G,'Controle diario'!$A:$A,VLOOKUP('Resumo mensal de despesas caixa'!K$3,'Base das contas'!$E$2:$F$12,2,0),'Controle diario'!$D:$D,'Resumo mensal de despesas caixa'!$C21)</f>
        <v>0</v>
      </c>
      <c r="L21" s="171">
        <f>SUMIFS('Controle diario'!$G:$G,'Controle diario'!$A:$A,VLOOKUP('Resumo mensal de despesas caixa'!L$3,'Base das contas'!$E$2:$F$12,2,0),'Controle diario'!$D:$D,'Resumo mensal de despesas caixa'!$C21)</f>
        <v>0</v>
      </c>
      <c r="M21" s="171">
        <f>SUMIFS('Controle diario'!$G:$G,'Controle diario'!$A:$A,VLOOKUP('Resumo mensal de despesas caixa'!M$3,'Base das contas'!$E$2:$F$12,2,0),'Controle diario'!$D:$D,'Resumo mensal de despesas caixa'!$C21)</f>
        <v>0</v>
      </c>
      <c r="N21" s="171">
        <f>SUMIFS('Controle diario'!$G:$G,'Controle diario'!$A:$A,VLOOKUP('Resumo mensal de despesas caixa'!N$3,'Base das contas'!$E$2:$F$12,2,0),'Controle diario'!$D:$D,'Resumo mensal de despesas caixa'!$C21)</f>
        <v>0</v>
      </c>
      <c r="O21" s="171">
        <f>SUMIFS('Controle diario'!$G:$G,'Controle diario'!$A:$A,VLOOKUP('Resumo mensal de despesas caixa'!O$3,'Base das contas'!$E$2:$F$12,2,0),'Controle diario'!$D:$D,'Resumo mensal de despesas caixa'!$C21)</f>
        <v>0</v>
      </c>
    </row>
    <row r="22" spans="1:15" x14ac:dyDescent="0.25">
      <c r="A22" s="118">
        <v>8</v>
      </c>
      <c r="B22" s="158" t="s">
        <v>201</v>
      </c>
      <c r="C22" s="162" t="str">
        <f t="shared" si="2"/>
        <v>8 - SEGURO DE VIDA</v>
      </c>
      <c r="D22" s="171">
        <f>SUMIFS('Controle diario'!$G:$G,'Controle diario'!$A:$A,VLOOKUP('Resumo mensal de despesas caixa'!D$3,'Base das contas'!$E$2:$F$12,2,0),'Controle diario'!$D:$D,'Resumo mensal de despesas caixa'!$C22)</f>
        <v>0</v>
      </c>
      <c r="E22" s="171">
        <f>SUMIFS('Controle diario'!$G:$G,'Controle diario'!$A:$A,VLOOKUP('Resumo mensal de despesas caixa'!$E$3,'Base das contas'!$E$2:$F$12,2,0),'Controle diario'!$D:$D,'Resumo mensal de despesas caixa'!$C22)</f>
        <v>0</v>
      </c>
      <c r="F22" s="171">
        <f>SUMIFS('Controle diario'!$G:$G,'Controle diario'!$A:$A,VLOOKUP('Resumo mensal de despesas caixa'!F$3,'Base das contas'!$E$2:$F$12,2,0),'Controle diario'!$D:$D,'Resumo mensal de despesas caixa'!$C22)</f>
        <v>0</v>
      </c>
      <c r="G22" s="171">
        <f>SUMIFS('Controle diario'!$G:$G,'Controle diario'!$A:$A,VLOOKUP('Resumo mensal de despesas caixa'!G$3,'Base das contas'!$E$2:$F$12,2,0),'Controle diario'!$D:$D,'Resumo mensal de despesas caixa'!$C22)</f>
        <v>0</v>
      </c>
      <c r="H22" s="171">
        <f>SUMIFS('Controle diario'!$G:$G,'Controle diario'!$A:$A,VLOOKUP('Resumo mensal de despesas caixa'!H$3,'Base das contas'!$E$2:$F$12,2,0),'Controle diario'!$D:$D,'Resumo mensal de despesas caixa'!$C22)</f>
        <v>0</v>
      </c>
      <c r="I22" s="171">
        <f>SUMIFS('Controle diario'!$G:$G,'Controle diario'!$A:$A,VLOOKUP('Resumo mensal de despesas caixa'!I$3,'Base das contas'!$E$2:$F$12,2,0),'Controle diario'!$D:$D,'Resumo mensal de despesas caixa'!$C22)</f>
        <v>0</v>
      </c>
      <c r="J22" s="171">
        <f>SUMIFS('Controle diario'!$G:$G,'Controle diario'!$A:$A,VLOOKUP('Resumo mensal de despesas caixa'!J$3,'Base das contas'!$E$2:$F$12,2,0),'Controle diario'!$D:$D,'Resumo mensal de despesas caixa'!$C22)</f>
        <v>0</v>
      </c>
      <c r="K22" s="171">
        <f>SUMIFS('Controle diario'!$G:$G,'Controle diario'!$A:$A,VLOOKUP('Resumo mensal de despesas caixa'!K$3,'Base das contas'!$E$2:$F$12,2,0),'Controle diario'!$D:$D,'Resumo mensal de despesas caixa'!$C22)</f>
        <v>0</v>
      </c>
      <c r="L22" s="171">
        <f>SUMIFS('Controle diario'!$G:$G,'Controle diario'!$A:$A,VLOOKUP('Resumo mensal de despesas caixa'!L$3,'Base das contas'!$E$2:$F$12,2,0),'Controle diario'!$D:$D,'Resumo mensal de despesas caixa'!$C22)</f>
        <v>0</v>
      </c>
      <c r="M22" s="171">
        <f>SUMIFS('Controle diario'!$G:$G,'Controle diario'!$A:$A,VLOOKUP('Resumo mensal de despesas caixa'!M$3,'Base das contas'!$E$2:$F$12,2,0),'Controle diario'!$D:$D,'Resumo mensal de despesas caixa'!$C22)</f>
        <v>0</v>
      </c>
      <c r="N22" s="171">
        <f>SUMIFS('Controle diario'!$G:$G,'Controle diario'!$A:$A,VLOOKUP('Resumo mensal de despesas caixa'!N$3,'Base das contas'!$E$2:$F$12,2,0),'Controle diario'!$D:$D,'Resumo mensal de despesas caixa'!$C22)</f>
        <v>0</v>
      </c>
      <c r="O22" s="171">
        <f>SUMIFS('Controle diario'!$G:$G,'Controle diario'!$A:$A,VLOOKUP('Resumo mensal de despesas caixa'!O$3,'Base das contas'!$E$2:$F$12,2,0),'Controle diario'!$D:$D,'Resumo mensal de despesas caixa'!$C22)</f>
        <v>0</v>
      </c>
    </row>
    <row r="23" spans="1:15" x14ac:dyDescent="0.25">
      <c r="A23" s="118">
        <v>9</v>
      </c>
      <c r="B23" s="158" t="s">
        <v>203</v>
      </c>
      <c r="C23" s="162" t="str">
        <f t="shared" si="2"/>
        <v>9 - SEGURO EMPRESTIMO</v>
      </c>
      <c r="D23" s="171">
        <f>SUMIFS('Controle diario'!$G:$G,'Controle diario'!$A:$A,VLOOKUP('Resumo mensal de despesas caixa'!D$3,'Base das contas'!$E$2:$F$12,2,0),'Controle diario'!$D:$D,'Resumo mensal de despesas caixa'!$C23)</f>
        <v>0</v>
      </c>
      <c r="E23" s="171">
        <f>SUMIFS('Controle diario'!$G:$G,'Controle diario'!$A:$A,VLOOKUP('Resumo mensal de despesas caixa'!$E$3,'Base das contas'!$E$2:$F$12,2,0),'Controle diario'!$D:$D,'Resumo mensal de despesas caixa'!$C23)</f>
        <v>0</v>
      </c>
      <c r="F23" s="171">
        <f>SUMIFS('Controle diario'!$G:$G,'Controle diario'!$A:$A,VLOOKUP('Resumo mensal de despesas caixa'!F$3,'Base das contas'!$E$2:$F$12,2,0),'Controle diario'!$D:$D,'Resumo mensal de despesas caixa'!$C23)</f>
        <v>0</v>
      </c>
      <c r="G23" s="171">
        <f>SUMIFS('Controle diario'!$G:$G,'Controle diario'!$A:$A,VLOOKUP('Resumo mensal de despesas caixa'!G$3,'Base das contas'!$E$2:$F$12,2,0),'Controle diario'!$D:$D,'Resumo mensal de despesas caixa'!$C23)</f>
        <v>0</v>
      </c>
      <c r="H23" s="171">
        <f>SUMIFS('Controle diario'!$G:$G,'Controle diario'!$A:$A,VLOOKUP('Resumo mensal de despesas caixa'!H$3,'Base das contas'!$E$2:$F$12,2,0),'Controle diario'!$D:$D,'Resumo mensal de despesas caixa'!$C23)</f>
        <v>0</v>
      </c>
      <c r="I23" s="171">
        <f>SUMIFS('Controle diario'!$G:$G,'Controle diario'!$A:$A,VLOOKUP('Resumo mensal de despesas caixa'!I$3,'Base das contas'!$E$2:$F$12,2,0),'Controle diario'!$D:$D,'Resumo mensal de despesas caixa'!$C23)</f>
        <v>0</v>
      </c>
      <c r="J23" s="171">
        <f>SUMIFS('Controle diario'!$G:$G,'Controle diario'!$A:$A,VLOOKUP('Resumo mensal de despesas caixa'!J$3,'Base das contas'!$E$2:$F$12,2,0),'Controle diario'!$D:$D,'Resumo mensal de despesas caixa'!$C23)</f>
        <v>0</v>
      </c>
      <c r="K23" s="171">
        <f>SUMIFS('Controle diario'!$G:$G,'Controle diario'!$A:$A,VLOOKUP('Resumo mensal de despesas caixa'!K$3,'Base das contas'!$E$2:$F$12,2,0),'Controle diario'!$D:$D,'Resumo mensal de despesas caixa'!$C23)</f>
        <v>0</v>
      </c>
      <c r="L23" s="171">
        <f>SUMIFS('Controle diario'!$G:$G,'Controle diario'!$A:$A,VLOOKUP('Resumo mensal de despesas caixa'!L$3,'Base das contas'!$E$2:$F$12,2,0),'Controle diario'!$D:$D,'Resumo mensal de despesas caixa'!$C23)</f>
        <v>0</v>
      </c>
      <c r="M23" s="171">
        <f>SUMIFS('Controle diario'!$G:$G,'Controle diario'!$A:$A,VLOOKUP('Resumo mensal de despesas caixa'!M$3,'Base das contas'!$E$2:$F$12,2,0),'Controle diario'!$D:$D,'Resumo mensal de despesas caixa'!$C23)</f>
        <v>0</v>
      </c>
      <c r="N23" s="171">
        <f>SUMIFS('Controle diario'!$G:$G,'Controle diario'!$A:$A,VLOOKUP('Resumo mensal de despesas caixa'!N$3,'Base das contas'!$E$2:$F$12,2,0),'Controle diario'!$D:$D,'Resumo mensal de despesas caixa'!$C23)</f>
        <v>0</v>
      </c>
      <c r="O23" s="171">
        <f>SUMIFS('Controle diario'!$G:$G,'Controle diario'!$A:$A,VLOOKUP('Resumo mensal de despesas caixa'!O$3,'Base das contas'!$E$2:$F$12,2,0),'Controle diario'!$D:$D,'Resumo mensal de despesas caixa'!$C23)</f>
        <v>0</v>
      </c>
    </row>
    <row r="24" spans="1:15" x14ac:dyDescent="0.25">
      <c r="A24" s="118">
        <v>10</v>
      </c>
      <c r="B24" s="164" t="s">
        <v>204</v>
      </c>
      <c r="C24" s="162" t="str">
        <f t="shared" si="2"/>
        <v xml:space="preserve">10 - EMPRESTIMO </v>
      </c>
      <c r="D24" s="171">
        <f>SUMIFS('Controle diario'!$G:$G,'Controle diario'!$A:$A,VLOOKUP('Resumo mensal de despesas caixa'!D$3,'Base das contas'!$E$2:$F$12,2,0),'Controle diario'!$D:$D,'Resumo mensal de despesas caixa'!$C24)</f>
        <v>0</v>
      </c>
      <c r="E24" s="171">
        <f>SUMIFS('Controle diario'!$G:$G,'Controle diario'!$A:$A,VLOOKUP('Resumo mensal de despesas caixa'!$E$3,'Base das contas'!$E$2:$F$12,2,0),'Controle diario'!$D:$D,'Resumo mensal de despesas caixa'!$C24)</f>
        <v>0</v>
      </c>
      <c r="F24" s="171">
        <f>SUMIFS('Controle diario'!$G:$G,'Controle diario'!$A:$A,VLOOKUP('Resumo mensal de despesas caixa'!F$3,'Base das contas'!$E$2:$F$12,2,0),'Controle diario'!$D:$D,'Resumo mensal de despesas caixa'!$C24)</f>
        <v>0</v>
      </c>
      <c r="G24" s="171">
        <f>SUMIFS('Controle diario'!$G:$G,'Controle diario'!$A:$A,VLOOKUP('Resumo mensal de despesas caixa'!G$3,'Base das contas'!$E$2:$F$12,2,0),'Controle diario'!$D:$D,'Resumo mensal de despesas caixa'!$C24)</f>
        <v>0</v>
      </c>
      <c r="H24" s="171">
        <f>SUMIFS('Controle diario'!$G:$G,'Controle diario'!$A:$A,VLOOKUP('Resumo mensal de despesas caixa'!H$3,'Base das contas'!$E$2:$F$12,2,0),'Controle diario'!$D:$D,'Resumo mensal de despesas caixa'!$C24)</f>
        <v>0</v>
      </c>
      <c r="I24" s="171">
        <f>SUMIFS('Controle diario'!$G:$G,'Controle diario'!$A:$A,VLOOKUP('Resumo mensal de despesas caixa'!I$3,'Base das contas'!$E$2:$F$12,2,0),'Controle diario'!$D:$D,'Resumo mensal de despesas caixa'!$C24)</f>
        <v>0</v>
      </c>
      <c r="J24" s="171">
        <f>SUMIFS('Controle diario'!$G:$G,'Controle diario'!$A:$A,VLOOKUP('Resumo mensal de despesas caixa'!J$3,'Base das contas'!$E$2:$F$12,2,0),'Controle diario'!$D:$D,'Resumo mensal de despesas caixa'!$C24)</f>
        <v>0</v>
      </c>
      <c r="K24" s="171">
        <f>SUMIFS('Controle diario'!$G:$G,'Controle diario'!$A:$A,VLOOKUP('Resumo mensal de despesas caixa'!K$3,'Base das contas'!$E$2:$F$12,2,0),'Controle diario'!$D:$D,'Resumo mensal de despesas caixa'!$C24)</f>
        <v>0</v>
      </c>
      <c r="L24" s="171">
        <f>SUMIFS('Controle diario'!$G:$G,'Controle diario'!$A:$A,VLOOKUP('Resumo mensal de despesas caixa'!L$3,'Base das contas'!$E$2:$F$12,2,0),'Controle diario'!$D:$D,'Resumo mensal de despesas caixa'!$C24)</f>
        <v>0</v>
      </c>
      <c r="M24" s="171">
        <f>SUMIFS('Controle diario'!$G:$G,'Controle diario'!$A:$A,VLOOKUP('Resumo mensal de despesas caixa'!M$3,'Base das contas'!$E$2:$F$12,2,0),'Controle diario'!$D:$D,'Resumo mensal de despesas caixa'!$C24)</f>
        <v>0</v>
      </c>
      <c r="N24" s="171">
        <f>SUMIFS('Controle diario'!$G:$G,'Controle diario'!$A:$A,VLOOKUP('Resumo mensal de despesas caixa'!N$3,'Base das contas'!$E$2:$F$12,2,0),'Controle diario'!$D:$D,'Resumo mensal de despesas caixa'!$C24)</f>
        <v>0</v>
      </c>
      <c r="O24" s="171">
        <f>SUMIFS('Controle diario'!$G:$G,'Controle diario'!$A:$A,VLOOKUP('Resumo mensal de despesas caixa'!O$3,'Base das contas'!$E$2:$F$12,2,0),'Controle diario'!$D:$D,'Resumo mensal de despesas caixa'!$C24)</f>
        <v>0</v>
      </c>
    </row>
    <row r="25" spans="1:15" x14ac:dyDescent="0.25">
      <c r="A25" s="118">
        <v>11</v>
      </c>
      <c r="B25" s="164" t="s">
        <v>196</v>
      </c>
      <c r="C25" s="162" t="str">
        <f t="shared" si="2"/>
        <v>11 - GAS</v>
      </c>
      <c r="D25" s="171">
        <f>SUMIFS('Controle diario'!$G:$G,'Controle diario'!$A:$A,VLOOKUP('Resumo mensal de despesas caixa'!D$3,'Base das contas'!$E$2:$F$12,2,0),'Controle diario'!$D:$D,'Resumo mensal de despesas caixa'!$C25)</f>
        <v>0</v>
      </c>
      <c r="E25" s="171">
        <f>SUMIFS('Controle diario'!$G:$G,'Controle diario'!$A:$A,VLOOKUP('Resumo mensal de despesas caixa'!$E$3,'Base das contas'!$E$2:$F$12,2,0),'Controle diario'!$D:$D,'Resumo mensal de despesas caixa'!$C25)</f>
        <v>0</v>
      </c>
      <c r="F25" s="171">
        <f>SUMIFS('Controle diario'!$G:$G,'Controle diario'!$A:$A,VLOOKUP('Resumo mensal de despesas caixa'!F$3,'Base das contas'!$E$2:$F$12,2,0),'Controle diario'!$D:$D,'Resumo mensal de despesas caixa'!$C25)</f>
        <v>0</v>
      </c>
      <c r="G25" s="171">
        <f>SUMIFS('Controle diario'!$G:$G,'Controle diario'!$A:$A,VLOOKUP('Resumo mensal de despesas caixa'!G$3,'Base das contas'!$E$2:$F$12,2,0),'Controle diario'!$D:$D,'Resumo mensal de despesas caixa'!$C25)</f>
        <v>0</v>
      </c>
      <c r="H25" s="171">
        <f>SUMIFS('Controle diario'!$G:$G,'Controle diario'!$A:$A,VLOOKUP('Resumo mensal de despesas caixa'!H$3,'Base das contas'!$E$2:$F$12,2,0),'Controle diario'!$D:$D,'Resumo mensal de despesas caixa'!$C25)</f>
        <v>0</v>
      </c>
      <c r="I25" s="171">
        <f>SUMIFS('Controle diario'!$G:$G,'Controle diario'!$A:$A,VLOOKUP('Resumo mensal de despesas caixa'!I$3,'Base das contas'!$E$2:$F$12,2,0),'Controle diario'!$D:$D,'Resumo mensal de despesas caixa'!$C25)</f>
        <v>0</v>
      </c>
      <c r="J25" s="171">
        <f>SUMIFS('Controle diario'!$G:$G,'Controle diario'!$A:$A,VLOOKUP('Resumo mensal de despesas caixa'!J$3,'Base das contas'!$E$2:$F$12,2,0),'Controle diario'!$D:$D,'Resumo mensal de despesas caixa'!$C25)</f>
        <v>0</v>
      </c>
      <c r="K25" s="171">
        <f>SUMIFS('Controle diario'!$G:$G,'Controle diario'!$A:$A,VLOOKUP('Resumo mensal de despesas caixa'!K$3,'Base das contas'!$E$2:$F$12,2,0),'Controle diario'!$D:$D,'Resumo mensal de despesas caixa'!$C25)</f>
        <v>0</v>
      </c>
      <c r="L25" s="171">
        <f>SUMIFS('Controle diario'!$G:$G,'Controle diario'!$A:$A,VLOOKUP('Resumo mensal de despesas caixa'!L$3,'Base das contas'!$E$2:$F$12,2,0),'Controle diario'!$D:$D,'Resumo mensal de despesas caixa'!$C25)</f>
        <v>0</v>
      </c>
      <c r="M25" s="171">
        <f>SUMIFS('Controle diario'!$G:$G,'Controle diario'!$A:$A,VLOOKUP('Resumo mensal de despesas caixa'!M$3,'Base das contas'!$E$2:$F$12,2,0),'Controle diario'!$D:$D,'Resumo mensal de despesas caixa'!$C25)</f>
        <v>0</v>
      </c>
      <c r="N25" s="171">
        <f>SUMIFS('Controle diario'!$G:$G,'Controle diario'!$A:$A,VLOOKUP('Resumo mensal de despesas caixa'!N$3,'Base das contas'!$E$2:$F$12,2,0),'Controle diario'!$D:$D,'Resumo mensal de despesas caixa'!$C25)</f>
        <v>0</v>
      </c>
      <c r="O25" s="171">
        <f>SUMIFS('Controle diario'!$G:$G,'Controle diario'!$A:$A,VLOOKUP('Resumo mensal de despesas caixa'!O$3,'Base das contas'!$E$2:$F$12,2,0),'Controle diario'!$D:$D,'Resumo mensal de despesas caixa'!$C25)</f>
        <v>0</v>
      </c>
    </row>
    <row r="26" spans="1:15" x14ac:dyDescent="0.25">
      <c r="A26" s="118">
        <v>12</v>
      </c>
      <c r="B26" s="164" t="s">
        <v>195</v>
      </c>
      <c r="C26" s="162" t="str">
        <f t="shared" si="2"/>
        <v xml:space="preserve">12 - LUZ BURITI  </v>
      </c>
      <c r="D26" s="171">
        <f>SUMIFS('Controle diario'!$G:$G,'Controle diario'!$A:$A,VLOOKUP('Resumo mensal de despesas caixa'!D$3,'Base das contas'!$E$2:$F$12,2,0),'Controle diario'!$D:$D,'Resumo mensal de despesas caixa'!$C26)</f>
        <v>0</v>
      </c>
      <c r="E26" s="171">
        <f>SUMIFS('Controle diario'!$G:$G,'Controle diario'!$A:$A,VLOOKUP('Resumo mensal de despesas caixa'!$E$3,'Base das contas'!$E$2:$F$12,2,0),'Controle diario'!$D:$D,'Resumo mensal de despesas caixa'!$C26)</f>
        <v>0</v>
      </c>
      <c r="F26" s="171">
        <f>SUMIFS('Controle diario'!$G:$G,'Controle diario'!$A:$A,VLOOKUP('Resumo mensal de despesas caixa'!F$3,'Base das contas'!$E$2:$F$12,2,0),'Controle diario'!$D:$D,'Resumo mensal de despesas caixa'!$C26)</f>
        <v>0</v>
      </c>
      <c r="G26" s="171">
        <f>SUMIFS('Controle diario'!$G:$G,'Controle diario'!$A:$A,VLOOKUP('Resumo mensal de despesas caixa'!G$3,'Base das contas'!$E$2:$F$12,2,0),'Controle diario'!$D:$D,'Resumo mensal de despesas caixa'!$C26)</f>
        <v>0</v>
      </c>
      <c r="H26" s="171">
        <f>SUMIFS('Controle diario'!$G:$G,'Controle diario'!$A:$A,VLOOKUP('Resumo mensal de despesas caixa'!H$3,'Base das contas'!$E$2:$F$12,2,0),'Controle diario'!$D:$D,'Resumo mensal de despesas caixa'!$C26)</f>
        <v>0</v>
      </c>
      <c r="I26" s="171">
        <f>SUMIFS('Controle diario'!$G:$G,'Controle diario'!$A:$A,VLOOKUP('Resumo mensal de despesas caixa'!I$3,'Base das contas'!$E$2:$F$12,2,0),'Controle diario'!$D:$D,'Resumo mensal de despesas caixa'!$C26)</f>
        <v>0</v>
      </c>
      <c r="J26" s="171">
        <f>SUMIFS('Controle diario'!$G:$G,'Controle diario'!$A:$A,VLOOKUP('Resumo mensal de despesas caixa'!J$3,'Base das contas'!$E$2:$F$12,2,0),'Controle diario'!$D:$D,'Resumo mensal de despesas caixa'!$C26)</f>
        <v>0</v>
      </c>
      <c r="K26" s="171">
        <f>SUMIFS('Controle diario'!$G:$G,'Controle diario'!$A:$A,VLOOKUP('Resumo mensal de despesas caixa'!K$3,'Base das contas'!$E$2:$F$12,2,0),'Controle diario'!$D:$D,'Resumo mensal de despesas caixa'!$C26)</f>
        <v>0</v>
      </c>
      <c r="L26" s="171">
        <f>SUMIFS('Controle diario'!$G:$G,'Controle diario'!$A:$A,VLOOKUP('Resumo mensal de despesas caixa'!L$3,'Base das contas'!$E$2:$F$12,2,0),'Controle diario'!$D:$D,'Resumo mensal de despesas caixa'!$C26)</f>
        <v>0</v>
      </c>
      <c r="M26" s="171">
        <f>SUMIFS('Controle diario'!$G:$G,'Controle diario'!$A:$A,VLOOKUP('Resumo mensal de despesas caixa'!M$3,'Base das contas'!$E$2:$F$12,2,0),'Controle diario'!$D:$D,'Resumo mensal de despesas caixa'!$C26)</f>
        <v>0</v>
      </c>
      <c r="N26" s="171">
        <f>SUMIFS('Controle diario'!$G:$G,'Controle diario'!$A:$A,VLOOKUP('Resumo mensal de despesas caixa'!N$3,'Base das contas'!$E$2:$F$12,2,0),'Controle diario'!$D:$D,'Resumo mensal de despesas caixa'!$C26)</f>
        <v>0</v>
      </c>
      <c r="O26" s="171">
        <f>SUMIFS('Controle diario'!$G:$G,'Controle diario'!$A:$A,VLOOKUP('Resumo mensal de despesas caixa'!O$3,'Base das contas'!$E$2:$F$12,2,0),'Controle diario'!$D:$D,'Resumo mensal de despesas caixa'!$C26)</f>
        <v>0</v>
      </c>
    </row>
    <row r="27" spans="1:15" x14ac:dyDescent="0.25">
      <c r="A27" s="118">
        <v>13</v>
      </c>
      <c r="B27" s="164" t="s">
        <v>194</v>
      </c>
      <c r="C27" s="162" t="str">
        <f t="shared" si="2"/>
        <v xml:space="preserve">13 - AGUA BURITI  </v>
      </c>
      <c r="D27" s="171">
        <f>SUMIFS('Controle diario'!$G:$G,'Controle diario'!$A:$A,VLOOKUP('Resumo mensal de despesas caixa'!D$3,'Base das contas'!$E$2:$F$12,2,0),'Controle diario'!$D:$D,'Resumo mensal de despesas caixa'!$C27)</f>
        <v>0</v>
      </c>
      <c r="E27" s="171">
        <f>SUMIFS('Controle diario'!$G:$G,'Controle diario'!$A:$A,VLOOKUP('Resumo mensal de despesas caixa'!$E$3,'Base das contas'!$E$2:$F$12,2,0),'Controle diario'!$D:$D,'Resumo mensal de despesas caixa'!$C27)</f>
        <v>0</v>
      </c>
      <c r="F27" s="171">
        <f>SUMIFS('Controle diario'!$G:$G,'Controle diario'!$A:$A,VLOOKUP('Resumo mensal de despesas caixa'!F$3,'Base das contas'!$E$2:$F$12,2,0),'Controle diario'!$D:$D,'Resumo mensal de despesas caixa'!$C27)</f>
        <v>0</v>
      </c>
      <c r="G27" s="171">
        <f>SUMIFS('Controle diario'!$G:$G,'Controle diario'!$A:$A,VLOOKUP('Resumo mensal de despesas caixa'!G$3,'Base das contas'!$E$2:$F$12,2,0),'Controle diario'!$D:$D,'Resumo mensal de despesas caixa'!$C27)</f>
        <v>0</v>
      </c>
      <c r="H27" s="171">
        <f>SUMIFS('Controle diario'!$G:$G,'Controle diario'!$A:$A,VLOOKUP('Resumo mensal de despesas caixa'!H$3,'Base das contas'!$E$2:$F$12,2,0),'Controle diario'!$D:$D,'Resumo mensal de despesas caixa'!$C27)</f>
        <v>0</v>
      </c>
      <c r="I27" s="171">
        <f>SUMIFS('Controle diario'!$G:$G,'Controle diario'!$A:$A,VLOOKUP('Resumo mensal de despesas caixa'!I$3,'Base das contas'!$E$2:$F$12,2,0),'Controle diario'!$D:$D,'Resumo mensal de despesas caixa'!$C27)</f>
        <v>0</v>
      </c>
      <c r="J27" s="171">
        <f>SUMIFS('Controle diario'!$G:$G,'Controle diario'!$A:$A,VLOOKUP('Resumo mensal de despesas caixa'!J$3,'Base das contas'!$E$2:$F$12,2,0),'Controle diario'!$D:$D,'Resumo mensal de despesas caixa'!$C27)</f>
        <v>0</v>
      </c>
      <c r="K27" s="171">
        <f>SUMIFS('Controle diario'!$G:$G,'Controle diario'!$A:$A,VLOOKUP('Resumo mensal de despesas caixa'!K$3,'Base das contas'!$E$2:$F$12,2,0),'Controle diario'!$D:$D,'Resumo mensal de despesas caixa'!$C27)</f>
        <v>0</v>
      </c>
      <c r="L27" s="171">
        <f>SUMIFS('Controle diario'!$G:$G,'Controle diario'!$A:$A,VLOOKUP('Resumo mensal de despesas caixa'!L$3,'Base das contas'!$E$2:$F$12,2,0),'Controle diario'!$D:$D,'Resumo mensal de despesas caixa'!$C27)</f>
        <v>0</v>
      </c>
      <c r="M27" s="171">
        <f>SUMIFS('Controle diario'!$G:$G,'Controle diario'!$A:$A,VLOOKUP('Resumo mensal de despesas caixa'!M$3,'Base das contas'!$E$2:$F$12,2,0),'Controle diario'!$D:$D,'Resumo mensal de despesas caixa'!$C27)</f>
        <v>0</v>
      </c>
      <c r="N27" s="171">
        <f>SUMIFS('Controle diario'!$G:$G,'Controle diario'!$A:$A,VLOOKUP('Resumo mensal de despesas caixa'!N$3,'Base das contas'!$E$2:$F$12,2,0),'Controle diario'!$D:$D,'Resumo mensal de despesas caixa'!$C27)</f>
        <v>0</v>
      </c>
      <c r="O27" s="171">
        <f>SUMIFS('Controle diario'!$G:$G,'Controle diario'!$A:$A,VLOOKUP('Resumo mensal de despesas caixa'!O$3,'Base das contas'!$E$2:$F$12,2,0),'Controle diario'!$D:$D,'Resumo mensal de despesas caixa'!$C27)</f>
        <v>0</v>
      </c>
    </row>
    <row r="28" spans="1:15" x14ac:dyDescent="0.25">
      <c r="A28" s="118">
        <v>14</v>
      </c>
      <c r="B28" s="164" t="s">
        <v>193</v>
      </c>
      <c r="C28" s="162" t="str">
        <f t="shared" si="2"/>
        <v>14 - COND BURITI</v>
      </c>
      <c r="D28" s="171">
        <f>SUMIFS('Controle diario'!$G:$G,'Controle diario'!$A:$A,VLOOKUP('Resumo mensal de despesas caixa'!D$3,'Base das contas'!$E$2:$F$12,2,0),'Controle diario'!$D:$D,'Resumo mensal de despesas caixa'!$C28)</f>
        <v>0</v>
      </c>
      <c r="E28" s="171">
        <f>SUMIFS('Controle diario'!$G:$G,'Controle diario'!$A:$A,VLOOKUP('Resumo mensal de despesas caixa'!$E$3,'Base das contas'!$E$2:$F$12,2,0),'Controle diario'!$D:$D,'Resumo mensal de despesas caixa'!$C28)</f>
        <v>0</v>
      </c>
      <c r="F28" s="171">
        <f>SUMIFS('Controle diario'!$G:$G,'Controle diario'!$A:$A,VLOOKUP('Resumo mensal de despesas caixa'!F$3,'Base das contas'!$E$2:$F$12,2,0),'Controle diario'!$D:$D,'Resumo mensal de despesas caixa'!$C28)</f>
        <v>0</v>
      </c>
      <c r="G28" s="171">
        <f>SUMIFS('Controle diario'!$G:$G,'Controle diario'!$A:$A,VLOOKUP('Resumo mensal de despesas caixa'!G$3,'Base das contas'!$E$2:$F$12,2,0),'Controle diario'!$D:$D,'Resumo mensal de despesas caixa'!$C28)</f>
        <v>0</v>
      </c>
      <c r="H28" s="171">
        <f>SUMIFS('Controle diario'!$G:$G,'Controle diario'!$A:$A,VLOOKUP('Resumo mensal de despesas caixa'!H$3,'Base das contas'!$E$2:$F$12,2,0),'Controle diario'!$D:$D,'Resumo mensal de despesas caixa'!$C28)</f>
        <v>0</v>
      </c>
      <c r="I28" s="171">
        <f>SUMIFS('Controle diario'!$G:$G,'Controle diario'!$A:$A,VLOOKUP('Resumo mensal de despesas caixa'!I$3,'Base das contas'!$E$2:$F$12,2,0),'Controle diario'!$D:$D,'Resumo mensal de despesas caixa'!$C28)</f>
        <v>0</v>
      </c>
      <c r="J28" s="171">
        <f>SUMIFS('Controle diario'!$G:$G,'Controle diario'!$A:$A,VLOOKUP('Resumo mensal de despesas caixa'!J$3,'Base das contas'!$E$2:$F$12,2,0),'Controle diario'!$D:$D,'Resumo mensal de despesas caixa'!$C28)</f>
        <v>0</v>
      </c>
      <c r="K28" s="171">
        <f>SUMIFS('Controle diario'!$G:$G,'Controle diario'!$A:$A,VLOOKUP('Resumo mensal de despesas caixa'!K$3,'Base das contas'!$E$2:$F$12,2,0),'Controle diario'!$D:$D,'Resumo mensal de despesas caixa'!$C28)</f>
        <v>0</v>
      </c>
      <c r="L28" s="171">
        <f>SUMIFS('Controle diario'!$G:$G,'Controle diario'!$A:$A,VLOOKUP('Resumo mensal de despesas caixa'!L$3,'Base das contas'!$E$2:$F$12,2,0),'Controle diario'!$D:$D,'Resumo mensal de despesas caixa'!$C28)</f>
        <v>0</v>
      </c>
      <c r="M28" s="171">
        <f>SUMIFS('Controle diario'!$G:$G,'Controle diario'!$A:$A,VLOOKUP('Resumo mensal de despesas caixa'!M$3,'Base das contas'!$E$2:$F$12,2,0),'Controle diario'!$D:$D,'Resumo mensal de despesas caixa'!$C28)</f>
        <v>0</v>
      </c>
      <c r="N28" s="171">
        <f>SUMIFS('Controle diario'!$G:$G,'Controle diario'!$A:$A,VLOOKUP('Resumo mensal de despesas caixa'!N$3,'Base das contas'!$E$2:$F$12,2,0),'Controle diario'!$D:$D,'Resumo mensal de despesas caixa'!$C28)</f>
        <v>0</v>
      </c>
      <c r="O28" s="171">
        <f>SUMIFS('Controle diario'!$G:$G,'Controle diario'!$A:$A,VLOOKUP('Resumo mensal de despesas caixa'!O$3,'Base das contas'!$E$2:$F$12,2,0),'Controle diario'!$D:$D,'Resumo mensal de despesas caixa'!$C28)</f>
        <v>0</v>
      </c>
    </row>
    <row r="29" spans="1:15" x14ac:dyDescent="0.25">
      <c r="A29" s="118">
        <v>15</v>
      </c>
      <c r="B29" s="164" t="s">
        <v>74</v>
      </c>
      <c r="C29" s="162" t="str">
        <f t="shared" si="2"/>
        <v>15 - INTERNET BURITI  - PRO LABORE</v>
      </c>
      <c r="D29" s="171">
        <f>SUMIFS('Controle diario'!$G:$G,'Controle diario'!$A:$A,VLOOKUP('Resumo mensal de despesas caixa'!D$3,'Base das contas'!$E$2:$F$12,2,0),'Controle diario'!$D:$D,'Resumo mensal de despesas caixa'!$C29)</f>
        <v>0</v>
      </c>
      <c r="E29" s="171">
        <f>SUMIFS('Controle diario'!$G:$G,'Controle diario'!$A:$A,VLOOKUP('Resumo mensal de despesas caixa'!$E$3,'Base das contas'!$E$2:$F$12,2,0),'Controle diario'!$D:$D,'Resumo mensal de despesas caixa'!$C29)</f>
        <v>0</v>
      </c>
      <c r="F29" s="171">
        <f>SUMIFS('Controle diario'!$G:$G,'Controle diario'!$A:$A,VLOOKUP('Resumo mensal de despesas caixa'!F$3,'Base das contas'!$E$2:$F$12,2,0),'Controle diario'!$D:$D,'Resumo mensal de despesas caixa'!$C29)</f>
        <v>0</v>
      </c>
      <c r="G29" s="171">
        <f>SUMIFS('Controle diario'!$G:$G,'Controle diario'!$A:$A,VLOOKUP('Resumo mensal de despesas caixa'!G$3,'Base das contas'!$E$2:$F$12,2,0),'Controle diario'!$D:$D,'Resumo mensal de despesas caixa'!$C29)</f>
        <v>0</v>
      </c>
      <c r="H29" s="171">
        <f>SUMIFS('Controle diario'!$G:$G,'Controle diario'!$A:$A,VLOOKUP('Resumo mensal de despesas caixa'!H$3,'Base das contas'!$E$2:$F$12,2,0),'Controle diario'!$D:$D,'Resumo mensal de despesas caixa'!$C29)</f>
        <v>0</v>
      </c>
      <c r="I29" s="171">
        <f>SUMIFS('Controle diario'!$G:$G,'Controle diario'!$A:$A,VLOOKUP('Resumo mensal de despesas caixa'!I$3,'Base das contas'!$E$2:$F$12,2,0),'Controle diario'!$D:$D,'Resumo mensal de despesas caixa'!$C29)</f>
        <v>0</v>
      </c>
      <c r="J29" s="171">
        <f>SUMIFS('Controle diario'!$G:$G,'Controle diario'!$A:$A,VLOOKUP('Resumo mensal de despesas caixa'!J$3,'Base das contas'!$E$2:$F$12,2,0),'Controle diario'!$D:$D,'Resumo mensal de despesas caixa'!$C29)</f>
        <v>0</v>
      </c>
      <c r="K29" s="171">
        <f>SUMIFS('Controle diario'!$G:$G,'Controle diario'!$A:$A,VLOOKUP('Resumo mensal de despesas caixa'!K$3,'Base das contas'!$E$2:$F$12,2,0),'Controle diario'!$D:$D,'Resumo mensal de despesas caixa'!$C29)</f>
        <v>0</v>
      </c>
      <c r="L29" s="171">
        <f>SUMIFS('Controle diario'!$G:$G,'Controle diario'!$A:$A,VLOOKUP('Resumo mensal de despesas caixa'!L$3,'Base das contas'!$E$2:$F$12,2,0),'Controle diario'!$D:$D,'Resumo mensal de despesas caixa'!$C29)</f>
        <v>0</v>
      </c>
      <c r="M29" s="171">
        <f>SUMIFS('Controle diario'!$G:$G,'Controle diario'!$A:$A,VLOOKUP('Resumo mensal de despesas caixa'!M$3,'Base das contas'!$E$2:$F$12,2,0),'Controle diario'!$D:$D,'Resumo mensal de despesas caixa'!$C29)</f>
        <v>0</v>
      </c>
      <c r="N29" s="171">
        <f>SUMIFS('Controle diario'!$G:$G,'Controle diario'!$A:$A,VLOOKUP('Resumo mensal de despesas caixa'!N$3,'Base das contas'!$E$2:$F$12,2,0),'Controle diario'!$D:$D,'Resumo mensal de despesas caixa'!$C29)</f>
        <v>0</v>
      </c>
      <c r="O29" s="171">
        <f>SUMIFS('Controle diario'!$G:$G,'Controle diario'!$A:$A,VLOOKUP('Resumo mensal de despesas caixa'!O$3,'Base das contas'!$E$2:$F$12,2,0),'Controle diario'!$D:$D,'Resumo mensal de despesas caixa'!$C29)</f>
        <v>0</v>
      </c>
    </row>
    <row r="30" spans="1:15" x14ac:dyDescent="0.25">
      <c r="A30" s="118">
        <v>16</v>
      </c>
      <c r="B30" s="165" t="s">
        <v>199</v>
      </c>
      <c r="C30" s="162" t="str">
        <f t="shared" si="2"/>
        <v>16 - PRESTACAO APT PARC</v>
      </c>
      <c r="D30" s="171">
        <f>SUMIFS('Controle diario'!$G:$G,'Controle diario'!$A:$A,VLOOKUP('Resumo mensal de despesas caixa'!D$3,'Base das contas'!$E$2:$F$12,2,0),'Controle diario'!$D:$D,'Resumo mensal de despesas caixa'!$C30)</f>
        <v>0</v>
      </c>
      <c r="E30" s="171">
        <f>SUMIFS('Controle diario'!$G:$G,'Controle diario'!$A:$A,VLOOKUP('Resumo mensal de despesas caixa'!$E$3,'Base das contas'!$E$2:$F$12,2,0),'Controle diario'!$D:$D,'Resumo mensal de despesas caixa'!$C30)</f>
        <v>0</v>
      </c>
      <c r="F30" s="171">
        <f>SUMIFS('Controle diario'!$G:$G,'Controle diario'!$A:$A,VLOOKUP('Resumo mensal de despesas caixa'!F$3,'Base das contas'!$E$2:$F$12,2,0),'Controle diario'!$D:$D,'Resumo mensal de despesas caixa'!$C30)</f>
        <v>0</v>
      </c>
      <c r="G30" s="171">
        <f>SUMIFS('Controle diario'!$G:$G,'Controle diario'!$A:$A,VLOOKUP('Resumo mensal de despesas caixa'!G$3,'Base das contas'!$E$2:$F$12,2,0),'Controle diario'!$D:$D,'Resumo mensal de despesas caixa'!$C30)</f>
        <v>0</v>
      </c>
      <c r="H30" s="171">
        <f>SUMIFS('Controle diario'!$G:$G,'Controle diario'!$A:$A,VLOOKUP('Resumo mensal de despesas caixa'!H$3,'Base das contas'!$E$2:$F$12,2,0),'Controle diario'!$D:$D,'Resumo mensal de despesas caixa'!$C30)</f>
        <v>0</v>
      </c>
      <c r="I30" s="171">
        <f>SUMIFS('Controle diario'!$G:$G,'Controle diario'!$A:$A,VLOOKUP('Resumo mensal de despesas caixa'!I$3,'Base das contas'!$E$2:$F$12,2,0),'Controle diario'!$D:$D,'Resumo mensal de despesas caixa'!$C30)</f>
        <v>0</v>
      </c>
      <c r="J30" s="171">
        <f>SUMIFS('Controle diario'!$G:$G,'Controle diario'!$A:$A,VLOOKUP('Resumo mensal de despesas caixa'!J$3,'Base das contas'!$E$2:$F$12,2,0),'Controle diario'!$D:$D,'Resumo mensal de despesas caixa'!$C30)</f>
        <v>0</v>
      </c>
      <c r="K30" s="171">
        <f>SUMIFS('Controle diario'!$G:$G,'Controle diario'!$A:$A,VLOOKUP('Resumo mensal de despesas caixa'!K$3,'Base das contas'!$E$2:$F$12,2,0),'Controle diario'!$D:$D,'Resumo mensal de despesas caixa'!$C30)</f>
        <v>0</v>
      </c>
      <c r="L30" s="171">
        <f>SUMIFS('Controle diario'!$G:$G,'Controle diario'!$A:$A,VLOOKUP('Resumo mensal de despesas caixa'!L$3,'Base das contas'!$E$2:$F$12,2,0),'Controle diario'!$D:$D,'Resumo mensal de despesas caixa'!$C30)</f>
        <v>0</v>
      </c>
      <c r="M30" s="171">
        <f>SUMIFS('Controle diario'!$G:$G,'Controle diario'!$A:$A,VLOOKUP('Resumo mensal de despesas caixa'!M$3,'Base das contas'!$E$2:$F$12,2,0),'Controle diario'!$D:$D,'Resumo mensal de despesas caixa'!$C30)</f>
        <v>0</v>
      </c>
      <c r="N30" s="171">
        <f>SUMIFS('Controle diario'!$G:$G,'Controle diario'!$A:$A,VLOOKUP('Resumo mensal de despesas caixa'!N$3,'Base das contas'!$E$2:$F$12,2,0),'Controle diario'!$D:$D,'Resumo mensal de despesas caixa'!$C30)</f>
        <v>0</v>
      </c>
      <c r="O30" s="171">
        <f>SUMIFS('Controle diario'!$G:$G,'Controle diario'!$A:$A,VLOOKUP('Resumo mensal de despesas caixa'!O$3,'Base das contas'!$E$2:$F$12,2,0),'Controle diario'!$D:$D,'Resumo mensal de despesas caixa'!$C30)</f>
        <v>0</v>
      </c>
    </row>
    <row r="31" spans="1:15" x14ac:dyDescent="0.25">
      <c r="A31" s="118">
        <v>17</v>
      </c>
      <c r="B31" s="164" t="s">
        <v>124</v>
      </c>
      <c r="C31" s="162" t="str">
        <f t="shared" si="2"/>
        <v>17 - GASOLINA</v>
      </c>
      <c r="D31" s="171">
        <f>SUMIFS('Controle diario'!$G:$G,'Controle diario'!$A:$A,VLOOKUP('Resumo mensal de despesas caixa'!D$3,'Base das contas'!$E$2:$F$12,2,0),'Controle diario'!$D:$D,'Resumo mensal de despesas caixa'!$C31)</f>
        <v>0</v>
      </c>
      <c r="E31" s="171">
        <f>SUMIFS('Controle diario'!$G:$G,'Controle diario'!$A:$A,VLOOKUP('Resumo mensal de despesas caixa'!$E$3,'Base das contas'!$E$2:$F$12,2,0),'Controle diario'!$D:$D,'Resumo mensal de despesas caixa'!$C31)</f>
        <v>0</v>
      </c>
      <c r="F31" s="171">
        <f>SUMIFS('Controle diario'!$G:$G,'Controle diario'!$A:$A,VLOOKUP('Resumo mensal de despesas caixa'!F$3,'Base das contas'!$E$2:$F$12,2,0),'Controle diario'!$D:$D,'Resumo mensal de despesas caixa'!$C31)</f>
        <v>0</v>
      </c>
      <c r="G31" s="171">
        <f>SUMIFS('Controle diario'!$G:$G,'Controle diario'!$A:$A,VLOOKUP('Resumo mensal de despesas caixa'!G$3,'Base das contas'!$E$2:$F$12,2,0),'Controle diario'!$D:$D,'Resumo mensal de despesas caixa'!$C31)</f>
        <v>0</v>
      </c>
      <c r="H31" s="171">
        <f>SUMIFS('Controle diario'!$G:$G,'Controle diario'!$A:$A,VLOOKUP('Resumo mensal de despesas caixa'!H$3,'Base das contas'!$E$2:$F$12,2,0),'Controle diario'!$D:$D,'Resumo mensal de despesas caixa'!$C31)</f>
        <v>0</v>
      </c>
      <c r="I31" s="171">
        <f>SUMIFS('Controle diario'!$G:$G,'Controle diario'!$A:$A,VLOOKUP('Resumo mensal de despesas caixa'!I$3,'Base das contas'!$E$2:$F$12,2,0),'Controle diario'!$D:$D,'Resumo mensal de despesas caixa'!$C31)</f>
        <v>0</v>
      </c>
      <c r="J31" s="171">
        <f>SUMIFS('Controle diario'!$G:$G,'Controle diario'!$A:$A,VLOOKUP('Resumo mensal de despesas caixa'!J$3,'Base das contas'!$E$2:$F$12,2,0),'Controle diario'!$D:$D,'Resumo mensal de despesas caixa'!$C31)</f>
        <v>0</v>
      </c>
      <c r="K31" s="171">
        <f>SUMIFS('Controle diario'!$G:$G,'Controle diario'!$A:$A,VLOOKUP('Resumo mensal de despesas caixa'!K$3,'Base das contas'!$E$2:$F$12,2,0),'Controle diario'!$D:$D,'Resumo mensal de despesas caixa'!$C31)</f>
        <v>0</v>
      </c>
      <c r="L31" s="171">
        <f>SUMIFS('Controle diario'!$G:$G,'Controle diario'!$A:$A,VLOOKUP('Resumo mensal de despesas caixa'!L$3,'Base das contas'!$E$2:$F$12,2,0),'Controle diario'!$D:$D,'Resumo mensal de despesas caixa'!$C31)</f>
        <v>0</v>
      </c>
      <c r="M31" s="171">
        <f>SUMIFS('Controle diario'!$G:$G,'Controle diario'!$A:$A,VLOOKUP('Resumo mensal de despesas caixa'!M$3,'Base das contas'!$E$2:$F$12,2,0),'Controle diario'!$D:$D,'Resumo mensal de despesas caixa'!$C31)</f>
        <v>0</v>
      </c>
      <c r="N31" s="171">
        <f>SUMIFS('Controle diario'!$G:$G,'Controle diario'!$A:$A,VLOOKUP('Resumo mensal de despesas caixa'!N$3,'Base das contas'!$E$2:$F$12,2,0),'Controle diario'!$D:$D,'Resumo mensal de despesas caixa'!$C31)</f>
        <v>0</v>
      </c>
      <c r="O31" s="171">
        <f>SUMIFS('Controle diario'!$G:$G,'Controle diario'!$A:$A,VLOOKUP('Resumo mensal de despesas caixa'!O$3,'Base das contas'!$E$2:$F$12,2,0),'Controle diario'!$D:$D,'Resumo mensal de despesas caixa'!$C31)</f>
        <v>0</v>
      </c>
    </row>
    <row r="32" spans="1:15" x14ac:dyDescent="0.25">
      <c r="A32" s="118">
        <v>18</v>
      </c>
      <c r="B32" s="164" t="s">
        <v>192</v>
      </c>
      <c r="C32" s="162" t="str">
        <f t="shared" si="2"/>
        <v>18 - CARTAO CAIXA</v>
      </c>
      <c r="D32" s="171">
        <f>SUMIFS('Controle diario'!$G:$G,'Controle diario'!$A:$A,VLOOKUP('Resumo mensal de despesas caixa'!D$3,'Base das contas'!$E$2:$F$12,2,0),'Controle diario'!$D:$D,'Resumo mensal de despesas caixa'!$C32)</f>
        <v>0</v>
      </c>
      <c r="E32" s="171">
        <f>SUMIFS('Controle diario'!$G:$G,'Controle diario'!$A:$A,VLOOKUP('Resumo mensal de despesas caixa'!$E$3,'Base das contas'!$E$2:$F$12,2,0),'Controle diario'!$D:$D,'Resumo mensal de despesas caixa'!$C32)</f>
        <v>0</v>
      </c>
      <c r="F32" s="171">
        <f>SUMIFS('Controle diario'!$G:$G,'Controle diario'!$A:$A,VLOOKUP('Resumo mensal de despesas caixa'!F$3,'Base das contas'!$E$2:$F$12,2,0),'Controle diario'!$D:$D,'Resumo mensal de despesas caixa'!$C32)</f>
        <v>0</v>
      </c>
      <c r="G32" s="171">
        <f>SUMIFS('Controle diario'!$G:$G,'Controle diario'!$A:$A,VLOOKUP('Resumo mensal de despesas caixa'!G$3,'Base das contas'!$E$2:$F$12,2,0),'Controle diario'!$D:$D,'Resumo mensal de despesas caixa'!$C32)</f>
        <v>0</v>
      </c>
      <c r="H32" s="171">
        <f>SUMIFS('Controle diario'!$G:$G,'Controle diario'!$A:$A,VLOOKUP('Resumo mensal de despesas caixa'!H$3,'Base das contas'!$E$2:$F$12,2,0),'Controle diario'!$D:$D,'Resumo mensal de despesas caixa'!$C32)</f>
        <v>0</v>
      </c>
      <c r="I32" s="171">
        <f>SUMIFS('Controle diario'!$G:$G,'Controle diario'!$A:$A,VLOOKUP('Resumo mensal de despesas caixa'!I$3,'Base das contas'!$E$2:$F$12,2,0),'Controle diario'!$D:$D,'Resumo mensal de despesas caixa'!$C32)</f>
        <v>0</v>
      </c>
      <c r="J32" s="171">
        <f>SUMIFS('Controle diario'!$G:$G,'Controle diario'!$A:$A,VLOOKUP('Resumo mensal de despesas caixa'!J$3,'Base das contas'!$E$2:$F$12,2,0),'Controle diario'!$D:$D,'Resumo mensal de despesas caixa'!$C32)</f>
        <v>0</v>
      </c>
      <c r="K32" s="171">
        <f>SUMIFS('Controle diario'!$G:$G,'Controle diario'!$A:$A,VLOOKUP('Resumo mensal de despesas caixa'!K$3,'Base das contas'!$E$2:$F$12,2,0),'Controle diario'!$D:$D,'Resumo mensal de despesas caixa'!$C32)</f>
        <v>0</v>
      </c>
      <c r="L32" s="171">
        <f>SUMIFS('Controle diario'!$G:$G,'Controle diario'!$A:$A,VLOOKUP('Resumo mensal de despesas caixa'!L$3,'Base das contas'!$E$2:$F$12,2,0),'Controle diario'!$D:$D,'Resumo mensal de despesas caixa'!$C32)</f>
        <v>0</v>
      </c>
      <c r="M32" s="171">
        <f>SUMIFS('Controle diario'!$G:$G,'Controle diario'!$A:$A,VLOOKUP('Resumo mensal de despesas caixa'!M$3,'Base das contas'!$E$2:$F$12,2,0),'Controle diario'!$D:$D,'Resumo mensal de despesas caixa'!$C32)</f>
        <v>0</v>
      </c>
      <c r="N32" s="171">
        <f>SUMIFS('Controle diario'!$G:$G,'Controle diario'!$A:$A,VLOOKUP('Resumo mensal de despesas caixa'!N$3,'Base das contas'!$E$2:$F$12,2,0),'Controle diario'!$D:$D,'Resumo mensal de despesas caixa'!$C32)</f>
        <v>0</v>
      </c>
      <c r="O32" s="171">
        <f>SUMIFS('Controle diario'!$G:$G,'Controle diario'!$A:$A,VLOOKUP('Resumo mensal de despesas caixa'!O$3,'Base das contas'!$E$2:$F$12,2,0),'Controle diario'!$D:$D,'Resumo mensal de despesas caixa'!$C32)</f>
        <v>0</v>
      </c>
    </row>
    <row r="33" spans="1:15" x14ac:dyDescent="0.25">
      <c r="A33" s="118">
        <v>19</v>
      </c>
      <c r="B33" s="164" t="s">
        <v>191</v>
      </c>
      <c r="C33" s="162" t="str">
        <f t="shared" si="2"/>
        <v xml:space="preserve">19 - CARTAO AME </v>
      </c>
      <c r="D33" s="171">
        <f>SUMIFS('Controle diario'!$G:$G,'Controle diario'!$A:$A,VLOOKUP('Resumo mensal de despesas caixa'!D$3,'Base das contas'!$E$2:$F$12,2,0),'Controle diario'!$D:$D,'Resumo mensal de despesas caixa'!$C33)</f>
        <v>0</v>
      </c>
      <c r="E33" s="171">
        <f>SUMIFS('Controle diario'!$G:$G,'Controle diario'!$A:$A,VLOOKUP('Resumo mensal de despesas caixa'!$E$3,'Base das contas'!$E$2:$F$12,2,0),'Controle diario'!$D:$D,'Resumo mensal de despesas caixa'!$C33)</f>
        <v>0</v>
      </c>
      <c r="F33" s="171">
        <f>SUMIFS('Controle diario'!$G:$G,'Controle diario'!$A:$A,VLOOKUP('Resumo mensal de despesas caixa'!F$3,'Base das contas'!$E$2:$F$12,2,0),'Controle diario'!$D:$D,'Resumo mensal de despesas caixa'!$C33)</f>
        <v>0</v>
      </c>
      <c r="G33" s="171">
        <f>SUMIFS('Controle diario'!$G:$G,'Controle diario'!$A:$A,VLOOKUP('Resumo mensal de despesas caixa'!G$3,'Base das contas'!$E$2:$F$12,2,0),'Controle diario'!$D:$D,'Resumo mensal de despesas caixa'!$C33)</f>
        <v>0</v>
      </c>
      <c r="H33" s="171">
        <f>SUMIFS('Controle diario'!$G:$G,'Controle diario'!$A:$A,VLOOKUP('Resumo mensal de despesas caixa'!H$3,'Base das contas'!$E$2:$F$12,2,0),'Controle diario'!$D:$D,'Resumo mensal de despesas caixa'!$C33)</f>
        <v>0</v>
      </c>
      <c r="I33" s="171">
        <f>SUMIFS('Controle diario'!$G:$G,'Controle diario'!$A:$A,VLOOKUP('Resumo mensal de despesas caixa'!I$3,'Base das contas'!$E$2:$F$12,2,0),'Controle diario'!$D:$D,'Resumo mensal de despesas caixa'!$C33)</f>
        <v>0</v>
      </c>
      <c r="J33" s="171">
        <f>SUMIFS('Controle diario'!$G:$G,'Controle diario'!$A:$A,VLOOKUP('Resumo mensal de despesas caixa'!J$3,'Base das contas'!$E$2:$F$12,2,0),'Controle diario'!$D:$D,'Resumo mensal de despesas caixa'!$C33)</f>
        <v>0</v>
      </c>
      <c r="K33" s="171">
        <f>SUMIFS('Controle diario'!$G:$G,'Controle diario'!$A:$A,VLOOKUP('Resumo mensal de despesas caixa'!K$3,'Base das contas'!$E$2:$F$12,2,0),'Controle diario'!$D:$D,'Resumo mensal de despesas caixa'!$C33)</f>
        <v>0</v>
      </c>
      <c r="L33" s="171">
        <f>SUMIFS('Controle diario'!$G:$G,'Controle diario'!$A:$A,VLOOKUP('Resumo mensal de despesas caixa'!L$3,'Base das contas'!$E$2:$F$12,2,0),'Controle diario'!$D:$D,'Resumo mensal de despesas caixa'!$C33)</f>
        <v>0</v>
      </c>
      <c r="M33" s="171">
        <f>SUMIFS('Controle diario'!$G:$G,'Controle diario'!$A:$A,VLOOKUP('Resumo mensal de despesas caixa'!M$3,'Base das contas'!$E$2:$F$12,2,0),'Controle diario'!$D:$D,'Resumo mensal de despesas caixa'!$C33)</f>
        <v>0</v>
      </c>
      <c r="N33" s="171">
        <f>SUMIFS('Controle diario'!$G:$G,'Controle diario'!$A:$A,VLOOKUP('Resumo mensal de despesas caixa'!N$3,'Base das contas'!$E$2:$F$12,2,0),'Controle diario'!$D:$D,'Resumo mensal de despesas caixa'!$C33)</f>
        <v>0</v>
      </c>
      <c r="O33" s="171">
        <f>SUMIFS('Controle diario'!$G:$G,'Controle diario'!$A:$A,VLOOKUP('Resumo mensal de despesas caixa'!O$3,'Base das contas'!$E$2:$F$12,2,0),'Controle diario'!$D:$D,'Resumo mensal de despesas caixa'!$C33)</f>
        <v>0</v>
      </c>
    </row>
    <row r="34" spans="1:15" x14ac:dyDescent="0.25">
      <c r="A34" s="118">
        <v>20</v>
      </c>
      <c r="B34" s="164" t="s">
        <v>198</v>
      </c>
      <c r="C34" s="162" t="str">
        <f t="shared" si="2"/>
        <v>20 - MAO DE OBRA MANUTNECAO APTO BURITI</v>
      </c>
      <c r="D34" s="171">
        <f>SUMIFS('Controle diario'!$G:$G,'Controle diario'!$A:$A,VLOOKUP('Resumo mensal de despesas caixa'!D$3,'Base das contas'!$E$2:$F$12,2,0),'Controle diario'!$D:$D,'Resumo mensal de despesas caixa'!$C34)</f>
        <v>0</v>
      </c>
      <c r="E34" s="171">
        <f>SUMIFS('Controle diario'!$G:$G,'Controle diario'!$A:$A,VLOOKUP('Resumo mensal de despesas caixa'!$E$3,'Base das contas'!$E$2:$F$12,2,0),'Controle diario'!$D:$D,'Resumo mensal de despesas caixa'!$C34)</f>
        <v>0</v>
      </c>
      <c r="F34" s="171">
        <f>SUMIFS('Controle diario'!$G:$G,'Controle diario'!$A:$A,VLOOKUP('Resumo mensal de despesas caixa'!F$3,'Base das contas'!$E$2:$F$12,2,0),'Controle diario'!$D:$D,'Resumo mensal de despesas caixa'!$C34)</f>
        <v>0</v>
      </c>
      <c r="G34" s="171">
        <f>SUMIFS('Controle diario'!$G:$G,'Controle diario'!$A:$A,VLOOKUP('Resumo mensal de despesas caixa'!G$3,'Base das contas'!$E$2:$F$12,2,0),'Controle diario'!$D:$D,'Resumo mensal de despesas caixa'!$C34)</f>
        <v>0</v>
      </c>
      <c r="H34" s="171">
        <f>SUMIFS('Controle diario'!$G:$G,'Controle diario'!$A:$A,VLOOKUP('Resumo mensal de despesas caixa'!H$3,'Base das contas'!$E$2:$F$12,2,0),'Controle diario'!$D:$D,'Resumo mensal de despesas caixa'!$C34)</f>
        <v>0</v>
      </c>
      <c r="I34" s="171">
        <f>SUMIFS('Controle diario'!$G:$G,'Controle diario'!$A:$A,VLOOKUP('Resumo mensal de despesas caixa'!I$3,'Base das contas'!$E$2:$F$12,2,0),'Controle diario'!$D:$D,'Resumo mensal de despesas caixa'!$C34)</f>
        <v>0</v>
      </c>
      <c r="J34" s="171">
        <f>SUMIFS('Controle diario'!$G:$G,'Controle diario'!$A:$A,VLOOKUP('Resumo mensal de despesas caixa'!J$3,'Base das contas'!$E$2:$F$12,2,0),'Controle diario'!$D:$D,'Resumo mensal de despesas caixa'!$C34)</f>
        <v>0</v>
      </c>
      <c r="K34" s="171">
        <f>SUMIFS('Controle diario'!$G:$G,'Controle diario'!$A:$A,VLOOKUP('Resumo mensal de despesas caixa'!K$3,'Base das contas'!$E$2:$F$12,2,0),'Controle diario'!$D:$D,'Resumo mensal de despesas caixa'!$C34)</f>
        <v>0</v>
      </c>
      <c r="L34" s="171">
        <f>SUMIFS('Controle diario'!$G:$G,'Controle diario'!$A:$A,VLOOKUP('Resumo mensal de despesas caixa'!L$3,'Base das contas'!$E$2:$F$12,2,0),'Controle diario'!$D:$D,'Resumo mensal de despesas caixa'!$C34)</f>
        <v>0</v>
      </c>
      <c r="M34" s="171">
        <f>SUMIFS('Controle diario'!$G:$G,'Controle diario'!$A:$A,VLOOKUP('Resumo mensal de despesas caixa'!M$3,'Base das contas'!$E$2:$F$12,2,0),'Controle diario'!$D:$D,'Resumo mensal de despesas caixa'!$C34)</f>
        <v>0</v>
      </c>
      <c r="N34" s="171">
        <f>SUMIFS('Controle diario'!$G:$G,'Controle diario'!$A:$A,VLOOKUP('Resumo mensal de despesas caixa'!N$3,'Base das contas'!$E$2:$F$12,2,0),'Controle diario'!$D:$D,'Resumo mensal de despesas caixa'!$C34)</f>
        <v>0</v>
      </c>
      <c r="O34" s="171">
        <f>SUMIFS('Controle diario'!$G:$G,'Controle diario'!$A:$A,VLOOKUP('Resumo mensal de despesas caixa'!O$3,'Base das contas'!$E$2:$F$12,2,0),'Controle diario'!$D:$D,'Resumo mensal de despesas caixa'!$C34)</f>
        <v>0</v>
      </c>
    </row>
    <row r="35" spans="1:15" x14ac:dyDescent="0.25">
      <c r="A35" s="118">
        <v>21</v>
      </c>
      <c r="B35" s="164" t="s">
        <v>188</v>
      </c>
      <c r="C35" s="162" t="str">
        <f t="shared" si="2"/>
        <v>21 - MATERIAIS MANUTENCAO KITNET</v>
      </c>
      <c r="D35" s="171">
        <f>SUMIFS('Controle diario'!$G:$G,'Controle diario'!$A:$A,VLOOKUP('Resumo mensal de despesas caixa'!D$3,'Base das contas'!$E$2:$F$12,2,0),'Controle diario'!$D:$D,'Resumo mensal de despesas caixa'!$C35)</f>
        <v>0</v>
      </c>
      <c r="E35" s="171">
        <f>SUMIFS('Controle diario'!$G:$G,'Controle diario'!$A:$A,VLOOKUP('Resumo mensal de despesas caixa'!$E$3,'Base das contas'!$E$2:$F$12,2,0),'Controle diario'!$D:$D,'Resumo mensal de despesas caixa'!$C35)</f>
        <v>0</v>
      </c>
      <c r="F35" s="171">
        <f>SUMIFS('Controle diario'!$G:$G,'Controle diario'!$A:$A,VLOOKUP('Resumo mensal de despesas caixa'!F$3,'Base das contas'!$E$2:$F$12,2,0),'Controle diario'!$D:$D,'Resumo mensal de despesas caixa'!$C35)</f>
        <v>0</v>
      </c>
      <c r="G35" s="171">
        <f>SUMIFS('Controle diario'!$G:$G,'Controle diario'!$A:$A,VLOOKUP('Resumo mensal de despesas caixa'!G$3,'Base das contas'!$E$2:$F$12,2,0),'Controle diario'!$D:$D,'Resumo mensal de despesas caixa'!$C35)</f>
        <v>0</v>
      </c>
      <c r="H35" s="171">
        <f>SUMIFS('Controle diario'!$G:$G,'Controle diario'!$A:$A,VLOOKUP('Resumo mensal de despesas caixa'!H$3,'Base das contas'!$E$2:$F$12,2,0),'Controle diario'!$D:$D,'Resumo mensal de despesas caixa'!$C35)</f>
        <v>0</v>
      </c>
      <c r="I35" s="171">
        <f>SUMIFS('Controle diario'!$G:$G,'Controle diario'!$A:$A,VLOOKUP('Resumo mensal de despesas caixa'!I$3,'Base das contas'!$E$2:$F$12,2,0),'Controle diario'!$D:$D,'Resumo mensal de despesas caixa'!$C35)</f>
        <v>0</v>
      </c>
      <c r="J35" s="171">
        <f>SUMIFS('Controle diario'!$G:$G,'Controle diario'!$A:$A,VLOOKUP('Resumo mensal de despesas caixa'!J$3,'Base das contas'!$E$2:$F$12,2,0),'Controle diario'!$D:$D,'Resumo mensal de despesas caixa'!$C35)</f>
        <v>0</v>
      </c>
      <c r="K35" s="171">
        <f>SUMIFS('Controle diario'!$G:$G,'Controle diario'!$A:$A,VLOOKUP('Resumo mensal de despesas caixa'!K$3,'Base das contas'!$E$2:$F$12,2,0),'Controle diario'!$D:$D,'Resumo mensal de despesas caixa'!$C35)</f>
        <v>0</v>
      </c>
      <c r="L35" s="171">
        <f>SUMIFS('Controle diario'!$G:$G,'Controle diario'!$A:$A,VLOOKUP('Resumo mensal de despesas caixa'!L$3,'Base das contas'!$E$2:$F$12,2,0),'Controle diario'!$D:$D,'Resumo mensal de despesas caixa'!$C35)</f>
        <v>0</v>
      </c>
      <c r="M35" s="171">
        <f>SUMIFS('Controle diario'!$G:$G,'Controle diario'!$A:$A,VLOOKUP('Resumo mensal de despesas caixa'!M$3,'Base das contas'!$E$2:$F$12,2,0),'Controle diario'!$D:$D,'Resumo mensal de despesas caixa'!$C35)</f>
        <v>0</v>
      </c>
      <c r="N35" s="171">
        <f>SUMIFS('Controle diario'!$G:$G,'Controle diario'!$A:$A,VLOOKUP('Resumo mensal de despesas caixa'!N$3,'Base das contas'!$E$2:$F$12,2,0),'Controle diario'!$D:$D,'Resumo mensal de despesas caixa'!$C35)</f>
        <v>0</v>
      </c>
      <c r="O35" s="171">
        <f>SUMIFS('Controle diario'!$G:$G,'Controle diario'!$A:$A,VLOOKUP('Resumo mensal de despesas caixa'!O$3,'Base das contas'!$E$2:$F$12,2,0),'Controle diario'!$D:$D,'Resumo mensal de despesas caixa'!$C35)</f>
        <v>0</v>
      </c>
    </row>
    <row r="36" spans="1:15" x14ac:dyDescent="0.25">
      <c r="A36" s="118">
        <v>22</v>
      </c>
      <c r="B36" s="164" t="s">
        <v>197</v>
      </c>
      <c r="C36" s="162" t="str">
        <f t="shared" si="2"/>
        <v>22 - MAO DE OBRA MANUTENCAO KITNET</v>
      </c>
      <c r="D36" s="171">
        <f>SUMIFS('Controle diario'!$G:$G,'Controle diario'!$A:$A,VLOOKUP('Resumo mensal de despesas caixa'!D$3,'Base das contas'!$E$2:$F$12,2,0),'Controle diario'!$D:$D,'Resumo mensal de despesas caixa'!$C36)</f>
        <v>0</v>
      </c>
      <c r="E36" s="171">
        <f>SUMIFS('Controle diario'!$G:$G,'Controle diario'!$A:$A,VLOOKUP('Resumo mensal de despesas caixa'!$E$3,'Base das contas'!$E$2:$F$12,2,0),'Controle diario'!$D:$D,'Resumo mensal de despesas caixa'!$C36)</f>
        <v>0</v>
      </c>
      <c r="F36" s="171">
        <f>SUMIFS('Controle diario'!$G:$G,'Controle diario'!$A:$A,VLOOKUP('Resumo mensal de despesas caixa'!F$3,'Base das contas'!$E$2:$F$12,2,0),'Controle diario'!$D:$D,'Resumo mensal de despesas caixa'!$C36)</f>
        <v>0</v>
      </c>
      <c r="G36" s="171">
        <f>SUMIFS('Controle diario'!$G:$G,'Controle diario'!$A:$A,VLOOKUP('Resumo mensal de despesas caixa'!G$3,'Base das contas'!$E$2:$F$12,2,0),'Controle diario'!$D:$D,'Resumo mensal de despesas caixa'!$C36)</f>
        <v>0</v>
      </c>
      <c r="H36" s="171">
        <f>SUMIFS('Controle diario'!$G:$G,'Controle diario'!$A:$A,VLOOKUP('Resumo mensal de despesas caixa'!H$3,'Base das contas'!$E$2:$F$12,2,0),'Controle diario'!$D:$D,'Resumo mensal de despesas caixa'!$C36)</f>
        <v>0</v>
      </c>
      <c r="I36" s="171">
        <f>SUMIFS('Controle diario'!$G:$G,'Controle diario'!$A:$A,VLOOKUP('Resumo mensal de despesas caixa'!I$3,'Base das contas'!$E$2:$F$12,2,0),'Controle diario'!$D:$D,'Resumo mensal de despesas caixa'!$C36)</f>
        <v>0</v>
      </c>
      <c r="J36" s="171">
        <f>SUMIFS('Controle diario'!$G:$G,'Controle diario'!$A:$A,VLOOKUP('Resumo mensal de despesas caixa'!J$3,'Base das contas'!$E$2:$F$12,2,0),'Controle diario'!$D:$D,'Resumo mensal de despesas caixa'!$C36)</f>
        <v>0</v>
      </c>
      <c r="K36" s="171">
        <f>SUMIFS('Controle diario'!$G:$G,'Controle diario'!$A:$A,VLOOKUP('Resumo mensal de despesas caixa'!K$3,'Base das contas'!$E$2:$F$12,2,0),'Controle diario'!$D:$D,'Resumo mensal de despesas caixa'!$C36)</f>
        <v>0</v>
      </c>
      <c r="L36" s="171">
        <f>SUMIFS('Controle diario'!$G:$G,'Controle diario'!$A:$A,VLOOKUP('Resumo mensal de despesas caixa'!L$3,'Base das contas'!$E$2:$F$12,2,0),'Controle diario'!$D:$D,'Resumo mensal de despesas caixa'!$C36)</f>
        <v>0</v>
      </c>
      <c r="M36" s="171">
        <f>SUMIFS('Controle diario'!$G:$G,'Controle diario'!$A:$A,VLOOKUP('Resumo mensal de despesas caixa'!M$3,'Base das contas'!$E$2:$F$12,2,0),'Controle diario'!$D:$D,'Resumo mensal de despesas caixa'!$C36)</f>
        <v>0</v>
      </c>
      <c r="N36" s="171">
        <f>SUMIFS('Controle diario'!$G:$G,'Controle diario'!$A:$A,VLOOKUP('Resumo mensal de despesas caixa'!N$3,'Base das contas'!$E$2:$F$12,2,0),'Controle diario'!$D:$D,'Resumo mensal de despesas caixa'!$C36)</f>
        <v>0</v>
      </c>
      <c r="O36" s="171">
        <f>SUMIFS('Controle diario'!$G:$G,'Controle diario'!$A:$A,VLOOKUP('Resumo mensal de despesas caixa'!O$3,'Base das contas'!$E$2:$F$12,2,0),'Controle diario'!$D:$D,'Resumo mensal de despesas caixa'!$C36)</f>
        <v>0</v>
      </c>
    </row>
    <row r="37" spans="1:15" x14ac:dyDescent="0.25">
      <c r="A37" s="118">
        <v>23</v>
      </c>
      <c r="B37" s="164" t="s">
        <v>188</v>
      </c>
      <c r="C37" s="162" t="str">
        <f t="shared" si="2"/>
        <v>23 - MATERIAIS MANUTENCAO KITNET</v>
      </c>
      <c r="D37" s="171">
        <f>SUMIFS('Controle diario'!$G:$G,'Controle diario'!$A:$A,VLOOKUP('Resumo mensal de despesas caixa'!D$3,'Base das contas'!$E$2:$F$12,2,0),'Controle diario'!$D:$D,'Resumo mensal de despesas caixa'!$C37)</f>
        <v>0</v>
      </c>
      <c r="E37" s="171">
        <f>SUMIFS('Controle diario'!$G:$G,'Controle diario'!$A:$A,VLOOKUP('Resumo mensal de despesas caixa'!$E$3,'Base das contas'!$E$2:$F$12,2,0),'Controle diario'!$D:$D,'Resumo mensal de despesas caixa'!$C37)</f>
        <v>0</v>
      </c>
      <c r="F37" s="171">
        <f>SUMIFS('Controle diario'!$G:$G,'Controle diario'!$A:$A,VLOOKUP('Resumo mensal de despesas caixa'!F$3,'Base das contas'!$E$2:$F$12,2,0),'Controle diario'!$D:$D,'Resumo mensal de despesas caixa'!$C37)</f>
        <v>0</v>
      </c>
      <c r="G37" s="171">
        <f>SUMIFS('Controle diario'!$G:$G,'Controle diario'!$A:$A,VLOOKUP('Resumo mensal de despesas caixa'!G$3,'Base das contas'!$E$2:$F$12,2,0),'Controle diario'!$D:$D,'Resumo mensal de despesas caixa'!$C37)</f>
        <v>0</v>
      </c>
      <c r="H37" s="171">
        <f>SUMIFS('Controle diario'!$G:$G,'Controle diario'!$A:$A,VLOOKUP('Resumo mensal de despesas caixa'!H$3,'Base das contas'!$E$2:$F$12,2,0),'Controle diario'!$D:$D,'Resumo mensal de despesas caixa'!$C37)</f>
        <v>0</v>
      </c>
      <c r="I37" s="171">
        <f>SUMIFS('Controle diario'!$G:$G,'Controle diario'!$A:$A,VLOOKUP('Resumo mensal de despesas caixa'!I$3,'Base das contas'!$E$2:$F$12,2,0),'Controle diario'!$D:$D,'Resumo mensal de despesas caixa'!$C37)</f>
        <v>0</v>
      </c>
      <c r="J37" s="171">
        <f>SUMIFS('Controle diario'!$G:$G,'Controle diario'!$A:$A,VLOOKUP('Resumo mensal de despesas caixa'!J$3,'Base das contas'!$E$2:$F$12,2,0),'Controle diario'!$D:$D,'Resumo mensal de despesas caixa'!$C37)</f>
        <v>0</v>
      </c>
      <c r="K37" s="171">
        <f>SUMIFS('Controle diario'!$G:$G,'Controle diario'!$A:$A,VLOOKUP('Resumo mensal de despesas caixa'!K$3,'Base das contas'!$E$2:$F$12,2,0),'Controle diario'!$D:$D,'Resumo mensal de despesas caixa'!$C37)</f>
        <v>0</v>
      </c>
      <c r="L37" s="171">
        <f>SUMIFS('Controle diario'!$G:$G,'Controle diario'!$A:$A,VLOOKUP('Resumo mensal de despesas caixa'!L$3,'Base das contas'!$E$2:$F$12,2,0),'Controle diario'!$D:$D,'Resumo mensal de despesas caixa'!$C37)</f>
        <v>0</v>
      </c>
      <c r="M37" s="171">
        <f>SUMIFS('Controle diario'!$G:$G,'Controle diario'!$A:$A,VLOOKUP('Resumo mensal de despesas caixa'!M$3,'Base das contas'!$E$2:$F$12,2,0),'Controle diario'!$D:$D,'Resumo mensal de despesas caixa'!$C37)</f>
        <v>0</v>
      </c>
      <c r="N37" s="171">
        <f>SUMIFS('Controle diario'!$G:$G,'Controle diario'!$A:$A,VLOOKUP('Resumo mensal de despesas caixa'!N$3,'Base das contas'!$E$2:$F$12,2,0),'Controle diario'!$D:$D,'Resumo mensal de despesas caixa'!$C37)</f>
        <v>0</v>
      </c>
      <c r="O37" s="171">
        <f>SUMIFS('Controle diario'!$G:$G,'Controle diario'!$A:$A,VLOOKUP('Resumo mensal de despesas caixa'!O$3,'Base das contas'!$E$2:$F$12,2,0),'Controle diario'!$D:$D,'Resumo mensal de despesas caixa'!$C37)</f>
        <v>0</v>
      </c>
    </row>
    <row r="38" spans="1:15" x14ac:dyDescent="0.25">
      <c r="A38" s="118">
        <v>24</v>
      </c>
      <c r="B38" s="164" t="s">
        <v>190</v>
      </c>
      <c r="C38" s="162" t="str">
        <f t="shared" si="2"/>
        <v>24 - REMEDIOS CACHORROS</v>
      </c>
      <c r="D38" s="171">
        <f>SUMIFS('Controle diario'!$G:$G,'Controle diario'!$A:$A,VLOOKUP('Resumo mensal de despesas caixa'!D$3,'Base das contas'!$E$2:$F$12,2,0),'Controle diario'!$D:$D,'Resumo mensal de despesas caixa'!$C38)</f>
        <v>0</v>
      </c>
      <c r="E38" s="171">
        <f>SUMIFS('Controle diario'!$G:$G,'Controle diario'!$A:$A,VLOOKUP('Resumo mensal de despesas caixa'!$E$3,'Base das contas'!$E$2:$F$12,2,0),'Controle diario'!$D:$D,'Resumo mensal de despesas caixa'!$C38)</f>
        <v>0</v>
      </c>
      <c r="F38" s="171">
        <f>SUMIFS('Controle diario'!$G:$G,'Controle diario'!$A:$A,VLOOKUP('Resumo mensal de despesas caixa'!F$3,'Base das contas'!$E$2:$F$12,2,0),'Controle diario'!$D:$D,'Resumo mensal de despesas caixa'!$C38)</f>
        <v>0</v>
      </c>
      <c r="G38" s="171">
        <f>SUMIFS('Controle diario'!$G:$G,'Controle diario'!$A:$A,VLOOKUP('Resumo mensal de despesas caixa'!G$3,'Base das contas'!$E$2:$F$12,2,0),'Controle diario'!$D:$D,'Resumo mensal de despesas caixa'!$C38)</f>
        <v>0</v>
      </c>
      <c r="H38" s="171">
        <f>SUMIFS('Controle diario'!$G:$G,'Controle diario'!$A:$A,VLOOKUP('Resumo mensal de despesas caixa'!H$3,'Base das contas'!$E$2:$F$12,2,0),'Controle diario'!$D:$D,'Resumo mensal de despesas caixa'!$C38)</f>
        <v>0</v>
      </c>
      <c r="I38" s="171">
        <f>SUMIFS('Controle diario'!$G:$G,'Controle diario'!$A:$A,VLOOKUP('Resumo mensal de despesas caixa'!I$3,'Base das contas'!$E$2:$F$12,2,0),'Controle diario'!$D:$D,'Resumo mensal de despesas caixa'!$C38)</f>
        <v>0</v>
      </c>
      <c r="J38" s="171">
        <f>SUMIFS('Controle diario'!$G:$G,'Controle diario'!$A:$A,VLOOKUP('Resumo mensal de despesas caixa'!J$3,'Base das contas'!$E$2:$F$12,2,0),'Controle diario'!$D:$D,'Resumo mensal de despesas caixa'!$C38)</f>
        <v>0</v>
      </c>
      <c r="K38" s="171">
        <f>SUMIFS('Controle diario'!$G:$G,'Controle diario'!$A:$A,VLOOKUP('Resumo mensal de despesas caixa'!K$3,'Base das contas'!$E$2:$F$12,2,0),'Controle diario'!$D:$D,'Resumo mensal de despesas caixa'!$C38)</f>
        <v>0</v>
      </c>
      <c r="L38" s="171">
        <f>SUMIFS('Controle diario'!$G:$G,'Controle diario'!$A:$A,VLOOKUP('Resumo mensal de despesas caixa'!L$3,'Base das contas'!$E$2:$F$12,2,0),'Controle diario'!$D:$D,'Resumo mensal de despesas caixa'!$C38)</f>
        <v>0</v>
      </c>
      <c r="M38" s="171">
        <f>SUMIFS('Controle diario'!$G:$G,'Controle diario'!$A:$A,VLOOKUP('Resumo mensal de despesas caixa'!M$3,'Base das contas'!$E$2:$F$12,2,0),'Controle diario'!$D:$D,'Resumo mensal de despesas caixa'!$C38)</f>
        <v>0</v>
      </c>
      <c r="N38" s="171">
        <f>SUMIFS('Controle diario'!$G:$G,'Controle diario'!$A:$A,VLOOKUP('Resumo mensal de despesas caixa'!N$3,'Base das contas'!$E$2:$F$12,2,0),'Controle diario'!$D:$D,'Resumo mensal de despesas caixa'!$C38)</f>
        <v>0</v>
      </c>
      <c r="O38" s="171">
        <f>SUMIFS('Controle diario'!$G:$G,'Controle diario'!$A:$A,VLOOKUP('Resumo mensal de despesas caixa'!O$3,'Base das contas'!$E$2:$F$12,2,0),'Controle diario'!$D:$D,'Resumo mensal de despesas caixa'!$C38)</f>
        <v>0</v>
      </c>
    </row>
    <row r="39" spans="1:15" x14ac:dyDescent="0.25">
      <c r="A39" s="118">
        <v>25</v>
      </c>
      <c r="B39" s="166" t="s">
        <v>189</v>
      </c>
      <c r="C39" s="162" t="str">
        <f t="shared" si="2"/>
        <v>25 - RACAO CACHORROS</v>
      </c>
      <c r="D39" s="171">
        <f>SUMIFS('Controle diario'!$G:$G,'Controle diario'!$A:$A,VLOOKUP('Resumo mensal de despesas caixa'!D$3,'Base das contas'!$E$2:$F$12,2,0),'Controle diario'!$D:$D,'Resumo mensal de despesas caixa'!$C39)</f>
        <v>0</v>
      </c>
      <c r="E39" s="171">
        <f>SUMIFS('Controle diario'!$G:$G,'Controle diario'!$A:$A,VLOOKUP('Resumo mensal de despesas caixa'!$E$3,'Base das contas'!$E$2:$F$12,2,0),'Controle diario'!$D:$D,'Resumo mensal de despesas caixa'!$C39)</f>
        <v>0</v>
      </c>
      <c r="F39" s="171">
        <f>SUMIFS('Controle diario'!$G:$G,'Controle diario'!$A:$A,VLOOKUP('Resumo mensal de despesas caixa'!F$3,'Base das contas'!$E$2:$F$12,2,0),'Controle diario'!$D:$D,'Resumo mensal de despesas caixa'!$C39)</f>
        <v>0</v>
      </c>
      <c r="G39" s="171">
        <f>SUMIFS('Controle diario'!$G:$G,'Controle diario'!$A:$A,VLOOKUP('Resumo mensal de despesas caixa'!G$3,'Base das contas'!$E$2:$F$12,2,0),'Controle diario'!$D:$D,'Resumo mensal de despesas caixa'!$C39)</f>
        <v>0</v>
      </c>
      <c r="H39" s="171">
        <f>SUMIFS('Controle diario'!$G:$G,'Controle diario'!$A:$A,VLOOKUP('Resumo mensal de despesas caixa'!H$3,'Base das contas'!$E$2:$F$12,2,0),'Controle diario'!$D:$D,'Resumo mensal de despesas caixa'!$C39)</f>
        <v>0</v>
      </c>
      <c r="I39" s="171">
        <f>SUMIFS('Controle diario'!$G:$G,'Controle diario'!$A:$A,VLOOKUP('Resumo mensal de despesas caixa'!I$3,'Base das contas'!$E$2:$F$12,2,0),'Controle diario'!$D:$D,'Resumo mensal de despesas caixa'!$C39)</f>
        <v>0</v>
      </c>
      <c r="J39" s="171">
        <f>SUMIFS('Controle diario'!$G:$G,'Controle diario'!$A:$A,VLOOKUP('Resumo mensal de despesas caixa'!J$3,'Base das contas'!$E$2:$F$12,2,0),'Controle diario'!$D:$D,'Resumo mensal de despesas caixa'!$C39)</f>
        <v>0</v>
      </c>
      <c r="K39" s="171">
        <f>SUMIFS('Controle diario'!$G:$G,'Controle diario'!$A:$A,VLOOKUP('Resumo mensal de despesas caixa'!K$3,'Base das contas'!$E$2:$F$12,2,0),'Controle diario'!$D:$D,'Resumo mensal de despesas caixa'!$C39)</f>
        <v>0</v>
      </c>
      <c r="L39" s="171">
        <f>SUMIFS('Controle diario'!$G:$G,'Controle diario'!$A:$A,VLOOKUP('Resumo mensal de despesas caixa'!L$3,'Base das contas'!$E$2:$F$12,2,0),'Controle diario'!$D:$D,'Resumo mensal de despesas caixa'!$C39)</f>
        <v>0</v>
      </c>
      <c r="M39" s="171">
        <f>SUMIFS('Controle diario'!$G:$G,'Controle diario'!$A:$A,VLOOKUP('Resumo mensal de despesas caixa'!M$3,'Base das contas'!$E$2:$F$12,2,0),'Controle diario'!$D:$D,'Resumo mensal de despesas caixa'!$C39)</f>
        <v>0</v>
      </c>
      <c r="N39" s="171">
        <f>SUMIFS('Controle diario'!$G:$G,'Controle diario'!$A:$A,VLOOKUP('Resumo mensal de despesas caixa'!N$3,'Base das contas'!$E$2:$F$12,2,0),'Controle diario'!$D:$D,'Resumo mensal de despesas caixa'!$C39)</f>
        <v>0</v>
      </c>
      <c r="O39" s="171">
        <f>SUMIFS('Controle diario'!$G:$G,'Controle diario'!$A:$A,VLOOKUP('Resumo mensal de despesas caixa'!O$3,'Base das contas'!$E$2:$F$12,2,0),'Controle diario'!$D:$D,'Resumo mensal de despesas caixa'!$C39)</f>
        <v>0</v>
      </c>
    </row>
    <row r="40" spans="1:15" x14ac:dyDescent="0.25">
      <c r="A40" s="118">
        <v>26</v>
      </c>
      <c r="B40" s="164" t="s">
        <v>205</v>
      </c>
      <c r="C40" s="162" t="str">
        <f t="shared" si="2"/>
        <v>26 - IPTU</v>
      </c>
      <c r="D40" s="171">
        <f>SUMIFS('Controle diario'!$G:$G,'Controle diario'!$A:$A,VLOOKUP('Resumo mensal de despesas caixa'!D$3,'Base das contas'!$E$2:$F$12,2,0),'Controle diario'!$D:$D,'Resumo mensal de despesas caixa'!$C40)</f>
        <v>0</v>
      </c>
      <c r="E40" s="171">
        <f>SUMIFS('Controle diario'!$G:$G,'Controle diario'!$A:$A,VLOOKUP('Resumo mensal de despesas caixa'!$E$3,'Base das contas'!$E$2:$F$12,2,0),'Controle diario'!$D:$D,'Resumo mensal de despesas caixa'!$C40)</f>
        <v>0</v>
      </c>
      <c r="F40" s="171">
        <f>SUMIFS('Controle diario'!$G:$G,'Controle diario'!$A:$A,VLOOKUP('Resumo mensal de despesas caixa'!F$3,'Base das contas'!$E$2:$F$12,2,0),'Controle diario'!$D:$D,'Resumo mensal de despesas caixa'!$C40)</f>
        <v>0</v>
      </c>
      <c r="G40" s="171">
        <f>SUMIFS('Controle diario'!$G:$G,'Controle diario'!$A:$A,VLOOKUP('Resumo mensal de despesas caixa'!G$3,'Base das contas'!$E$2:$F$12,2,0),'Controle diario'!$D:$D,'Resumo mensal de despesas caixa'!$C40)</f>
        <v>0</v>
      </c>
      <c r="H40" s="171">
        <f>SUMIFS('Controle diario'!$G:$G,'Controle diario'!$A:$A,VLOOKUP('Resumo mensal de despesas caixa'!H$3,'Base das contas'!$E$2:$F$12,2,0),'Controle diario'!$D:$D,'Resumo mensal de despesas caixa'!$C40)</f>
        <v>0</v>
      </c>
      <c r="I40" s="171">
        <f>SUMIFS('Controle diario'!$G:$G,'Controle diario'!$A:$A,VLOOKUP('Resumo mensal de despesas caixa'!I$3,'Base das contas'!$E$2:$F$12,2,0),'Controle diario'!$D:$D,'Resumo mensal de despesas caixa'!$C40)</f>
        <v>0</v>
      </c>
      <c r="J40" s="171">
        <f>SUMIFS('Controle diario'!$G:$G,'Controle diario'!$A:$A,VLOOKUP('Resumo mensal de despesas caixa'!J$3,'Base das contas'!$E$2:$F$12,2,0),'Controle diario'!$D:$D,'Resumo mensal de despesas caixa'!$C40)</f>
        <v>0</v>
      </c>
      <c r="K40" s="171">
        <f>SUMIFS('Controle diario'!$G:$G,'Controle diario'!$A:$A,VLOOKUP('Resumo mensal de despesas caixa'!K$3,'Base das contas'!$E$2:$F$12,2,0),'Controle diario'!$D:$D,'Resumo mensal de despesas caixa'!$C40)</f>
        <v>0</v>
      </c>
      <c r="L40" s="171">
        <f>SUMIFS('Controle diario'!$G:$G,'Controle diario'!$A:$A,VLOOKUP('Resumo mensal de despesas caixa'!L$3,'Base das contas'!$E$2:$F$12,2,0),'Controle diario'!$D:$D,'Resumo mensal de despesas caixa'!$C40)</f>
        <v>0</v>
      </c>
      <c r="M40" s="171">
        <f>SUMIFS('Controle diario'!$G:$G,'Controle diario'!$A:$A,VLOOKUP('Resumo mensal de despesas caixa'!M$3,'Base das contas'!$E$2:$F$12,2,0),'Controle diario'!$D:$D,'Resumo mensal de despesas caixa'!$C40)</f>
        <v>0</v>
      </c>
      <c r="N40" s="171">
        <f>SUMIFS('Controle diario'!$G:$G,'Controle diario'!$A:$A,VLOOKUP('Resumo mensal de despesas caixa'!N$3,'Base das contas'!$E$2:$F$12,2,0),'Controle diario'!$D:$D,'Resumo mensal de despesas caixa'!$C40)</f>
        <v>0</v>
      </c>
      <c r="O40" s="171">
        <f>SUMIFS('Controle diario'!$G:$G,'Controle diario'!$A:$A,VLOOKUP('Resumo mensal de despesas caixa'!O$3,'Base das contas'!$E$2:$F$12,2,0),'Controle diario'!$D:$D,'Resumo mensal de despesas caixa'!$C40)</f>
        <v>0</v>
      </c>
    </row>
    <row r="41" spans="1:15" x14ac:dyDescent="0.25">
      <c r="A41" s="118">
        <v>27</v>
      </c>
      <c r="B41" s="164" t="s">
        <v>206</v>
      </c>
      <c r="C41" s="162" t="str">
        <f t="shared" si="2"/>
        <v>27 - IPVA</v>
      </c>
      <c r="D41" s="171">
        <f>SUMIFS('Controle diario'!$G:$G,'Controle diario'!$A:$A,VLOOKUP('Resumo mensal de despesas caixa'!D$3,'Base das contas'!$E$2:$F$12,2,0),'Controle diario'!$D:$D,'Resumo mensal de despesas caixa'!$C41)</f>
        <v>0</v>
      </c>
      <c r="E41" s="171">
        <f>SUMIFS('Controle diario'!$G:$G,'Controle diario'!$A:$A,VLOOKUP('Resumo mensal de despesas caixa'!$E$3,'Base das contas'!$E$2:$F$12,2,0),'Controle diario'!$D:$D,'Resumo mensal de despesas caixa'!$C41)</f>
        <v>0</v>
      </c>
      <c r="F41" s="171">
        <f>SUMIFS('Controle diario'!$G:$G,'Controle diario'!$A:$A,VLOOKUP('Resumo mensal de despesas caixa'!F$3,'Base das contas'!$E$2:$F$12,2,0),'Controle diario'!$D:$D,'Resumo mensal de despesas caixa'!$C41)</f>
        <v>0</v>
      </c>
      <c r="G41" s="171">
        <f>SUMIFS('Controle diario'!$G:$G,'Controle diario'!$A:$A,VLOOKUP('Resumo mensal de despesas caixa'!G$3,'Base das contas'!$E$2:$F$12,2,0),'Controle diario'!$D:$D,'Resumo mensal de despesas caixa'!$C41)</f>
        <v>0</v>
      </c>
      <c r="H41" s="171">
        <f>SUMIFS('Controle diario'!$G:$G,'Controle diario'!$A:$A,VLOOKUP('Resumo mensal de despesas caixa'!H$3,'Base das contas'!$E$2:$F$12,2,0),'Controle diario'!$D:$D,'Resumo mensal de despesas caixa'!$C41)</f>
        <v>0</v>
      </c>
      <c r="I41" s="171">
        <f>SUMIFS('Controle diario'!$G:$G,'Controle diario'!$A:$A,VLOOKUP('Resumo mensal de despesas caixa'!I$3,'Base das contas'!$E$2:$F$12,2,0),'Controle diario'!$D:$D,'Resumo mensal de despesas caixa'!$C41)</f>
        <v>0</v>
      </c>
      <c r="J41" s="171">
        <f>SUMIFS('Controle diario'!$G:$G,'Controle diario'!$A:$A,VLOOKUP('Resumo mensal de despesas caixa'!J$3,'Base das contas'!$E$2:$F$12,2,0),'Controle diario'!$D:$D,'Resumo mensal de despesas caixa'!$C41)</f>
        <v>0</v>
      </c>
      <c r="K41" s="171">
        <f>SUMIFS('Controle diario'!$G:$G,'Controle diario'!$A:$A,VLOOKUP('Resumo mensal de despesas caixa'!K$3,'Base das contas'!$E$2:$F$12,2,0),'Controle diario'!$D:$D,'Resumo mensal de despesas caixa'!$C41)</f>
        <v>0</v>
      </c>
      <c r="L41" s="171">
        <f>SUMIFS('Controle diario'!$G:$G,'Controle diario'!$A:$A,VLOOKUP('Resumo mensal de despesas caixa'!L$3,'Base das contas'!$E$2:$F$12,2,0),'Controle diario'!$D:$D,'Resumo mensal de despesas caixa'!$C41)</f>
        <v>0</v>
      </c>
      <c r="M41" s="171">
        <f>SUMIFS('Controle diario'!$G:$G,'Controle diario'!$A:$A,VLOOKUP('Resumo mensal de despesas caixa'!M$3,'Base das contas'!$E$2:$F$12,2,0),'Controle diario'!$D:$D,'Resumo mensal de despesas caixa'!$C41)</f>
        <v>0</v>
      </c>
      <c r="N41" s="171">
        <f>SUMIFS('Controle diario'!$G:$G,'Controle diario'!$A:$A,VLOOKUP('Resumo mensal de despesas caixa'!N$3,'Base das contas'!$E$2:$F$12,2,0),'Controle diario'!$D:$D,'Resumo mensal de despesas caixa'!$C41)</f>
        <v>0</v>
      </c>
      <c r="O41" s="171">
        <f>SUMIFS('Controle diario'!$G:$G,'Controle diario'!$A:$A,VLOOKUP('Resumo mensal de despesas caixa'!O$3,'Base das contas'!$E$2:$F$12,2,0),'Controle diario'!$D:$D,'Resumo mensal de despesas caixa'!$C41)</f>
        <v>0</v>
      </c>
    </row>
    <row r="42" spans="1:15" x14ac:dyDescent="0.25">
      <c r="A42" s="118">
        <v>28</v>
      </c>
      <c r="B42" s="164" t="s">
        <v>207</v>
      </c>
      <c r="C42" s="162" t="str">
        <f t="shared" si="2"/>
        <v>28 - MEI</v>
      </c>
      <c r="D42" s="171">
        <f>SUMIFS('Controle diario'!$G:$G,'Controle diario'!$A:$A,VLOOKUP('Resumo mensal de despesas caixa'!D$3,'Base das contas'!$E$2:$F$12,2,0),'Controle diario'!$D:$D,'Resumo mensal de despesas caixa'!$C42)</f>
        <v>0</v>
      </c>
      <c r="E42" s="171">
        <f>SUMIFS('Controle diario'!$G:$G,'Controle diario'!$A:$A,VLOOKUP('Resumo mensal de despesas caixa'!$E$3,'Base das contas'!$E$2:$F$12,2,0),'Controle diario'!$D:$D,'Resumo mensal de despesas caixa'!$C42)</f>
        <v>0</v>
      </c>
      <c r="F42" s="171">
        <f>SUMIFS('Controle diario'!$G:$G,'Controle diario'!$A:$A,VLOOKUP('Resumo mensal de despesas caixa'!F$3,'Base das contas'!$E$2:$F$12,2,0),'Controle diario'!$D:$D,'Resumo mensal de despesas caixa'!$C42)</f>
        <v>0</v>
      </c>
      <c r="G42" s="171">
        <f>SUMIFS('Controle diario'!$G:$G,'Controle diario'!$A:$A,VLOOKUP('Resumo mensal de despesas caixa'!G$3,'Base das contas'!$E$2:$F$12,2,0),'Controle diario'!$D:$D,'Resumo mensal de despesas caixa'!$C42)</f>
        <v>0</v>
      </c>
      <c r="H42" s="171">
        <f>SUMIFS('Controle diario'!$G:$G,'Controle diario'!$A:$A,VLOOKUP('Resumo mensal de despesas caixa'!H$3,'Base das contas'!$E$2:$F$12,2,0),'Controle diario'!$D:$D,'Resumo mensal de despesas caixa'!$C42)</f>
        <v>0</v>
      </c>
      <c r="I42" s="171">
        <f>SUMIFS('Controle diario'!$G:$G,'Controle diario'!$A:$A,VLOOKUP('Resumo mensal de despesas caixa'!I$3,'Base das contas'!$E$2:$F$12,2,0),'Controle diario'!$D:$D,'Resumo mensal de despesas caixa'!$C42)</f>
        <v>0</v>
      </c>
      <c r="J42" s="171">
        <f>SUMIFS('Controle diario'!$G:$G,'Controle diario'!$A:$A,VLOOKUP('Resumo mensal de despesas caixa'!J$3,'Base das contas'!$E$2:$F$12,2,0),'Controle diario'!$D:$D,'Resumo mensal de despesas caixa'!$C42)</f>
        <v>0</v>
      </c>
      <c r="K42" s="171">
        <f>SUMIFS('Controle diario'!$G:$G,'Controle diario'!$A:$A,VLOOKUP('Resumo mensal de despesas caixa'!K$3,'Base das contas'!$E$2:$F$12,2,0),'Controle diario'!$D:$D,'Resumo mensal de despesas caixa'!$C42)</f>
        <v>0</v>
      </c>
      <c r="L42" s="171">
        <f>SUMIFS('Controle diario'!$G:$G,'Controle diario'!$A:$A,VLOOKUP('Resumo mensal de despesas caixa'!L$3,'Base das contas'!$E$2:$F$12,2,0),'Controle diario'!$D:$D,'Resumo mensal de despesas caixa'!$C42)</f>
        <v>0</v>
      </c>
      <c r="M42" s="171">
        <f>SUMIFS('Controle diario'!$G:$G,'Controle diario'!$A:$A,VLOOKUP('Resumo mensal de despesas caixa'!M$3,'Base das contas'!$E$2:$F$12,2,0),'Controle diario'!$D:$D,'Resumo mensal de despesas caixa'!$C42)</f>
        <v>0</v>
      </c>
      <c r="N42" s="171">
        <f>SUMIFS('Controle diario'!$G:$G,'Controle diario'!$A:$A,VLOOKUP('Resumo mensal de despesas caixa'!N$3,'Base das contas'!$E$2:$F$12,2,0),'Controle diario'!$D:$D,'Resumo mensal de despesas caixa'!$C42)</f>
        <v>0</v>
      </c>
      <c r="O42" s="171">
        <f>SUMIFS('Controle diario'!$G:$G,'Controle diario'!$A:$A,VLOOKUP('Resumo mensal de despesas caixa'!O$3,'Base das contas'!$E$2:$F$12,2,0),'Controle diario'!$D:$D,'Resumo mensal de despesas caixa'!$C42)</f>
        <v>0</v>
      </c>
    </row>
    <row r="43" spans="1:15" x14ac:dyDescent="0.25">
      <c r="A43" s="118">
        <v>29</v>
      </c>
      <c r="B43" s="164" t="s">
        <v>187</v>
      </c>
      <c r="C43" s="162" t="str">
        <f t="shared" si="2"/>
        <v>29 - MARMITAS</v>
      </c>
      <c r="D43" s="171">
        <f>SUMIFS('Controle diario'!$G:$G,'Controle diario'!$A:$A,VLOOKUP('Resumo mensal de despesas caixa'!D$3,'Base das contas'!$E$2:$F$12,2,0),'Controle diario'!$D:$D,'Resumo mensal de despesas caixa'!$C43)</f>
        <v>0</v>
      </c>
      <c r="E43" s="171">
        <f>SUMIFS('Controle diario'!$G:$G,'Controle diario'!$A:$A,VLOOKUP('Resumo mensal de despesas caixa'!$E$3,'Base das contas'!$E$2:$F$12,2,0),'Controle diario'!$D:$D,'Resumo mensal de despesas caixa'!$C43)</f>
        <v>0</v>
      </c>
      <c r="F43" s="171">
        <f>SUMIFS('Controle diario'!$G:$G,'Controle diario'!$A:$A,VLOOKUP('Resumo mensal de despesas caixa'!F$3,'Base das contas'!$E$2:$F$12,2,0),'Controle diario'!$D:$D,'Resumo mensal de despesas caixa'!$C43)</f>
        <v>0</v>
      </c>
      <c r="G43" s="171">
        <f>SUMIFS('Controle diario'!$G:$G,'Controle diario'!$A:$A,VLOOKUP('Resumo mensal de despesas caixa'!G$3,'Base das contas'!$E$2:$F$12,2,0),'Controle diario'!$D:$D,'Resumo mensal de despesas caixa'!$C43)</f>
        <v>0</v>
      </c>
      <c r="H43" s="171">
        <f>SUMIFS('Controle diario'!$G:$G,'Controle diario'!$A:$A,VLOOKUP('Resumo mensal de despesas caixa'!H$3,'Base das contas'!$E$2:$F$12,2,0),'Controle diario'!$D:$D,'Resumo mensal de despesas caixa'!$C43)</f>
        <v>0</v>
      </c>
      <c r="I43" s="171">
        <f>SUMIFS('Controle diario'!$G:$G,'Controle diario'!$A:$A,VLOOKUP('Resumo mensal de despesas caixa'!I$3,'Base das contas'!$E$2:$F$12,2,0),'Controle diario'!$D:$D,'Resumo mensal de despesas caixa'!$C43)</f>
        <v>0</v>
      </c>
      <c r="J43" s="171">
        <f>SUMIFS('Controle diario'!$G:$G,'Controle diario'!$A:$A,VLOOKUP('Resumo mensal de despesas caixa'!J$3,'Base das contas'!$E$2:$F$12,2,0),'Controle diario'!$D:$D,'Resumo mensal de despesas caixa'!$C43)</f>
        <v>0</v>
      </c>
      <c r="K43" s="171">
        <f>SUMIFS('Controle diario'!$G:$G,'Controle diario'!$A:$A,VLOOKUP('Resumo mensal de despesas caixa'!K$3,'Base das contas'!$E$2:$F$12,2,0),'Controle diario'!$D:$D,'Resumo mensal de despesas caixa'!$C43)</f>
        <v>0</v>
      </c>
      <c r="L43" s="171">
        <f>SUMIFS('Controle diario'!$G:$G,'Controle diario'!$A:$A,VLOOKUP('Resumo mensal de despesas caixa'!L$3,'Base das contas'!$E$2:$F$12,2,0),'Controle diario'!$D:$D,'Resumo mensal de despesas caixa'!$C43)</f>
        <v>0</v>
      </c>
      <c r="M43" s="171">
        <f>SUMIFS('Controle diario'!$G:$G,'Controle diario'!$A:$A,VLOOKUP('Resumo mensal de despesas caixa'!M$3,'Base das contas'!$E$2:$F$12,2,0),'Controle diario'!$D:$D,'Resumo mensal de despesas caixa'!$C43)</f>
        <v>0</v>
      </c>
      <c r="N43" s="171">
        <f>SUMIFS('Controle diario'!$G:$G,'Controle diario'!$A:$A,VLOOKUP('Resumo mensal de despesas caixa'!N$3,'Base das contas'!$E$2:$F$12,2,0),'Controle diario'!$D:$D,'Resumo mensal de despesas caixa'!$C43)</f>
        <v>0</v>
      </c>
      <c r="O43" s="171">
        <f>SUMIFS('Controle diario'!$G:$G,'Controle diario'!$A:$A,VLOOKUP('Resumo mensal de despesas caixa'!O$3,'Base das contas'!$E$2:$F$12,2,0),'Controle diario'!$D:$D,'Resumo mensal de despesas caixa'!$C43)</f>
        <v>0</v>
      </c>
    </row>
    <row r="44" spans="1:15" x14ac:dyDescent="0.25">
      <c r="A44" s="118">
        <v>30</v>
      </c>
      <c r="B44" s="165" t="s">
        <v>203</v>
      </c>
      <c r="C44" s="162" t="str">
        <f t="shared" si="2"/>
        <v>30 - SEGURO EMPRESTIMO</v>
      </c>
      <c r="D44" s="171">
        <f>SUMIFS('Controle diario'!$G:$G,'Controle diario'!$A:$A,VLOOKUP('Resumo mensal de despesas caixa'!D$3,'Base das contas'!$E$2:$F$12,2,0),'Controle diario'!$D:$D,'Resumo mensal de despesas caixa'!$C44)</f>
        <v>0</v>
      </c>
      <c r="E44" s="171">
        <f>SUMIFS('Controle diario'!$G:$G,'Controle diario'!$A:$A,VLOOKUP('Resumo mensal de despesas caixa'!$E$3,'Base das contas'!$E$2:$F$12,2,0),'Controle diario'!$D:$D,'Resumo mensal de despesas caixa'!$C44)</f>
        <v>0</v>
      </c>
      <c r="F44" s="171">
        <f>SUMIFS('Controle diario'!$G:$G,'Controle diario'!$A:$A,VLOOKUP('Resumo mensal de despesas caixa'!F$3,'Base das contas'!$E$2:$F$12,2,0),'Controle diario'!$D:$D,'Resumo mensal de despesas caixa'!$C44)</f>
        <v>0</v>
      </c>
      <c r="G44" s="171">
        <f>SUMIFS('Controle diario'!$G:$G,'Controle diario'!$A:$A,VLOOKUP('Resumo mensal de despesas caixa'!G$3,'Base das contas'!$E$2:$F$12,2,0),'Controle diario'!$D:$D,'Resumo mensal de despesas caixa'!$C44)</f>
        <v>0</v>
      </c>
      <c r="H44" s="171">
        <f>SUMIFS('Controle diario'!$G:$G,'Controle diario'!$A:$A,VLOOKUP('Resumo mensal de despesas caixa'!H$3,'Base das contas'!$E$2:$F$12,2,0),'Controle diario'!$D:$D,'Resumo mensal de despesas caixa'!$C44)</f>
        <v>0</v>
      </c>
      <c r="I44" s="171">
        <f>SUMIFS('Controle diario'!$G:$G,'Controle diario'!$A:$A,VLOOKUP('Resumo mensal de despesas caixa'!I$3,'Base das contas'!$E$2:$F$12,2,0),'Controle diario'!$D:$D,'Resumo mensal de despesas caixa'!$C44)</f>
        <v>0</v>
      </c>
      <c r="J44" s="171">
        <f>SUMIFS('Controle diario'!$G:$G,'Controle diario'!$A:$A,VLOOKUP('Resumo mensal de despesas caixa'!J$3,'Base das contas'!$E$2:$F$12,2,0),'Controle diario'!$D:$D,'Resumo mensal de despesas caixa'!$C44)</f>
        <v>0</v>
      </c>
      <c r="K44" s="171">
        <f>SUMIFS('Controle diario'!$G:$G,'Controle diario'!$A:$A,VLOOKUP('Resumo mensal de despesas caixa'!K$3,'Base das contas'!$E$2:$F$12,2,0),'Controle diario'!$D:$D,'Resumo mensal de despesas caixa'!$C44)</f>
        <v>0</v>
      </c>
      <c r="L44" s="171">
        <f>SUMIFS('Controle diario'!$G:$G,'Controle diario'!$A:$A,VLOOKUP('Resumo mensal de despesas caixa'!L$3,'Base das contas'!$E$2:$F$12,2,0),'Controle diario'!$D:$D,'Resumo mensal de despesas caixa'!$C44)</f>
        <v>0</v>
      </c>
      <c r="M44" s="171">
        <f>SUMIFS('Controle diario'!$G:$G,'Controle diario'!$A:$A,VLOOKUP('Resumo mensal de despesas caixa'!M$3,'Base das contas'!$E$2:$F$12,2,0),'Controle diario'!$D:$D,'Resumo mensal de despesas caixa'!$C44)</f>
        <v>0</v>
      </c>
      <c r="N44" s="171">
        <f>SUMIFS('Controle diario'!$G:$G,'Controle diario'!$A:$A,VLOOKUP('Resumo mensal de despesas caixa'!N$3,'Base das contas'!$E$2:$F$12,2,0),'Controle diario'!$D:$D,'Resumo mensal de despesas caixa'!$C44)</f>
        <v>0</v>
      </c>
      <c r="O44" s="171">
        <f>SUMIFS('Controle diario'!$G:$G,'Controle diario'!$A:$A,VLOOKUP('Resumo mensal de despesas caixa'!O$3,'Base das contas'!$E$2:$F$12,2,0),'Controle diario'!$D:$D,'Resumo mensal de despesas caixa'!$C44)</f>
        <v>0</v>
      </c>
    </row>
    <row r="45" spans="1:15" x14ac:dyDescent="0.25">
      <c r="A45" s="118">
        <v>31</v>
      </c>
      <c r="B45" s="72" t="s">
        <v>208</v>
      </c>
      <c r="C45" s="162" t="str">
        <f t="shared" si="2"/>
        <v>31 - AJUDAS FINANCEIRAS</v>
      </c>
      <c r="D45" s="171">
        <f>SUMIFS('Controle diario'!$G:$G,'Controle diario'!$A:$A,VLOOKUP('Resumo mensal de despesas caixa'!D$3,'Base das contas'!$E$2:$F$12,2,0),'Controle diario'!$D:$D,'Resumo mensal de despesas caixa'!$C45)</f>
        <v>0</v>
      </c>
      <c r="E45" s="171">
        <f>SUMIFS('Controle diario'!$G:$G,'Controle diario'!$A:$A,VLOOKUP('Resumo mensal de despesas caixa'!$E$3,'Base das contas'!$E$2:$F$12,2,0),'Controle diario'!$D:$D,'Resumo mensal de despesas caixa'!$C45)</f>
        <v>0</v>
      </c>
      <c r="F45" s="171">
        <f>SUMIFS('Controle diario'!$G:$G,'Controle diario'!$A:$A,VLOOKUP('Resumo mensal de despesas caixa'!F$3,'Base das contas'!$E$2:$F$12,2,0),'Controle diario'!$D:$D,'Resumo mensal de despesas caixa'!$C45)</f>
        <v>0</v>
      </c>
      <c r="G45" s="171">
        <f>SUMIFS('Controle diario'!$G:$G,'Controle diario'!$A:$A,VLOOKUP('Resumo mensal de despesas caixa'!G$3,'Base das contas'!$E$2:$F$12,2,0),'Controle diario'!$D:$D,'Resumo mensal de despesas caixa'!$C45)</f>
        <v>0</v>
      </c>
      <c r="H45" s="171">
        <f>SUMIFS('Controle diario'!$G:$G,'Controle diario'!$A:$A,VLOOKUP('Resumo mensal de despesas caixa'!H$3,'Base das contas'!$E$2:$F$12,2,0),'Controle diario'!$D:$D,'Resumo mensal de despesas caixa'!$C45)</f>
        <v>0</v>
      </c>
      <c r="I45" s="171">
        <f>SUMIFS('Controle diario'!$G:$G,'Controle diario'!$A:$A,VLOOKUP('Resumo mensal de despesas caixa'!I$3,'Base das contas'!$E$2:$F$12,2,0),'Controle diario'!$D:$D,'Resumo mensal de despesas caixa'!$C45)</f>
        <v>0</v>
      </c>
      <c r="J45" s="171">
        <f>SUMIFS('Controle diario'!$G:$G,'Controle diario'!$A:$A,VLOOKUP('Resumo mensal de despesas caixa'!J$3,'Base das contas'!$E$2:$F$12,2,0),'Controle diario'!$D:$D,'Resumo mensal de despesas caixa'!$C45)</f>
        <v>0</v>
      </c>
      <c r="K45" s="171">
        <f>SUMIFS('Controle diario'!$G:$G,'Controle diario'!$A:$A,VLOOKUP('Resumo mensal de despesas caixa'!K$3,'Base das contas'!$E$2:$F$12,2,0),'Controle diario'!$D:$D,'Resumo mensal de despesas caixa'!$C45)</f>
        <v>0</v>
      </c>
      <c r="L45" s="171">
        <f>SUMIFS('Controle diario'!$G:$G,'Controle diario'!$A:$A,VLOOKUP('Resumo mensal de despesas caixa'!L$3,'Base das contas'!$E$2:$F$12,2,0),'Controle diario'!$D:$D,'Resumo mensal de despesas caixa'!$C45)</f>
        <v>0</v>
      </c>
      <c r="M45" s="171">
        <f>SUMIFS('Controle diario'!$G:$G,'Controle diario'!$A:$A,VLOOKUP('Resumo mensal de despesas caixa'!M$3,'Base das contas'!$E$2:$F$12,2,0),'Controle diario'!$D:$D,'Resumo mensal de despesas caixa'!$C45)</f>
        <v>0</v>
      </c>
      <c r="N45" s="171">
        <f>SUMIFS('Controle diario'!$G:$G,'Controle diario'!$A:$A,VLOOKUP('Resumo mensal de despesas caixa'!N$3,'Base das contas'!$E$2:$F$12,2,0),'Controle diario'!$D:$D,'Resumo mensal de despesas caixa'!$C45)</f>
        <v>0</v>
      </c>
      <c r="O45" s="171">
        <f>SUMIFS('Controle diario'!$G:$G,'Controle diario'!$A:$A,VLOOKUP('Resumo mensal de despesas caixa'!O$3,'Base das contas'!$E$2:$F$12,2,0),'Controle diario'!$D:$D,'Resumo mensal de despesas caixa'!$C45)</f>
        <v>0</v>
      </c>
    </row>
    <row r="46" spans="1:15" x14ac:dyDescent="0.25">
      <c r="A46" s="118">
        <v>32</v>
      </c>
      <c r="B46" s="167" t="s">
        <v>210</v>
      </c>
      <c r="C46" s="162" t="str">
        <f t="shared" si="2"/>
        <v>32 - ALIMENTACAO</v>
      </c>
      <c r="D46" s="171">
        <f>SUMIFS('Controle diario'!$G:$G,'Controle diario'!$A:$A,VLOOKUP('Resumo mensal de despesas caixa'!D$3,'Base das contas'!$E$2:$F$12,2,0),'Controle diario'!$D:$D,'Resumo mensal de despesas caixa'!$C46)</f>
        <v>0</v>
      </c>
      <c r="E46" s="171">
        <f>SUMIFS('Controle diario'!$G:$G,'Controle diario'!$A:$A,VLOOKUP('Resumo mensal de despesas caixa'!$E$3,'Base das contas'!$E$2:$F$12,2,0),'Controle diario'!$D:$D,'Resumo mensal de despesas caixa'!$C46)</f>
        <v>0</v>
      </c>
      <c r="F46" s="171">
        <f>SUMIFS('Controle diario'!$G:$G,'Controle diario'!$A:$A,VLOOKUP('Resumo mensal de despesas caixa'!F$3,'Base das contas'!$E$2:$F$12,2,0),'Controle diario'!$D:$D,'Resumo mensal de despesas caixa'!$C46)</f>
        <v>0</v>
      </c>
      <c r="G46" s="171">
        <f>SUMIFS('Controle diario'!$G:$G,'Controle diario'!$A:$A,VLOOKUP('Resumo mensal de despesas caixa'!G$3,'Base das contas'!$E$2:$F$12,2,0),'Controle diario'!$D:$D,'Resumo mensal de despesas caixa'!$C46)</f>
        <v>0</v>
      </c>
      <c r="H46" s="171">
        <f>SUMIFS('Controle diario'!$G:$G,'Controle diario'!$A:$A,VLOOKUP('Resumo mensal de despesas caixa'!H$3,'Base das contas'!$E$2:$F$12,2,0),'Controle diario'!$D:$D,'Resumo mensal de despesas caixa'!$C46)</f>
        <v>0</v>
      </c>
      <c r="I46" s="171">
        <f>SUMIFS('Controle diario'!$G:$G,'Controle diario'!$A:$A,VLOOKUP('Resumo mensal de despesas caixa'!I$3,'Base das contas'!$E$2:$F$12,2,0),'Controle diario'!$D:$D,'Resumo mensal de despesas caixa'!$C46)</f>
        <v>0</v>
      </c>
      <c r="J46" s="171">
        <f>SUMIFS('Controle diario'!$G:$G,'Controle diario'!$A:$A,VLOOKUP('Resumo mensal de despesas caixa'!J$3,'Base das contas'!$E$2:$F$12,2,0),'Controle diario'!$D:$D,'Resumo mensal de despesas caixa'!$C46)</f>
        <v>0</v>
      </c>
      <c r="K46" s="171">
        <f>SUMIFS('Controle diario'!$G:$G,'Controle diario'!$A:$A,VLOOKUP('Resumo mensal de despesas caixa'!K$3,'Base das contas'!$E$2:$F$12,2,0),'Controle diario'!$D:$D,'Resumo mensal de despesas caixa'!$C46)</f>
        <v>0</v>
      </c>
      <c r="L46" s="171">
        <f>SUMIFS('Controle diario'!$G:$G,'Controle diario'!$A:$A,VLOOKUP('Resumo mensal de despesas caixa'!L$3,'Base das contas'!$E$2:$F$12,2,0),'Controle diario'!$D:$D,'Resumo mensal de despesas caixa'!$C46)</f>
        <v>0</v>
      </c>
      <c r="M46" s="171">
        <f>SUMIFS('Controle diario'!$G:$G,'Controle diario'!$A:$A,VLOOKUP('Resumo mensal de despesas caixa'!M$3,'Base das contas'!$E$2:$F$12,2,0),'Controle diario'!$D:$D,'Resumo mensal de despesas caixa'!$C46)</f>
        <v>0</v>
      </c>
      <c r="N46" s="171">
        <f>SUMIFS('Controle diario'!$G:$G,'Controle diario'!$A:$A,VLOOKUP('Resumo mensal de despesas caixa'!N$3,'Base das contas'!$E$2:$F$12,2,0),'Controle diario'!$D:$D,'Resumo mensal de despesas caixa'!$C46)</f>
        <v>0</v>
      </c>
      <c r="O46" s="171">
        <f>SUMIFS('Controle diario'!$G:$G,'Controle diario'!$A:$A,VLOOKUP('Resumo mensal de despesas caixa'!O$3,'Base das contas'!$E$2:$F$12,2,0),'Controle diario'!$D:$D,'Resumo mensal de despesas caixa'!$C46)</f>
        <v>0</v>
      </c>
    </row>
    <row r="47" spans="1:15" x14ac:dyDescent="0.25">
      <c r="A47" s="118">
        <v>33</v>
      </c>
      <c r="B47" s="167" t="s">
        <v>213</v>
      </c>
      <c r="C47" s="162" t="str">
        <f t="shared" si="2"/>
        <v>33 - SALAO</v>
      </c>
      <c r="D47" s="171">
        <f>SUMIFS('Controle diario'!$G:$G,'Controle diario'!$A:$A,VLOOKUP('Resumo mensal de despesas caixa'!D$3,'Base das contas'!$E$2:$F$12,2,0),'Controle diario'!$D:$D,'Resumo mensal de despesas caixa'!$C47)</f>
        <v>0</v>
      </c>
      <c r="E47" s="171">
        <f>SUMIFS('Controle diario'!$G:$G,'Controle diario'!$A:$A,VLOOKUP('Resumo mensal de despesas caixa'!$E$3,'Base das contas'!$E$2:$F$12,2,0),'Controle diario'!$D:$D,'Resumo mensal de despesas caixa'!$C47)</f>
        <v>0</v>
      </c>
      <c r="F47" s="171">
        <f>SUMIFS('Controle diario'!$G:$G,'Controle diario'!$A:$A,VLOOKUP('Resumo mensal de despesas caixa'!F$3,'Base das contas'!$E$2:$F$12,2,0),'Controle diario'!$D:$D,'Resumo mensal de despesas caixa'!$C47)</f>
        <v>0</v>
      </c>
      <c r="G47" s="171">
        <f>SUMIFS('Controle diario'!$G:$G,'Controle diario'!$A:$A,VLOOKUP('Resumo mensal de despesas caixa'!G$3,'Base das contas'!$E$2:$F$12,2,0),'Controle diario'!$D:$D,'Resumo mensal de despesas caixa'!$C47)</f>
        <v>0</v>
      </c>
      <c r="H47" s="171">
        <f>SUMIFS('Controle diario'!$G:$G,'Controle diario'!$A:$A,VLOOKUP('Resumo mensal de despesas caixa'!H$3,'Base das contas'!$E$2:$F$12,2,0),'Controle diario'!$D:$D,'Resumo mensal de despesas caixa'!$C47)</f>
        <v>0</v>
      </c>
      <c r="I47" s="171">
        <f>SUMIFS('Controle diario'!$G:$G,'Controle diario'!$A:$A,VLOOKUP('Resumo mensal de despesas caixa'!I$3,'Base das contas'!$E$2:$F$12,2,0),'Controle diario'!$D:$D,'Resumo mensal de despesas caixa'!$C47)</f>
        <v>0</v>
      </c>
      <c r="J47" s="171">
        <f>SUMIFS('Controle diario'!$G:$G,'Controle diario'!$A:$A,VLOOKUP('Resumo mensal de despesas caixa'!J$3,'Base das contas'!$E$2:$F$12,2,0),'Controle diario'!$D:$D,'Resumo mensal de despesas caixa'!$C47)</f>
        <v>0</v>
      </c>
      <c r="K47" s="171">
        <f>SUMIFS('Controle diario'!$G:$G,'Controle diario'!$A:$A,VLOOKUP('Resumo mensal de despesas caixa'!K$3,'Base das contas'!$E$2:$F$12,2,0),'Controle diario'!$D:$D,'Resumo mensal de despesas caixa'!$C47)</f>
        <v>0</v>
      </c>
      <c r="L47" s="171">
        <f>SUMIFS('Controle diario'!$G:$G,'Controle diario'!$A:$A,VLOOKUP('Resumo mensal de despesas caixa'!L$3,'Base das contas'!$E$2:$F$12,2,0),'Controle diario'!$D:$D,'Resumo mensal de despesas caixa'!$C47)</f>
        <v>0</v>
      </c>
      <c r="M47" s="171">
        <f>SUMIFS('Controle diario'!$G:$G,'Controle diario'!$A:$A,VLOOKUP('Resumo mensal de despesas caixa'!M$3,'Base das contas'!$E$2:$F$12,2,0),'Controle diario'!$D:$D,'Resumo mensal de despesas caixa'!$C47)</f>
        <v>0</v>
      </c>
      <c r="N47" s="171">
        <f>SUMIFS('Controle diario'!$G:$G,'Controle diario'!$A:$A,VLOOKUP('Resumo mensal de despesas caixa'!N$3,'Base das contas'!$E$2:$F$12,2,0),'Controle diario'!$D:$D,'Resumo mensal de despesas caixa'!$C47)</f>
        <v>0</v>
      </c>
      <c r="O47" s="171">
        <f>SUMIFS('Controle diario'!$G:$G,'Controle diario'!$A:$A,VLOOKUP('Resumo mensal de despesas caixa'!O$3,'Base das contas'!$E$2:$F$12,2,0),'Controle diario'!$D:$D,'Resumo mensal de despesas caixa'!$C47)</f>
        <v>0</v>
      </c>
    </row>
    <row r="48" spans="1:15" x14ac:dyDescent="0.25">
      <c r="A48" s="118">
        <v>34</v>
      </c>
      <c r="B48" s="167" t="s">
        <v>211</v>
      </c>
      <c r="C48" s="162" t="str">
        <f t="shared" si="2"/>
        <v>34 - MANUTENCAO CARRO</v>
      </c>
      <c r="D48" s="171">
        <f>SUMIFS('Controle diario'!$G:$G,'Controle diario'!$A:$A,VLOOKUP('Resumo mensal de despesas caixa'!D$3,'Base das contas'!$E$2:$F$12,2,0),'Controle diario'!$D:$D,'Resumo mensal de despesas caixa'!$C48)</f>
        <v>0</v>
      </c>
      <c r="E48" s="171">
        <f>SUMIFS('Controle diario'!$G:$G,'Controle diario'!$A:$A,VLOOKUP('Resumo mensal de despesas caixa'!$E$3,'Base das contas'!$E$2:$F$12,2,0),'Controle diario'!$D:$D,'Resumo mensal de despesas caixa'!$C48)</f>
        <v>0</v>
      </c>
      <c r="F48" s="171">
        <f>SUMIFS('Controle diario'!$G:$G,'Controle diario'!$A:$A,VLOOKUP('Resumo mensal de despesas caixa'!F$3,'Base das contas'!$E$2:$F$12,2,0),'Controle diario'!$D:$D,'Resumo mensal de despesas caixa'!$C48)</f>
        <v>0</v>
      </c>
      <c r="G48" s="171">
        <f>SUMIFS('Controle diario'!$G:$G,'Controle diario'!$A:$A,VLOOKUP('Resumo mensal de despesas caixa'!G$3,'Base das contas'!$E$2:$F$12,2,0),'Controle diario'!$D:$D,'Resumo mensal de despesas caixa'!$C48)</f>
        <v>0</v>
      </c>
      <c r="H48" s="171">
        <f>SUMIFS('Controle diario'!$G:$G,'Controle diario'!$A:$A,VLOOKUP('Resumo mensal de despesas caixa'!H$3,'Base das contas'!$E$2:$F$12,2,0),'Controle diario'!$D:$D,'Resumo mensal de despesas caixa'!$C48)</f>
        <v>0</v>
      </c>
      <c r="I48" s="171">
        <f>SUMIFS('Controle diario'!$G:$G,'Controle diario'!$A:$A,VLOOKUP('Resumo mensal de despesas caixa'!I$3,'Base das contas'!$E$2:$F$12,2,0),'Controle diario'!$D:$D,'Resumo mensal de despesas caixa'!$C48)</f>
        <v>0</v>
      </c>
      <c r="J48" s="171">
        <f>SUMIFS('Controle diario'!$G:$G,'Controle diario'!$A:$A,VLOOKUP('Resumo mensal de despesas caixa'!J$3,'Base das contas'!$E$2:$F$12,2,0),'Controle diario'!$D:$D,'Resumo mensal de despesas caixa'!$C48)</f>
        <v>0</v>
      </c>
      <c r="K48" s="171">
        <f>SUMIFS('Controle diario'!$G:$G,'Controle diario'!$A:$A,VLOOKUP('Resumo mensal de despesas caixa'!K$3,'Base das contas'!$E$2:$F$12,2,0),'Controle diario'!$D:$D,'Resumo mensal de despesas caixa'!$C48)</f>
        <v>0</v>
      </c>
      <c r="L48" s="171">
        <f>SUMIFS('Controle diario'!$G:$G,'Controle diario'!$A:$A,VLOOKUP('Resumo mensal de despesas caixa'!L$3,'Base das contas'!$E$2:$F$12,2,0),'Controle diario'!$D:$D,'Resumo mensal de despesas caixa'!$C48)</f>
        <v>0</v>
      </c>
      <c r="M48" s="171">
        <f>SUMIFS('Controle diario'!$G:$G,'Controle diario'!$A:$A,VLOOKUP('Resumo mensal de despesas caixa'!M$3,'Base das contas'!$E$2:$F$12,2,0),'Controle diario'!$D:$D,'Resumo mensal de despesas caixa'!$C48)</f>
        <v>0</v>
      </c>
      <c r="N48" s="171">
        <f>SUMIFS('Controle diario'!$G:$G,'Controle diario'!$A:$A,VLOOKUP('Resumo mensal de despesas caixa'!N$3,'Base das contas'!$E$2:$F$12,2,0),'Controle diario'!$D:$D,'Resumo mensal de despesas caixa'!$C48)</f>
        <v>0</v>
      </c>
      <c r="O48" s="171">
        <f>SUMIFS('Controle diario'!$G:$G,'Controle diario'!$A:$A,VLOOKUP('Resumo mensal de despesas caixa'!O$3,'Base das contas'!$E$2:$F$12,2,0),'Controle diario'!$D:$D,'Resumo mensal de despesas caixa'!$C48)</f>
        <v>0</v>
      </c>
    </row>
    <row r="49" spans="1:15" x14ac:dyDescent="0.25">
      <c r="A49" s="118">
        <v>35</v>
      </c>
      <c r="B49" s="167" t="s">
        <v>212</v>
      </c>
      <c r="C49" s="162" t="str">
        <f t="shared" si="2"/>
        <v>35 - GASOLINA VIAGEM</v>
      </c>
      <c r="D49" s="171">
        <f>SUMIFS('Controle diario'!$G:$G,'Controle diario'!$A:$A,VLOOKUP('Resumo mensal de despesas caixa'!D$3,'Base das contas'!$E$2:$F$12,2,0),'Controle diario'!$D:$D,'Resumo mensal de despesas caixa'!$C49)</f>
        <v>0</v>
      </c>
      <c r="E49" s="171">
        <f>SUMIFS('Controle diario'!$G:$G,'Controle diario'!$A:$A,VLOOKUP('Resumo mensal de despesas caixa'!$E$3,'Base das contas'!$E$2:$F$12,2,0),'Controle diario'!$D:$D,'Resumo mensal de despesas caixa'!$C49)</f>
        <v>0</v>
      </c>
      <c r="F49" s="171">
        <f>SUMIFS('Controle diario'!$G:$G,'Controle diario'!$A:$A,VLOOKUP('Resumo mensal de despesas caixa'!F$3,'Base das contas'!$E$2:$F$12,2,0),'Controle diario'!$D:$D,'Resumo mensal de despesas caixa'!$C49)</f>
        <v>0</v>
      </c>
      <c r="G49" s="171">
        <f>SUMIFS('Controle diario'!$G:$G,'Controle diario'!$A:$A,VLOOKUP('Resumo mensal de despesas caixa'!G$3,'Base das contas'!$E$2:$F$12,2,0),'Controle diario'!$D:$D,'Resumo mensal de despesas caixa'!$C49)</f>
        <v>0</v>
      </c>
      <c r="H49" s="171">
        <f>SUMIFS('Controle diario'!$G:$G,'Controle diario'!$A:$A,VLOOKUP('Resumo mensal de despesas caixa'!H$3,'Base das contas'!$E$2:$F$12,2,0),'Controle diario'!$D:$D,'Resumo mensal de despesas caixa'!$C49)</f>
        <v>0</v>
      </c>
      <c r="I49" s="171">
        <f>SUMIFS('Controle diario'!$G:$G,'Controle diario'!$A:$A,VLOOKUP('Resumo mensal de despesas caixa'!I$3,'Base das contas'!$E$2:$F$12,2,0),'Controle diario'!$D:$D,'Resumo mensal de despesas caixa'!$C49)</f>
        <v>0</v>
      </c>
      <c r="J49" s="171">
        <f>SUMIFS('Controle diario'!$G:$G,'Controle diario'!$A:$A,VLOOKUP('Resumo mensal de despesas caixa'!J$3,'Base das contas'!$E$2:$F$12,2,0),'Controle diario'!$D:$D,'Resumo mensal de despesas caixa'!$C49)</f>
        <v>0</v>
      </c>
      <c r="K49" s="171">
        <f>SUMIFS('Controle diario'!$G:$G,'Controle diario'!$A:$A,VLOOKUP('Resumo mensal de despesas caixa'!K$3,'Base das contas'!$E$2:$F$12,2,0),'Controle diario'!$D:$D,'Resumo mensal de despesas caixa'!$C49)</f>
        <v>0</v>
      </c>
      <c r="L49" s="171">
        <f>SUMIFS('Controle diario'!$G:$G,'Controle diario'!$A:$A,VLOOKUP('Resumo mensal de despesas caixa'!L$3,'Base das contas'!$E$2:$F$12,2,0),'Controle diario'!$D:$D,'Resumo mensal de despesas caixa'!$C49)</f>
        <v>0</v>
      </c>
      <c r="M49" s="171">
        <f>SUMIFS('Controle diario'!$G:$G,'Controle diario'!$A:$A,VLOOKUP('Resumo mensal de despesas caixa'!M$3,'Base das contas'!$E$2:$F$12,2,0),'Controle diario'!$D:$D,'Resumo mensal de despesas caixa'!$C49)</f>
        <v>0</v>
      </c>
      <c r="N49" s="171">
        <f>SUMIFS('Controle diario'!$G:$G,'Controle diario'!$A:$A,VLOOKUP('Resumo mensal de despesas caixa'!N$3,'Base das contas'!$E$2:$F$12,2,0),'Controle diario'!$D:$D,'Resumo mensal de despesas caixa'!$C49)</f>
        <v>0</v>
      </c>
      <c r="O49" s="171">
        <f>SUMIFS('Controle diario'!$G:$G,'Controle diario'!$A:$A,VLOOKUP('Resumo mensal de despesas caixa'!O$3,'Base das contas'!$E$2:$F$12,2,0),'Controle diario'!$D:$D,'Resumo mensal de despesas caixa'!$C49)</f>
        <v>0</v>
      </c>
    </row>
    <row r="50" spans="1:15" x14ac:dyDescent="0.25">
      <c r="A50" s="118">
        <v>36</v>
      </c>
      <c r="B50" s="167" t="s">
        <v>214</v>
      </c>
      <c r="C50" s="162" t="str">
        <f t="shared" si="2"/>
        <v>36 - LAZER</v>
      </c>
      <c r="D50" s="171">
        <f>SUMIFS('Controle diario'!$G:$G,'Controle diario'!$A:$A,VLOOKUP('Resumo mensal de despesas caixa'!D$3,'Base das contas'!$E$2:$F$12,2,0),'Controle diario'!$D:$D,'Resumo mensal de despesas caixa'!$C50)</f>
        <v>0</v>
      </c>
      <c r="E50" s="171">
        <f>SUMIFS('Controle diario'!$G:$G,'Controle diario'!$A:$A,VLOOKUP('Resumo mensal de despesas caixa'!$E$3,'Base das contas'!$E$2:$F$12,2,0),'Controle diario'!$D:$D,'Resumo mensal de despesas caixa'!$C50)</f>
        <v>0</v>
      </c>
      <c r="F50" s="171">
        <f>SUMIFS('Controle diario'!$G:$G,'Controle diario'!$A:$A,VLOOKUP('Resumo mensal de despesas caixa'!F$3,'Base das contas'!$E$2:$F$12,2,0),'Controle diario'!$D:$D,'Resumo mensal de despesas caixa'!$C50)</f>
        <v>0</v>
      </c>
      <c r="G50" s="171">
        <f>SUMIFS('Controle diario'!$G:$G,'Controle diario'!$A:$A,VLOOKUP('Resumo mensal de despesas caixa'!G$3,'Base das contas'!$E$2:$F$12,2,0),'Controle diario'!$D:$D,'Resumo mensal de despesas caixa'!$C50)</f>
        <v>0</v>
      </c>
      <c r="H50" s="171">
        <f>SUMIFS('Controle diario'!$G:$G,'Controle diario'!$A:$A,VLOOKUP('Resumo mensal de despesas caixa'!H$3,'Base das contas'!$E$2:$F$12,2,0),'Controle diario'!$D:$D,'Resumo mensal de despesas caixa'!$C50)</f>
        <v>0</v>
      </c>
      <c r="I50" s="171">
        <f>SUMIFS('Controle diario'!$G:$G,'Controle diario'!$A:$A,VLOOKUP('Resumo mensal de despesas caixa'!I$3,'Base das contas'!$E$2:$F$12,2,0),'Controle diario'!$D:$D,'Resumo mensal de despesas caixa'!$C50)</f>
        <v>0</v>
      </c>
      <c r="J50" s="171">
        <f>SUMIFS('Controle diario'!$G:$G,'Controle diario'!$A:$A,VLOOKUP('Resumo mensal de despesas caixa'!J$3,'Base das contas'!$E$2:$F$12,2,0),'Controle diario'!$D:$D,'Resumo mensal de despesas caixa'!$C50)</f>
        <v>0</v>
      </c>
      <c r="K50" s="171">
        <f>SUMIFS('Controle diario'!$G:$G,'Controle diario'!$A:$A,VLOOKUP('Resumo mensal de despesas caixa'!K$3,'Base das contas'!$E$2:$F$12,2,0),'Controle diario'!$D:$D,'Resumo mensal de despesas caixa'!$C50)</f>
        <v>0</v>
      </c>
      <c r="L50" s="171">
        <f>SUMIFS('Controle diario'!$G:$G,'Controle diario'!$A:$A,VLOOKUP('Resumo mensal de despesas caixa'!L$3,'Base das contas'!$E$2:$F$12,2,0),'Controle diario'!$D:$D,'Resumo mensal de despesas caixa'!$C50)</f>
        <v>0</v>
      </c>
      <c r="M50" s="171">
        <f>SUMIFS('Controle diario'!$G:$G,'Controle diario'!$A:$A,VLOOKUP('Resumo mensal de despesas caixa'!M$3,'Base das contas'!$E$2:$F$12,2,0),'Controle diario'!$D:$D,'Resumo mensal de despesas caixa'!$C50)</f>
        <v>0</v>
      </c>
      <c r="N50" s="171">
        <f>SUMIFS('Controle diario'!$G:$G,'Controle diario'!$A:$A,VLOOKUP('Resumo mensal de despesas caixa'!N$3,'Base das contas'!$E$2:$F$12,2,0),'Controle diario'!$D:$D,'Resumo mensal de despesas caixa'!$C50)</f>
        <v>0</v>
      </c>
      <c r="O50" s="171">
        <f>SUMIFS('Controle diario'!$G:$G,'Controle diario'!$A:$A,VLOOKUP('Resumo mensal de despesas caixa'!O$3,'Base das contas'!$E$2:$F$12,2,0),'Controle diario'!$D:$D,'Resumo mensal de despesas caixa'!$C50)</f>
        <v>0</v>
      </c>
    </row>
    <row r="51" spans="1:15" x14ac:dyDescent="0.25">
      <c r="A51" s="118">
        <v>37</v>
      </c>
      <c r="B51" s="167" t="s">
        <v>215</v>
      </c>
      <c r="C51" s="162" t="str">
        <f t="shared" si="2"/>
        <v>37 - LOJAS</v>
      </c>
      <c r="D51" s="171">
        <f>SUMIFS('Controle diario'!$G:$G,'Controle diario'!$A:$A,VLOOKUP('Resumo mensal de despesas caixa'!D$3,'Base das contas'!$E$2:$F$12,2,0),'Controle diario'!$D:$D,'Resumo mensal de despesas caixa'!$C51)</f>
        <v>0</v>
      </c>
      <c r="E51" s="171">
        <f>SUMIFS('Controle diario'!$G:$G,'Controle diario'!$A:$A,VLOOKUP('Resumo mensal de despesas caixa'!$E$3,'Base das contas'!$E$2:$F$12,2,0),'Controle diario'!$D:$D,'Resumo mensal de despesas caixa'!$C51)</f>
        <v>0</v>
      </c>
      <c r="F51" s="171">
        <f>SUMIFS('Controle diario'!$G:$G,'Controle diario'!$A:$A,VLOOKUP('Resumo mensal de despesas caixa'!F$3,'Base das contas'!$E$2:$F$12,2,0),'Controle diario'!$D:$D,'Resumo mensal de despesas caixa'!$C51)</f>
        <v>0</v>
      </c>
      <c r="G51" s="171">
        <f>SUMIFS('Controle diario'!$G:$G,'Controle diario'!$A:$A,VLOOKUP('Resumo mensal de despesas caixa'!G$3,'Base das contas'!$E$2:$F$12,2,0),'Controle diario'!$D:$D,'Resumo mensal de despesas caixa'!$C51)</f>
        <v>0</v>
      </c>
      <c r="H51" s="171">
        <f>SUMIFS('Controle diario'!$G:$G,'Controle diario'!$A:$A,VLOOKUP('Resumo mensal de despesas caixa'!H$3,'Base das contas'!$E$2:$F$12,2,0),'Controle diario'!$D:$D,'Resumo mensal de despesas caixa'!$C51)</f>
        <v>0</v>
      </c>
      <c r="I51" s="171">
        <f>SUMIFS('Controle diario'!$G:$G,'Controle diario'!$A:$A,VLOOKUP('Resumo mensal de despesas caixa'!I$3,'Base das contas'!$E$2:$F$12,2,0),'Controle diario'!$D:$D,'Resumo mensal de despesas caixa'!$C51)</f>
        <v>0</v>
      </c>
      <c r="J51" s="171">
        <f>SUMIFS('Controle diario'!$G:$G,'Controle diario'!$A:$A,VLOOKUP('Resumo mensal de despesas caixa'!J$3,'Base das contas'!$E$2:$F$12,2,0),'Controle diario'!$D:$D,'Resumo mensal de despesas caixa'!$C51)</f>
        <v>0</v>
      </c>
      <c r="K51" s="171">
        <f>SUMIFS('Controle diario'!$G:$G,'Controle diario'!$A:$A,VLOOKUP('Resumo mensal de despesas caixa'!K$3,'Base das contas'!$E$2:$F$12,2,0),'Controle diario'!$D:$D,'Resumo mensal de despesas caixa'!$C51)</f>
        <v>0</v>
      </c>
      <c r="L51" s="171">
        <f>SUMIFS('Controle diario'!$G:$G,'Controle diario'!$A:$A,VLOOKUP('Resumo mensal de despesas caixa'!L$3,'Base das contas'!$E$2:$F$12,2,0),'Controle diario'!$D:$D,'Resumo mensal de despesas caixa'!$C51)</f>
        <v>0</v>
      </c>
      <c r="M51" s="171">
        <f>SUMIFS('Controle diario'!$G:$G,'Controle diario'!$A:$A,VLOOKUP('Resumo mensal de despesas caixa'!M$3,'Base das contas'!$E$2:$F$12,2,0),'Controle diario'!$D:$D,'Resumo mensal de despesas caixa'!$C51)</f>
        <v>0</v>
      </c>
      <c r="N51" s="171">
        <f>SUMIFS('Controle diario'!$G:$G,'Controle diario'!$A:$A,VLOOKUP('Resumo mensal de despesas caixa'!N$3,'Base das contas'!$E$2:$F$12,2,0),'Controle diario'!$D:$D,'Resumo mensal de despesas caixa'!$C51)</f>
        <v>0</v>
      </c>
      <c r="O51" s="171">
        <f>SUMIFS('Controle diario'!$G:$G,'Controle diario'!$A:$A,VLOOKUP('Resumo mensal de despesas caixa'!O$3,'Base das contas'!$E$2:$F$12,2,0),'Controle diario'!$D:$D,'Resumo mensal de despesas caixa'!$C51)</f>
        <v>0</v>
      </c>
    </row>
    <row r="52" spans="1:15" x14ac:dyDescent="0.25">
      <c r="A52" s="180"/>
      <c r="B52" s="181" t="s">
        <v>266</v>
      </c>
      <c r="C52" s="178" t="s">
        <v>268</v>
      </c>
      <c r="D52" s="179">
        <f t="shared" ref="D52:O52" si="3">SUM(D15:D51)</f>
        <v>0</v>
      </c>
      <c r="E52" s="179">
        <f t="shared" si="3"/>
        <v>0</v>
      </c>
      <c r="F52" s="179">
        <f t="shared" si="3"/>
        <v>0</v>
      </c>
      <c r="G52" s="179">
        <f t="shared" si="3"/>
        <v>0</v>
      </c>
      <c r="H52" s="179">
        <f t="shared" si="3"/>
        <v>0</v>
      </c>
      <c r="I52" s="179">
        <f t="shared" si="3"/>
        <v>0</v>
      </c>
      <c r="J52" s="179">
        <f t="shared" si="3"/>
        <v>0</v>
      </c>
      <c r="K52" s="179">
        <f t="shared" si="3"/>
        <v>0</v>
      </c>
      <c r="L52" s="179">
        <f t="shared" si="3"/>
        <v>0</v>
      </c>
      <c r="M52" s="179">
        <f t="shared" si="3"/>
        <v>0</v>
      </c>
      <c r="N52" s="179">
        <f t="shared" si="3"/>
        <v>0</v>
      </c>
      <c r="O52" s="179">
        <f t="shared" si="3"/>
        <v>0</v>
      </c>
    </row>
    <row r="53" spans="1:15" ht="15.75" x14ac:dyDescent="0.25">
      <c r="A53" s="180"/>
      <c r="B53" s="180"/>
      <c r="C53" s="182" t="s">
        <v>175</v>
      </c>
      <c r="D53" s="183">
        <f t="shared" ref="D53:O53" si="4">D11-D52</f>
        <v>0</v>
      </c>
      <c r="E53" s="183">
        <f t="shared" si="4"/>
        <v>7959.4</v>
      </c>
      <c r="F53" s="183">
        <f t="shared" si="4"/>
        <v>0</v>
      </c>
      <c r="G53" s="183">
        <f t="shared" si="4"/>
        <v>0</v>
      </c>
      <c r="H53" s="183">
        <f t="shared" si="4"/>
        <v>0</v>
      </c>
      <c r="I53" s="183">
        <f t="shared" si="4"/>
        <v>0</v>
      </c>
      <c r="J53" s="183">
        <f t="shared" si="4"/>
        <v>0</v>
      </c>
      <c r="K53" s="183">
        <f t="shared" si="4"/>
        <v>0</v>
      </c>
      <c r="L53" s="183">
        <f t="shared" si="4"/>
        <v>0</v>
      </c>
      <c r="M53" s="183">
        <f t="shared" si="4"/>
        <v>0</v>
      </c>
      <c r="N53" s="183">
        <f t="shared" si="4"/>
        <v>0</v>
      </c>
      <c r="O53" s="183">
        <f t="shared" si="4"/>
        <v>0</v>
      </c>
    </row>
  </sheetData>
  <mergeCells count="3">
    <mergeCell ref="B1:O1"/>
    <mergeCell ref="B2:O2"/>
    <mergeCell ref="B13:O13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/>
  <dimension ref="A1:M37"/>
  <sheetViews>
    <sheetView topLeftCell="A3" workbookViewId="0">
      <selection activeCell="C21" sqref="C21"/>
    </sheetView>
  </sheetViews>
  <sheetFormatPr defaultRowHeight="15" x14ac:dyDescent="0.25"/>
  <cols>
    <col min="1" max="1" width="32.7109375" style="4" bestFit="1" customWidth="1"/>
    <col min="2" max="13" width="13.140625" style="4" customWidth="1"/>
    <col min="14" max="16384" width="9.140625" style="4"/>
  </cols>
  <sheetData>
    <row r="1" spans="1:13" ht="26.25" customHeight="1" thickBot="1" x14ac:dyDescent="0.3">
      <c r="A1" s="223" t="s">
        <v>33</v>
      </c>
      <c r="B1" s="224"/>
      <c r="C1" s="224"/>
      <c r="D1" s="224"/>
      <c r="E1" s="224"/>
      <c r="F1" s="224"/>
      <c r="G1" s="224"/>
      <c r="H1" s="224"/>
      <c r="I1" s="224"/>
      <c r="J1" s="224"/>
      <c r="K1" s="224"/>
      <c r="L1" s="224"/>
      <c r="M1" s="225"/>
    </row>
    <row r="2" spans="1:13" s="51" customFormat="1" ht="15" customHeight="1" x14ac:dyDescent="0.25">
      <c r="A2" s="48"/>
      <c r="B2" s="49" t="s">
        <v>31</v>
      </c>
      <c r="C2" s="49" t="s">
        <v>32</v>
      </c>
      <c r="D2" s="49" t="s">
        <v>31</v>
      </c>
      <c r="E2" s="49" t="s">
        <v>32</v>
      </c>
      <c r="F2" s="49" t="s">
        <v>31</v>
      </c>
      <c r="G2" s="49" t="s">
        <v>32</v>
      </c>
      <c r="H2" s="49" t="s">
        <v>31</v>
      </c>
      <c r="I2" s="49" t="s">
        <v>32</v>
      </c>
      <c r="J2" s="49" t="s">
        <v>31</v>
      </c>
      <c r="K2" s="49" t="s">
        <v>32</v>
      </c>
      <c r="L2" s="49" t="s">
        <v>31</v>
      </c>
      <c r="M2" s="50" t="s">
        <v>32</v>
      </c>
    </row>
    <row r="3" spans="1:13" ht="15" customHeight="1" thickBot="1" x14ac:dyDescent="0.3">
      <c r="A3" s="1"/>
      <c r="B3" s="2">
        <v>7</v>
      </c>
      <c r="C3" s="2">
        <v>7</v>
      </c>
      <c r="D3" s="2">
        <v>8</v>
      </c>
      <c r="E3" s="2">
        <v>8</v>
      </c>
      <c r="F3" s="2">
        <v>9</v>
      </c>
      <c r="G3" s="2">
        <v>9</v>
      </c>
      <c r="H3" s="2">
        <v>10</v>
      </c>
      <c r="I3" s="2">
        <v>10</v>
      </c>
      <c r="J3" s="2">
        <v>11</v>
      </c>
      <c r="K3" s="2">
        <v>11</v>
      </c>
      <c r="L3" s="2">
        <v>12</v>
      </c>
      <c r="M3" s="3">
        <v>12</v>
      </c>
    </row>
    <row r="4" spans="1:13" x14ac:dyDescent="0.25">
      <c r="A4" s="10" t="s">
        <v>0</v>
      </c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2"/>
    </row>
    <row r="5" spans="1:13" s="8" customFormat="1" x14ac:dyDescent="0.25">
      <c r="A5" s="45" t="s">
        <v>20</v>
      </c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8"/>
    </row>
    <row r="6" spans="1:13" s="8" customFormat="1" x14ac:dyDescent="0.25">
      <c r="A6" s="45" t="s">
        <v>36</v>
      </c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8"/>
    </row>
    <row r="7" spans="1:13" s="8" customFormat="1" ht="15.75" thickBot="1" x14ac:dyDescent="0.3">
      <c r="A7" s="47" t="s">
        <v>21</v>
      </c>
      <c r="B7" s="29"/>
      <c r="C7" s="29"/>
      <c r="D7" s="29"/>
      <c r="E7" s="29"/>
      <c r="F7" s="29"/>
      <c r="G7" s="29"/>
      <c r="H7" s="29"/>
      <c r="I7" s="29"/>
      <c r="J7" s="29"/>
      <c r="K7" s="29"/>
      <c r="L7" s="29"/>
      <c r="M7" s="30"/>
    </row>
    <row r="8" spans="1:13" ht="15.75" thickBot="1" x14ac:dyDescent="0.3">
      <c r="A8" s="5" t="s">
        <v>22</v>
      </c>
      <c r="B8" s="13">
        <f>SUM(B5:B7)</f>
        <v>0</v>
      </c>
      <c r="C8" s="13">
        <f t="shared" ref="C8:M8" si="0">SUM(C5:C7)</f>
        <v>0</v>
      </c>
      <c r="D8" s="13">
        <f t="shared" si="0"/>
        <v>0</v>
      </c>
      <c r="E8" s="13">
        <f t="shared" si="0"/>
        <v>0</v>
      </c>
      <c r="F8" s="13">
        <f t="shared" si="0"/>
        <v>0</v>
      </c>
      <c r="G8" s="13">
        <f t="shared" si="0"/>
        <v>0</v>
      </c>
      <c r="H8" s="13">
        <f t="shared" si="0"/>
        <v>0</v>
      </c>
      <c r="I8" s="13">
        <f t="shared" si="0"/>
        <v>0</v>
      </c>
      <c r="J8" s="13">
        <f t="shared" si="0"/>
        <v>0</v>
      </c>
      <c r="K8" s="13">
        <f t="shared" si="0"/>
        <v>0</v>
      </c>
      <c r="L8" s="13">
        <f t="shared" si="0"/>
        <v>0</v>
      </c>
      <c r="M8" s="13">
        <f t="shared" si="0"/>
        <v>0</v>
      </c>
    </row>
    <row r="9" spans="1:13" s="7" customFormat="1" x14ac:dyDescent="0.25">
      <c r="A9" s="42" t="s">
        <v>23</v>
      </c>
      <c r="B9" s="52"/>
      <c r="C9" s="52"/>
      <c r="D9" s="52"/>
      <c r="E9" s="52"/>
      <c r="F9" s="52"/>
      <c r="G9" s="52"/>
      <c r="H9" s="52"/>
      <c r="I9" s="52"/>
      <c r="J9" s="52"/>
      <c r="K9" s="52"/>
      <c r="L9" s="52"/>
      <c r="M9" s="53"/>
    </row>
    <row r="10" spans="1:13" s="8" customFormat="1" x14ac:dyDescent="0.25">
      <c r="A10" s="45" t="s">
        <v>1</v>
      </c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8"/>
    </row>
    <row r="11" spans="1:13" s="8" customFormat="1" x14ac:dyDescent="0.25">
      <c r="A11" s="45" t="s">
        <v>2</v>
      </c>
      <c r="B11" s="27"/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8"/>
    </row>
    <row r="12" spans="1:13" s="8" customFormat="1" x14ac:dyDescent="0.25">
      <c r="A12" s="45" t="s">
        <v>3</v>
      </c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8"/>
    </row>
    <row r="13" spans="1:13" s="8" customFormat="1" x14ac:dyDescent="0.25">
      <c r="A13" s="45" t="s">
        <v>4</v>
      </c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8"/>
    </row>
    <row r="14" spans="1:13" s="8" customFormat="1" x14ac:dyDescent="0.25">
      <c r="A14" s="45" t="s">
        <v>24</v>
      </c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8"/>
    </row>
    <row r="15" spans="1:13" s="8" customFormat="1" x14ac:dyDescent="0.25">
      <c r="A15" s="45" t="s">
        <v>5</v>
      </c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8"/>
    </row>
    <row r="16" spans="1:13" s="8" customFormat="1" x14ac:dyDescent="0.25">
      <c r="A16" s="45" t="s">
        <v>6</v>
      </c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8"/>
    </row>
    <row r="17" spans="1:13" s="8" customFormat="1" x14ac:dyDescent="0.25">
      <c r="A17" s="45" t="s">
        <v>7</v>
      </c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8"/>
    </row>
    <row r="18" spans="1:13" s="8" customFormat="1" x14ac:dyDescent="0.25">
      <c r="A18" s="45" t="s">
        <v>8</v>
      </c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8"/>
    </row>
    <row r="19" spans="1:13" s="8" customFormat="1" x14ac:dyDescent="0.25">
      <c r="A19" s="45" t="s">
        <v>9</v>
      </c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8"/>
    </row>
    <row r="20" spans="1:13" s="8" customFormat="1" x14ac:dyDescent="0.25">
      <c r="A20" s="45" t="s">
        <v>10</v>
      </c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8"/>
    </row>
    <row r="21" spans="1:13" s="8" customFormat="1" x14ac:dyDescent="0.25">
      <c r="A21" s="45" t="s">
        <v>11</v>
      </c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</row>
    <row r="22" spans="1:13" s="8" customFormat="1" x14ac:dyDescent="0.25">
      <c r="A22" s="45" t="s">
        <v>12</v>
      </c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8"/>
    </row>
    <row r="23" spans="1:13" s="8" customFormat="1" x14ac:dyDescent="0.25">
      <c r="A23" s="45" t="s">
        <v>13</v>
      </c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8"/>
    </row>
    <row r="24" spans="1:13" s="8" customFormat="1" x14ac:dyDescent="0.25">
      <c r="A24" s="45" t="s">
        <v>14</v>
      </c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8"/>
    </row>
    <row r="25" spans="1:13" s="8" customFormat="1" x14ac:dyDescent="0.25">
      <c r="A25" s="45" t="s">
        <v>15</v>
      </c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8"/>
    </row>
    <row r="26" spans="1:13" s="8" customFormat="1" x14ac:dyDescent="0.25">
      <c r="A26" s="45" t="s">
        <v>16</v>
      </c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8"/>
    </row>
    <row r="27" spans="1:13" s="8" customFormat="1" x14ac:dyDescent="0.25">
      <c r="A27" s="45" t="s">
        <v>17</v>
      </c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8"/>
    </row>
    <row r="28" spans="1:13" s="8" customFormat="1" x14ac:dyDescent="0.25">
      <c r="A28" s="45" t="s">
        <v>18</v>
      </c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8"/>
    </row>
    <row r="29" spans="1:13" s="8" customFormat="1" x14ac:dyDescent="0.25">
      <c r="A29" s="45" t="s">
        <v>19</v>
      </c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8"/>
    </row>
    <row r="30" spans="1:13" s="8" customFormat="1" x14ac:dyDescent="0.25">
      <c r="A30" s="46" t="s">
        <v>25</v>
      </c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3"/>
    </row>
    <row r="31" spans="1:13" s="8" customFormat="1" ht="15.75" thickBot="1" x14ac:dyDescent="0.3">
      <c r="A31" s="45" t="s">
        <v>35</v>
      </c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8"/>
    </row>
    <row r="32" spans="1:13" ht="15.75" thickBot="1" x14ac:dyDescent="0.3">
      <c r="A32" s="5" t="s">
        <v>26</v>
      </c>
      <c r="B32" s="31">
        <f t="shared" ref="B32:M32" si="1">SUM(B10:B31)</f>
        <v>0</v>
      </c>
      <c r="C32" s="31">
        <f t="shared" si="1"/>
        <v>0</v>
      </c>
      <c r="D32" s="31">
        <f t="shared" si="1"/>
        <v>0</v>
      </c>
      <c r="E32" s="31">
        <f t="shared" si="1"/>
        <v>0</v>
      </c>
      <c r="F32" s="31">
        <f t="shared" si="1"/>
        <v>0</v>
      </c>
      <c r="G32" s="31">
        <f t="shared" si="1"/>
        <v>0</v>
      </c>
      <c r="H32" s="31">
        <f t="shared" si="1"/>
        <v>0</v>
      </c>
      <c r="I32" s="31">
        <f t="shared" si="1"/>
        <v>0</v>
      </c>
      <c r="J32" s="31">
        <f t="shared" si="1"/>
        <v>0</v>
      </c>
      <c r="K32" s="31">
        <f t="shared" si="1"/>
        <v>0</v>
      </c>
      <c r="L32" s="31">
        <f t="shared" si="1"/>
        <v>0</v>
      </c>
      <c r="M32" s="34">
        <f t="shared" si="1"/>
        <v>0</v>
      </c>
    </row>
    <row r="33" spans="1:13" ht="15.75" thickBot="1" x14ac:dyDescent="0.3">
      <c r="A33" s="5" t="s">
        <v>27</v>
      </c>
      <c r="B33" s="31">
        <f t="shared" ref="B33:M33" si="2">B8-B32</f>
        <v>0</v>
      </c>
      <c r="C33" s="31">
        <f t="shared" si="2"/>
        <v>0</v>
      </c>
      <c r="D33" s="31">
        <f t="shared" si="2"/>
        <v>0</v>
      </c>
      <c r="E33" s="31">
        <f t="shared" si="2"/>
        <v>0</v>
      </c>
      <c r="F33" s="31">
        <f t="shared" si="2"/>
        <v>0</v>
      </c>
      <c r="G33" s="31">
        <f t="shared" si="2"/>
        <v>0</v>
      </c>
      <c r="H33" s="31">
        <f t="shared" si="2"/>
        <v>0</v>
      </c>
      <c r="I33" s="31">
        <f t="shared" si="2"/>
        <v>0</v>
      </c>
      <c r="J33" s="31">
        <f t="shared" si="2"/>
        <v>0</v>
      </c>
      <c r="K33" s="31">
        <f t="shared" si="2"/>
        <v>0</v>
      </c>
      <c r="L33" s="31">
        <f t="shared" si="2"/>
        <v>0</v>
      </c>
      <c r="M33" s="34">
        <f t="shared" si="2"/>
        <v>0</v>
      </c>
    </row>
    <row r="34" spans="1:13" ht="15.75" thickBot="1" x14ac:dyDescent="0.3">
      <c r="A34" s="5" t="s">
        <v>28</v>
      </c>
      <c r="B34" s="35">
        <f>'Fluxo de caixa 1 semestre'!L37</f>
        <v>17705.23</v>
      </c>
      <c r="C34" s="35">
        <f>'Fluxo de caixa 1 semestre'!M37</f>
        <v>0</v>
      </c>
      <c r="D34" s="36">
        <f t="shared" ref="D34:M34" si="3">B37</f>
        <v>17705.23</v>
      </c>
      <c r="E34" s="36">
        <f t="shared" si="3"/>
        <v>0</v>
      </c>
      <c r="F34" s="36">
        <f t="shared" si="3"/>
        <v>17705.23</v>
      </c>
      <c r="G34" s="36">
        <f t="shared" si="3"/>
        <v>0</v>
      </c>
      <c r="H34" s="36">
        <f t="shared" si="3"/>
        <v>17705.23</v>
      </c>
      <c r="I34" s="36">
        <f t="shared" si="3"/>
        <v>0</v>
      </c>
      <c r="J34" s="36">
        <f t="shared" si="3"/>
        <v>17705.23</v>
      </c>
      <c r="K34" s="36">
        <f t="shared" si="3"/>
        <v>0</v>
      </c>
      <c r="L34" s="36">
        <f t="shared" si="3"/>
        <v>17705.23</v>
      </c>
      <c r="M34" s="37">
        <f t="shared" si="3"/>
        <v>0</v>
      </c>
    </row>
    <row r="35" spans="1:13" ht="15.75" thickBot="1" x14ac:dyDescent="0.3">
      <c r="A35" s="5" t="s">
        <v>34</v>
      </c>
      <c r="B35" s="31">
        <f>B33+B34</f>
        <v>17705.23</v>
      </c>
      <c r="C35" s="31">
        <f t="shared" ref="C35:M35" si="4">C33+C34</f>
        <v>0</v>
      </c>
      <c r="D35" s="31">
        <f t="shared" si="4"/>
        <v>17705.23</v>
      </c>
      <c r="E35" s="31">
        <f t="shared" si="4"/>
        <v>0</v>
      </c>
      <c r="F35" s="31">
        <f t="shared" si="4"/>
        <v>17705.23</v>
      </c>
      <c r="G35" s="31">
        <f t="shared" si="4"/>
        <v>0</v>
      </c>
      <c r="H35" s="31">
        <f t="shared" si="4"/>
        <v>17705.23</v>
      </c>
      <c r="I35" s="31">
        <f t="shared" si="4"/>
        <v>0</v>
      </c>
      <c r="J35" s="31">
        <f t="shared" si="4"/>
        <v>17705.23</v>
      </c>
      <c r="K35" s="31">
        <f t="shared" si="4"/>
        <v>0</v>
      </c>
      <c r="L35" s="31">
        <f t="shared" si="4"/>
        <v>17705.23</v>
      </c>
      <c r="M35" s="34">
        <f t="shared" si="4"/>
        <v>0</v>
      </c>
    </row>
    <row r="36" spans="1:13" s="8" customFormat="1" ht="15.75" thickBot="1" x14ac:dyDescent="0.3">
      <c r="A36" s="9" t="s">
        <v>29</v>
      </c>
      <c r="B36" s="38"/>
      <c r="C36" s="38"/>
      <c r="D36" s="38"/>
      <c r="E36" s="38"/>
      <c r="F36" s="38"/>
      <c r="G36" s="38"/>
      <c r="H36" s="38"/>
      <c r="I36" s="38"/>
      <c r="J36" s="38"/>
      <c r="K36" s="38"/>
      <c r="L36" s="38"/>
      <c r="M36" s="39"/>
    </row>
    <row r="37" spans="1:13" ht="15.75" thickBot="1" x14ac:dyDescent="0.3">
      <c r="A37" s="6" t="s">
        <v>30</v>
      </c>
      <c r="B37" s="40">
        <f>B35+B36</f>
        <v>17705.23</v>
      </c>
      <c r="C37" s="40">
        <f t="shared" ref="C37:M37" si="5">C35+C36</f>
        <v>0</v>
      </c>
      <c r="D37" s="40">
        <f t="shared" si="5"/>
        <v>17705.23</v>
      </c>
      <c r="E37" s="40">
        <f t="shared" si="5"/>
        <v>0</v>
      </c>
      <c r="F37" s="40">
        <f t="shared" si="5"/>
        <v>17705.23</v>
      </c>
      <c r="G37" s="40">
        <f t="shared" si="5"/>
        <v>0</v>
      </c>
      <c r="H37" s="40">
        <f t="shared" si="5"/>
        <v>17705.23</v>
      </c>
      <c r="I37" s="40">
        <f t="shared" si="5"/>
        <v>0</v>
      </c>
      <c r="J37" s="40">
        <f t="shared" si="5"/>
        <v>17705.23</v>
      </c>
      <c r="K37" s="40">
        <f t="shared" si="5"/>
        <v>0</v>
      </c>
      <c r="L37" s="40">
        <f t="shared" si="5"/>
        <v>17705.23</v>
      </c>
      <c r="M37" s="41">
        <f t="shared" si="5"/>
        <v>0</v>
      </c>
    </row>
  </sheetData>
  <sheetProtection formatCells="0" formatColumns="0" formatRows="0" deleteColumns="0" deleteRows="0" selectLockedCells="1" sort="0"/>
  <mergeCells count="1">
    <mergeCell ref="A1:M1"/>
  </mergeCells>
  <conditionalFormatting sqref="B37:M37 B35:M35 B33:M33">
    <cfRule type="cellIs" dxfId="0" priority="1" operator="lessThan">
      <formula>0</formula>
    </cfRule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4"/>
  <sheetViews>
    <sheetView tabSelected="1" topLeftCell="A38" workbookViewId="0">
      <selection activeCell="F48" sqref="F48"/>
    </sheetView>
  </sheetViews>
  <sheetFormatPr defaultRowHeight="15" outlineLevelRow="2" x14ac:dyDescent="0.25"/>
  <cols>
    <col min="1" max="1" width="4.7109375" style="55" customWidth="1"/>
    <col min="2" max="2" width="26.85546875" style="90" customWidth="1"/>
    <col min="3" max="3" width="7.85546875" style="55" customWidth="1"/>
    <col min="4" max="4" width="7.5703125" style="220" customWidth="1"/>
    <col min="5" max="5" width="7.42578125" style="55" customWidth="1"/>
    <col min="6" max="6" width="14.42578125" style="86" customWidth="1"/>
    <col min="7" max="7" width="13.140625" customWidth="1"/>
    <col min="8" max="8" width="1.42578125" customWidth="1"/>
    <col min="9" max="9" width="23.85546875" bestFit="1" customWidth="1"/>
    <col min="10" max="10" width="21.85546875" customWidth="1"/>
    <col min="11" max="11" width="22.140625" bestFit="1" customWidth="1"/>
    <col min="12" max="12" width="13.42578125" bestFit="1" customWidth="1"/>
  </cols>
  <sheetData>
    <row r="1" spans="1:10" ht="21" customHeight="1" x14ac:dyDescent="0.25">
      <c r="A1" s="233" t="s">
        <v>153</v>
      </c>
      <c r="B1" s="233"/>
      <c r="C1" s="233"/>
      <c r="D1" s="233"/>
      <c r="E1" s="233"/>
      <c r="F1" s="233"/>
      <c r="G1" s="233"/>
      <c r="H1" s="113"/>
      <c r="I1" s="231" t="s">
        <v>156</v>
      </c>
      <c r="J1" s="232"/>
    </row>
    <row r="2" spans="1:10" ht="23.25" customHeight="1" x14ac:dyDescent="0.25">
      <c r="A2" s="91" t="s">
        <v>38</v>
      </c>
      <c r="B2" s="91" t="s">
        <v>52</v>
      </c>
      <c r="C2" s="92" t="s">
        <v>107</v>
      </c>
      <c r="D2" s="209" t="s">
        <v>108</v>
      </c>
      <c r="E2" s="93" t="s">
        <v>109</v>
      </c>
      <c r="F2" s="94" t="s">
        <v>110</v>
      </c>
      <c r="G2" s="95" t="s">
        <v>76</v>
      </c>
      <c r="I2" s="109" t="s">
        <v>157</v>
      </c>
      <c r="J2" s="110">
        <v>1500</v>
      </c>
    </row>
    <row r="3" spans="1:10" outlineLevel="1" x14ac:dyDescent="0.25">
      <c r="A3" s="56"/>
      <c r="B3" s="87" t="s">
        <v>101</v>
      </c>
      <c r="C3" s="68"/>
      <c r="D3" s="210"/>
      <c r="E3" s="73">
        <v>-260</v>
      </c>
      <c r="F3" s="84"/>
      <c r="G3" s="57"/>
      <c r="I3" s="77"/>
      <c r="J3" s="110"/>
    </row>
    <row r="4" spans="1:10" outlineLevel="1" x14ac:dyDescent="0.25">
      <c r="A4" s="56">
        <v>3</v>
      </c>
      <c r="B4" s="87" t="s">
        <v>111</v>
      </c>
      <c r="C4" s="73"/>
      <c r="D4" s="211">
        <v>1.29</v>
      </c>
      <c r="E4" s="73">
        <f>E3+C4-D4</f>
        <v>-261.29000000000002</v>
      </c>
      <c r="F4" s="84" t="s">
        <v>128</v>
      </c>
      <c r="G4" s="57"/>
      <c r="I4" s="109" t="s">
        <v>158</v>
      </c>
      <c r="J4" s="110"/>
    </row>
    <row r="5" spans="1:10" outlineLevel="1" x14ac:dyDescent="0.25">
      <c r="A5" s="56">
        <v>3</v>
      </c>
      <c r="B5" s="87" t="s">
        <v>111</v>
      </c>
      <c r="C5" s="73" t="s">
        <v>275</v>
      </c>
      <c r="D5" s="211">
        <v>11.17</v>
      </c>
      <c r="E5" s="73" t="s">
        <v>173</v>
      </c>
      <c r="F5" s="84">
        <v>350000</v>
      </c>
      <c r="G5" s="185"/>
      <c r="I5" s="77" t="s">
        <v>159</v>
      </c>
      <c r="J5" s="110">
        <v>22500</v>
      </c>
    </row>
    <row r="6" spans="1:10" outlineLevel="1" x14ac:dyDescent="0.25">
      <c r="A6" s="56">
        <v>4</v>
      </c>
      <c r="B6" s="87" t="s">
        <v>115</v>
      </c>
      <c r="C6" s="73"/>
      <c r="D6" s="211">
        <v>0.38</v>
      </c>
      <c r="E6" s="73" t="e">
        <f t="shared" ref="E6:E59" si="0">E5+C6-D6</f>
        <v>#VALUE!</v>
      </c>
      <c r="F6" s="84" t="s">
        <v>128</v>
      </c>
      <c r="G6" s="186"/>
      <c r="I6" s="77" t="s">
        <v>160</v>
      </c>
      <c r="J6" s="110">
        <v>25000</v>
      </c>
    </row>
    <row r="7" spans="1:10" outlineLevel="1" x14ac:dyDescent="0.25">
      <c r="A7" s="56">
        <v>4</v>
      </c>
      <c r="B7" s="87" t="s">
        <v>105</v>
      </c>
      <c r="C7" s="73" t="s">
        <v>271</v>
      </c>
      <c r="D7" s="211"/>
      <c r="E7" s="73" t="e">
        <f t="shared" si="0"/>
        <v>#VALUE!</v>
      </c>
      <c r="F7" s="84">
        <v>40000</v>
      </c>
      <c r="G7" s="191"/>
      <c r="I7" s="77" t="s">
        <v>161</v>
      </c>
      <c r="J7" s="110">
        <v>1400</v>
      </c>
    </row>
    <row r="8" spans="1:10" outlineLevel="1" x14ac:dyDescent="0.25">
      <c r="A8" s="56">
        <v>4</v>
      </c>
      <c r="B8" s="87" t="s">
        <v>129</v>
      </c>
      <c r="C8" s="73"/>
      <c r="D8" s="211">
        <v>102</v>
      </c>
      <c r="E8" s="73" t="e">
        <f t="shared" si="0"/>
        <v>#VALUE!</v>
      </c>
      <c r="F8" s="84" t="s">
        <v>122</v>
      </c>
      <c r="G8" s="191"/>
      <c r="I8" s="77"/>
      <c r="J8" s="110"/>
    </row>
    <row r="9" spans="1:10" ht="24" customHeight="1" outlineLevel="1" x14ac:dyDescent="0.25">
      <c r="A9" s="56">
        <v>4</v>
      </c>
      <c r="B9" s="87" t="s">
        <v>112</v>
      </c>
      <c r="C9" s="73"/>
      <c r="D9" s="211">
        <v>50</v>
      </c>
      <c r="E9" s="73" t="e">
        <f t="shared" si="0"/>
        <v>#VALUE!</v>
      </c>
      <c r="F9" s="85" t="s">
        <v>130</v>
      </c>
      <c r="G9" s="197"/>
      <c r="I9" s="109" t="s">
        <v>162</v>
      </c>
      <c r="J9" s="110"/>
    </row>
    <row r="10" spans="1:10" outlineLevel="1" x14ac:dyDescent="0.25">
      <c r="A10" s="56">
        <v>4</v>
      </c>
      <c r="B10" s="87" t="s">
        <v>105</v>
      </c>
      <c r="C10" s="73">
        <v>220</v>
      </c>
      <c r="D10" s="211"/>
      <c r="E10" s="73" t="e">
        <f t="shared" si="0"/>
        <v>#VALUE!</v>
      </c>
      <c r="F10" s="84" t="s">
        <v>105</v>
      </c>
      <c r="G10" s="197"/>
      <c r="H10" t="s">
        <v>274</v>
      </c>
      <c r="I10" s="77" t="s">
        <v>163</v>
      </c>
      <c r="J10" s="110">
        <v>-2000</v>
      </c>
    </row>
    <row r="11" spans="1:10" outlineLevel="1" x14ac:dyDescent="0.25">
      <c r="A11" s="56">
        <v>5</v>
      </c>
      <c r="B11" s="87" t="s">
        <v>118</v>
      </c>
      <c r="C11" s="73"/>
      <c r="D11" s="211">
        <v>109.99</v>
      </c>
      <c r="E11" s="73" t="e">
        <f t="shared" si="0"/>
        <v>#VALUE!</v>
      </c>
      <c r="F11" s="84" t="s">
        <v>122</v>
      </c>
      <c r="G11" s="199"/>
      <c r="I11" s="77" t="s">
        <v>164</v>
      </c>
      <c r="J11" s="110">
        <v>-1980</v>
      </c>
    </row>
    <row r="12" spans="1:10" outlineLevel="1" x14ac:dyDescent="0.25">
      <c r="A12" s="56">
        <v>6</v>
      </c>
      <c r="B12" s="87" t="s">
        <v>105</v>
      </c>
      <c r="C12" s="73">
        <v>420</v>
      </c>
      <c r="D12" s="211"/>
      <c r="E12" s="73" t="e">
        <f t="shared" si="0"/>
        <v>#VALUE!</v>
      </c>
      <c r="F12" s="84" t="s">
        <v>105</v>
      </c>
      <c r="G12" s="199"/>
      <c r="I12" s="77" t="s">
        <v>165</v>
      </c>
      <c r="J12" s="110">
        <v>-1000</v>
      </c>
    </row>
    <row r="13" spans="1:10" outlineLevel="1" x14ac:dyDescent="0.25">
      <c r="A13" s="56">
        <v>6</v>
      </c>
      <c r="B13" s="87" t="s">
        <v>113</v>
      </c>
      <c r="C13" s="73">
        <v>39.130000000000003</v>
      </c>
      <c r="D13" s="211"/>
      <c r="E13" s="73" t="e">
        <f t="shared" si="0"/>
        <v>#VALUE!</v>
      </c>
      <c r="F13" s="84" t="s">
        <v>131</v>
      </c>
      <c r="G13" s="199"/>
      <c r="I13" s="77" t="s">
        <v>166</v>
      </c>
      <c r="J13" s="110">
        <v>-950</v>
      </c>
    </row>
    <row r="14" spans="1:10" ht="18" customHeight="1" outlineLevel="1" x14ac:dyDescent="0.25">
      <c r="A14" s="56">
        <v>6</v>
      </c>
      <c r="B14" s="88" t="s">
        <v>114</v>
      </c>
      <c r="C14" s="73"/>
      <c r="D14" s="211">
        <v>833.68</v>
      </c>
      <c r="E14" s="73" t="s">
        <v>272</v>
      </c>
      <c r="F14" s="84" t="s">
        <v>122</v>
      </c>
      <c r="G14" s="190"/>
      <c r="I14" s="77" t="s">
        <v>1</v>
      </c>
      <c r="J14" s="110">
        <v>-1000</v>
      </c>
    </row>
    <row r="15" spans="1:10" outlineLevel="1" x14ac:dyDescent="0.25">
      <c r="A15" s="56">
        <v>7</v>
      </c>
      <c r="B15" s="87" t="s">
        <v>105</v>
      </c>
      <c r="C15" s="56">
        <v>420</v>
      </c>
      <c r="D15" s="211"/>
      <c r="E15" s="73" t="s">
        <v>273</v>
      </c>
      <c r="F15" s="84">
        <v>5000</v>
      </c>
      <c r="G15" s="190"/>
      <c r="I15" s="77" t="s">
        <v>167</v>
      </c>
      <c r="J15" s="110">
        <v>-1500</v>
      </c>
    </row>
    <row r="16" spans="1:10" outlineLevel="1" x14ac:dyDescent="0.25">
      <c r="A16" s="56">
        <v>7</v>
      </c>
      <c r="B16" s="87" t="s">
        <v>103</v>
      </c>
      <c r="C16" s="73">
        <v>5439.4</v>
      </c>
      <c r="D16" s="211"/>
      <c r="E16" s="73" t="s">
        <v>172</v>
      </c>
      <c r="F16" s="84">
        <v>5000</v>
      </c>
      <c r="G16" s="204"/>
      <c r="I16" s="111" t="s">
        <v>160</v>
      </c>
      <c r="J16" s="110">
        <v>-5000</v>
      </c>
    </row>
    <row r="17" spans="1:14" outlineLevel="1" x14ac:dyDescent="0.25">
      <c r="A17" s="56">
        <v>7</v>
      </c>
      <c r="B17" s="87" t="s">
        <v>90</v>
      </c>
      <c r="C17" s="73"/>
      <c r="D17" s="211">
        <v>100</v>
      </c>
      <c r="E17" s="73" t="s">
        <v>167</v>
      </c>
      <c r="F17" s="84">
        <v>15000</v>
      </c>
      <c r="G17" s="205"/>
      <c r="I17" s="111" t="s">
        <v>168</v>
      </c>
      <c r="J17" s="110">
        <v>-1300</v>
      </c>
    </row>
    <row r="18" spans="1:14" outlineLevel="1" x14ac:dyDescent="0.25">
      <c r="A18" s="56">
        <v>7</v>
      </c>
      <c r="B18" s="87" t="s">
        <v>87</v>
      </c>
      <c r="C18" s="73"/>
      <c r="D18" s="211">
        <v>30</v>
      </c>
      <c r="E18" s="73" t="e">
        <f t="shared" si="0"/>
        <v>#VALUE!</v>
      </c>
      <c r="F18" s="84" t="s">
        <v>122</v>
      </c>
      <c r="G18" s="205"/>
      <c r="I18" s="77" t="s">
        <v>170</v>
      </c>
      <c r="J18" s="77"/>
    </row>
    <row r="19" spans="1:14" outlineLevel="1" x14ac:dyDescent="0.25">
      <c r="A19" s="56">
        <v>7</v>
      </c>
      <c r="B19" s="87" t="s">
        <v>86</v>
      </c>
      <c r="C19" s="73"/>
      <c r="D19" s="211">
        <v>100</v>
      </c>
      <c r="E19" s="73" t="e">
        <f t="shared" si="0"/>
        <v>#VALUE!</v>
      </c>
      <c r="F19" s="84" t="s">
        <v>122</v>
      </c>
      <c r="G19" s="56"/>
      <c r="I19" s="109" t="s">
        <v>169</v>
      </c>
      <c r="J19" s="112">
        <f>J2+J5+J6+J7+J10+J11+J12+J13++J14+J15+J16+J17</f>
        <v>35670</v>
      </c>
    </row>
    <row r="20" spans="1:14" outlineLevel="1" x14ac:dyDescent="0.25">
      <c r="A20" s="56">
        <v>7</v>
      </c>
      <c r="B20" s="87" t="s">
        <v>116</v>
      </c>
      <c r="C20" s="73"/>
      <c r="D20" s="211">
        <v>1.59</v>
      </c>
      <c r="E20" s="73" t="e">
        <f t="shared" si="0"/>
        <v>#VALUE!</v>
      </c>
      <c r="F20" s="84" t="s">
        <v>128</v>
      </c>
      <c r="G20" s="56"/>
    </row>
    <row r="21" spans="1:14" outlineLevel="1" x14ac:dyDescent="0.25">
      <c r="A21" s="56">
        <v>7</v>
      </c>
      <c r="B21" s="87" t="s">
        <v>117</v>
      </c>
      <c r="C21" s="73"/>
      <c r="D21" s="211">
        <v>173.8</v>
      </c>
      <c r="E21" s="73" t="e">
        <f t="shared" si="0"/>
        <v>#VALUE!</v>
      </c>
      <c r="F21" s="84" t="s">
        <v>122</v>
      </c>
      <c r="G21" s="56"/>
      <c r="I21" s="55"/>
      <c r="J21" s="55"/>
    </row>
    <row r="22" spans="1:14" ht="23.25" customHeight="1" outlineLevel="1" x14ac:dyDescent="0.25">
      <c r="A22" s="56">
        <v>7</v>
      </c>
      <c r="B22" s="87" t="s">
        <v>73</v>
      </c>
      <c r="C22" s="73"/>
      <c r="D22" s="211">
        <v>105.16</v>
      </c>
      <c r="E22" s="73" t="e">
        <f t="shared" si="0"/>
        <v>#VALUE!</v>
      </c>
      <c r="F22" s="84" t="s">
        <v>122</v>
      </c>
      <c r="G22" s="56"/>
      <c r="I22" s="100"/>
      <c r="J22" s="101"/>
    </row>
    <row r="23" spans="1:14" outlineLevel="1" x14ac:dyDescent="0.25">
      <c r="A23" s="56">
        <v>7</v>
      </c>
      <c r="B23" s="87" t="s">
        <v>69</v>
      </c>
      <c r="C23" s="73"/>
      <c r="D23" s="211">
        <v>190</v>
      </c>
      <c r="E23" s="73" t="e">
        <f t="shared" si="0"/>
        <v>#VALUE!</v>
      </c>
      <c r="F23" s="84" t="s">
        <v>122</v>
      </c>
      <c r="G23" s="56"/>
      <c r="I23" s="72"/>
      <c r="J23" s="72"/>
    </row>
    <row r="24" spans="1:14" outlineLevel="1" x14ac:dyDescent="0.25">
      <c r="A24" s="56">
        <v>7</v>
      </c>
      <c r="B24" s="87" t="s">
        <v>68</v>
      </c>
      <c r="C24" s="73"/>
      <c r="D24" s="211">
        <v>1180.1199999999999</v>
      </c>
      <c r="E24" s="73" t="e">
        <f t="shared" si="0"/>
        <v>#VALUE!</v>
      </c>
      <c r="F24" s="84" t="s">
        <v>122</v>
      </c>
      <c r="G24" s="57"/>
      <c r="I24" s="72"/>
      <c r="J24" s="72"/>
    </row>
    <row r="25" spans="1:14" outlineLevel="1" x14ac:dyDescent="0.25">
      <c r="A25" s="56">
        <v>7</v>
      </c>
      <c r="B25" s="87" t="s">
        <v>70</v>
      </c>
      <c r="C25" s="73"/>
      <c r="D25" s="211">
        <v>401.5</v>
      </c>
      <c r="E25" s="73" t="e">
        <f t="shared" si="0"/>
        <v>#VALUE!</v>
      </c>
      <c r="F25" s="84" t="s">
        <v>122</v>
      </c>
      <c r="G25" s="57"/>
      <c r="I25" s="72"/>
      <c r="J25" s="72"/>
    </row>
    <row r="26" spans="1:14" outlineLevel="1" x14ac:dyDescent="0.25">
      <c r="A26" s="56">
        <v>7</v>
      </c>
      <c r="B26" s="87" t="s">
        <v>74</v>
      </c>
      <c r="C26" s="75"/>
      <c r="D26" s="212">
        <v>89.9</v>
      </c>
      <c r="E26" s="73" t="e">
        <f t="shared" si="0"/>
        <v>#VALUE!</v>
      </c>
      <c r="F26" s="84" t="s">
        <v>122</v>
      </c>
      <c r="G26" s="56"/>
      <c r="I26" s="72"/>
      <c r="J26" s="72"/>
    </row>
    <row r="27" spans="1:14" outlineLevel="1" x14ac:dyDescent="0.25">
      <c r="A27" s="56">
        <v>7</v>
      </c>
      <c r="B27" s="208" t="e">
        <f>D93+L93</f>
        <v>#REF!</v>
      </c>
      <c r="C27" s="73"/>
      <c r="D27" s="211">
        <v>131.09</v>
      </c>
      <c r="E27" s="73" t="e">
        <f t="shared" si="0"/>
        <v>#VALUE!</v>
      </c>
      <c r="F27" s="84" t="s">
        <v>127</v>
      </c>
      <c r="G27" s="56"/>
      <c r="I27" s="72"/>
      <c r="J27" s="72"/>
    </row>
    <row r="28" spans="1:14" outlineLevel="1" x14ac:dyDescent="0.25">
      <c r="A28" s="56">
        <v>7</v>
      </c>
      <c r="B28" s="208" t="e">
        <f>E93+M93</f>
        <v>#VALUE!</v>
      </c>
      <c r="C28" s="73"/>
      <c r="D28" s="211">
        <v>272.11</v>
      </c>
      <c r="E28" s="73" t="e">
        <f t="shared" si="0"/>
        <v>#VALUE!</v>
      </c>
      <c r="F28" s="84" t="s">
        <v>122</v>
      </c>
      <c r="G28" s="56"/>
      <c r="I28" s="72"/>
      <c r="J28" s="72"/>
    </row>
    <row r="29" spans="1:14" outlineLevel="1" x14ac:dyDescent="0.25">
      <c r="A29" s="56">
        <v>8</v>
      </c>
      <c r="B29" s="87" t="s">
        <v>105</v>
      </c>
      <c r="C29" s="73">
        <v>420</v>
      </c>
      <c r="D29" s="213">
        <v>350000</v>
      </c>
      <c r="E29" s="73" t="e">
        <f t="shared" si="0"/>
        <v>#VALUE!</v>
      </c>
      <c r="F29" s="84" t="s">
        <v>105</v>
      </c>
      <c r="G29" s="57"/>
      <c r="I29" s="72"/>
      <c r="J29" s="72"/>
      <c r="M29" s="184">
        <v>350000</v>
      </c>
      <c r="N29" s="184">
        <v>1</v>
      </c>
    </row>
    <row r="30" spans="1:14" outlineLevel="1" x14ac:dyDescent="0.25">
      <c r="A30" s="56">
        <v>8</v>
      </c>
      <c r="B30" s="87" t="s">
        <v>105</v>
      </c>
      <c r="C30" s="73">
        <v>450</v>
      </c>
      <c r="D30" s="211"/>
      <c r="E30" s="188" t="e">
        <f t="shared" si="0"/>
        <v>#VALUE!</v>
      </c>
      <c r="F30" s="189">
        <v>2</v>
      </c>
      <c r="G30" s="56"/>
      <c r="I30" s="72"/>
      <c r="J30" s="72"/>
    </row>
    <row r="31" spans="1:14" outlineLevel="1" x14ac:dyDescent="0.25">
      <c r="A31" s="56">
        <v>8</v>
      </c>
      <c r="B31" s="87" t="s">
        <v>119</v>
      </c>
      <c r="C31" s="73"/>
      <c r="D31" s="211">
        <v>324.58999999999997</v>
      </c>
      <c r="E31" s="200">
        <v>50000</v>
      </c>
      <c r="F31" s="201"/>
      <c r="G31" s="56"/>
      <c r="I31" s="72"/>
      <c r="J31" s="72"/>
    </row>
    <row r="32" spans="1:14" outlineLevel="1" x14ac:dyDescent="0.25">
      <c r="A32" s="56">
        <v>9</v>
      </c>
      <c r="B32" s="87" t="s">
        <v>124</v>
      </c>
      <c r="C32" s="73"/>
      <c r="D32" s="211">
        <v>30</v>
      </c>
      <c r="E32" s="203">
        <f t="shared" si="0"/>
        <v>49970</v>
      </c>
      <c r="F32" s="84"/>
      <c r="G32" s="56"/>
      <c r="I32" s="72"/>
      <c r="J32" s="72"/>
    </row>
    <row r="33" spans="1:14" ht="18" outlineLevel="1" x14ac:dyDescent="0.25">
      <c r="A33" s="56">
        <v>10</v>
      </c>
      <c r="B33" s="87" t="s">
        <v>125</v>
      </c>
      <c r="C33" s="73"/>
      <c r="D33" s="211">
        <v>30</v>
      </c>
      <c r="E33" s="203">
        <f t="shared" si="0"/>
        <v>49940</v>
      </c>
      <c r="F33" s="85" t="s">
        <v>130</v>
      </c>
      <c r="G33" s="56"/>
      <c r="I33" s="72"/>
      <c r="J33" s="72"/>
    </row>
    <row r="34" spans="1:14" outlineLevel="1" x14ac:dyDescent="0.25">
      <c r="A34" s="56">
        <v>10</v>
      </c>
      <c r="B34" s="87" t="s">
        <v>126</v>
      </c>
      <c r="C34" s="73"/>
      <c r="D34" s="211">
        <v>50</v>
      </c>
      <c r="E34" s="73">
        <f t="shared" si="0"/>
        <v>49890</v>
      </c>
      <c r="F34" s="84"/>
      <c r="G34" s="56"/>
      <c r="I34" s="72"/>
      <c r="J34" s="72"/>
    </row>
    <row r="35" spans="1:14" outlineLevel="1" x14ac:dyDescent="0.25">
      <c r="A35" s="56">
        <v>11</v>
      </c>
      <c r="B35" s="89" t="s">
        <v>132</v>
      </c>
      <c r="C35" s="76"/>
      <c r="D35" s="214">
        <v>10</v>
      </c>
      <c r="E35" s="73">
        <f t="shared" si="0"/>
        <v>49880</v>
      </c>
      <c r="F35" s="84" t="s">
        <v>122</v>
      </c>
      <c r="G35" s="56"/>
      <c r="I35" s="72"/>
      <c r="J35" s="72"/>
    </row>
    <row r="36" spans="1:14" outlineLevel="1" x14ac:dyDescent="0.25">
      <c r="A36" s="56">
        <v>11</v>
      </c>
      <c r="B36" s="87" t="s">
        <v>149</v>
      </c>
      <c r="C36" s="73"/>
      <c r="D36" s="211"/>
      <c r="E36" s="73">
        <f t="shared" si="0"/>
        <v>49880</v>
      </c>
      <c r="F36" s="84" t="s">
        <v>122</v>
      </c>
      <c r="G36" s="56"/>
      <c r="I36" s="72"/>
      <c r="J36" s="72"/>
    </row>
    <row r="37" spans="1:14" outlineLevel="1" x14ac:dyDescent="0.25">
      <c r="A37" s="56">
        <v>12</v>
      </c>
      <c r="B37" s="87" t="s">
        <v>151</v>
      </c>
      <c r="C37" s="75"/>
      <c r="D37" s="212">
        <v>14.9</v>
      </c>
      <c r="E37" s="73">
        <f t="shared" si="0"/>
        <v>49865.1</v>
      </c>
      <c r="F37" s="84" t="s">
        <v>122</v>
      </c>
      <c r="G37" s="56"/>
      <c r="I37" s="72"/>
      <c r="J37" s="72"/>
    </row>
    <row r="38" spans="1:14" outlineLevel="1" x14ac:dyDescent="0.25">
      <c r="A38" s="56">
        <v>14</v>
      </c>
      <c r="B38" s="87" t="s">
        <v>150</v>
      </c>
      <c r="C38" s="75"/>
      <c r="D38" s="212">
        <v>8.49</v>
      </c>
      <c r="E38" s="73">
        <f t="shared" si="0"/>
        <v>49856.61</v>
      </c>
      <c r="F38" s="84" t="s">
        <v>122</v>
      </c>
      <c r="G38" s="56"/>
      <c r="I38" s="72"/>
      <c r="J38" s="72"/>
    </row>
    <row r="39" spans="1:14" ht="22.5" outlineLevel="1" x14ac:dyDescent="0.25">
      <c r="A39" s="56">
        <v>15</v>
      </c>
      <c r="B39" s="88" t="s">
        <v>152</v>
      </c>
      <c r="C39" s="187"/>
      <c r="D39" s="215">
        <v>25.5</v>
      </c>
      <c r="E39" s="73">
        <f t="shared" si="0"/>
        <v>49831.11</v>
      </c>
      <c r="F39" s="84" t="s">
        <v>128</v>
      </c>
      <c r="G39" s="57"/>
      <c r="I39" s="72"/>
      <c r="J39" s="72"/>
      <c r="L39" s="194"/>
    </row>
    <row r="40" spans="1:14" outlineLevel="1" x14ac:dyDescent="0.25">
      <c r="A40" s="56">
        <v>15</v>
      </c>
      <c r="B40" s="56" t="s">
        <v>82</v>
      </c>
      <c r="C40" s="75"/>
      <c r="D40" s="75">
        <v>44.28</v>
      </c>
      <c r="E40" s="73"/>
      <c r="F40" s="84" t="s">
        <v>229</v>
      </c>
      <c r="G40" s="221"/>
      <c r="I40" s="72"/>
      <c r="J40" s="72"/>
      <c r="L40" s="194"/>
    </row>
    <row r="41" spans="1:14" outlineLevel="1" x14ac:dyDescent="0.25">
      <c r="A41" s="56">
        <v>15</v>
      </c>
      <c r="B41" s="56" t="s">
        <v>83</v>
      </c>
      <c r="C41" s="75"/>
      <c r="D41" s="75">
        <v>111.98</v>
      </c>
      <c r="E41" s="73"/>
      <c r="F41" s="84" t="s">
        <v>229</v>
      </c>
      <c r="G41" s="221"/>
      <c r="I41" s="72"/>
      <c r="J41" s="72"/>
      <c r="L41" s="194"/>
    </row>
    <row r="42" spans="1:14" outlineLevel="1" x14ac:dyDescent="0.25">
      <c r="A42" s="56">
        <v>20</v>
      </c>
      <c r="B42" s="87" t="s">
        <v>276</v>
      </c>
      <c r="C42" s="73"/>
      <c r="D42" s="211">
        <v>99.99</v>
      </c>
      <c r="E42" s="73" t="e">
        <f>#REF!+C42-D42</f>
        <v>#REF!</v>
      </c>
      <c r="F42" s="84" t="s">
        <v>277</v>
      </c>
      <c r="G42" s="57"/>
      <c r="I42" s="55"/>
      <c r="J42" s="55"/>
    </row>
    <row r="43" spans="1:14" outlineLevel="1" x14ac:dyDescent="0.25">
      <c r="A43" s="56">
        <v>20</v>
      </c>
      <c r="B43" s="56" t="s">
        <v>106</v>
      </c>
      <c r="C43" s="73"/>
      <c r="D43" s="73">
        <v>401.81</v>
      </c>
      <c r="E43" s="73" t="e">
        <f t="shared" si="0"/>
        <v>#REF!</v>
      </c>
      <c r="F43" s="84" t="s">
        <v>277</v>
      </c>
      <c r="G43" s="57"/>
      <c r="I43" s="55"/>
      <c r="J43" s="55"/>
    </row>
    <row r="44" spans="1:14" outlineLevel="1" x14ac:dyDescent="0.25">
      <c r="A44" s="56">
        <v>20</v>
      </c>
      <c r="B44" s="87"/>
      <c r="C44" s="76"/>
      <c r="D44" s="214"/>
      <c r="E44" s="73" t="e">
        <f t="shared" si="0"/>
        <v>#REF!</v>
      </c>
      <c r="F44" s="84"/>
      <c r="G44" s="56"/>
      <c r="I44" s="55"/>
      <c r="J44" s="55"/>
    </row>
    <row r="45" spans="1:14" outlineLevel="1" x14ac:dyDescent="0.25">
      <c r="A45" s="56">
        <v>20</v>
      </c>
      <c r="B45" s="89"/>
      <c r="C45" s="76"/>
      <c r="D45" s="214" t="s">
        <v>270</v>
      </c>
      <c r="E45" s="73" t="e">
        <f t="shared" si="0"/>
        <v>#REF!</v>
      </c>
      <c r="F45" s="84"/>
      <c r="G45" s="54"/>
      <c r="I45" s="55"/>
      <c r="J45" s="55"/>
    </row>
    <row r="46" spans="1:14" outlineLevel="1" x14ac:dyDescent="0.25">
      <c r="A46" s="56">
        <v>21</v>
      </c>
      <c r="B46" s="87"/>
      <c r="C46" s="73"/>
      <c r="D46" s="211"/>
      <c r="E46" s="196">
        <v>40000</v>
      </c>
      <c r="F46" s="84"/>
      <c r="G46" s="54"/>
      <c r="I46" s="55"/>
      <c r="J46" s="55"/>
      <c r="L46" s="207"/>
      <c r="M46" s="194"/>
    </row>
    <row r="47" spans="1:14" outlineLevel="1" x14ac:dyDescent="0.25">
      <c r="A47" s="69">
        <v>22</v>
      </c>
      <c r="B47" s="89"/>
      <c r="C47" s="73"/>
      <c r="D47" s="211"/>
      <c r="E47" s="198">
        <v>10000</v>
      </c>
      <c r="F47" s="84">
        <v>3</v>
      </c>
      <c r="G47" s="54"/>
      <c r="I47" s="55"/>
      <c r="J47" s="55"/>
      <c r="M47" s="195">
        <v>20000</v>
      </c>
      <c r="N47">
        <v>3</v>
      </c>
    </row>
    <row r="48" spans="1:14" outlineLevel="1" x14ac:dyDescent="0.25">
      <c r="A48" s="69">
        <v>22</v>
      </c>
      <c r="B48" s="89"/>
      <c r="C48" s="73"/>
      <c r="D48" s="211"/>
      <c r="E48" s="200">
        <f t="shared" si="0"/>
        <v>10000</v>
      </c>
      <c r="F48" s="84"/>
      <c r="G48" s="54"/>
      <c r="I48" s="55"/>
      <c r="J48" s="55"/>
      <c r="M48" s="192">
        <v>7142.86</v>
      </c>
    </row>
    <row r="49" spans="1:12" outlineLevel="1" x14ac:dyDescent="0.25">
      <c r="A49" s="69">
        <v>22</v>
      </c>
      <c r="B49" s="89"/>
      <c r="C49" s="73"/>
      <c r="D49" s="216"/>
      <c r="E49" s="73">
        <f t="shared" si="0"/>
        <v>10000</v>
      </c>
      <c r="F49" s="84"/>
      <c r="G49" s="54"/>
      <c r="I49" s="55"/>
      <c r="J49" s="55"/>
    </row>
    <row r="50" spans="1:12" outlineLevel="1" x14ac:dyDescent="0.25">
      <c r="A50" s="56">
        <v>23</v>
      </c>
      <c r="B50" s="87"/>
      <c r="C50" s="73"/>
      <c r="D50" s="211"/>
      <c r="E50" s="73">
        <f t="shared" si="0"/>
        <v>10000</v>
      </c>
      <c r="F50" s="84"/>
      <c r="G50" s="54"/>
      <c r="I50" s="55"/>
      <c r="J50" s="55"/>
    </row>
    <row r="51" spans="1:12" outlineLevel="1" x14ac:dyDescent="0.25">
      <c r="A51" s="56">
        <v>24</v>
      </c>
      <c r="B51" s="87"/>
      <c r="C51" s="73"/>
      <c r="D51" s="211"/>
      <c r="E51" s="73">
        <f t="shared" si="0"/>
        <v>10000</v>
      </c>
      <c r="F51" s="84"/>
      <c r="G51" s="54"/>
      <c r="I51" s="55"/>
      <c r="J51" s="55"/>
    </row>
    <row r="52" spans="1:12" outlineLevel="1" x14ac:dyDescent="0.25">
      <c r="A52" s="56">
        <v>25</v>
      </c>
      <c r="B52" s="87"/>
      <c r="C52" s="73"/>
      <c r="D52" s="211"/>
      <c r="E52" s="73">
        <f t="shared" si="0"/>
        <v>10000</v>
      </c>
      <c r="F52" s="84"/>
      <c r="G52" s="54"/>
      <c r="I52" s="55"/>
      <c r="J52" s="55"/>
    </row>
    <row r="53" spans="1:12" outlineLevel="1" x14ac:dyDescent="0.25">
      <c r="A53" s="56">
        <v>26</v>
      </c>
      <c r="B53" s="87"/>
      <c r="C53" s="73"/>
      <c r="D53" s="211"/>
      <c r="E53" s="73">
        <f t="shared" si="0"/>
        <v>10000</v>
      </c>
      <c r="F53" s="84"/>
      <c r="G53" s="54"/>
      <c r="I53" s="55"/>
      <c r="J53" s="55"/>
    </row>
    <row r="54" spans="1:12" outlineLevel="1" x14ac:dyDescent="0.25">
      <c r="A54" s="56">
        <v>27</v>
      </c>
      <c r="B54" s="87"/>
      <c r="C54" s="73"/>
      <c r="D54" s="211"/>
      <c r="E54" s="73">
        <f t="shared" si="0"/>
        <v>10000</v>
      </c>
      <c r="F54" s="84"/>
      <c r="G54" s="54"/>
    </row>
    <row r="55" spans="1:12" outlineLevel="1" x14ac:dyDescent="0.25">
      <c r="A55" s="56">
        <v>28</v>
      </c>
      <c r="B55" s="87"/>
      <c r="C55" s="73"/>
      <c r="D55" s="211"/>
      <c r="E55" s="73">
        <f t="shared" si="0"/>
        <v>10000</v>
      </c>
      <c r="F55" s="84"/>
      <c r="G55" s="54"/>
    </row>
    <row r="56" spans="1:12" outlineLevel="1" x14ac:dyDescent="0.25">
      <c r="A56" s="56">
        <v>28</v>
      </c>
      <c r="B56" s="87"/>
      <c r="C56" s="73"/>
      <c r="D56" s="217"/>
      <c r="E56" s="73">
        <f t="shared" si="0"/>
        <v>10000</v>
      </c>
      <c r="F56" s="84"/>
      <c r="G56" s="54"/>
      <c r="L56" s="192">
        <v>100000</v>
      </c>
    </row>
    <row r="57" spans="1:12" outlineLevel="1" x14ac:dyDescent="0.25">
      <c r="A57" s="56">
        <v>28</v>
      </c>
      <c r="B57" s="87"/>
      <c r="C57" s="73"/>
      <c r="D57" s="211"/>
      <c r="E57" s="206">
        <v>30000</v>
      </c>
      <c r="F57" s="84"/>
      <c r="G57" s="54"/>
    </row>
    <row r="58" spans="1:12" outlineLevel="1" x14ac:dyDescent="0.25">
      <c r="A58" s="56">
        <v>28</v>
      </c>
      <c r="B58" s="87"/>
      <c r="C58" s="73"/>
      <c r="D58" s="211"/>
      <c r="E58" s="73">
        <f t="shared" si="0"/>
        <v>30000</v>
      </c>
      <c r="F58" s="84"/>
      <c r="G58" s="54"/>
    </row>
    <row r="59" spans="1:12" x14ac:dyDescent="0.25">
      <c r="A59" s="56">
        <v>31</v>
      </c>
      <c r="B59" s="87"/>
      <c r="C59" s="73"/>
      <c r="D59" s="211"/>
      <c r="E59" s="73">
        <f t="shared" si="0"/>
        <v>30000</v>
      </c>
      <c r="F59" s="84"/>
      <c r="G59" s="54"/>
    </row>
    <row r="60" spans="1:12" x14ac:dyDescent="0.25">
      <c r="A60" s="234" t="s">
        <v>61</v>
      </c>
      <c r="B60" s="234"/>
      <c r="C60" s="73">
        <f>SUM(C3:C59)</f>
        <v>7408.53</v>
      </c>
      <c r="D60" s="211">
        <f>SUM(D4:D59)</f>
        <v>355035.32000000007</v>
      </c>
      <c r="E60" s="73"/>
      <c r="F60" s="84"/>
      <c r="G60" s="54"/>
    </row>
    <row r="61" spans="1:12" x14ac:dyDescent="0.25">
      <c r="A61" s="96"/>
      <c r="B61" s="96"/>
      <c r="C61" s="97"/>
      <c r="D61" s="218"/>
      <c r="E61" s="97"/>
      <c r="F61" s="98"/>
      <c r="G61" s="99"/>
      <c r="H61" s="99"/>
      <c r="I61" s="99"/>
      <c r="J61" s="99"/>
    </row>
    <row r="62" spans="1:12" x14ac:dyDescent="0.25">
      <c r="A62" s="222" t="s">
        <v>154</v>
      </c>
      <c r="B62" s="222"/>
      <c r="C62" s="222"/>
      <c r="D62" s="222"/>
      <c r="E62" s="222"/>
      <c r="F62" s="222"/>
      <c r="G62" s="222"/>
      <c r="H62" s="222"/>
      <c r="I62" s="222"/>
      <c r="J62" s="222"/>
    </row>
    <row r="63" spans="1:12" ht="22.5" x14ac:dyDescent="0.25">
      <c r="A63" s="91" t="s">
        <v>38</v>
      </c>
      <c r="B63" s="91" t="s">
        <v>52</v>
      </c>
      <c r="C63" s="92" t="s">
        <v>107</v>
      </c>
      <c r="D63" s="209" t="s">
        <v>108</v>
      </c>
      <c r="E63" s="93" t="s">
        <v>109</v>
      </c>
      <c r="F63" s="94" t="s">
        <v>110</v>
      </c>
      <c r="G63" s="95" t="s">
        <v>76</v>
      </c>
      <c r="I63" s="231" t="s">
        <v>156</v>
      </c>
      <c r="J63" s="232"/>
    </row>
    <row r="64" spans="1:12" outlineLevel="2" x14ac:dyDescent="0.25">
      <c r="A64" s="56"/>
      <c r="B64" s="87" t="s">
        <v>101</v>
      </c>
      <c r="C64" s="68"/>
      <c r="D64" s="210"/>
      <c r="E64" s="73"/>
      <c r="F64" s="84"/>
      <c r="G64" s="83"/>
      <c r="I64" s="109" t="s">
        <v>157</v>
      </c>
      <c r="J64" s="110">
        <v>1500</v>
      </c>
    </row>
    <row r="65" spans="1:13" outlineLevel="2" x14ac:dyDescent="0.25">
      <c r="A65" s="56">
        <v>3</v>
      </c>
      <c r="B65" s="87" t="s">
        <v>111</v>
      </c>
      <c r="C65" s="73"/>
      <c r="D65" s="211"/>
      <c r="E65" s="73">
        <f>E64+C65-D65</f>
        <v>0</v>
      </c>
      <c r="F65" s="84"/>
      <c r="G65" s="83"/>
      <c r="I65" s="77"/>
      <c r="J65" s="110"/>
    </row>
    <row r="66" spans="1:13" outlineLevel="2" x14ac:dyDescent="0.25">
      <c r="A66" s="56">
        <v>3</v>
      </c>
      <c r="B66" s="87" t="s">
        <v>111</v>
      </c>
      <c r="C66" s="73"/>
      <c r="D66" s="211"/>
      <c r="E66" s="73">
        <f t="shared" ref="E66:E123" si="1">E65+C66-D66</f>
        <v>0</v>
      </c>
      <c r="F66" s="84"/>
      <c r="G66" s="83"/>
      <c r="I66" s="109" t="s">
        <v>158</v>
      </c>
      <c r="J66" s="110"/>
    </row>
    <row r="67" spans="1:13" outlineLevel="2" x14ac:dyDescent="0.25">
      <c r="A67" s="56">
        <v>4</v>
      </c>
      <c r="B67" s="87" t="s">
        <v>115</v>
      </c>
      <c r="C67" s="73"/>
      <c r="D67" s="211"/>
      <c r="E67" s="73">
        <f t="shared" si="1"/>
        <v>0</v>
      </c>
      <c r="F67" s="84"/>
      <c r="G67" s="83"/>
      <c r="I67" s="77" t="s">
        <v>159</v>
      </c>
      <c r="J67" s="110">
        <v>22500</v>
      </c>
    </row>
    <row r="68" spans="1:13" outlineLevel="2" x14ac:dyDescent="0.25">
      <c r="A68" s="56">
        <v>4</v>
      </c>
      <c r="B68" s="87" t="s">
        <v>105</v>
      </c>
      <c r="C68" s="73"/>
      <c r="D68" s="211"/>
      <c r="E68" s="73">
        <f t="shared" si="1"/>
        <v>0</v>
      </c>
      <c r="F68" s="84"/>
      <c r="G68" s="83"/>
      <c r="I68" s="77" t="s">
        <v>160</v>
      </c>
      <c r="J68" s="110">
        <v>25000</v>
      </c>
    </row>
    <row r="69" spans="1:13" outlineLevel="2" x14ac:dyDescent="0.25">
      <c r="A69" s="56">
        <v>4</v>
      </c>
      <c r="B69" s="87" t="s">
        <v>129</v>
      </c>
      <c r="C69" s="73"/>
      <c r="D69" s="211"/>
      <c r="E69" s="202">
        <v>5000</v>
      </c>
      <c r="F69" s="84"/>
      <c r="G69" s="83"/>
      <c r="I69" s="77" t="s">
        <v>161</v>
      </c>
      <c r="J69" s="110">
        <v>1400</v>
      </c>
      <c r="M69" s="193">
        <v>15000</v>
      </c>
    </row>
    <row r="70" spans="1:13" outlineLevel="2" x14ac:dyDescent="0.25">
      <c r="A70" s="56">
        <v>4</v>
      </c>
      <c r="B70" s="87" t="s">
        <v>112</v>
      </c>
      <c r="C70" s="73"/>
      <c r="D70" s="211">
        <f>SUM(D62)</f>
        <v>0</v>
      </c>
      <c r="E70" s="73">
        <f t="shared" si="1"/>
        <v>5000</v>
      </c>
      <c r="F70" s="84"/>
      <c r="G70" s="83"/>
      <c r="I70" s="77"/>
      <c r="J70" s="110"/>
    </row>
    <row r="71" spans="1:13" outlineLevel="2" x14ac:dyDescent="0.25">
      <c r="A71" s="56">
        <v>4</v>
      </c>
      <c r="B71" s="87" t="s">
        <v>105</v>
      </c>
      <c r="C71" s="73"/>
      <c r="D71" s="211"/>
      <c r="E71" s="73">
        <f t="shared" si="1"/>
        <v>5000</v>
      </c>
      <c r="F71" s="84"/>
      <c r="G71" s="83"/>
      <c r="I71" s="109" t="s">
        <v>162</v>
      </c>
      <c r="J71" s="110"/>
    </row>
    <row r="72" spans="1:13" outlineLevel="2" x14ac:dyDescent="0.25">
      <c r="A72" s="56">
        <v>5</v>
      </c>
      <c r="B72" s="87" t="s">
        <v>118</v>
      </c>
      <c r="C72" s="73"/>
      <c r="D72" s="211"/>
      <c r="E72" s="73">
        <f t="shared" si="1"/>
        <v>5000</v>
      </c>
      <c r="F72" s="84"/>
      <c r="G72" s="83"/>
      <c r="I72" s="77" t="s">
        <v>163</v>
      </c>
      <c r="J72" s="110">
        <v>-2000</v>
      </c>
    </row>
    <row r="73" spans="1:13" outlineLevel="2" x14ac:dyDescent="0.25">
      <c r="A73" s="56">
        <v>6</v>
      </c>
      <c r="B73" s="87" t="s">
        <v>105</v>
      </c>
      <c r="C73" s="73"/>
      <c r="D73" s="211"/>
      <c r="E73" s="73">
        <f t="shared" si="1"/>
        <v>5000</v>
      </c>
      <c r="F73" s="84"/>
      <c r="G73" s="83"/>
      <c r="I73" s="77" t="s">
        <v>164</v>
      </c>
      <c r="J73" s="110">
        <v>-1980</v>
      </c>
    </row>
    <row r="74" spans="1:13" outlineLevel="2" x14ac:dyDescent="0.25">
      <c r="A74" s="56">
        <v>6</v>
      </c>
      <c r="B74" s="87" t="s">
        <v>113</v>
      </c>
      <c r="C74" s="73"/>
      <c r="D74" s="211"/>
      <c r="E74" s="73">
        <f t="shared" si="1"/>
        <v>5000</v>
      </c>
      <c r="F74" s="84"/>
      <c r="G74" s="83"/>
      <c r="I74" s="77" t="s">
        <v>165</v>
      </c>
      <c r="J74" s="110">
        <v>-1000</v>
      </c>
    </row>
    <row r="75" spans="1:13" outlineLevel="2" x14ac:dyDescent="0.25">
      <c r="A75" s="56">
        <v>6</v>
      </c>
      <c r="B75" s="87" t="s">
        <v>114</v>
      </c>
      <c r="C75" s="73"/>
      <c r="D75" s="211"/>
      <c r="E75" s="73">
        <f t="shared" si="1"/>
        <v>5000</v>
      </c>
      <c r="F75" s="84"/>
      <c r="G75" s="83"/>
      <c r="I75" s="77" t="s">
        <v>166</v>
      </c>
      <c r="J75" s="110">
        <v>-950</v>
      </c>
    </row>
    <row r="76" spans="1:13" outlineLevel="2" x14ac:dyDescent="0.25">
      <c r="A76" s="56">
        <v>7</v>
      </c>
      <c r="B76" s="87" t="s">
        <v>105</v>
      </c>
      <c r="C76" s="56"/>
      <c r="D76" s="211"/>
      <c r="E76" s="73">
        <f t="shared" si="1"/>
        <v>5000</v>
      </c>
      <c r="F76" s="84"/>
      <c r="G76" s="83"/>
      <c r="I76" s="77" t="s">
        <v>1</v>
      </c>
      <c r="J76" s="110">
        <v>-1000</v>
      </c>
    </row>
    <row r="77" spans="1:13" outlineLevel="2" x14ac:dyDescent="0.25">
      <c r="A77" s="56">
        <v>7</v>
      </c>
      <c r="B77" s="87" t="s">
        <v>103</v>
      </c>
      <c r="C77" s="73"/>
      <c r="D77" s="211"/>
      <c r="E77" s="73">
        <f t="shared" si="1"/>
        <v>5000</v>
      </c>
      <c r="F77" s="84"/>
      <c r="G77" s="83"/>
      <c r="I77" s="77" t="s">
        <v>167</v>
      </c>
      <c r="J77" s="110">
        <v>-1500</v>
      </c>
    </row>
    <row r="78" spans="1:13" outlineLevel="2" x14ac:dyDescent="0.25">
      <c r="A78" s="56">
        <v>7</v>
      </c>
      <c r="B78" s="87" t="s">
        <v>90</v>
      </c>
      <c r="C78" s="73"/>
      <c r="D78" s="211"/>
      <c r="E78" s="73">
        <f t="shared" si="1"/>
        <v>5000</v>
      </c>
      <c r="F78" s="84"/>
      <c r="G78" s="83"/>
      <c r="I78" s="111" t="s">
        <v>160</v>
      </c>
      <c r="J78" s="110">
        <v>-5000</v>
      </c>
    </row>
    <row r="79" spans="1:13" outlineLevel="2" x14ac:dyDescent="0.25">
      <c r="A79" s="56">
        <v>7</v>
      </c>
      <c r="B79" s="87" t="s">
        <v>87</v>
      </c>
      <c r="C79" s="73"/>
      <c r="D79" s="211"/>
      <c r="E79" s="73">
        <f t="shared" si="1"/>
        <v>5000</v>
      </c>
      <c r="F79" s="84"/>
      <c r="G79" s="83"/>
      <c r="I79" s="111" t="s">
        <v>168</v>
      </c>
      <c r="J79" s="110">
        <v>-1300</v>
      </c>
    </row>
    <row r="80" spans="1:13" outlineLevel="2" x14ac:dyDescent="0.25">
      <c r="A80" s="56">
        <v>7</v>
      </c>
      <c r="B80" s="87" t="s">
        <v>86</v>
      </c>
      <c r="C80" s="73"/>
      <c r="D80" s="211"/>
      <c r="E80" s="73">
        <f t="shared" si="1"/>
        <v>5000</v>
      </c>
      <c r="F80" s="84"/>
      <c r="G80" s="56"/>
      <c r="I80" s="77"/>
      <c r="J80" s="77"/>
    </row>
    <row r="81" spans="1:13" outlineLevel="2" x14ac:dyDescent="0.25">
      <c r="A81" s="56">
        <v>7</v>
      </c>
      <c r="B81" s="87" t="s">
        <v>116</v>
      </c>
      <c r="C81" s="73"/>
      <c r="D81" s="211"/>
      <c r="E81" s="73">
        <f t="shared" si="1"/>
        <v>5000</v>
      </c>
      <c r="F81" s="84"/>
      <c r="G81" s="56"/>
      <c r="I81" s="109" t="s">
        <v>169</v>
      </c>
      <c r="J81" s="112">
        <f>J64+J67+J68+J69+J72+J73+J74+J75++J76+J77+J78+J79</f>
        <v>35670</v>
      </c>
    </row>
    <row r="82" spans="1:13" outlineLevel="2" x14ac:dyDescent="0.25">
      <c r="A82" s="56">
        <v>7</v>
      </c>
      <c r="B82" s="87" t="s">
        <v>117</v>
      </c>
      <c r="C82" s="73"/>
      <c r="D82" s="211"/>
      <c r="E82" s="73">
        <f t="shared" si="1"/>
        <v>5000</v>
      </c>
      <c r="F82" s="84"/>
      <c r="G82" s="56"/>
      <c r="L82" t="s">
        <v>171</v>
      </c>
    </row>
    <row r="83" spans="1:13" outlineLevel="2" x14ac:dyDescent="0.25">
      <c r="A83" s="56">
        <v>7</v>
      </c>
      <c r="B83" s="87" t="s">
        <v>73</v>
      </c>
      <c r="C83" s="73"/>
      <c r="D83" s="219"/>
      <c r="E83" s="73"/>
      <c r="F83" s="84"/>
      <c r="G83" s="56"/>
      <c r="H83">
        <v>8</v>
      </c>
      <c r="L83" s="207">
        <v>15000</v>
      </c>
    </row>
    <row r="84" spans="1:13" outlineLevel="2" x14ac:dyDescent="0.25">
      <c r="A84" s="56">
        <v>7</v>
      </c>
      <c r="B84" s="87" t="s">
        <v>69</v>
      </c>
      <c r="C84" s="73"/>
      <c r="D84" s="211"/>
      <c r="E84" s="73">
        <f t="shared" si="1"/>
        <v>0</v>
      </c>
      <c r="F84" s="84"/>
      <c r="G84" s="56"/>
    </row>
    <row r="85" spans="1:13" outlineLevel="2" x14ac:dyDescent="0.25">
      <c r="A85" s="56">
        <v>7</v>
      </c>
      <c r="B85" s="87" t="s">
        <v>68</v>
      </c>
      <c r="C85" s="73"/>
      <c r="D85" s="211"/>
      <c r="E85" s="73">
        <f t="shared" si="1"/>
        <v>0</v>
      </c>
      <c r="F85" s="84"/>
      <c r="G85" s="83"/>
    </row>
    <row r="86" spans="1:13" outlineLevel="2" x14ac:dyDescent="0.25">
      <c r="A86" s="56">
        <v>7</v>
      </c>
      <c r="B86" s="87" t="s">
        <v>70</v>
      </c>
      <c r="C86" s="73"/>
      <c r="D86" s="211"/>
      <c r="E86" s="73">
        <f t="shared" si="1"/>
        <v>0</v>
      </c>
      <c r="F86" s="84"/>
      <c r="G86" s="83"/>
    </row>
    <row r="87" spans="1:13" outlineLevel="2" x14ac:dyDescent="0.25">
      <c r="A87" s="56">
        <v>7</v>
      </c>
      <c r="B87" s="87" t="s">
        <v>74</v>
      </c>
      <c r="C87" s="75"/>
      <c r="D87" s="212"/>
      <c r="E87" s="73">
        <f t="shared" si="1"/>
        <v>0</v>
      </c>
      <c r="F87" s="84"/>
      <c r="G87" s="56"/>
    </row>
    <row r="88" spans="1:13" outlineLevel="2" x14ac:dyDescent="0.25">
      <c r="A88" s="56">
        <v>7</v>
      </c>
      <c r="B88" s="87" t="s">
        <v>120</v>
      </c>
      <c r="C88" s="73"/>
      <c r="D88" s="211"/>
      <c r="E88" s="73">
        <f t="shared" si="1"/>
        <v>0</v>
      </c>
      <c r="F88" s="84"/>
      <c r="G88" s="56"/>
    </row>
    <row r="89" spans="1:13" outlineLevel="2" x14ac:dyDescent="0.25">
      <c r="A89" s="56">
        <v>7</v>
      </c>
      <c r="B89" s="87" t="s">
        <v>121</v>
      </c>
      <c r="C89" s="73"/>
      <c r="D89" s="211"/>
      <c r="E89" s="73">
        <f t="shared" si="1"/>
        <v>0</v>
      </c>
      <c r="F89" s="84"/>
      <c r="G89" s="56"/>
    </row>
    <row r="90" spans="1:13" outlineLevel="2" x14ac:dyDescent="0.25">
      <c r="A90" s="56">
        <v>8</v>
      </c>
      <c r="B90" s="87" t="s">
        <v>105</v>
      </c>
      <c r="C90" s="73"/>
      <c r="D90" s="211"/>
      <c r="E90" s="73">
        <f t="shared" si="1"/>
        <v>0</v>
      </c>
      <c r="F90" s="84"/>
      <c r="G90" s="83"/>
    </row>
    <row r="91" spans="1:13" outlineLevel="2" x14ac:dyDescent="0.25">
      <c r="A91" s="56">
        <v>8</v>
      </c>
      <c r="B91" s="87" t="s">
        <v>105</v>
      </c>
      <c r="C91" s="73"/>
      <c r="D91" s="211"/>
      <c r="E91" s="73">
        <f t="shared" si="1"/>
        <v>0</v>
      </c>
      <c r="F91" s="84"/>
      <c r="G91" s="56"/>
    </row>
    <row r="92" spans="1:13" outlineLevel="2" x14ac:dyDescent="0.25">
      <c r="A92" s="56">
        <v>8</v>
      </c>
      <c r="B92" s="87" t="s">
        <v>119</v>
      </c>
      <c r="C92" s="73"/>
      <c r="D92" s="211"/>
      <c r="E92" s="73">
        <f t="shared" si="1"/>
        <v>0</v>
      </c>
      <c r="F92" s="84"/>
      <c r="G92" s="56"/>
    </row>
    <row r="93" spans="1:13" outlineLevel="2" x14ac:dyDescent="0.25">
      <c r="A93" s="56">
        <v>9</v>
      </c>
      <c r="B93" s="87" t="s">
        <v>124</v>
      </c>
      <c r="C93" s="73"/>
      <c r="D93" s="211" t="e">
        <f>D29+D39+#REF!+D49+D56+D83</f>
        <v>#REF!</v>
      </c>
      <c r="E93" s="73" t="e">
        <f>E30+E31+E32+E46+E47+E48+E57+E69</f>
        <v>#VALUE!</v>
      </c>
      <c r="F93" s="84"/>
      <c r="G93" s="56"/>
      <c r="L93">
        <f>L39+L46+L83+L56</f>
        <v>115000</v>
      </c>
      <c r="M93">
        <f>M29+M46+M47+M48+M69</f>
        <v>392142.86</v>
      </c>
    </row>
    <row r="94" spans="1:13" outlineLevel="2" x14ac:dyDescent="0.25">
      <c r="A94" s="56">
        <v>10</v>
      </c>
      <c r="B94" s="87" t="s">
        <v>125</v>
      </c>
      <c r="C94" s="73"/>
      <c r="D94" s="211"/>
      <c r="E94" s="73" t="e">
        <f t="shared" si="1"/>
        <v>#VALUE!</v>
      </c>
      <c r="F94" s="84"/>
      <c r="G94" s="56"/>
    </row>
    <row r="95" spans="1:13" outlineLevel="2" x14ac:dyDescent="0.25">
      <c r="A95" s="56">
        <v>10</v>
      </c>
      <c r="B95" s="87" t="s">
        <v>126</v>
      </c>
      <c r="C95" s="73"/>
      <c r="D95" s="211"/>
      <c r="E95" s="73" t="e">
        <f t="shared" si="1"/>
        <v>#VALUE!</v>
      </c>
      <c r="F95" s="84"/>
      <c r="G95" s="56"/>
    </row>
    <row r="96" spans="1:13" outlineLevel="2" x14ac:dyDescent="0.25">
      <c r="A96" s="56">
        <v>11</v>
      </c>
      <c r="B96" s="89" t="s">
        <v>132</v>
      </c>
      <c r="C96" s="76"/>
      <c r="D96" s="214"/>
      <c r="E96" s="73" t="e">
        <f t="shared" si="1"/>
        <v>#VALUE!</v>
      </c>
      <c r="F96" s="84"/>
      <c r="G96" s="56"/>
    </row>
    <row r="97" spans="1:7" outlineLevel="2" x14ac:dyDescent="0.25">
      <c r="A97" s="56">
        <v>11</v>
      </c>
      <c r="B97" s="87" t="s">
        <v>149</v>
      </c>
      <c r="C97" s="73"/>
      <c r="D97" s="211"/>
      <c r="E97" s="73" t="e">
        <f t="shared" si="1"/>
        <v>#VALUE!</v>
      </c>
      <c r="F97" s="84"/>
      <c r="G97" s="56"/>
    </row>
    <row r="98" spans="1:7" outlineLevel="2" x14ac:dyDescent="0.25">
      <c r="A98" s="56">
        <v>12</v>
      </c>
      <c r="B98" s="87" t="s">
        <v>151</v>
      </c>
      <c r="C98" s="75"/>
      <c r="D98" s="212"/>
      <c r="E98" s="73" t="e">
        <f t="shared" si="1"/>
        <v>#VALUE!</v>
      </c>
      <c r="F98" s="84"/>
      <c r="G98" s="56"/>
    </row>
    <row r="99" spans="1:7" outlineLevel="2" x14ac:dyDescent="0.25">
      <c r="A99" s="56">
        <v>14</v>
      </c>
      <c r="B99" s="87" t="s">
        <v>150</v>
      </c>
      <c r="C99" s="75"/>
      <c r="D99" s="212"/>
      <c r="E99" s="73" t="e">
        <f t="shared" si="1"/>
        <v>#VALUE!</v>
      </c>
      <c r="F99" s="84"/>
      <c r="G99" s="56"/>
    </row>
    <row r="100" spans="1:7" outlineLevel="2" x14ac:dyDescent="0.25">
      <c r="A100" s="56">
        <v>15</v>
      </c>
      <c r="B100" s="87" t="s">
        <v>152</v>
      </c>
      <c r="C100" s="75"/>
      <c r="D100" s="212"/>
      <c r="E100" s="73" t="e">
        <f t="shared" si="1"/>
        <v>#VALUE!</v>
      </c>
      <c r="F100" s="84"/>
      <c r="G100" s="83"/>
    </row>
    <row r="101" spans="1:7" outlineLevel="2" x14ac:dyDescent="0.25">
      <c r="A101" s="56">
        <v>15</v>
      </c>
      <c r="B101" s="87"/>
      <c r="C101" s="75"/>
      <c r="D101" s="212"/>
      <c r="E101" s="73" t="e">
        <f t="shared" si="1"/>
        <v>#VALUE!</v>
      </c>
      <c r="F101" s="84"/>
      <c r="G101" s="83"/>
    </row>
    <row r="102" spans="1:7" outlineLevel="2" x14ac:dyDescent="0.25">
      <c r="A102" s="56">
        <v>16</v>
      </c>
      <c r="B102" s="87"/>
      <c r="C102" s="73"/>
      <c r="D102" s="211"/>
      <c r="E102" s="73" t="e">
        <f t="shared" si="1"/>
        <v>#VALUE!</v>
      </c>
      <c r="F102" s="84"/>
      <c r="G102" s="56"/>
    </row>
    <row r="103" spans="1:7" outlineLevel="2" x14ac:dyDescent="0.25">
      <c r="A103" s="56">
        <v>17</v>
      </c>
      <c r="B103" s="87"/>
      <c r="C103" s="73"/>
      <c r="D103" s="211"/>
      <c r="E103" s="73" t="e">
        <f t="shared" si="1"/>
        <v>#VALUE!</v>
      </c>
      <c r="F103" s="84"/>
      <c r="G103" s="56"/>
    </row>
    <row r="104" spans="1:7" outlineLevel="2" x14ac:dyDescent="0.25">
      <c r="A104" s="56">
        <v>18</v>
      </c>
      <c r="B104" s="87"/>
      <c r="C104" s="73"/>
      <c r="D104" s="211"/>
      <c r="E104" s="73" t="e">
        <f t="shared" si="1"/>
        <v>#VALUE!</v>
      </c>
      <c r="F104" s="84"/>
      <c r="G104" s="56"/>
    </row>
    <row r="105" spans="1:7" outlineLevel="2" x14ac:dyDescent="0.25">
      <c r="A105" s="56">
        <v>19</v>
      </c>
      <c r="B105" s="87"/>
      <c r="C105" s="73"/>
      <c r="D105" s="211"/>
      <c r="E105" s="73" t="e">
        <f t="shared" si="1"/>
        <v>#VALUE!</v>
      </c>
      <c r="F105" s="84"/>
      <c r="G105" s="83"/>
    </row>
    <row r="106" spans="1:7" outlineLevel="2" x14ac:dyDescent="0.25">
      <c r="A106" s="56">
        <v>20</v>
      </c>
      <c r="B106" s="87"/>
      <c r="C106" s="73"/>
      <c r="D106" s="211"/>
      <c r="E106" s="73" t="e">
        <f t="shared" si="1"/>
        <v>#VALUE!</v>
      </c>
      <c r="F106" s="84"/>
      <c r="G106" s="83"/>
    </row>
    <row r="107" spans="1:7" outlineLevel="2" x14ac:dyDescent="0.25">
      <c r="A107" s="56">
        <v>20</v>
      </c>
      <c r="B107" s="87"/>
      <c r="C107" s="73"/>
      <c r="D107" s="211"/>
      <c r="E107" s="73" t="e">
        <f t="shared" si="1"/>
        <v>#VALUE!</v>
      </c>
      <c r="F107" s="84"/>
      <c r="G107" s="83"/>
    </row>
    <row r="108" spans="1:7" outlineLevel="2" x14ac:dyDescent="0.25">
      <c r="A108" s="56">
        <v>20</v>
      </c>
      <c r="B108" s="87"/>
      <c r="C108" s="76"/>
      <c r="D108" s="214"/>
      <c r="E108" s="73" t="e">
        <f t="shared" si="1"/>
        <v>#VALUE!</v>
      </c>
      <c r="F108" s="84"/>
      <c r="G108" s="56"/>
    </row>
    <row r="109" spans="1:7" outlineLevel="2" x14ac:dyDescent="0.25">
      <c r="A109" s="56">
        <v>20</v>
      </c>
      <c r="B109" s="89"/>
      <c r="C109" s="76"/>
      <c r="D109" s="214"/>
      <c r="E109" s="73" t="e">
        <f t="shared" si="1"/>
        <v>#VALUE!</v>
      </c>
      <c r="F109" s="84"/>
      <c r="G109" s="54"/>
    </row>
    <row r="110" spans="1:7" outlineLevel="2" x14ac:dyDescent="0.25">
      <c r="A110" s="56">
        <v>21</v>
      </c>
      <c r="B110" s="87"/>
      <c r="C110" s="73"/>
      <c r="D110" s="211"/>
      <c r="E110" s="73" t="e">
        <f t="shared" si="1"/>
        <v>#VALUE!</v>
      </c>
      <c r="F110" s="84"/>
      <c r="G110" s="54"/>
    </row>
    <row r="111" spans="1:7" outlineLevel="2" x14ac:dyDescent="0.25">
      <c r="A111" s="69">
        <v>22</v>
      </c>
      <c r="B111" s="89"/>
      <c r="C111" s="73"/>
      <c r="D111" s="211"/>
      <c r="E111" s="73" t="e">
        <f t="shared" si="1"/>
        <v>#VALUE!</v>
      </c>
      <c r="F111" s="84"/>
      <c r="G111" s="54"/>
    </row>
    <row r="112" spans="1:7" outlineLevel="2" x14ac:dyDescent="0.25">
      <c r="A112" s="69">
        <v>22</v>
      </c>
      <c r="B112" s="89"/>
      <c r="C112" s="73"/>
      <c r="D112" s="211"/>
      <c r="E112" s="73" t="e">
        <f t="shared" si="1"/>
        <v>#VALUE!</v>
      </c>
      <c r="F112" s="84"/>
      <c r="G112" s="54"/>
    </row>
    <row r="113" spans="1:7" outlineLevel="2" x14ac:dyDescent="0.25">
      <c r="A113" s="69">
        <v>22</v>
      </c>
      <c r="B113" s="89"/>
      <c r="C113" s="73"/>
      <c r="D113" s="211"/>
      <c r="E113" s="73" t="e">
        <f t="shared" si="1"/>
        <v>#VALUE!</v>
      </c>
      <c r="F113" s="84"/>
      <c r="G113" s="54"/>
    </row>
    <row r="114" spans="1:7" outlineLevel="2" x14ac:dyDescent="0.25">
      <c r="A114" s="56">
        <v>23</v>
      </c>
      <c r="B114" s="87"/>
      <c r="C114" s="73"/>
      <c r="D114" s="211"/>
      <c r="E114" s="73" t="e">
        <f t="shared" si="1"/>
        <v>#VALUE!</v>
      </c>
      <c r="F114" s="84"/>
      <c r="G114" s="54"/>
    </row>
    <row r="115" spans="1:7" outlineLevel="2" x14ac:dyDescent="0.25">
      <c r="A115" s="56">
        <v>24</v>
      </c>
      <c r="B115" s="87"/>
      <c r="C115" s="73"/>
      <c r="D115" s="211"/>
      <c r="E115" s="73" t="e">
        <f t="shared" si="1"/>
        <v>#VALUE!</v>
      </c>
      <c r="F115" s="84"/>
      <c r="G115" s="54"/>
    </row>
    <row r="116" spans="1:7" outlineLevel="2" x14ac:dyDescent="0.25">
      <c r="A116" s="56">
        <v>25</v>
      </c>
      <c r="B116" s="87"/>
      <c r="C116" s="73"/>
      <c r="D116" s="211"/>
      <c r="E116" s="73" t="e">
        <f t="shared" si="1"/>
        <v>#VALUE!</v>
      </c>
      <c r="F116" s="84"/>
      <c r="G116" s="54"/>
    </row>
    <row r="117" spans="1:7" outlineLevel="2" x14ac:dyDescent="0.25">
      <c r="A117" s="56">
        <v>26</v>
      </c>
      <c r="B117" s="87"/>
      <c r="C117" s="73"/>
      <c r="D117" s="211"/>
      <c r="E117" s="73" t="e">
        <f t="shared" si="1"/>
        <v>#VALUE!</v>
      </c>
      <c r="F117" s="84"/>
      <c r="G117" s="54"/>
    </row>
    <row r="118" spans="1:7" outlineLevel="2" x14ac:dyDescent="0.25">
      <c r="A118" s="56">
        <v>27</v>
      </c>
      <c r="B118" s="87"/>
      <c r="C118" s="73"/>
      <c r="D118" s="211"/>
      <c r="E118" s="73" t="e">
        <f t="shared" si="1"/>
        <v>#VALUE!</v>
      </c>
      <c r="F118" s="84"/>
      <c r="G118" s="54"/>
    </row>
    <row r="119" spans="1:7" outlineLevel="2" x14ac:dyDescent="0.25">
      <c r="A119" s="56">
        <v>28</v>
      </c>
      <c r="B119" s="87"/>
      <c r="C119" s="73"/>
      <c r="D119" s="211"/>
      <c r="E119" s="73" t="e">
        <f t="shared" si="1"/>
        <v>#VALUE!</v>
      </c>
      <c r="F119" s="84"/>
      <c r="G119" s="54"/>
    </row>
    <row r="120" spans="1:7" outlineLevel="2" x14ac:dyDescent="0.25">
      <c r="A120" s="56">
        <v>28</v>
      </c>
      <c r="B120" s="87"/>
      <c r="C120" s="73"/>
      <c r="D120" s="211"/>
      <c r="E120" s="73" t="e">
        <f t="shared" si="1"/>
        <v>#VALUE!</v>
      </c>
      <c r="F120" s="84"/>
      <c r="G120" s="54"/>
    </row>
    <row r="121" spans="1:7" outlineLevel="2" x14ac:dyDescent="0.25">
      <c r="A121" s="56">
        <v>28</v>
      </c>
      <c r="B121" s="87"/>
      <c r="C121" s="73"/>
      <c r="D121" s="211"/>
      <c r="E121" s="73" t="e">
        <f t="shared" si="1"/>
        <v>#VALUE!</v>
      </c>
      <c r="F121" s="84"/>
      <c r="G121" s="54"/>
    </row>
    <row r="122" spans="1:7" outlineLevel="2" x14ac:dyDescent="0.25">
      <c r="A122" s="56">
        <v>28</v>
      </c>
      <c r="B122" s="87"/>
      <c r="C122" s="73"/>
      <c r="D122" s="211"/>
      <c r="E122" s="73" t="e">
        <f t="shared" si="1"/>
        <v>#VALUE!</v>
      </c>
      <c r="F122" s="84"/>
      <c r="G122" s="54"/>
    </row>
    <row r="123" spans="1:7" x14ac:dyDescent="0.25">
      <c r="A123" s="56">
        <v>31</v>
      </c>
      <c r="B123" s="87"/>
      <c r="C123" s="73"/>
      <c r="D123" s="211"/>
      <c r="E123" s="73" t="e">
        <f t="shared" si="1"/>
        <v>#VALUE!</v>
      </c>
      <c r="F123" s="84"/>
      <c r="G123" s="54"/>
    </row>
    <row r="124" spans="1:7" x14ac:dyDescent="0.25">
      <c r="A124" s="235" t="s">
        <v>61</v>
      </c>
      <c r="B124" s="236"/>
      <c r="C124" s="73">
        <f>SUM(C64:C123)</f>
        <v>0</v>
      </c>
      <c r="D124" s="211" t="e">
        <f>SUM(D65:D123)</f>
        <v>#REF!</v>
      </c>
      <c r="E124" s="73"/>
      <c r="F124" s="84"/>
      <c r="G124" s="54"/>
    </row>
  </sheetData>
  <dataConsolidate function="product" topLabels="1">
    <dataRefs count="1">
      <dataRef name="$I$3;$I$4;$I$5;$I$6;$I$7;$I$8;$I$9;$I$10"/>
    </dataRefs>
  </dataConsolidate>
  <mergeCells count="6">
    <mergeCell ref="I63:J63"/>
    <mergeCell ref="A1:G1"/>
    <mergeCell ref="I1:J1"/>
    <mergeCell ref="A60:B60"/>
    <mergeCell ref="A124:B124"/>
    <mergeCell ref="A62:J62"/>
  </mergeCells>
  <pageMargins left="0.511811024" right="0.511811024" top="0.78740157499999996" bottom="0.78740157499999996" header="0.31496062000000002" footer="0.31496062000000002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topLeftCell="A33" zoomScale="96" zoomScaleNormal="96" workbookViewId="0">
      <selection activeCell="B44" sqref="B44:D44"/>
    </sheetView>
  </sheetViews>
  <sheetFormatPr defaultRowHeight="15" x14ac:dyDescent="0.25"/>
  <cols>
    <col min="2" max="2" width="27.140625" customWidth="1"/>
    <col min="5" max="5" width="9.140625" style="80"/>
  </cols>
  <sheetData>
    <row r="1" spans="1:6" x14ac:dyDescent="0.25">
      <c r="A1" s="237" t="s">
        <v>98</v>
      </c>
      <c r="B1" s="237"/>
      <c r="C1" s="237"/>
      <c r="D1" s="237"/>
    </row>
    <row r="2" spans="1:6" ht="22.5" x14ac:dyDescent="0.25">
      <c r="A2" s="59" t="s">
        <v>38</v>
      </c>
      <c r="B2" s="59" t="s">
        <v>52</v>
      </c>
      <c r="C2" s="79" t="s">
        <v>99</v>
      </c>
      <c r="D2" s="79" t="s">
        <v>100</v>
      </c>
      <c r="E2" s="74" t="s">
        <v>102</v>
      </c>
    </row>
    <row r="3" spans="1:6" x14ac:dyDescent="0.25">
      <c r="A3" s="54"/>
      <c r="B3" s="77" t="s">
        <v>101</v>
      </c>
      <c r="C3" s="68"/>
      <c r="D3" s="78"/>
      <c r="E3" s="74">
        <v>-260</v>
      </c>
    </row>
    <row r="4" spans="1:6" x14ac:dyDescent="0.25">
      <c r="A4" s="54">
        <v>1</v>
      </c>
      <c r="B4" s="77" t="s">
        <v>105</v>
      </c>
      <c r="C4" s="73">
        <v>420</v>
      </c>
      <c r="D4" s="73"/>
      <c r="E4" s="74">
        <f t="shared" ref="E4:E52" si="0">E3+C4-D4</f>
        <v>160</v>
      </c>
    </row>
    <row r="5" spans="1:6" x14ac:dyDescent="0.25">
      <c r="A5" s="56">
        <v>2</v>
      </c>
      <c r="B5" s="56" t="s">
        <v>65</v>
      </c>
      <c r="C5" s="73"/>
      <c r="D5" s="73">
        <v>89.12</v>
      </c>
      <c r="E5" s="74">
        <f t="shared" si="0"/>
        <v>70.88</v>
      </c>
    </row>
    <row r="6" spans="1:6" x14ac:dyDescent="0.25">
      <c r="A6" s="56">
        <v>3</v>
      </c>
      <c r="B6" s="56"/>
      <c r="C6" s="73"/>
      <c r="D6" s="73"/>
      <c r="E6" s="74">
        <f t="shared" si="0"/>
        <v>70.88</v>
      </c>
    </row>
    <row r="7" spans="1:6" x14ac:dyDescent="0.25">
      <c r="A7" s="56">
        <v>4</v>
      </c>
      <c r="B7" s="56" t="s">
        <v>105</v>
      </c>
      <c r="C7" s="73">
        <v>450</v>
      </c>
      <c r="D7" s="73"/>
      <c r="E7" s="74">
        <f t="shared" si="0"/>
        <v>520.88</v>
      </c>
    </row>
    <row r="8" spans="1:6" x14ac:dyDescent="0.25">
      <c r="A8" s="56">
        <v>5</v>
      </c>
      <c r="B8" s="56" t="s">
        <v>105</v>
      </c>
      <c r="C8" s="73">
        <v>220</v>
      </c>
      <c r="D8" s="73"/>
      <c r="E8" s="74">
        <f t="shared" si="0"/>
        <v>740.88</v>
      </c>
    </row>
    <row r="9" spans="1:6" x14ac:dyDescent="0.25">
      <c r="A9" s="56">
        <v>5</v>
      </c>
      <c r="B9" s="56" t="s">
        <v>73</v>
      </c>
      <c r="C9" s="73"/>
      <c r="D9" s="73">
        <v>105.16</v>
      </c>
      <c r="E9" s="74">
        <f t="shared" si="0"/>
        <v>635.72</v>
      </c>
    </row>
    <row r="10" spans="1:6" x14ac:dyDescent="0.25">
      <c r="A10" s="56">
        <v>6</v>
      </c>
      <c r="B10" s="56" t="s">
        <v>105</v>
      </c>
      <c r="C10" s="73">
        <v>420</v>
      </c>
      <c r="D10" s="73"/>
      <c r="E10" s="74">
        <f t="shared" si="0"/>
        <v>1055.72</v>
      </c>
    </row>
    <row r="11" spans="1:6" x14ac:dyDescent="0.25">
      <c r="A11" s="56">
        <v>7</v>
      </c>
      <c r="B11" s="56" t="s">
        <v>105</v>
      </c>
      <c r="C11" s="73">
        <v>420</v>
      </c>
      <c r="E11" s="74">
        <f t="shared" si="0"/>
        <v>1475.72</v>
      </c>
    </row>
    <row r="12" spans="1:6" x14ac:dyDescent="0.25">
      <c r="A12" s="56">
        <v>7</v>
      </c>
      <c r="B12" s="56" t="s">
        <v>86</v>
      </c>
      <c r="C12" s="73"/>
      <c r="D12" s="73">
        <v>100</v>
      </c>
      <c r="E12" s="74">
        <f t="shared" si="0"/>
        <v>1375.72</v>
      </c>
      <c r="F12" t="s">
        <v>123</v>
      </c>
    </row>
    <row r="13" spans="1:6" x14ac:dyDescent="0.25">
      <c r="A13" s="56">
        <v>7</v>
      </c>
      <c r="B13" s="56" t="s">
        <v>90</v>
      </c>
      <c r="C13" s="73"/>
      <c r="D13" s="73">
        <v>100</v>
      </c>
      <c r="E13" s="74">
        <f t="shared" si="0"/>
        <v>1275.72</v>
      </c>
      <c r="F13" t="s">
        <v>123</v>
      </c>
    </row>
    <row r="14" spans="1:6" x14ac:dyDescent="0.25">
      <c r="A14" s="56">
        <v>7</v>
      </c>
      <c r="B14" s="56" t="s">
        <v>87</v>
      </c>
      <c r="C14" s="73"/>
      <c r="D14" s="73">
        <v>30</v>
      </c>
      <c r="E14" s="74">
        <f t="shared" si="0"/>
        <v>1245.72</v>
      </c>
      <c r="F14" t="s">
        <v>123</v>
      </c>
    </row>
    <row r="15" spans="1:6" x14ac:dyDescent="0.25">
      <c r="A15" s="56">
        <v>7</v>
      </c>
      <c r="B15" s="56" t="s">
        <v>103</v>
      </c>
      <c r="C15" s="73">
        <v>5439.4</v>
      </c>
      <c r="D15" s="73"/>
      <c r="E15" s="74">
        <f t="shared" si="0"/>
        <v>6685.12</v>
      </c>
    </row>
    <row r="16" spans="1:6" x14ac:dyDescent="0.25">
      <c r="A16" s="56">
        <v>8</v>
      </c>
      <c r="B16" s="56"/>
      <c r="C16" s="73"/>
      <c r="D16" s="73"/>
      <c r="E16" s="74">
        <f t="shared" si="0"/>
        <v>6685.12</v>
      </c>
    </row>
    <row r="17" spans="1:5" x14ac:dyDescent="0.25">
      <c r="A17" s="61">
        <v>44874</v>
      </c>
      <c r="B17" s="56" t="s">
        <v>89</v>
      </c>
      <c r="C17" s="73"/>
      <c r="D17" s="73">
        <v>272.11</v>
      </c>
      <c r="E17" s="74">
        <f t="shared" si="0"/>
        <v>6413.01</v>
      </c>
    </row>
    <row r="18" spans="1:5" x14ac:dyDescent="0.25">
      <c r="A18" s="56">
        <v>10</v>
      </c>
      <c r="B18" s="56" t="s">
        <v>105</v>
      </c>
      <c r="C18" s="73">
        <v>450</v>
      </c>
      <c r="D18" s="73"/>
      <c r="E18" s="74">
        <f t="shared" si="0"/>
        <v>6863.01</v>
      </c>
    </row>
    <row r="19" spans="1:5" x14ac:dyDescent="0.25">
      <c r="A19" s="56">
        <v>10</v>
      </c>
      <c r="B19" s="56" t="s">
        <v>69</v>
      </c>
      <c r="C19" s="73"/>
      <c r="D19" s="73">
        <v>190</v>
      </c>
      <c r="E19" s="74">
        <f t="shared" si="0"/>
        <v>6673.01</v>
      </c>
    </row>
    <row r="20" spans="1:5" x14ac:dyDescent="0.25">
      <c r="A20" s="61">
        <v>44905</v>
      </c>
      <c r="B20" s="56" t="s">
        <v>64</v>
      </c>
      <c r="C20" s="73"/>
      <c r="D20" s="73">
        <v>131.09</v>
      </c>
      <c r="E20" s="74">
        <f t="shared" si="0"/>
        <v>6541.92</v>
      </c>
    </row>
    <row r="21" spans="1:5" x14ac:dyDescent="0.25">
      <c r="A21" s="56">
        <v>10</v>
      </c>
      <c r="B21" s="56" t="s">
        <v>64</v>
      </c>
      <c r="C21" s="73"/>
      <c r="D21" s="73">
        <v>131.63</v>
      </c>
      <c r="E21" s="74">
        <f t="shared" si="0"/>
        <v>6410.29</v>
      </c>
    </row>
    <row r="22" spans="1:5" x14ac:dyDescent="0.25">
      <c r="A22" s="56">
        <v>11</v>
      </c>
      <c r="B22" s="56" t="s">
        <v>68</v>
      </c>
      <c r="C22" s="73"/>
      <c r="D22" s="73">
        <v>1180.1199999999999</v>
      </c>
      <c r="E22" s="74">
        <f t="shared" si="0"/>
        <v>5230.17</v>
      </c>
    </row>
    <row r="23" spans="1:5" x14ac:dyDescent="0.25">
      <c r="A23" s="56">
        <v>12</v>
      </c>
      <c r="B23" s="69" t="s">
        <v>104</v>
      </c>
      <c r="C23" s="76"/>
      <c r="D23" s="76">
        <v>60</v>
      </c>
      <c r="E23" s="74">
        <f t="shared" si="0"/>
        <v>5170.17</v>
      </c>
    </row>
    <row r="24" spans="1:5" x14ac:dyDescent="0.25">
      <c r="A24" s="56">
        <v>13</v>
      </c>
      <c r="B24" s="56"/>
      <c r="C24" s="73"/>
      <c r="D24" s="73"/>
      <c r="E24" s="74">
        <f t="shared" si="0"/>
        <v>5170.17</v>
      </c>
    </row>
    <row r="25" spans="1:5" x14ac:dyDescent="0.25">
      <c r="A25" s="56">
        <v>14</v>
      </c>
      <c r="B25" s="56"/>
      <c r="C25" s="75"/>
      <c r="D25" s="75"/>
      <c r="E25" s="74">
        <f t="shared" si="0"/>
        <v>5170.17</v>
      </c>
    </row>
    <row r="26" spans="1:5" x14ac:dyDescent="0.25">
      <c r="A26" s="56">
        <v>15</v>
      </c>
      <c r="B26" s="56" t="s">
        <v>82</v>
      </c>
      <c r="C26" s="75"/>
      <c r="D26" s="75">
        <v>44.28</v>
      </c>
      <c r="E26" s="74">
        <f t="shared" si="0"/>
        <v>5125.8900000000003</v>
      </c>
    </row>
    <row r="27" spans="1:5" x14ac:dyDescent="0.25">
      <c r="A27" s="56">
        <v>15</v>
      </c>
      <c r="B27" s="56" t="s">
        <v>83</v>
      </c>
      <c r="C27" s="75"/>
      <c r="D27" s="75">
        <v>111.98</v>
      </c>
      <c r="E27" s="74">
        <f t="shared" si="0"/>
        <v>5013.9100000000008</v>
      </c>
    </row>
    <row r="28" spans="1:5" x14ac:dyDescent="0.25">
      <c r="A28" s="56">
        <v>15</v>
      </c>
      <c r="B28" s="56" t="s">
        <v>74</v>
      </c>
      <c r="C28" s="75"/>
      <c r="D28" s="75">
        <v>89.9</v>
      </c>
      <c r="E28" s="74">
        <f t="shared" si="0"/>
        <v>4924.0100000000011</v>
      </c>
    </row>
    <row r="29" spans="1:5" x14ac:dyDescent="0.25">
      <c r="A29" s="56">
        <v>16</v>
      </c>
      <c r="B29" s="56"/>
      <c r="C29" s="73"/>
      <c r="D29" s="73"/>
      <c r="E29" s="74">
        <f t="shared" si="0"/>
        <v>4924.0100000000011</v>
      </c>
    </row>
    <row r="30" spans="1:5" x14ac:dyDescent="0.25">
      <c r="A30" s="56">
        <v>17</v>
      </c>
      <c r="B30" s="54" t="s">
        <v>105</v>
      </c>
      <c r="C30" s="73">
        <v>200</v>
      </c>
      <c r="D30" s="73"/>
      <c r="E30" s="74">
        <f t="shared" si="0"/>
        <v>5124.0100000000011</v>
      </c>
    </row>
    <row r="31" spans="1:5" x14ac:dyDescent="0.25">
      <c r="A31" s="56">
        <v>18</v>
      </c>
      <c r="B31" s="54"/>
      <c r="C31" s="73"/>
      <c r="D31" s="73"/>
      <c r="E31" s="74">
        <f t="shared" si="0"/>
        <v>5124.0100000000011</v>
      </c>
    </row>
    <row r="32" spans="1:5" x14ac:dyDescent="0.25">
      <c r="A32" s="56">
        <v>19</v>
      </c>
      <c r="B32" s="54" t="s">
        <v>105</v>
      </c>
      <c r="C32" s="73">
        <v>420</v>
      </c>
      <c r="D32" s="73"/>
      <c r="E32" s="74">
        <f t="shared" si="0"/>
        <v>5544.0100000000011</v>
      </c>
    </row>
    <row r="33" spans="1:5" x14ac:dyDescent="0.25">
      <c r="A33" s="56">
        <v>20</v>
      </c>
      <c r="B33" s="56" t="s">
        <v>70</v>
      </c>
      <c r="C33" s="73"/>
      <c r="D33" s="73">
        <v>401.5</v>
      </c>
      <c r="E33" s="74">
        <f t="shared" si="0"/>
        <v>5142.5100000000011</v>
      </c>
    </row>
    <row r="34" spans="1:5" x14ac:dyDescent="0.25">
      <c r="A34" s="56">
        <v>20</v>
      </c>
      <c r="B34" s="56" t="s">
        <v>66</v>
      </c>
      <c r="C34" s="73"/>
      <c r="D34" s="73">
        <v>99.9</v>
      </c>
      <c r="E34" s="74">
        <f t="shared" si="0"/>
        <v>5042.6100000000015</v>
      </c>
    </row>
    <row r="35" spans="1:5" x14ac:dyDescent="0.25">
      <c r="A35" s="56">
        <v>20</v>
      </c>
      <c r="B35" s="56" t="s">
        <v>91</v>
      </c>
      <c r="C35" s="76"/>
      <c r="D35" s="81">
        <v>60</v>
      </c>
      <c r="E35" s="74">
        <f t="shared" si="0"/>
        <v>4982.6100000000015</v>
      </c>
    </row>
    <row r="36" spans="1:5" x14ac:dyDescent="0.25">
      <c r="A36" s="56">
        <v>20</v>
      </c>
      <c r="B36" s="69"/>
      <c r="C36" s="76"/>
      <c r="D36" s="76"/>
      <c r="E36" s="74">
        <f t="shared" si="0"/>
        <v>4982.6100000000015</v>
      </c>
    </row>
    <row r="37" spans="1:5" x14ac:dyDescent="0.25">
      <c r="A37" s="56">
        <v>21</v>
      </c>
      <c r="B37" s="56"/>
      <c r="C37" s="73"/>
      <c r="D37" s="73"/>
      <c r="E37" s="74">
        <f t="shared" si="0"/>
        <v>4982.6100000000015</v>
      </c>
    </row>
    <row r="38" spans="1:5" x14ac:dyDescent="0.25">
      <c r="A38" s="69">
        <v>22</v>
      </c>
      <c r="B38" s="69" t="s">
        <v>92</v>
      </c>
      <c r="C38" s="76"/>
      <c r="D38" s="76">
        <v>130</v>
      </c>
      <c r="E38" s="74">
        <f t="shared" si="0"/>
        <v>4852.6100000000015</v>
      </c>
    </row>
    <row r="39" spans="1:5" x14ac:dyDescent="0.25">
      <c r="A39" s="69">
        <v>22</v>
      </c>
      <c r="B39" s="69" t="s">
        <v>96</v>
      </c>
      <c r="C39" s="76"/>
      <c r="D39" s="76">
        <v>30</v>
      </c>
      <c r="E39" s="74">
        <f t="shared" si="0"/>
        <v>4822.6100000000015</v>
      </c>
    </row>
    <row r="40" spans="1:5" x14ac:dyDescent="0.25">
      <c r="A40" s="69">
        <v>22</v>
      </c>
      <c r="B40" s="69" t="s">
        <v>97</v>
      </c>
      <c r="C40" s="76"/>
      <c r="D40" s="76">
        <v>130</v>
      </c>
      <c r="E40" s="74">
        <f t="shared" si="0"/>
        <v>4692.6100000000015</v>
      </c>
    </row>
    <row r="41" spans="1:5" x14ac:dyDescent="0.25">
      <c r="A41" s="82">
        <v>23</v>
      </c>
      <c r="B41" s="56"/>
      <c r="C41" s="73"/>
      <c r="D41" s="73"/>
      <c r="E41" s="74">
        <f t="shared" si="0"/>
        <v>4692.6100000000015</v>
      </c>
    </row>
    <row r="42" spans="1:5" x14ac:dyDescent="0.25">
      <c r="A42" s="56">
        <v>24</v>
      </c>
      <c r="B42" s="56" t="s">
        <v>85</v>
      </c>
      <c r="C42" s="73"/>
      <c r="D42" s="73">
        <v>827.44</v>
      </c>
      <c r="E42" s="74">
        <f t="shared" si="0"/>
        <v>3865.1700000000014</v>
      </c>
    </row>
    <row r="43" spans="1:5" x14ac:dyDescent="0.25">
      <c r="A43" s="61">
        <v>44919</v>
      </c>
      <c r="B43" s="56" t="s">
        <v>84</v>
      </c>
      <c r="C43" s="73"/>
      <c r="D43" s="73">
        <v>833.68</v>
      </c>
      <c r="E43" s="74">
        <f t="shared" si="0"/>
        <v>3031.4900000000016</v>
      </c>
    </row>
    <row r="44" spans="1:5" x14ac:dyDescent="0.25">
      <c r="A44" s="56">
        <v>25</v>
      </c>
      <c r="B44" s="56" t="s">
        <v>106</v>
      </c>
      <c r="C44" s="73"/>
      <c r="D44" s="73">
        <v>401.81</v>
      </c>
      <c r="E44" s="74">
        <f t="shared" si="0"/>
        <v>2629.6800000000017</v>
      </c>
    </row>
    <row r="45" spans="1:5" x14ac:dyDescent="0.25">
      <c r="A45" s="56">
        <v>26</v>
      </c>
      <c r="B45" s="56"/>
      <c r="C45" s="73"/>
      <c r="D45" s="73"/>
      <c r="E45" s="74">
        <f t="shared" si="0"/>
        <v>2629.6800000000017</v>
      </c>
    </row>
    <row r="46" spans="1:5" x14ac:dyDescent="0.25">
      <c r="A46" s="56">
        <v>27</v>
      </c>
      <c r="B46" s="56"/>
      <c r="C46" s="73"/>
      <c r="D46" s="73"/>
      <c r="E46" s="74">
        <f t="shared" si="0"/>
        <v>2629.6800000000017</v>
      </c>
    </row>
    <row r="47" spans="1:5" x14ac:dyDescent="0.25">
      <c r="A47" s="56">
        <v>28</v>
      </c>
      <c r="B47" s="56" t="s">
        <v>71</v>
      </c>
      <c r="C47" s="73"/>
      <c r="D47" s="73">
        <v>55.9</v>
      </c>
      <c r="E47" s="74">
        <f t="shared" si="0"/>
        <v>2573.7800000000016</v>
      </c>
    </row>
    <row r="48" spans="1:5" x14ac:dyDescent="0.25">
      <c r="A48" s="61">
        <v>44923</v>
      </c>
      <c r="B48" s="56" t="s">
        <v>72</v>
      </c>
      <c r="C48" s="73"/>
      <c r="D48" s="73">
        <v>173.8</v>
      </c>
      <c r="E48" s="74">
        <f t="shared" si="0"/>
        <v>2399.9800000000014</v>
      </c>
    </row>
    <row r="49" spans="1:5" x14ac:dyDescent="0.25">
      <c r="A49" s="61">
        <v>29</v>
      </c>
      <c r="B49" s="56"/>
      <c r="C49" s="73"/>
      <c r="D49" s="73"/>
      <c r="E49" s="74">
        <f t="shared" si="0"/>
        <v>2399.9800000000014</v>
      </c>
    </row>
    <row r="50" spans="1:5" x14ac:dyDescent="0.25">
      <c r="A50" s="56">
        <v>30</v>
      </c>
      <c r="B50" s="56" t="s">
        <v>105</v>
      </c>
      <c r="C50" s="73">
        <v>420</v>
      </c>
      <c r="D50" s="73"/>
      <c r="E50" s="74">
        <f t="shared" si="0"/>
        <v>2819.9800000000014</v>
      </c>
    </row>
    <row r="51" spans="1:5" x14ac:dyDescent="0.25">
      <c r="A51" s="61">
        <v>44895</v>
      </c>
      <c r="B51" s="56" t="s">
        <v>88</v>
      </c>
      <c r="C51" s="73"/>
      <c r="D51" s="73">
        <v>324.58999999999997</v>
      </c>
      <c r="E51" s="74">
        <f t="shared" si="0"/>
        <v>2495.3900000000012</v>
      </c>
    </row>
    <row r="52" spans="1:5" x14ac:dyDescent="0.25">
      <c r="A52" s="56">
        <v>31</v>
      </c>
      <c r="B52" s="56" t="s">
        <v>94</v>
      </c>
      <c r="C52" s="73"/>
      <c r="D52" s="73">
        <v>420</v>
      </c>
      <c r="E52" s="74">
        <f t="shared" si="0"/>
        <v>2075.3900000000012</v>
      </c>
    </row>
    <row r="53" spans="1:5" x14ac:dyDescent="0.25">
      <c r="A53" s="235" t="s">
        <v>61</v>
      </c>
      <c r="B53" s="236"/>
      <c r="C53" s="74">
        <f>SUM(C4:C52)</f>
        <v>8859.4</v>
      </c>
      <c r="D53" s="74">
        <f>SUM(D4:D52)</f>
        <v>6524.0100000000011</v>
      </c>
      <c r="E53" s="74"/>
    </row>
  </sheetData>
  <mergeCells count="2">
    <mergeCell ref="A1:D1"/>
    <mergeCell ref="A53:B53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"/>
  <sheetViews>
    <sheetView showWhiteSpace="0" view="pageLayout" zoomScaleNormal="100" workbookViewId="0">
      <selection activeCell="E13" sqref="E13"/>
    </sheetView>
  </sheetViews>
  <sheetFormatPr defaultRowHeight="15" x14ac:dyDescent="0.25"/>
  <cols>
    <col min="1" max="1" width="3.5703125" customWidth="1"/>
    <col min="2" max="2" width="16.28515625" customWidth="1"/>
    <col min="3" max="3" width="6.7109375" customWidth="1"/>
    <col min="4" max="4" width="6.85546875" customWidth="1"/>
    <col min="5" max="5" width="6.7109375" customWidth="1"/>
    <col min="6" max="6" width="5.85546875" customWidth="1"/>
    <col min="7" max="7" width="5.5703125" customWidth="1"/>
    <col min="8" max="8" width="5.42578125" customWidth="1"/>
    <col min="9" max="9" width="5.7109375" customWidth="1"/>
    <col min="10" max="10" width="6" customWidth="1"/>
    <col min="11" max="11" width="5.7109375" customWidth="1"/>
    <col min="12" max="12" width="5.42578125" customWidth="1"/>
    <col min="13" max="13" width="5.28515625" customWidth="1"/>
    <col min="14" max="14" width="6" customWidth="1"/>
    <col min="15" max="15" width="6.5703125" customWidth="1"/>
    <col min="16" max="16" width="10.28515625" customWidth="1"/>
    <col min="17" max="18" width="10.140625" customWidth="1"/>
    <col min="19" max="19" width="10.5703125" customWidth="1"/>
    <col min="20" max="20" width="10.42578125" customWidth="1"/>
    <col min="21" max="21" width="9.85546875" customWidth="1"/>
  </cols>
  <sheetData>
    <row r="1" spans="1:15" x14ac:dyDescent="0.25">
      <c r="A1" s="240" t="s">
        <v>37</v>
      </c>
      <c r="B1" s="240"/>
      <c r="C1" s="240"/>
      <c r="D1" s="238" t="s">
        <v>39</v>
      </c>
      <c r="E1" s="239"/>
      <c r="F1" s="238" t="s">
        <v>40</v>
      </c>
      <c r="G1" s="239"/>
      <c r="H1" s="238" t="s">
        <v>41</v>
      </c>
      <c r="I1" s="239"/>
      <c r="J1" s="238" t="s">
        <v>42</v>
      </c>
      <c r="K1" s="239"/>
      <c r="L1" s="238" t="s">
        <v>43</v>
      </c>
      <c r="M1" s="239"/>
      <c r="N1" s="238" t="s">
        <v>44</v>
      </c>
      <c r="O1" s="239"/>
    </row>
    <row r="2" spans="1:15" ht="33.75" x14ac:dyDescent="0.25">
      <c r="A2" s="59" t="s">
        <v>38</v>
      </c>
      <c r="B2" s="59" t="s">
        <v>52</v>
      </c>
      <c r="C2" s="58" t="s">
        <v>62</v>
      </c>
      <c r="D2" s="58" t="s">
        <v>77</v>
      </c>
      <c r="E2" s="58" t="s">
        <v>78</v>
      </c>
      <c r="F2" s="58" t="s">
        <v>77</v>
      </c>
      <c r="G2" s="58" t="s">
        <v>78</v>
      </c>
      <c r="H2" s="58" t="s">
        <v>77</v>
      </c>
      <c r="I2" s="58" t="s">
        <v>78</v>
      </c>
      <c r="J2" s="58" t="s">
        <v>77</v>
      </c>
      <c r="K2" s="58" t="s">
        <v>78</v>
      </c>
      <c r="L2" s="58" t="s">
        <v>77</v>
      </c>
      <c r="M2" s="58" t="s">
        <v>78</v>
      </c>
      <c r="N2" s="58" t="s">
        <v>77</v>
      </c>
      <c r="O2" s="58" t="s">
        <v>78</v>
      </c>
    </row>
    <row r="3" spans="1:15" x14ac:dyDescent="0.25">
      <c r="A3" s="56">
        <v>1</v>
      </c>
      <c r="B3" s="56" t="s">
        <v>59</v>
      </c>
      <c r="C3" s="56">
        <v>420</v>
      </c>
      <c r="D3" s="62">
        <v>44568</v>
      </c>
      <c r="E3" s="64">
        <v>420</v>
      </c>
      <c r="F3" s="64"/>
      <c r="G3" s="64"/>
      <c r="H3" s="64"/>
      <c r="I3" s="64"/>
      <c r="J3" s="64"/>
      <c r="K3" s="64"/>
      <c r="L3" s="64"/>
      <c r="M3" s="64"/>
      <c r="N3" s="64"/>
      <c r="O3" s="64"/>
    </row>
    <row r="4" spans="1:15" x14ac:dyDescent="0.25">
      <c r="A4" s="56">
        <v>4</v>
      </c>
      <c r="B4" s="56" t="s">
        <v>55</v>
      </c>
      <c r="C4" s="56">
        <v>450</v>
      </c>
      <c r="D4" s="63">
        <v>450</v>
      </c>
      <c r="E4" s="65">
        <v>44569</v>
      </c>
      <c r="F4" s="64"/>
      <c r="G4" s="64"/>
      <c r="H4" s="64"/>
      <c r="I4" s="64"/>
      <c r="J4" s="64"/>
      <c r="K4" s="64"/>
      <c r="L4" s="64"/>
      <c r="M4" s="64"/>
      <c r="N4" s="64"/>
      <c r="O4" s="64"/>
    </row>
    <row r="5" spans="1:15" x14ac:dyDescent="0.25">
      <c r="A5" s="56">
        <v>5</v>
      </c>
      <c r="B5" s="56" t="s">
        <v>57</v>
      </c>
      <c r="C5" s="56">
        <v>220</v>
      </c>
      <c r="D5" s="63">
        <v>220</v>
      </c>
      <c r="E5" s="65">
        <v>44565</v>
      </c>
      <c r="F5" s="64"/>
      <c r="G5" s="64"/>
      <c r="H5" s="64"/>
      <c r="I5" s="64"/>
      <c r="J5" s="64"/>
      <c r="K5" s="64"/>
      <c r="L5" s="64"/>
      <c r="M5" s="64"/>
      <c r="N5" s="64"/>
      <c r="O5" s="64"/>
    </row>
    <row r="6" spans="1:15" x14ac:dyDescent="0.25">
      <c r="A6" s="56">
        <v>6</v>
      </c>
      <c r="B6" s="56" t="s">
        <v>54</v>
      </c>
      <c r="C6" s="56">
        <v>420</v>
      </c>
      <c r="D6" s="62">
        <v>44567</v>
      </c>
      <c r="E6" s="64">
        <v>420</v>
      </c>
      <c r="F6" s="64"/>
      <c r="G6" s="64"/>
      <c r="H6" s="64"/>
      <c r="I6" s="64"/>
      <c r="J6" s="64"/>
      <c r="K6" s="64"/>
      <c r="L6" s="64"/>
      <c r="M6" s="64"/>
      <c r="N6" s="64"/>
      <c r="O6" s="64"/>
    </row>
    <row r="7" spans="1:15" x14ac:dyDescent="0.25">
      <c r="A7" s="56">
        <v>7</v>
      </c>
      <c r="B7" s="56" t="s">
        <v>51</v>
      </c>
      <c r="C7" s="56">
        <v>420</v>
      </c>
      <c r="D7" s="63">
        <v>420</v>
      </c>
      <c r="E7" s="65">
        <v>44569</v>
      </c>
      <c r="F7" s="64"/>
      <c r="G7" s="64"/>
      <c r="H7" s="64"/>
      <c r="I7" s="64"/>
      <c r="J7" s="64"/>
      <c r="K7" s="64"/>
      <c r="L7" s="64"/>
      <c r="M7" s="64"/>
      <c r="N7" s="64"/>
      <c r="O7" s="64"/>
    </row>
    <row r="8" spans="1:15" x14ac:dyDescent="0.25">
      <c r="A8" s="56">
        <v>10</v>
      </c>
      <c r="B8" s="56" t="s">
        <v>60</v>
      </c>
      <c r="C8" s="56">
        <v>450</v>
      </c>
      <c r="D8" s="63">
        <v>450</v>
      </c>
      <c r="E8" s="65">
        <v>44565</v>
      </c>
      <c r="F8" s="64"/>
      <c r="G8" s="64"/>
      <c r="H8" s="64"/>
      <c r="I8" s="64"/>
      <c r="J8" s="64"/>
      <c r="K8" s="64"/>
      <c r="L8" s="64"/>
      <c r="M8" s="64"/>
      <c r="N8" s="64"/>
      <c r="O8" s="64"/>
    </row>
    <row r="9" spans="1:15" x14ac:dyDescent="0.25">
      <c r="A9" s="56">
        <v>17</v>
      </c>
      <c r="B9" s="56" t="s">
        <v>56</v>
      </c>
      <c r="C9" s="56">
        <v>200</v>
      </c>
      <c r="D9" s="63"/>
      <c r="E9" s="64"/>
      <c r="F9" s="64"/>
      <c r="G9" s="64"/>
      <c r="H9" s="64"/>
      <c r="I9" s="64"/>
      <c r="J9" s="64"/>
      <c r="K9" s="64"/>
      <c r="L9" s="64"/>
      <c r="M9" s="64"/>
      <c r="N9" s="64"/>
      <c r="O9" s="64"/>
    </row>
    <row r="10" spans="1:15" x14ac:dyDescent="0.25">
      <c r="A10" s="56">
        <v>19</v>
      </c>
      <c r="B10" s="56" t="s">
        <v>58</v>
      </c>
      <c r="C10" s="56">
        <v>420</v>
      </c>
      <c r="D10" s="63"/>
      <c r="E10" s="64"/>
      <c r="F10" s="64"/>
      <c r="G10" s="64"/>
      <c r="H10" s="64"/>
      <c r="I10" s="64"/>
      <c r="J10" s="64"/>
      <c r="K10" s="64"/>
      <c r="L10" s="64"/>
      <c r="M10" s="64"/>
      <c r="N10" s="64"/>
      <c r="O10" s="64"/>
    </row>
    <row r="11" spans="1:15" x14ac:dyDescent="0.25">
      <c r="A11" s="56">
        <v>30</v>
      </c>
      <c r="B11" s="56" t="s">
        <v>53</v>
      </c>
      <c r="C11" s="56">
        <v>420</v>
      </c>
      <c r="D11" s="63"/>
      <c r="E11" s="64"/>
      <c r="F11" s="64"/>
      <c r="G11" s="64"/>
      <c r="H11" s="64"/>
      <c r="I11" s="64"/>
      <c r="J11" s="64"/>
      <c r="K11" s="64"/>
      <c r="L11" s="64"/>
      <c r="M11" s="64"/>
      <c r="N11" s="64"/>
      <c r="O11" s="64"/>
    </row>
    <row r="12" spans="1:15" x14ac:dyDescent="0.25">
      <c r="A12" s="56"/>
      <c r="B12" s="60" t="s">
        <v>61</v>
      </c>
      <c r="C12" s="56">
        <f>SUM(C3:C11)</f>
        <v>3420</v>
      </c>
      <c r="D12" s="63">
        <f>D4+D5+D7+D8</f>
        <v>1540</v>
      </c>
      <c r="E12" s="64">
        <f>E3+E6</f>
        <v>840</v>
      </c>
      <c r="F12" s="66"/>
      <c r="G12" s="67"/>
      <c r="H12" s="67"/>
      <c r="I12" s="67"/>
      <c r="J12" s="67"/>
      <c r="K12" s="67"/>
      <c r="L12" s="67"/>
      <c r="M12" s="67"/>
      <c r="N12" s="67"/>
      <c r="O12" s="67"/>
    </row>
    <row r="13" spans="1:15" x14ac:dyDescent="0.25">
      <c r="A13" s="55"/>
      <c r="B13" s="56" t="s">
        <v>103</v>
      </c>
      <c r="C13" s="56">
        <v>5439.4</v>
      </c>
      <c r="D13" s="55"/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55"/>
    </row>
    <row r="14" spans="1:15" x14ac:dyDescent="0.25">
      <c r="A14" s="55"/>
      <c r="B14" s="56"/>
      <c r="C14" s="56">
        <f>C12+C13</f>
        <v>8859.4</v>
      </c>
      <c r="D14" s="239" t="s">
        <v>45</v>
      </c>
      <c r="E14" s="240"/>
      <c r="F14" s="238" t="s">
        <v>46</v>
      </c>
      <c r="G14" s="239"/>
      <c r="H14" s="238" t="s">
        <v>47</v>
      </c>
      <c r="I14" s="239"/>
      <c r="J14" s="238" t="s">
        <v>48</v>
      </c>
      <c r="K14" s="239"/>
      <c r="L14" s="238" t="s">
        <v>49</v>
      </c>
      <c r="M14" s="239"/>
      <c r="N14" s="238" t="s">
        <v>50</v>
      </c>
      <c r="O14" s="239"/>
    </row>
    <row r="15" spans="1:15" ht="22.5" x14ac:dyDescent="0.25">
      <c r="A15" s="55"/>
      <c r="B15" s="70" t="s">
        <v>79</v>
      </c>
      <c r="C15" s="70"/>
      <c r="D15" s="58" t="s">
        <v>77</v>
      </c>
      <c r="E15" s="58" t="s">
        <v>78</v>
      </c>
      <c r="F15" s="58" t="s">
        <v>77</v>
      </c>
      <c r="G15" s="58" t="s">
        <v>78</v>
      </c>
      <c r="H15" s="58" t="s">
        <v>77</v>
      </c>
      <c r="I15" s="58" t="s">
        <v>78</v>
      </c>
      <c r="J15" s="58" t="s">
        <v>77</v>
      </c>
      <c r="K15" s="58" t="s">
        <v>78</v>
      </c>
      <c r="L15" s="58" t="s">
        <v>77</v>
      </c>
      <c r="M15" s="58" t="s">
        <v>78</v>
      </c>
      <c r="N15" s="58" t="s">
        <v>77</v>
      </c>
      <c r="O15" s="58" t="s">
        <v>78</v>
      </c>
    </row>
    <row r="16" spans="1:15" x14ac:dyDescent="0.25">
      <c r="A16" s="55"/>
      <c r="B16" s="70" t="s">
        <v>80</v>
      </c>
      <c r="C16" s="71">
        <f>SUM(D12,F12,H12,J12,L12,N12,D22,F22,H22,J22,L22,N22)</f>
        <v>1540</v>
      </c>
      <c r="D16" s="63"/>
      <c r="E16" s="63"/>
      <c r="F16" s="63"/>
      <c r="G16" s="63"/>
      <c r="H16" s="63"/>
      <c r="I16" s="63"/>
      <c r="J16" s="63"/>
      <c r="K16" s="63"/>
      <c r="L16" s="63"/>
      <c r="M16" s="63"/>
      <c r="N16" s="63"/>
      <c r="O16" s="63"/>
    </row>
    <row r="17" spans="1:15" x14ac:dyDescent="0.25">
      <c r="A17" s="55"/>
      <c r="B17" s="70" t="s">
        <v>81</v>
      </c>
      <c r="C17" s="71">
        <f>SUM(E12,G12,I12,K12,M12,O12,E25,G25,I25,K25,M25,O25)</f>
        <v>840</v>
      </c>
      <c r="D17" s="63"/>
      <c r="E17" s="63"/>
      <c r="F17" s="63"/>
      <c r="G17" s="63"/>
      <c r="H17" s="63"/>
      <c r="I17" s="63"/>
      <c r="J17" s="63"/>
      <c r="K17" s="63"/>
      <c r="L17" s="63"/>
      <c r="M17" s="63"/>
      <c r="N17" s="63"/>
      <c r="O17" s="63"/>
    </row>
    <row r="18" spans="1:15" x14ac:dyDescent="0.25">
      <c r="A18" s="55"/>
      <c r="B18" s="70"/>
      <c r="C18" s="70"/>
      <c r="D18" s="63"/>
      <c r="E18" s="63"/>
      <c r="F18" s="63"/>
      <c r="G18" s="63"/>
      <c r="H18" s="63"/>
      <c r="I18" s="63"/>
      <c r="J18" s="63"/>
      <c r="K18" s="63"/>
      <c r="L18" s="63"/>
      <c r="M18" s="63"/>
      <c r="N18" s="63"/>
      <c r="O18" s="63"/>
    </row>
    <row r="19" spans="1:15" x14ac:dyDescent="0.25">
      <c r="A19" s="55"/>
      <c r="C19" s="55"/>
      <c r="D19" s="63"/>
      <c r="E19" s="63"/>
      <c r="F19" s="63"/>
      <c r="G19" s="63"/>
      <c r="H19" s="63"/>
      <c r="I19" s="63"/>
      <c r="J19" s="63"/>
      <c r="K19" s="63"/>
      <c r="L19" s="63"/>
      <c r="M19" s="63"/>
      <c r="N19" s="63"/>
      <c r="O19" s="63"/>
    </row>
    <row r="20" spans="1:15" x14ac:dyDescent="0.25">
      <c r="A20" s="55"/>
      <c r="B20" s="55"/>
      <c r="C20" s="55"/>
      <c r="D20" s="63"/>
      <c r="E20" s="63"/>
      <c r="F20" s="63"/>
      <c r="G20" s="63"/>
      <c r="H20" s="63"/>
      <c r="I20" s="63"/>
      <c r="J20" s="63"/>
      <c r="K20" s="63"/>
      <c r="L20" s="63"/>
      <c r="M20" s="63"/>
      <c r="N20" s="63"/>
      <c r="O20" s="63"/>
    </row>
    <row r="21" spans="1:15" x14ac:dyDescent="0.25">
      <c r="A21" s="55"/>
      <c r="B21" s="55"/>
      <c r="C21" s="55"/>
      <c r="D21" s="63"/>
      <c r="E21" s="63"/>
      <c r="F21" s="63"/>
      <c r="G21" s="63"/>
      <c r="H21" s="63"/>
      <c r="I21" s="63"/>
      <c r="J21" s="63"/>
      <c r="K21" s="63"/>
      <c r="L21" s="63"/>
      <c r="M21" s="63"/>
      <c r="N21" s="63"/>
      <c r="O21" s="63"/>
    </row>
    <row r="22" spans="1:15" x14ac:dyDescent="0.25">
      <c r="A22" s="55"/>
      <c r="B22" s="55"/>
      <c r="C22" s="55"/>
      <c r="D22" s="63"/>
      <c r="E22" s="63"/>
      <c r="F22" s="63"/>
      <c r="G22" s="63"/>
      <c r="H22" s="63"/>
      <c r="I22" s="63"/>
      <c r="J22" s="63"/>
      <c r="K22" s="63"/>
      <c r="L22" s="63"/>
      <c r="M22" s="63"/>
      <c r="N22" s="63"/>
      <c r="O22" s="63"/>
    </row>
    <row r="23" spans="1:15" x14ac:dyDescent="0.25">
      <c r="D23" s="63"/>
      <c r="E23" s="63"/>
      <c r="F23" s="63"/>
      <c r="G23" s="63"/>
      <c r="H23" s="63"/>
      <c r="I23" s="63"/>
      <c r="J23" s="63"/>
      <c r="K23" s="63"/>
      <c r="L23" s="63"/>
      <c r="M23" s="63"/>
      <c r="N23" s="63"/>
      <c r="O23" s="63"/>
    </row>
    <row r="24" spans="1:15" x14ac:dyDescent="0.25">
      <c r="D24" s="63"/>
      <c r="E24" s="63"/>
      <c r="F24" s="63"/>
      <c r="G24" s="63"/>
      <c r="H24" s="63"/>
      <c r="I24" s="63"/>
      <c r="J24" s="63"/>
      <c r="K24" s="63"/>
      <c r="L24" s="63"/>
      <c r="M24" s="63"/>
      <c r="N24" s="63"/>
      <c r="O24" s="63"/>
    </row>
    <row r="25" spans="1:15" x14ac:dyDescent="0.25">
      <c r="B25" s="72"/>
      <c r="C25" s="60" t="s">
        <v>61</v>
      </c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</row>
  </sheetData>
  <mergeCells count="13">
    <mergeCell ref="A1:C1"/>
    <mergeCell ref="D1:E1"/>
    <mergeCell ref="F1:G1"/>
    <mergeCell ref="H1:I1"/>
    <mergeCell ref="J1:K1"/>
    <mergeCell ref="L1:M1"/>
    <mergeCell ref="N1:O1"/>
    <mergeCell ref="F14:G14"/>
    <mergeCell ref="D14:E14"/>
    <mergeCell ref="H14:I14"/>
    <mergeCell ref="J14:K14"/>
    <mergeCell ref="L14:M14"/>
    <mergeCell ref="N14:O14"/>
  </mergeCells>
  <pageMargins left="0.25" right="0.25" top="0.75" bottom="0.75" header="0.3" footer="0.3"/>
  <pageSetup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8"/>
  <sheetViews>
    <sheetView topLeftCell="A20" workbookViewId="0">
      <selection activeCell="A34" sqref="A34:C36"/>
    </sheetView>
  </sheetViews>
  <sheetFormatPr defaultRowHeight="15" x14ac:dyDescent="0.25"/>
  <cols>
    <col min="1" max="1" width="6.7109375" customWidth="1"/>
    <col min="2" max="2" width="37.85546875" customWidth="1"/>
    <col min="3" max="3" width="8.5703125" customWidth="1"/>
  </cols>
  <sheetData>
    <row r="1" spans="1:3" x14ac:dyDescent="0.25">
      <c r="A1" s="241" t="s">
        <v>63</v>
      </c>
      <c r="B1" s="241"/>
      <c r="C1" s="241"/>
    </row>
    <row r="2" spans="1:3" ht="22.5" x14ac:dyDescent="0.25">
      <c r="A2" s="59" t="s">
        <v>38</v>
      </c>
      <c r="B2" s="59" t="s">
        <v>52</v>
      </c>
      <c r="C2" s="58" t="s">
        <v>67</v>
      </c>
    </row>
    <row r="3" spans="1:3" x14ac:dyDescent="0.25">
      <c r="A3" s="54">
        <v>1</v>
      </c>
      <c r="B3" s="54"/>
      <c r="C3" s="73"/>
    </row>
    <row r="4" spans="1:3" x14ac:dyDescent="0.25">
      <c r="A4" s="56">
        <v>2</v>
      </c>
      <c r="B4" s="56" t="s">
        <v>65</v>
      </c>
      <c r="C4" s="73">
        <v>89.12</v>
      </c>
    </row>
    <row r="5" spans="1:3" x14ac:dyDescent="0.25">
      <c r="A5" s="56">
        <v>3</v>
      </c>
      <c r="B5" s="56"/>
      <c r="C5" s="73"/>
    </row>
    <row r="6" spans="1:3" x14ac:dyDescent="0.25">
      <c r="A6" s="56">
        <v>4</v>
      </c>
      <c r="B6" s="56"/>
      <c r="C6" s="73"/>
    </row>
    <row r="7" spans="1:3" x14ac:dyDescent="0.25">
      <c r="A7" s="56">
        <v>5</v>
      </c>
      <c r="B7" s="56" t="s">
        <v>73</v>
      </c>
      <c r="C7" s="73">
        <v>105.16</v>
      </c>
    </row>
    <row r="8" spans="1:3" x14ac:dyDescent="0.25">
      <c r="A8" s="56">
        <v>6</v>
      </c>
      <c r="B8" s="56"/>
      <c r="C8" s="73"/>
    </row>
    <row r="9" spans="1:3" x14ac:dyDescent="0.25">
      <c r="A9" s="56">
        <v>7</v>
      </c>
      <c r="B9" s="56" t="s">
        <v>86</v>
      </c>
      <c r="C9" s="73">
        <v>100</v>
      </c>
    </row>
    <row r="10" spans="1:3" x14ac:dyDescent="0.25">
      <c r="A10" s="56">
        <v>7</v>
      </c>
      <c r="B10" s="56" t="s">
        <v>90</v>
      </c>
      <c r="C10" s="73">
        <v>100</v>
      </c>
    </row>
    <row r="11" spans="1:3" x14ac:dyDescent="0.25">
      <c r="A11" s="56">
        <v>7</v>
      </c>
      <c r="B11" s="56" t="s">
        <v>87</v>
      </c>
      <c r="C11" s="73">
        <v>30</v>
      </c>
    </row>
    <row r="12" spans="1:3" x14ac:dyDescent="0.25">
      <c r="A12" s="56">
        <v>8</v>
      </c>
      <c r="B12" s="56"/>
      <c r="C12" s="73"/>
    </row>
    <row r="13" spans="1:3" x14ac:dyDescent="0.25">
      <c r="A13" s="56">
        <v>9</v>
      </c>
      <c r="B13" s="56"/>
      <c r="C13" s="73"/>
    </row>
    <row r="14" spans="1:3" x14ac:dyDescent="0.25">
      <c r="A14" s="61">
        <v>44904</v>
      </c>
      <c r="B14" s="56" t="s">
        <v>89</v>
      </c>
      <c r="C14" s="73">
        <v>272.11</v>
      </c>
    </row>
    <row r="15" spans="1:3" x14ac:dyDescent="0.25">
      <c r="A15" s="56">
        <v>10</v>
      </c>
      <c r="B15" s="56" t="s">
        <v>69</v>
      </c>
      <c r="C15" s="73">
        <v>190</v>
      </c>
    </row>
    <row r="16" spans="1:3" x14ac:dyDescent="0.25">
      <c r="A16" s="61">
        <v>44905</v>
      </c>
      <c r="B16" s="56" t="s">
        <v>64</v>
      </c>
      <c r="C16" s="73">
        <v>131.09</v>
      </c>
    </row>
    <row r="17" spans="1:3" x14ac:dyDescent="0.25">
      <c r="A17" s="56">
        <v>10</v>
      </c>
      <c r="B17" s="56" t="s">
        <v>64</v>
      </c>
      <c r="C17" s="73">
        <v>131.63</v>
      </c>
    </row>
    <row r="18" spans="1:3" x14ac:dyDescent="0.25">
      <c r="A18" s="56">
        <v>11</v>
      </c>
      <c r="B18" s="56" t="s">
        <v>68</v>
      </c>
      <c r="C18" s="73">
        <v>1180.1199999999999</v>
      </c>
    </row>
    <row r="19" spans="1:3" x14ac:dyDescent="0.25">
      <c r="A19" s="56">
        <v>12</v>
      </c>
      <c r="B19" s="69" t="s">
        <v>75</v>
      </c>
      <c r="C19" s="76">
        <v>50</v>
      </c>
    </row>
    <row r="20" spans="1:3" x14ac:dyDescent="0.25">
      <c r="A20" s="56">
        <v>13</v>
      </c>
      <c r="B20" s="56"/>
      <c r="C20" s="73"/>
    </row>
    <row r="21" spans="1:3" x14ac:dyDescent="0.25">
      <c r="A21" s="56">
        <v>14</v>
      </c>
      <c r="B21" s="56"/>
      <c r="C21" s="75"/>
    </row>
    <row r="22" spans="1:3" x14ac:dyDescent="0.25">
      <c r="A22" s="56">
        <v>15</v>
      </c>
      <c r="B22" s="56" t="s">
        <v>82</v>
      </c>
      <c r="C22" s="75">
        <v>44.28</v>
      </c>
    </row>
    <row r="23" spans="1:3" x14ac:dyDescent="0.25">
      <c r="A23" s="56">
        <v>15</v>
      </c>
      <c r="B23" s="56" t="s">
        <v>83</v>
      </c>
      <c r="C23" s="75">
        <v>111.98</v>
      </c>
    </row>
    <row r="24" spans="1:3" x14ac:dyDescent="0.25">
      <c r="A24" s="56">
        <v>15</v>
      </c>
      <c r="B24" s="56" t="s">
        <v>74</v>
      </c>
      <c r="C24" s="75">
        <v>89.9</v>
      </c>
    </row>
    <row r="25" spans="1:3" x14ac:dyDescent="0.25">
      <c r="A25" s="56">
        <v>16</v>
      </c>
      <c r="B25" s="56"/>
      <c r="C25" s="73"/>
    </row>
    <row r="26" spans="1:3" x14ac:dyDescent="0.25">
      <c r="A26" s="56">
        <v>17</v>
      </c>
      <c r="B26" s="54"/>
      <c r="C26" s="54"/>
    </row>
    <row r="27" spans="1:3" x14ac:dyDescent="0.25">
      <c r="A27" s="56">
        <v>18</v>
      </c>
      <c r="B27" s="54"/>
      <c r="C27" s="54"/>
    </row>
    <row r="28" spans="1:3" x14ac:dyDescent="0.25">
      <c r="A28" s="56">
        <v>19</v>
      </c>
      <c r="B28" s="54"/>
      <c r="C28" s="54"/>
    </row>
    <row r="29" spans="1:3" ht="15.75" customHeight="1" x14ac:dyDescent="0.25">
      <c r="A29" s="56">
        <v>20</v>
      </c>
      <c r="B29" s="56" t="s">
        <v>70</v>
      </c>
      <c r="C29" s="73">
        <v>401.5</v>
      </c>
    </row>
    <row r="30" spans="1:3" x14ac:dyDescent="0.25">
      <c r="A30" s="56">
        <v>20</v>
      </c>
      <c r="B30" s="56" t="s">
        <v>66</v>
      </c>
      <c r="C30" s="73">
        <v>99.9</v>
      </c>
    </row>
    <row r="31" spans="1:3" x14ac:dyDescent="0.25">
      <c r="A31" s="56">
        <v>20</v>
      </c>
      <c r="B31" s="56" t="s">
        <v>91</v>
      </c>
      <c r="C31" s="81">
        <v>60</v>
      </c>
    </row>
    <row r="32" spans="1:3" x14ac:dyDescent="0.25">
      <c r="A32" s="56">
        <v>20</v>
      </c>
      <c r="B32" s="69" t="s">
        <v>95</v>
      </c>
      <c r="C32" s="76">
        <v>60</v>
      </c>
    </row>
    <row r="33" spans="1:3" x14ac:dyDescent="0.25">
      <c r="A33" s="56">
        <v>21</v>
      </c>
      <c r="B33" s="56"/>
      <c r="C33" s="73"/>
    </row>
    <row r="34" spans="1:3" x14ac:dyDescent="0.25">
      <c r="A34" s="69">
        <v>22</v>
      </c>
      <c r="B34" s="69" t="s">
        <v>92</v>
      </c>
      <c r="C34" s="76">
        <v>130</v>
      </c>
    </row>
    <row r="35" spans="1:3" x14ac:dyDescent="0.25">
      <c r="A35" s="69">
        <v>22</v>
      </c>
      <c r="B35" s="69" t="s">
        <v>96</v>
      </c>
      <c r="C35" s="76">
        <v>30</v>
      </c>
    </row>
    <row r="36" spans="1:3" x14ac:dyDescent="0.25">
      <c r="A36" s="69">
        <v>22</v>
      </c>
      <c r="B36" s="69" t="s">
        <v>97</v>
      </c>
      <c r="C36" s="76">
        <v>130</v>
      </c>
    </row>
    <row r="37" spans="1:3" x14ac:dyDescent="0.25">
      <c r="A37" s="56">
        <v>23</v>
      </c>
      <c r="B37" s="56"/>
      <c r="C37" s="76"/>
    </row>
    <row r="38" spans="1:3" x14ac:dyDescent="0.25">
      <c r="A38" s="56">
        <v>24</v>
      </c>
      <c r="B38" s="56" t="s">
        <v>85</v>
      </c>
      <c r="C38" s="73">
        <v>827.44</v>
      </c>
    </row>
    <row r="39" spans="1:3" x14ac:dyDescent="0.25">
      <c r="A39" s="61">
        <v>44919</v>
      </c>
      <c r="B39" s="56" t="s">
        <v>84</v>
      </c>
      <c r="C39" s="73">
        <v>833.68</v>
      </c>
    </row>
    <row r="40" spans="1:3" x14ac:dyDescent="0.25">
      <c r="A40" s="56">
        <v>25</v>
      </c>
      <c r="B40" s="56" t="s">
        <v>93</v>
      </c>
      <c r="C40" s="73">
        <v>401.81</v>
      </c>
    </row>
    <row r="41" spans="1:3" x14ac:dyDescent="0.25">
      <c r="A41" s="56">
        <v>26</v>
      </c>
      <c r="B41" s="56"/>
      <c r="C41" s="73"/>
    </row>
    <row r="42" spans="1:3" x14ac:dyDescent="0.25">
      <c r="A42" s="56">
        <v>27</v>
      </c>
      <c r="B42" s="56"/>
      <c r="C42" s="73"/>
    </row>
    <row r="43" spans="1:3" x14ac:dyDescent="0.25">
      <c r="A43" s="56">
        <v>28</v>
      </c>
      <c r="B43" s="56" t="s">
        <v>71</v>
      </c>
      <c r="C43" s="73">
        <v>55.9</v>
      </c>
    </row>
    <row r="44" spans="1:3" x14ac:dyDescent="0.25">
      <c r="A44" s="61">
        <v>44923</v>
      </c>
      <c r="B44" s="56" t="s">
        <v>72</v>
      </c>
      <c r="C44" s="73">
        <v>173.8</v>
      </c>
    </row>
    <row r="45" spans="1:3" x14ac:dyDescent="0.25">
      <c r="A45" s="61">
        <v>29</v>
      </c>
      <c r="B45" s="56"/>
      <c r="C45" s="73"/>
    </row>
    <row r="46" spans="1:3" x14ac:dyDescent="0.25">
      <c r="A46" s="61">
        <v>44895</v>
      </c>
      <c r="B46" s="56" t="s">
        <v>88</v>
      </c>
      <c r="C46" s="73">
        <v>324.58999999999997</v>
      </c>
    </row>
    <row r="47" spans="1:3" x14ac:dyDescent="0.25">
      <c r="A47" s="56">
        <v>31</v>
      </c>
      <c r="B47" s="56" t="s">
        <v>94</v>
      </c>
      <c r="C47" s="73">
        <v>420</v>
      </c>
    </row>
    <row r="48" spans="1:3" x14ac:dyDescent="0.25">
      <c r="A48" s="235" t="s">
        <v>61</v>
      </c>
      <c r="B48" s="236"/>
      <c r="C48" s="74">
        <f>SUM(C3:C47)</f>
        <v>6574.0100000000011</v>
      </c>
    </row>
  </sheetData>
  <mergeCells count="2">
    <mergeCell ref="A1:C1"/>
    <mergeCell ref="A48:B48"/>
  </mergeCells>
  <pageMargins left="0.511811024" right="0.511811024" top="0.78740157499999996" bottom="0.78740157499999996" header="0.31496062000000002" footer="0.31496062000000002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7"/>
  <sheetViews>
    <sheetView workbookViewId="0">
      <selection activeCell="C19" sqref="C19"/>
    </sheetView>
  </sheetViews>
  <sheetFormatPr defaultRowHeight="15" x14ac:dyDescent="0.25"/>
  <cols>
    <col min="1" max="1" width="6.42578125" customWidth="1"/>
    <col min="2" max="2" width="28.140625" customWidth="1"/>
    <col min="3" max="3" width="29" customWidth="1"/>
  </cols>
  <sheetData>
    <row r="1" spans="1:11" ht="23.25" customHeight="1" x14ac:dyDescent="0.25">
      <c r="A1" s="242" t="s">
        <v>176</v>
      </c>
      <c r="B1" s="242"/>
      <c r="C1" s="242"/>
    </row>
    <row r="2" spans="1:11" ht="23.25" customHeight="1" x14ac:dyDescent="0.25">
      <c r="A2" s="108"/>
      <c r="B2" s="108"/>
      <c r="C2" s="108"/>
      <c r="E2" t="s">
        <v>238</v>
      </c>
      <c r="F2">
        <v>1</v>
      </c>
    </row>
    <row r="3" spans="1:11" x14ac:dyDescent="0.25">
      <c r="A3" s="123" t="s">
        <v>177</v>
      </c>
      <c r="B3" s="126" t="s">
        <v>178</v>
      </c>
      <c r="C3" s="120" t="s">
        <v>185</v>
      </c>
      <c r="E3" t="s">
        <v>239</v>
      </c>
      <c r="F3">
        <v>2</v>
      </c>
      <c r="K3" s="123" t="s">
        <v>177</v>
      </c>
    </row>
    <row r="4" spans="1:11" x14ac:dyDescent="0.25">
      <c r="A4" s="124">
        <v>1</v>
      </c>
      <c r="B4" s="77" t="s">
        <v>179</v>
      </c>
      <c r="C4" s="121" t="str">
        <f>A4&amp;" - "&amp;B4</f>
        <v>1 - DEPOSITO CP MAE</v>
      </c>
      <c r="E4" t="s">
        <v>240</v>
      </c>
      <c r="F4">
        <v>3</v>
      </c>
      <c r="J4" s="119"/>
      <c r="K4" s="122" t="s">
        <v>183</v>
      </c>
    </row>
    <row r="5" spans="1:11" x14ac:dyDescent="0.25">
      <c r="A5" s="124">
        <v>2</v>
      </c>
      <c r="B5" s="77" t="s">
        <v>251</v>
      </c>
      <c r="C5" s="121" t="str">
        <f t="shared" ref="C5:C9" si="0">A5&amp;" - "&amp;B5</f>
        <v>2 - DEPOSITO CP MARGARETH</v>
      </c>
      <c r="E5" t="s">
        <v>241</v>
      </c>
      <c r="F5">
        <v>4</v>
      </c>
    </row>
    <row r="6" spans="1:11" x14ac:dyDescent="0.25">
      <c r="A6" s="124">
        <v>3</v>
      </c>
      <c r="B6" s="77" t="s">
        <v>180</v>
      </c>
      <c r="C6" s="121" t="str">
        <f t="shared" si="0"/>
        <v>3 - DEPOSITO CP DERLON</v>
      </c>
      <c r="E6" t="s">
        <v>242</v>
      </c>
      <c r="F6">
        <v>5</v>
      </c>
    </row>
    <row r="7" spans="1:11" x14ac:dyDescent="0.25">
      <c r="A7" s="124">
        <v>4</v>
      </c>
      <c r="B7" s="111" t="s">
        <v>181</v>
      </c>
      <c r="C7" s="121" t="str">
        <f t="shared" si="0"/>
        <v>4 - CARTAO ALIMENTACAO</v>
      </c>
      <c r="E7" t="s">
        <v>243</v>
      </c>
      <c r="F7">
        <v>6</v>
      </c>
    </row>
    <row r="8" spans="1:11" x14ac:dyDescent="0.25">
      <c r="A8" s="124">
        <v>5</v>
      </c>
      <c r="B8" s="111" t="s">
        <v>182</v>
      </c>
      <c r="C8" s="121" t="str">
        <f t="shared" si="0"/>
        <v>5 - CARTAO DE CREDITO</v>
      </c>
      <c r="E8" t="s">
        <v>244</v>
      </c>
      <c r="F8">
        <v>7</v>
      </c>
    </row>
    <row r="9" spans="1:11" x14ac:dyDescent="0.25">
      <c r="A9" s="125">
        <v>6</v>
      </c>
      <c r="B9" s="111" t="s">
        <v>131</v>
      </c>
      <c r="C9" s="121" t="str">
        <f t="shared" si="0"/>
        <v>6 - EMPRESTIMO</v>
      </c>
      <c r="E9" t="s">
        <v>245</v>
      </c>
      <c r="F9">
        <v>8</v>
      </c>
    </row>
    <row r="10" spans="1:11" x14ac:dyDescent="0.25">
      <c r="A10" s="122" t="s">
        <v>183</v>
      </c>
      <c r="B10" s="127" t="s">
        <v>184</v>
      </c>
      <c r="C10" s="122" t="s">
        <v>183</v>
      </c>
      <c r="E10" t="s">
        <v>246</v>
      </c>
      <c r="F10">
        <v>9</v>
      </c>
    </row>
    <row r="11" spans="1:11" x14ac:dyDescent="0.25">
      <c r="A11" s="77">
        <v>1</v>
      </c>
      <c r="B11" s="87" t="s">
        <v>209</v>
      </c>
      <c r="C11" s="121" t="str">
        <f t="shared" ref="C11:C47" si="1">A11&amp;" - "&amp;B11</f>
        <v>1 - COMISSAO - MANUTENCAO KITNET</v>
      </c>
      <c r="E11" t="s">
        <v>247</v>
      </c>
      <c r="F11">
        <v>10</v>
      </c>
    </row>
    <row r="12" spans="1:11" x14ac:dyDescent="0.25">
      <c r="A12" s="77">
        <v>2</v>
      </c>
      <c r="B12" s="111" t="s">
        <v>65</v>
      </c>
      <c r="C12" s="121" t="str">
        <f t="shared" si="1"/>
        <v>2 - AGUA KITNET</v>
      </c>
      <c r="E12" t="s">
        <v>248</v>
      </c>
      <c r="F12">
        <v>11</v>
      </c>
    </row>
    <row r="13" spans="1:11" x14ac:dyDescent="0.25">
      <c r="A13" s="77">
        <v>3</v>
      </c>
      <c r="B13" s="111" t="s">
        <v>216</v>
      </c>
      <c r="C13" s="121" t="str">
        <f t="shared" si="1"/>
        <v>3 - ENERGIA KITNET</v>
      </c>
      <c r="E13" t="s">
        <v>249</v>
      </c>
      <c r="F13">
        <v>12</v>
      </c>
    </row>
    <row r="14" spans="1:11" x14ac:dyDescent="0.25">
      <c r="A14" s="77">
        <v>4</v>
      </c>
      <c r="B14" s="111" t="s">
        <v>66</v>
      </c>
      <c r="C14" s="121" t="str">
        <f t="shared" si="1"/>
        <v>4 - INTERNET KITNET</v>
      </c>
    </row>
    <row r="15" spans="1:11" x14ac:dyDescent="0.25">
      <c r="A15" s="77">
        <v>5</v>
      </c>
      <c r="B15" s="87" t="s">
        <v>186</v>
      </c>
      <c r="C15" s="121" t="str">
        <f t="shared" si="1"/>
        <v>5 - TAXA DE JUROS</v>
      </c>
    </row>
    <row r="16" spans="1:11" x14ac:dyDescent="0.25">
      <c r="A16" s="77">
        <v>6</v>
      </c>
      <c r="B16" s="111" t="s">
        <v>200</v>
      </c>
      <c r="C16" s="121" t="str">
        <f t="shared" si="1"/>
        <v>6 - SEGURO KITNET</v>
      </c>
    </row>
    <row r="17" spans="1:3" x14ac:dyDescent="0.25">
      <c r="A17" s="77">
        <v>7</v>
      </c>
      <c r="B17" s="111" t="s">
        <v>202</v>
      </c>
      <c r="C17" s="121" t="str">
        <f t="shared" si="1"/>
        <v>7 - SEGURO APT BURITI</v>
      </c>
    </row>
    <row r="18" spans="1:3" x14ac:dyDescent="0.25">
      <c r="A18" s="77">
        <v>8</v>
      </c>
      <c r="B18" s="111" t="s">
        <v>201</v>
      </c>
      <c r="C18" s="121" t="str">
        <f t="shared" si="1"/>
        <v>8 - SEGURO DE VIDA</v>
      </c>
    </row>
    <row r="19" spans="1:3" x14ac:dyDescent="0.25">
      <c r="A19" s="77">
        <v>9</v>
      </c>
      <c r="B19" s="111" t="s">
        <v>203</v>
      </c>
      <c r="C19" s="121" t="str">
        <f t="shared" si="1"/>
        <v>9 - SEGURO EMPRESTIMO</v>
      </c>
    </row>
    <row r="20" spans="1:3" x14ac:dyDescent="0.25">
      <c r="A20" s="77">
        <v>10</v>
      </c>
      <c r="B20" s="87" t="s">
        <v>204</v>
      </c>
      <c r="C20" s="121" t="str">
        <f t="shared" si="1"/>
        <v xml:space="preserve">10 - EMPRESTIMO </v>
      </c>
    </row>
    <row r="21" spans="1:3" x14ac:dyDescent="0.25">
      <c r="A21" s="77">
        <v>11</v>
      </c>
      <c r="B21" s="87" t="s">
        <v>196</v>
      </c>
      <c r="C21" s="121" t="str">
        <f t="shared" si="1"/>
        <v>11 - GAS</v>
      </c>
    </row>
    <row r="22" spans="1:3" x14ac:dyDescent="0.25">
      <c r="A22" s="77">
        <v>12</v>
      </c>
      <c r="B22" s="87" t="s">
        <v>195</v>
      </c>
      <c r="C22" s="121" t="str">
        <f t="shared" si="1"/>
        <v xml:space="preserve">12 - LUZ BURITI  </v>
      </c>
    </row>
    <row r="23" spans="1:3" x14ac:dyDescent="0.25">
      <c r="A23" s="77">
        <v>13</v>
      </c>
      <c r="B23" s="87" t="s">
        <v>194</v>
      </c>
      <c r="C23" s="121" t="str">
        <f t="shared" si="1"/>
        <v xml:space="preserve">13 - AGUA BURITI  </v>
      </c>
    </row>
    <row r="24" spans="1:3" x14ac:dyDescent="0.25">
      <c r="A24" s="77">
        <v>14</v>
      </c>
      <c r="B24" s="87" t="s">
        <v>193</v>
      </c>
      <c r="C24" s="121" t="str">
        <f t="shared" si="1"/>
        <v>14 - COND BURITI</v>
      </c>
    </row>
    <row r="25" spans="1:3" x14ac:dyDescent="0.25">
      <c r="A25" s="77">
        <v>15</v>
      </c>
      <c r="B25" s="87" t="s">
        <v>74</v>
      </c>
      <c r="C25" s="121" t="str">
        <f t="shared" si="1"/>
        <v>15 - INTERNET BURITI  - PRO LABORE</v>
      </c>
    </row>
    <row r="26" spans="1:3" x14ac:dyDescent="0.25">
      <c r="A26" s="77">
        <v>16</v>
      </c>
      <c r="B26" s="88" t="s">
        <v>199</v>
      </c>
      <c r="C26" s="121" t="str">
        <f t="shared" si="1"/>
        <v>16 - PRESTACAO APT PARC</v>
      </c>
    </row>
    <row r="27" spans="1:3" x14ac:dyDescent="0.25">
      <c r="A27" s="77">
        <v>17</v>
      </c>
      <c r="B27" s="87" t="s">
        <v>124</v>
      </c>
      <c r="C27" s="121" t="str">
        <f t="shared" si="1"/>
        <v>17 - GASOLINA</v>
      </c>
    </row>
    <row r="28" spans="1:3" x14ac:dyDescent="0.25">
      <c r="A28" s="77">
        <v>18</v>
      </c>
      <c r="B28" s="87" t="s">
        <v>192</v>
      </c>
      <c r="C28" s="121" t="str">
        <f t="shared" si="1"/>
        <v>18 - CARTAO CAIXA</v>
      </c>
    </row>
    <row r="29" spans="1:3" x14ac:dyDescent="0.25">
      <c r="A29" s="77">
        <v>19</v>
      </c>
      <c r="B29" s="87" t="s">
        <v>191</v>
      </c>
      <c r="C29" s="121" t="str">
        <f t="shared" si="1"/>
        <v xml:space="preserve">19 - CARTAO AME </v>
      </c>
    </row>
    <row r="30" spans="1:3" x14ac:dyDescent="0.25">
      <c r="A30" s="77">
        <v>20</v>
      </c>
      <c r="B30" s="87" t="s">
        <v>198</v>
      </c>
      <c r="C30" s="121" t="str">
        <f t="shared" si="1"/>
        <v>20 - MAO DE OBRA MANUTNECAO APTO BURITI</v>
      </c>
    </row>
    <row r="31" spans="1:3" x14ac:dyDescent="0.25">
      <c r="A31" s="77">
        <v>21</v>
      </c>
      <c r="B31" s="87" t="s">
        <v>188</v>
      </c>
      <c r="C31" s="121" t="str">
        <f t="shared" si="1"/>
        <v>21 - MATERIAIS MANUTENCAO KITNET</v>
      </c>
    </row>
    <row r="32" spans="1:3" x14ac:dyDescent="0.25">
      <c r="A32" s="77">
        <v>22</v>
      </c>
      <c r="B32" s="87" t="s">
        <v>197</v>
      </c>
      <c r="C32" s="121" t="str">
        <f t="shared" si="1"/>
        <v>22 - MAO DE OBRA MANUTENCAO KITNET</v>
      </c>
    </row>
    <row r="33" spans="1:3" x14ac:dyDescent="0.25">
      <c r="A33" s="77">
        <v>23</v>
      </c>
      <c r="B33" s="87" t="s">
        <v>188</v>
      </c>
      <c r="C33" s="121" t="str">
        <f t="shared" si="1"/>
        <v>23 - MATERIAIS MANUTENCAO KITNET</v>
      </c>
    </row>
    <row r="34" spans="1:3" x14ac:dyDescent="0.25">
      <c r="A34" s="77">
        <v>24</v>
      </c>
      <c r="B34" s="87" t="s">
        <v>190</v>
      </c>
      <c r="C34" s="121" t="str">
        <f t="shared" si="1"/>
        <v>24 - REMEDIOS CACHORROS</v>
      </c>
    </row>
    <row r="35" spans="1:3" x14ac:dyDescent="0.25">
      <c r="A35" s="77">
        <v>25</v>
      </c>
      <c r="B35" s="128" t="s">
        <v>189</v>
      </c>
      <c r="C35" s="121" t="str">
        <f t="shared" si="1"/>
        <v>25 - RACAO CACHORROS</v>
      </c>
    </row>
    <row r="36" spans="1:3" x14ac:dyDescent="0.25">
      <c r="A36" s="77">
        <v>26</v>
      </c>
      <c r="B36" s="87" t="s">
        <v>205</v>
      </c>
      <c r="C36" s="121" t="str">
        <f t="shared" si="1"/>
        <v>26 - IPTU</v>
      </c>
    </row>
    <row r="37" spans="1:3" x14ac:dyDescent="0.25">
      <c r="A37" s="77">
        <v>27</v>
      </c>
      <c r="B37" s="87" t="s">
        <v>206</v>
      </c>
      <c r="C37" s="121" t="str">
        <f t="shared" si="1"/>
        <v>27 - IPVA</v>
      </c>
    </row>
    <row r="38" spans="1:3" x14ac:dyDescent="0.25">
      <c r="A38" s="77">
        <v>28</v>
      </c>
      <c r="B38" s="87" t="s">
        <v>207</v>
      </c>
      <c r="C38" s="121" t="str">
        <f t="shared" si="1"/>
        <v>28 - MEI</v>
      </c>
    </row>
    <row r="39" spans="1:3" x14ac:dyDescent="0.25">
      <c r="A39" s="77">
        <v>29</v>
      </c>
      <c r="B39" s="87" t="s">
        <v>187</v>
      </c>
      <c r="C39" s="121" t="str">
        <f t="shared" si="1"/>
        <v>29 - MARMITAS</v>
      </c>
    </row>
    <row r="40" spans="1:3" x14ac:dyDescent="0.25">
      <c r="A40" s="77">
        <v>30</v>
      </c>
      <c r="B40" s="88" t="s">
        <v>203</v>
      </c>
      <c r="C40" s="121" t="str">
        <f t="shared" si="1"/>
        <v>30 - SEGURO EMPRESTIMO</v>
      </c>
    </row>
    <row r="41" spans="1:3" x14ac:dyDescent="0.25">
      <c r="A41" s="77">
        <v>31</v>
      </c>
      <c r="B41" s="56" t="s">
        <v>208</v>
      </c>
      <c r="C41" s="121" t="str">
        <f t="shared" si="1"/>
        <v>31 - AJUDAS FINANCEIRAS</v>
      </c>
    </row>
    <row r="42" spans="1:3" x14ac:dyDescent="0.25">
      <c r="A42" s="77">
        <v>32</v>
      </c>
      <c r="B42" s="129" t="s">
        <v>210</v>
      </c>
      <c r="C42" s="121" t="str">
        <f t="shared" si="1"/>
        <v>32 - ALIMENTACAO</v>
      </c>
    </row>
    <row r="43" spans="1:3" x14ac:dyDescent="0.25">
      <c r="A43" s="77">
        <v>33</v>
      </c>
      <c r="B43" s="129" t="s">
        <v>213</v>
      </c>
      <c r="C43" s="121" t="str">
        <f t="shared" si="1"/>
        <v>33 - SALAO</v>
      </c>
    </row>
    <row r="44" spans="1:3" x14ac:dyDescent="0.25">
      <c r="A44" s="77">
        <v>34</v>
      </c>
      <c r="B44" s="129" t="s">
        <v>211</v>
      </c>
      <c r="C44" s="121" t="str">
        <f t="shared" si="1"/>
        <v>34 - MANUTENCAO CARRO</v>
      </c>
    </row>
    <row r="45" spans="1:3" x14ac:dyDescent="0.25">
      <c r="A45" s="77">
        <v>35</v>
      </c>
      <c r="B45" s="129" t="s">
        <v>212</v>
      </c>
      <c r="C45" s="121" t="str">
        <f t="shared" si="1"/>
        <v>35 - GASOLINA VIAGEM</v>
      </c>
    </row>
    <row r="46" spans="1:3" x14ac:dyDescent="0.25">
      <c r="A46" s="77">
        <v>36</v>
      </c>
      <c r="B46" s="129" t="s">
        <v>214</v>
      </c>
      <c r="C46" s="121" t="str">
        <f t="shared" si="1"/>
        <v>36 - LAZER</v>
      </c>
    </row>
    <row r="47" spans="1:3" x14ac:dyDescent="0.25">
      <c r="A47" s="77">
        <v>37</v>
      </c>
      <c r="B47" s="129" t="s">
        <v>215</v>
      </c>
      <c r="C47" s="121" t="str">
        <f t="shared" si="1"/>
        <v>37 - LOJAS</v>
      </c>
    </row>
  </sheetData>
  <mergeCells count="1">
    <mergeCell ref="A1:C1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7"/>
  <sheetViews>
    <sheetView workbookViewId="0">
      <selection activeCell="G5" sqref="G5:G35"/>
    </sheetView>
  </sheetViews>
  <sheetFormatPr defaultRowHeight="15" x14ac:dyDescent="0.25"/>
  <cols>
    <col min="1" max="1" width="6.7109375" customWidth="1"/>
    <col min="2" max="2" width="11" customWidth="1"/>
    <col min="4" max="4" width="26.140625" customWidth="1"/>
    <col min="5" max="5" width="10.85546875" customWidth="1"/>
    <col min="6" max="6" width="10" customWidth="1"/>
    <col min="7" max="7" width="10.5703125" customWidth="1"/>
    <col min="8" max="8" width="9" customWidth="1"/>
    <col min="9" max="9" width="16.5703125" customWidth="1"/>
    <col min="13" max="13" width="10.42578125" customWidth="1"/>
  </cols>
  <sheetData>
    <row r="1" spans="1:16" x14ac:dyDescent="0.25">
      <c r="B1" s="161" t="s">
        <v>232</v>
      </c>
      <c r="C1" s="159">
        <v>2022</v>
      </c>
      <c r="D1" s="139"/>
      <c r="E1" s="139"/>
      <c r="F1" s="139"/>
      <c r="G1" s="139"/>
    </row>
    <row r="2" spans="1:16" x14ac:dyDescent="0.25">
      <c r="B2" s="159" t="s">
        <v>235</v>
      </c>
      <c r="C2" s="159" t="s">
        <v>239</v>
      </c>
      <c r="D2" s="130">
        <f>VLOOKUP(C2,'Base das contas'!E2:F13,2,0)</f>
        <v>2</v>
      </c>
      <c r="E2" s="139"/>
      <c r="F2" s="139"/>
      <c r="G2" s="139"/>
    </row>
    <row r="4" spans="1:16" ht="42" customHeight="1" x14ac:dyDescent="0.25">
      <c r="A4" s="134" t="s">
        <v>233</v>
      </c>
      <c r="B4" s="136" t="s">
        <v>226</v>
      </c>
      <c r="C4" s="135" t="s">
        <v>217</v>
      </c>
      <c r="D4" s="135" t="s">
        <v>223</v>
      </c>
      <c r="E4" s="136" t="s">
        <v>218</v>
      </c>
      <c r="F4" s="136" t="s">
        <v>219</v>
      </c>
      <c r="G4" s="136" t="s">
        <v>220</v>
      </c>
      <c r="H4" s="136" t="s">
        <v>221</v>
      </c>
      <c r="I4" s="137" t="s">
        <v>227</v>
      </c>
      <c r="M4" s="226"/>
      <c r="N4" s="226"/>
      <c r="O4" s="226"/>
      <c r="P4" s="226"/>
    </row>
    <row r="5" spans="1:16" x14ac:dyDescent="0.25">
      <c r="A5" s="132">
        <f>MONTH(Tabela1[[#This Row],[Data recebimento do credito  ou vencimento da fatura]])</f>
        <v>2</v>
      </c>
      <c r="B5" s="114">
        <f>DATE($C$1,$D$2,1)</f>
        <v>44593</v>
      </c>
      <c r="C5" s="54" t="s">
        <v>177</v>
      </c>
      <c r="D5" s="54" t="s">
        <v>224</v>
      </c>
      <c r="E5" s="117">
        <v>500</v>
      </c>
      <c r="F5" s="168">
        <v>0.02</v>
      </c>
      <c r="G5" s="115">
        <f>Tabela1[[#This Row],[Valor Bruto]]-(Tabela1[[#This Row],[Valor Bruto]]*Tabela1[[#This Row],[Taxa desconto]])</f>
        <v>490</v>
      </c>
      <c r="H5" s="169">
        <v>0</v>
      </c>
      <c r="I5" s="133">
        <v>44593</v>
      </c>
      <c r="M5" s="138"/>
      <c r="N5" s="138"/>
      <c r="O5" s="138"/>
      <c r="P5" s="138"/>
    </row>
    <row r="6" spans="1:16" x14ac:dyDescent="0.25">
      <c r="A6" s="132">
        <f>MONTH(Tabela1[[#This Row],[Data recebimento do credito  ou vencimento da fatura]])</f>
        <v>2</v>
      </c>
      <c r="B6" s="114">
        <v>44595</v>
      </c>
      <c r="C6" s="54" t="s">
        <v>177</v>
      </c>
      <c r="D6" s="54" t="s">
        <v>225</v>
      </c>
      <c r="E6" s="117">
        <v>700</v>
      </c>
      <c r="F6" s="168">
        <v>0</v>
      </c>
      <c r="G6" s="115">
        <f>Tabela1[[#This Row],[Valor Bruto]]-(Tabela1[[#This Row],[Valor Bruto]]*Tabela1[[#This Row],[Taxa desconto]])</f>
        <v>700</v>
      </c>
      <c r="H6" s="169">
        <v>0</v>
      </c>
      <c r="I6" s="133">
        <v>44620</v>
      </c>
    </row>
    <row r="7" spans="1:16" x14ac:dyDescent="0.25">
      <c r="A7" s="132">
        <f>MONTH(Tabela1[[#This Row],[Data recebimento do credito  ou vencimento da fatura]])</f>
        <v>2</v>
      </c>
      <c r="B7" s="114">
        <v>44597</v>
      </c>
      <c r="C7" s="54" t="s">
        <v>177</v>
      </c>
      <c r="D7" s="54" t="s">
        <v>222</v>
      </c>
      <c r="E7" s="117">
        <v>5549.4</v>
      </c>
      <c r="F7" s="168">
        <v>0</v>
      </c>
      <c r="G7" s="115">
        <f>Tabela1[[#This Row],[Valor Bruto]]-(Tabela1[[#This Row],[Valor Bruto]]*Tabela1[[#This Row],[Taxa desconto]])</f>
        <v>5549.4</v>
      </c>
      <c r="H7" s="169">
        <v>0</v>
      </c>
      <c r="I7" s="133">
        <v>44597</v>
      </c>
    </row>
    <row r="8" spans="1:16" x14ac:dyDescent="0.25">
      <c r="A8" s="132">
        <f>MONTH(Tabela1[[#This Row],[Data recebimento do credito  ou vencimento da fatura]])</f>
        <v>2</v>
      </c>
      <c r="B8" s="114">
        <v>44593</v>
      </c>
      <c r="C8" s="54" t="s">
        <v>177</v>
      </c>
      <c r="D8" s="54" t="s">
        <v>267</v>
      </c>
      <c r="E8" s="117">
        <v>420</v>
      </c>
      <c r="F8" s="168">
        <v>0</v>
      </c>
      <c r="G8" s="115">
        <f>Tabela1[[#This Row],[Valor Bruto]]-(Tabela1[[#This Row],[Valor Bruto]]*Tabela1[[#This Row],[Taxa desconto]])</f>
        <v>420</v>
      </c>
      <c r="H8" s="169">
        <v>25</v>
      </c>
      <c r="I8" s="133">
        <v>44620</v>
      </c>
    </row>
    <row r="9" spans="1:16" x14ac:dyDescent="0.25">
      <c r="A9" s="132">
        <f>MONTH(Tabela1[[#This Row],[Data recebimento do credito  ou vencimento da fatura]])</f>
        <v>2</v>
      </c>
      <c r="B9" s="114">
        <v>44597</v>
      </c>
      <c r="C9" s="54" t="s">
        <v>177</v>
      </c>
      <c r="D9" s="54" t="s">
        <v>224</v>
      </c>
      <c r="E9" s="117">
        <v>800</v>
      </c>
      <c r="F9" s="168">
        <v>0</v>
      </c>
      <c r="G9" s="115">
        <f>Tabela1[[#This Row],[Valor Bruto]]-(Tabela1[[#This Row],[Valor Bruto]]*Tabela1[[#This Row],[Taxa desconto]])</f>
        <v>800</v>
      </c>
      <c r="H9" s="169">
        <v>10</v>
      </c>
      <c r="I9" s="133">
        <v>44607</v>
      </c>
    </row>
    <row r="10" spans="1:16" x14ac:dyDescent="0.25">
      <c r="A10" s="132">
        <f>MONTH(Tabela1[[#This Row],[Data recebimento do credito  ou vencimento da fatura]])</f>
        <v>4</v>
      </c>
      <c r="B10" s="114"/>
      <c r="C10" s="54"/>
      <c r="D10" s="54"/>
      <c r="E10" s="74"/>
      <c r="F10" s="168">
        <v>0</v>
      </c>
      <c r="G10" s="115">
        <f>Tabela1[[#This Row],[Valor Bruto]]-(Tabela1[[#This Row],[Valor Bruto]]*Tabela1[[#This Row],[Taxa desconto]])</f>
        <v>0</v>
      </c>
      <c r="H10" s="169"/>
      <c r="I10" s="133">
        <v>44666</v>
      </c>
    </row>
    <row r="11" spans="1:16" x14ac:dyDescent="0.25">
      <c r="A11" s="132">
        <f>MONTH(Tabela1[[#This Row],[Data recebimento do credito  ou vencimento da fatura]])</f>
        <v>1</v>
      </c>
      <c r="B11" s="114"/>
      <c r="C11" s="54"/>
      <c r="D11" s="54"/>
      <c r="E11" s="74"/>
      <c r="F11" s="168"/>
      <c r="G11" s="115">
        <f>Tabela1[[#This Row],[Valor Bruto]]-(Tabela1[[#This Row],[Valor Bruto]]*Tabela1[[#This Row],[Taxa desconto]])</f>
        <v>0</v>
      </c>
      <c r="H11" s="169"/>
      <c r="I11" s="133"/>
    </row>
    <row r="12" spans="1:16" x14ac:dyDescent="0.25">
      <c r="A12" s="132">
        <f>MONTH(Tabela1[[#This Row],[Data recebimento do credito  ou vencimento da fatura]])</f>
        <v>1</v>
      </c>
      <c r="B12" s="114"/>
      <c r="C12" s="54"/>
      <c r="D12" s="54"/>
      <c r="E12" s="74"/>
      <c r="F12" s="168"/>
      <c r="G12" s="115">
        <f>Tabela1[[#This Row],[Valor Bruto]]-(Tabela1[[#This Row],[Valor Bruto]]*Tabela1[[#This Row],[Taxa desconto]])</f>
        <v>0</v>
      </c>
      <c r="H12" s="169"/>
      <c r="I12" s="133"/>
    </row>
    <row r="13" spans="1:16" x14ac:dyDescent="0.25">
      <c r="A13" s="132">
        <f>MONTH(Tabela1[[#This Row],[Data recebimento do credito  ou vencimento da fatura]])</f>
        <v>1</v>
      </c>
      <c r="B13" s="114"/>
      <c r="C13" s="54"/>
      <c r="D13" s="54"/>
      <c r="E13" s="74"/>
      <c r="F13" s="168"/>
      <c r="G13" s="115">
        <f>Tabela1[[#This Row],[Valor Bruto]]-(Tabela1[[#This Row],[Valor Bruto]]*Tabela1[[#This Row],[Taxa desconto]])</f>
        <v>0</v>
      </c>
      <c r="H13" s="169"/>
      <c r="I13" s="133"/>
    </row>
    <row r="14" spans="1:16" x14ac:dyDescent="0.25">
      <c r="A14" s="132">
        <f>MONTH(Tabela1[[#This Row],[Data recebimento do credito  ou vencimento da fatura]])</f>
        <v>1</v>
      </c>
      <c r="B14" s="114"/>
      <c r="C14" s="54"/>
      <c r="D14" s="54"/>
      <c r="E14" s="74"/>
      <c r="F14" s="168"/>
      <c r="G14" s="115">
        <f>Tabela1[[#This Row],[Valor Bruto]]-(Tabela1[[#This Row],[Valor Bruto]]*Tabela1[[#This Row],[Taxa desconto]])</f>
        <v>0</v>
      </c>
      <c r="H14" s="169"/>
      <c r="I14" s="133"/>
    </row>
    <row r="15" spans="1:16" x14ac:dyDescent="0.25">
      <c r="A15" s="132">
        <f>MONTH(Tabela1[[#This Row],[Data recebimento do credito  ou vencimento da fatura]])</f>
        <v>1</v>
      </c>
      <c r="B15" s="114"/>
      <c r="C15" s="54"/>
      <c r="D15" s="54"/>
      <c r="E15" s="74"/>
      <c r="F15" s="168"/>
      <c r="G15" s="115">
        <f>Tabela1[[#This Row],[Valor Bruto]]-(Tabela1[[#This Row],[Valor Bruto]]*Tabela1[[#This Row],[Taxa desconto]])</f>
        <v>0</v>
      </c>
      <c r="H15" s="169"/>
      <c r="I15" s="133"/>
    </row>
    <row r="16" spans="1:16" x14ac:dyDescent="0.25">
      <c r="A16" s="132">
        <f>MONTH(Tabela1[[#This Row],[Data recebimento do credito  ou vencimento da fatura]])</f>
        <v>1</v>
      </c>
      <c r="B16" s="114"/>
      <c r="C16" s="54"/>
      <c r="D16" s="54"/>
      <c r="E16" s="74"/>
      <c r="F16" s="168"/>
      <c r="G16" s="115">
        <f>Tabela1[[#This Row],[Valor Bruto]]-(Tabela1[[#This Row],[Valor Bruto]]*Tabela1[[#This Row],[Taxa desconto]])</f>
        <v>0</v>
      </c>
      <c r="H16" s="169"/>
      <c r="I16" s="133"/>
    </row>
    <row r="17" spans="1:9" x14ac:dyDescent="0.25">
      <c r="A17" s="132">
        <f>MONTH(Tabela1[[#This Row],[Data recebimento do credito  ou vencimento da fatura]])</f>
        <v>1</v>
      </c>
      <c r="B17" s="114"/>
      <c r="C17" s="54"/>
      <c r="D17" s="54"/>
      <c r="E17" s="74"/>
      <c r="F17" s="168"/>
      <c r="G17" s="115">
        <f>Tabela1[[#This Row],[Valor Bruto]]-(Tabela1[[#This Row],[Valor Bruto]]*Tabela1[[#This Row],[Taxa desconto]])</f>
        <v>0</v>
      </c>
      <c r="H17" s="169"/>
      <c r="I17" s="133"/>
    </row>
    <row r="18" spans="1:9" x14ac:dyDescent="0.25">
      <c r="A18" s="132">
        <f>MONTH(Tabela1[[#This Row],[Data recebimento do credito  ou vencimento da fatura]])</f>
        <v>1</v>
      </c>
      <c r="B18" s="114"/>
      <c r="C18" s="54"/>
      <c r="D18" s="54"/>
      <c r="E18" s="74"/>
      <c r="F18" s="168"/>
      <c r="G18" s="115">
        <f>Tabela1[[#This Row],[Valor Bruto]]-(Tabela1[[#This Row],[Valor Bruto]]*Tabela1[[#This Row],[Taxa desconto]])</f>
        <v>0</v>
      </c>
      <c r="H18" s="169"/>
      <c r="I18" s="133"/>
    </row>
    <row r="19" spans="1:9" x14ac:dyDescent="0.25">
      <c r="A19" s="132">
        <f>MONTH(Tabela1[[#This Row],[Data recebimento do credito  ou vencimento da fatura]])</f>
        <v>1</v>
      </c>
      <c r="B19" s="114"/>
      <c r="C19" s="54"/>
      <c r="D19" s="54"/>
      <c r="E19" s="74"/>
      <c r="F19" s="168"/>
      <c r="G19" s="115">
        <f>Tabela1[[#This Row],[Valor Bruto]]-(Tabela1[[#This Row],[Valor Bruto]]*Tabela1[[#This Row],[Taxa desconto]])</f>
        <v>0</v>
      </c>
      <c r="H19" s="169"/>
      <c r="I19" s="133"/>
    </row>
    <row r="20" spans="1:9" x14ac:dyDescent="0.25">
      <c r="A20" s="132">
        <f>MONTH(Tabela1[[#This Row],[Data recebimento do credito  ou vencimento da fatura]])</f>
        <v>1</v>
      </c>
      <c r="B20" s="114"/>
      <c r="C20" s="54"/>
      <c r="D20" s="54"/>
      <c r="E20" s="74"/>
      <c r="F20" s="168"/>
      <c r="G20" s="115">
        <f>Tabela1[[#This Row],[Valor Bruto]]-(Tabela1[[#This Row],[Valor Bruto]]*Tabela1[[#This Row],[Taxa desconto]])</f>
        <v>0</v>
      </c>
      <c r="H20" s="169"/>
      <c r="I20" s="133"/>
    </row>
    <row r="21" spans="1:9" x14ac:dyDescent="0.25">
      <c r="A21" s="132">
        <f>MONTH(Tabela1[[#This Row],[Data recebimento do credito  ou vencimento da fatura]])</f>
        <v>1</v>
      </c>
      <c r="B21" s="114"/>
      <c r="C21" s="54"/>
      <c r="D21" s="54"/>
      <c r="E21" s="74"/>
      <c r="F21" s="168"/>
      <c r="G21" s="115">
        <f>Tabela1[[#This Row],[Valor Bruto]]-(Tabela1[[#This Row],[Valor Bruto]]*Tabela1[[#This Row],[Taxa desconto]])</f>
        <v>0</v>
      </c>
      <c r="H21" s="169"/>
      <c r="I21" s="133"/>
    </row>
    <row r="22" spans="1:9" x14ac:dyDescent="0.25">
      <c r="A22" s="132">
        <f>MONTH(Tabela1[[#This Row],[Data recebimento do credito  ou vencimento da fatura]])</f>
        <v>1</v>
      </c>
      <c r="B22" s="114"/>
      <c r="C22" s="54"/>
      <c r="D22" s="54"/>
      <c r="E22" s="74"/>
      <c r="F22" s="168"/>
      <c r="G22" s="115">
        <f>Tabela1[[#This Row],[Valor Bruto]]-(Tabela1[[#This Row],[Valor Bruto]]*Tabela1[[#This Row],[Taxa desconto]])</f>
        <v>0</v>
      </c>
      <c r="H22" s="169"/>
      <c r="I22" s="133"/>
    </row>
    <row r="23" spans="1:9" x14ac:dyDescent="0.25">
      <c r="A23" s="132">
        <f>MONTH(Tabela1[[#This Row],[Data recebimento do credito  ou vencimento da fatura]])</f>
        <v>1</v>
      </c>
      <c r="B23" s="114"/>
      <c r="C23" s="54"/>
      <c r="D23" s="54"/>
      <c r="E23" s="74"/>
      <c r="F23" s="168"/>
      <c r="G23" s="115">
        <f>Tabela1[[#This Row],[Valor Bruto]]-(Tabela1[[#This Row],[Valor Bruto]]*Tabela1[[#This Row],[Taxa desconto]])</f>
        <v>0</v>
      </c>
      <c r="H23" s="169"/>
      <c r="I23" s="133"/>
    </row>
    <row r="24" spans="1:9" x14ac:dyDescent="0.25">
      <c r="A24" s="132">
        <f>MONTH(Tabela1[[#This Row],[Data recebimento do credito  ou vencimento da fatura]])</f>
        <v>1</v>
      </c>
      <c r="B24" s="114"/>
      <c r="C24" s="54"/>
      <c r="D24" s="54"/>
      <c r="E24" s="74"/>
      <c r="F24" s="168"/>
      <c r="G24" s="115">
        <f>Tabela1[[#This Row],[Valor Bruto]]-(Tabela1[[#This Row],[Valor Bruto]]*Tabela1[[#This Row],[Taxa desconto]])</f>
        <v>0</v>
      </c>
      <c r="H24" s="169"/>
      <c r="I24" s="133"/>
    </row>
    <row r="25" spans="1:9" x14ac:dyDescent="0.25">
      <c r="A25" s="132">
        <f>MONTH(Tabela1[[#This Row],[Data recebimento do credito  ou vencimento da fatura]])</f>
        <v>1</v>
      </c>
      <c r="B25" s="114"/>
      <c r="C25" s="54"/>
      <c r="D25" s="54"/>
      <c r="E25" s="74"/>
      <c r="F25" s="168"/>
      <c r="G25" s="115">
        <f>Tabela1[[#This Row],[Valor Bruto]]-(Tabela1[[#This Row],[Valor Bruto]]*Tabela1[[#This Row],[Taxa desconto]])</f>
        <v>0</v>
      </c>
      <c r="H25" s="169"/>
      <c r="I25" s="133"/>
    </row>
    <row r="26" spans="1:9" x14ac:dyDescent="0.25">
      <c r="A26" s="132">
        <f>MONTH(Tabela1[[#This Row],[Data recebimento do credito  ou vencimento da fatura]])</f>
        <v>1</v>
      </c>
      <c r="B26" s="114"/>
      <c r="C26" s="54"/>
      <c r="D26" s="54"/>
      <c r="E26" s="74"/>
      <c r="F26" s="168"/>
      <c r="G26" s="115">
        <f>Tabela1[[#This Row],[Valor Bruto]]-(Tabela1[[#This Row],[Valor Bruto]]*Tabela1[[#This Row],[Taxa desconto]])</f>
        <v>0</v>
      </c>
      <c r="H26" s="169"/>
      <c r="I26" s="133"/>
    </row>
    <row r="27" spans="1:9" x14ac:dyDescent="0.25">
      <c r="A27" s="132">
        <f>MONTH(Tabela1[[#This Row],[Data recebimento do credito  ou vencimento da fatura]])</f>
        <v>1</v>
      </c>
      <c r="B27" s="114"/>
      <c r="C27" s="54"/>
      <c r="D27" s="54"/>
      <c r="E27" s="74"/>
      <c r="F27" s="168"/>
      <c r="G27" s="115">
        <f>Tabela1[[#This Row],[Valor Bruto]]-(Tabela1[[#This Row],[Valor Bruto]]*Tabela1[[#This Row],[Taxa desconto]])</f>
        <v>0</v>
      </c>
      <c r="H27" s="169"/>
      <c r="I27" s="133"/>
    </row>
    <row r="28" spans="1:9" x14ac:dyDescent="0.25">
      <c r="A28" s="132">
        <f>MONTH(Tabela1[[#This Row],[Data recebimento do credito  ou vencimento da fatura]])</f>
        <v>1</v>
      </c>
      <c r="B28" s="114"/>
      <c r="C28" s="54"/>
      <c r="D28" s="54"/>
      <c r="E28" s="74"/>
      <c r="F28" s="168"/>
      <c r="G28" s="115">
        <f>Tabela1[[#This Row],[Valor Bruto]]-(Tabela1[[#This Row],[Valor Bruto]]*Tabela1[[#This Row],[Taxa desconto]])</f>
        <v>0</v>
      </c>
      <c r="H28" s="169"/>
      <c r="I28" s="133"/>
    </row>
    <row r="29" spans="1:9" x14ac:dyDescent="0.25">
      <c r="A29" s="132">
        <f>MONTH(Tabela1[[#This Row],[Data recebimento do credito  ou vencimento da fatura]])</f>
        <v>1</v>
      </c>
      <c r="B29" s="114"/>
      <c r="C29" s="54"/>
      <c r="D29" s="54"/>
      <c r="E29" s="74"/>
      <c r="F29" s="168"/>
      <c r="G29" s="115">
        <f>Tabela1[[#This Row],[Valor Bruto]]-(Tabela1[[#This Row],[Valor Bruto]]*Tabela1[[#This Row],[Taxa desconto]])</f>
        <v>0</v>
      </c>
      <c r="H29" s="169"/>
      <c r="I29" s="133"/>
    </row>
    <row r="30" spans="1:9" x14ac:dyDescent="0.25">
      <c r="A30" s="132">
        <f>MONTH(Tabela1[[#This Row],[Data recebimento do credito  ou vencimento da fatura]])</f>
        <v>1</v>
      </c>
      <c r="B30" s="114"/>
      <c r="C30" s="54"/>
      <c r="D30" s="54"/>
      <c r="E30" s="74"/>
      <c r="F30" s="168"/>
      <c r="G30" s="115">
        <f>Tabela1[[#This Row],[Valor Bruto]]-(Tabela1[[#This Row],[Valor Bruto]]*Tabela1[[#This Row],[Taxa desconto]])</f>
        <v>0</v>
      </c>
      <c r="H30" s="169"/>
      <c r="I30" s="133"/>
    </row>
    <row r="31" spans="1:9" x14ac:dyDescent="0.25">
      <c r="A31" s="132">
        <f>MONTH(Tabela1[[#This Row],[Data recebimento do credito  ou vencimento da fatura]])</f>
        <v>1</v>
      </c>
      <c r="B31" s="114"/>
      <c r="C31" s="54"/>
      <c r="D31" s="54"/>
      <c r="E31" s="74"/>
      <c r="F31" s="168"/>
      <c r="G31" s="115">
        <f>Tabela1[[#This Row],[Valor Bruto]]-(Tabela1[[#This Row],[Valor Bruto]]*Tabela1[[#This Row],[Taxa desconto]])</f>
        <v>0</v>
      </c>
      <c r="H31" s="169"/>
      <c r="I31" s="133"/>
    </row>
    <row r="32" spans="1:9" x14ac:dyDescent="0.25">
      <c r="A32" s="132">
        <f>MONTH(Tabela1[[#This Row],[Data recebimento do credito  ou vencimento da fatura]])</f>
        <v>1</v>
      </c>
      <c r="B32" s="114"/>
      <c r="C32" s="54"/>
      <c r="D32" s="54"/>
      <c r="E32" s="74"/>
      <c r="F32" s="168"/>
      <c r="G32" s="115">
        <f>Tabela1[[#This Row],[Valor Bruto]]-(Tabela1[[#This Row],[Valor Bruto]]*Tabela1[[#This Row],[Taxa desconto]])</f>
        <v>0</v>
      </c>
      <c r="H32" s="169"/>
      <c r="I32" s="133"/>
    </row>
    <row r="33" spans="1:9" x14ac:dyDescent="0.25">
      <c r="A33" s="132">
        <f>MONTH(Tabela1[[#This Row],[Data recebimento do credito  ou vencimento da fatura]])</f>
        <v>1</v>
      </c>
      <c r="B33" s="114"/>
      <c r="C33" s="54"/>
      <c r="D33" s="54"/>
      <c r="E33" s="74"/>
      <c r="F33" s="168"/>
      <c r="G33" s="115">
        <f>Tabela1[[#This Row],[Valor Bruto]]-(Tabela1[[#This Row],[Valor Bruto]]*Tabela1[[#This Row],[Taxa desconto]])</f>
        <v>0</v>
      </c>
      <c r="H33" s="169"/>
      <c r="I33" s="133"/>
    </row>
    <row r="34" spans="1:9" x14ac:dyDescent="0.25">
      <c r="A34" s="132">
        <f>MONTH(Tabela1[[#This Row],[Data recebimento do credito  ou vencimento da fatura]])</f>
        <v>1</v>
      </c>
      <c r="B34" s="114"/>
      <c r="C34" s="54"/>
      <c r="D34" s="54"/>
      <c r="E34" s="74"/>
      <c r="F34" s="168"/>
      <c r="G34" s="115">
        <f>Tabela1[[#This Row],[Valor Bruto]]-(Tabela1[[#This Row],[Valor Bruto]]*Tabela1[[#This Row],[Taxa desconto]])</f>
        <v>0</v>
      </c>
      <c r="H34" s="169"/>
      <c r="I34" s="133"/>
    </row>
    <row r="35" spans="1:9" x14ac:dyDescent="0.25">
      <c r="A35" s="132">
        <f>MONTH(Tabela1[[#This Row],[Data recebimento do credito  ou vencimento da fatura]])</f>
        <v>1</v>
      </c>
      <c r="B35" s="114"/>
      <c r="C35" s="54"/>
      <c r="D35" s="54"/>
      <c r="E35" s="74"/>
      <c r="F35" s="168"/>
      <c r="G35" s="115">
        <f>Tabela1[[#This Row],[Valor Bruto]]-(Tabela1[[#This Row],[Valor Bruto]]*Tabela1[[#This Row],[Taxa desconto]])</f>
        <v>0</v>
      </c>
      <c r="H35" s="169"/>
      <c r="I35" s="133"/>
    </row>
    <row r="36" spans="1:9" x14ac:dyDescent="0.25">
      <c r="I36" s="140"/>
    </row>
    <row r="37" spans="1:9" x14ac:dyDescent="0.25">
      <c r="I37" s="140"/>
    </row>
  </sheetData>
  <mergeCells count="1">
    <mergeCell ref="M4:P4"/>
  </mergeCells>
  <dataValidations count="1">
    <dataValidation type="date" operator="greaterThan" allowBlank="1" showInputMessage="1" showErrorMessage="1" sqref="B5:B9 B11:B35 I5:I9 I11:I35">
      <formula1>44561</formula1>
    </dataValidation>
  </dataValidations>
  <pageMargins left="0.511811024" right="0.511811024" top="0.78740157499999996" bottom="0.78740157499999996" header="0.31496062000000002" footer="0.31496062000000002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'Base das contas'!$E$2:$E$13</xm:f>
          </x14:formula1>
          <xm:sqref>C2</xm:sqref>
        </x14:dataValidation>
        <x14:dataValidation type="list" allowBlank="1" showInputMessage="1" showErrorMessage="1">
          <x14:formula1>
            <xm:f>'Base das contas'!$K$3:$K$4</xm:f>
          </x14:formula1>
          <xm:sqref>C5:C9 C11:C35</xm:sqref>
        </x14:dataValidation>
        <x14:dataValidation type="list" allowBlank="1" showInputMessage="1" showErrorMessage="1">
          <x14:formula1>
            <xm:f>IF(C5="Entrada",'Base das contas'!$C$4:$C$9,'Base das contas'!$C$11:$C$47)</xm:f>
          </x14:formula1>
          <xm:sqref>D5:D9 D11:D35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topLeftCell="B6" workbookViewId="0">
      <selection activeCell="I17" sqref="I17"/>
    </sheetView>
  </sheetViews>
  <sheetFormatPr defaultRowHeight="15" x14ac:dyDescent="0.25"/>
  <cols>
    <col min="1" max="1" width="5.5703125" hidden="1" customWidth="1"/>
    <col min="2" max="2" width="10.7109375" bestFit="1" customWidth="1"/>
    <col min="4" max="4" width="14.5703125" customWidth="1"/>
    <col min="5" max="5" width="13.85546875" customWidth="1"/>
    <col min="6" max="6" width="15" customWidth="1"/>
    <col min="7" max="7" width="16.85546875" customWidth="1"/>
  </cols>
  <sheetData>
    <row r="1" spans="1:8" x14ac:dyDescent="0.25">
      <c r="A1" s="131"/>
      <c r="B1" s="226"/>
      <c r="C1" s="141" t="s">
        <v>232</v>
      </c>
      <c r="D1" s="160">
        <v>2022</v>
      </c>
      <c r="F1" s="139"/>
      <c r="G1" s="139"/>
      <c r="H1" s="138"/>
    </row>
    <row r="2" spans="1:8" x14ac:dyDescent="0.25">
      <c r="A2" s="138"/>
      <c r="B2" s="226"/>
      <c r="C2" s="159" t="s">
        <v>235</v>
      </c>
      <c r="D2" s="159" t="s">
        <v>239</v>
      </c>
      <c r="E2" s="159">
        <v>2</v>
      </c>
      <c r="F2" s="139"/>
      <c r="G2" s="139"/>
      <c r="H2" s="138"/>
    </row>
    <row r="3" spans="1:8" x14ac:dyDescent="0.25">
      <c r="A3" s="138"/>
      <c r="B3" s="226"/>
      <c r="C3" s="138"/>
      <c r="D3" s="138"/>
      <c r="E3" s="138"/>
      <c r="F3" s="138"/>
      <c r="G3" s="138"/>
    </row>
    <row r="4" spans="1:8" x14ac:dyDescent="0.25">
      <c r="A4" s="142" t="s">
        <v>265</v>
      </c>
      <c r="B4" s="144" t="s">
        <v>174</v>
      </c>
      <c r="C4" s="144" t="s">
        <v>236</v>
      </c>
      <c r="D4" s="145" t="s">
        <v>229</v>
      </c>
      <c r="E4" s="145" t="s">
        <v>234</v>
      </c>
      <c r="F4" s="146" t="s">
        <v>230</v>
      </c>
      <c r="G4" s="147" t="s">
        <v>231</v>
      </c>
    </row>
    <row r="5" spans="1:8" s="116" customFormat="1" ht="12" customHeight="1" x14ac:dyDescent="0.25">
      <c r="A5" s="148"/>
      <c r="B5" s="155"/>
      <c r="C5" s="144"/>
      <c r="D5" s="149" t="s">
        <v>228</v>
      </c>
      <c r="E5" s="150" t="s">
        <v>164</v>
      </c>
      <c r="F5" s="151"/>
      <c r="G5" s="151"/>
    </row>
    <row r="6" spans="1:8" ht="30" customHeight="1" x14ac:dyDescent="0.25">
      <c r="A6" s="148"/>
      <c r="B6" s="156"/>
      <c r="C6" s="152"/>
      <c r="D6" s="149" t="s">
        <v>228</v>
      </c>
      <c r="E6" s="150" t="s">
        <v>164</v>
      </c>
      <c r="F6" s="153" t="s">
        <v>237</v>
      </c>
      <c r="G6" s="154">
        <v>5000</v>
      </c>
    </row>
    <row r="7" spans="1:8" x14ac:dyDescent="0.25">
      <c r="A7">
        <v>1</v>
      </c>
      <c r="B7" s="140">
        <f>DATE($D$1,$E$2,Tabela8[[#This Row],[dia]])</f>
        <v>44593</v>
      </c>
      <c r="D7" s="157">
        <f>SUMIFS('Controle diario'!G:G,'Controle diario'!C:C,"Entrada",'Controle diario'!I:I,Tabela8[[#This Row],[Data]])</f>
        <v>490</v>
      </c>
      <c r="E7" s="157">
        <f>SUMIFS('Controle diario'!G:G,'Controle diario'!C:C,"Saidas",'Controle diario'!I:I,Tabela8[[#This Row],[Data]])</f>
        <v>0</v>
      </c>
      <c r="F7" s="143">
        <f>G6+Tabela8[[#This Row],[CAIXA]]-Tabela8[[#This Row],[CAIXA2]]</f>
        <v>5490</v>
      </c>
    </row>
    <row r="8" spans="1:8" x14ac:dyDescent="0.25">
      <c r="A8">
        <v>2</v>
      </c>
      <c r="B8" s="140">
        <f>DATE($D$1,$E$2,Tabela8[[#This Row],[dia]])</f>
        <v>44594</v>
      </c>
      <c r="D8" s="157">
        <f>SUMIFS('Controle diario'!G:G,'Controle diario'!C:C,"Entrada",'Controle diario'!I:I,Tabela8[[#This Row],[Data]])</f>
        <v>0</v>
      </c>
      <c r="E8" s="157">
        <f>SUMIFS('Controle diario'!G:G,'Controle diario'!C:C,"Saidas",'Controle diario'!I:I,Tabela8[[#This Row],[Data]])</f>
        <v>0</v>
      </c>
      <c r="F8" s="143">
        <f>F7+Tabela8[[#This Row],[CAIXA]]-Tabela8[[#This Row],[CAIXA2]]</f>
        <v>5490</v>
      </c>
    </row>
    <row r="9" spans="1:8" x14ac:dyDescent="0.25">
      <c r="A9">
        <v>3</v>
      </c>
      <c r="B9" s="140">
        <f>DATE($D$1,$E$2,Tabela8[[#This Row],[dia]])</f>
        <v>44595</v>
      </c>
      <c r="D9" s="157">
        <f>SUMIFS('Controle diario'!G:G,'Controle diario'!C:C,"Entrada",'Controle diario'!I:I,Tabela8[[#This Row],[Data]])</f>
        <v>0</v>
      </c>
      <c r="E9" s="157">
        <f>SUMIFS('Controle diario'!G:G,'Controle diario'!C:C,"Saidas",'Controle diario'!I:I,Tabela8[[#This Row],[Data]])</f>
        <v>0</v>
      </c>
      <c r="F9" s="143">
        <f>F8+Tabela8[[#This Row],[CAIXA]]-Tabela8[[#This Row],[CAIXA2]]</f>
        <v>5490</v>
      </c>
    </row>
    <row r="10" spans="1:8" x14ac:dyDescent="0.25">
      <c r="A10">
        <v>4</v>
      </c>
      <c r="B10" s="140">
        <f>DATE($D$1,$E$2,Tabela8[[#This Row],[dia]])</f>
        <v>44596</v>
      </c>
      <c r="D10" s="157">
        <f>SUMIFS('Controle diario'!G:G,'Controle diario'!C:C,"Entrada",'Controle diario'!I:I,Tabela8[[#This Row],[Data]])</f>
        <v>0</v>
      </c>
      <c r="E10" s="157">
        <f>SUMIFS('Controle diario'!G:G,'Controle diario'!C:C,"Saidas",'Controle diario'!I:I,Tabela8[[#This Row],[Data]])</f>
        <v>0</v>
      </c>
      <c r="F10" s="143">
        <f>F9+Tabela8[[#This Row],[CAIXA]]-Tabela8[[#This Row],[CAIXA2]]</f>
        <v>5490</v>
      </c>
    </row>
    <row r="11" spans="1:8" x14ac:dyDescent="0.25">
      <c r="A11">
        <v>5</v>
      </c>
      <c r="B11" s="140">
        <f>DATE($D$1,$E$2,Tabela8[[#This Row],[dia]])</f>
        <v>44597</v>
      </c>
      <c r="D11" s="157">
        <f>SUMIFS('Controle diario'!G:G,'Controle diario'!C:C,"Entrada",'Controle diario'!I:I,Tabela8[[#This Row],[Data]])</f>
        <v>5549.4</v>
      </c>
      <c r="E11" s="157">
        <f>SUMIFS('Controle diario'!G:G,'Controle diario'!C:C,"Saidas",'Controle diario'!I:I,Tabela8[[#This Row],[Data]])</f>
        <v>0</v>
      </c>
      <c r="F11" s="143">
        <f>F10+Tabela8[[#This Row],[CAIXA]]-Tabela8[[#This Row],[CAIXA2]]</f>
        <v>11039.4</v>
      </c>
    </row>
    <row r="12" spans="1:8" x14ac:dyDescent="0.25">
      <c r="A12">
        <v>6</v>
      </c>
      <c r="B12" s="140">
        <f>DATE($D$1,$E$2,Tabela8[[#This Row],[dia]])</f>
        <v>44598</v>
      </c>
      <c r="D12" s="157">
        <f>SUMIFS('Controle diario'!G:G,'Controle diario'!C:C,"Entrada",'Controle diario'!I:I,Tabela8[[#This Row],[Data]])</f>
        <v>0</v>
      </c>
      <c r="E12" s="157">
        <f>SUMIFS('Controle diario'!G:G,'Controle diario'!C:C,"Saidas",'Controle diario'!I:I,Tabela8[[#This Row],[Data]])</f>
        <v>0</v>
      </c>
      <c r="F12" s="143">
        <f>F11+Tabela8[[#This Row],[CAIXA]]-Tabela8[[#This Row],[CAIXA2]]</f>
        <v>11039.4</v>
      </c>
    </row>
    <row r="13" spans="1:8" x14ac:dyDescent="0.25">
      <c r="A13">
        <v>7</v>
      </c>
      <c r="B13" s="140">
        <f>DATE($D$1,$E$2,Tabela8[[#This Row],[dia]])</f>
        <v>44599</v>
      </c>
      <c r="D13" s="157">
        <f>SUMIFS('Controle diario'!G:G,'Controle diario'!C:C,"Entrada",'Controle diario'!I:I,Tabela8[[#This Row],[Data]])</f>
        <v>0</v>
      </c>
      <c r="E13" s="157">
        <f>SUMIFS('Controle diario'!G:G,'Controle diario'!C:C,"Saidas",'Controle diario'!I:I,Tabela8[[#This Row],[Data]])</f>
        <v>0</v>
      </c>
      <c r="F13" s="143">
        <f>F12+Tabela8[[#This Row],[CAIXA]]-Tabela8[[#This Row],[CAIXA2]]</f>
        <v>11039.4</v>
      </c>
    </row>
    <row r="14" spans="1:8" x14ac:dyDescent="0.25">
      <c r="A14">
        <v>8</v>
      </c>
      <c r="B14" s="140">
        <f>DATE($D$1,$E$2,Tabela8[[#This Row],[dia]])</f>
        <v>44600</v>
      </c>
      <c r="D14" s="157">
        <f>SUMIFS('Controle diario'!G:G,'Controle diario'!C:C,"Entrada",'Controle diario'!I:I,Tabela8[[#This Row],[Data]])</f>
        <v>0</v>
      </c>
      <c r="E14" s="157">
        <f>SUMIFS('Controle diario'!G:G,'Controle diario'!C:C,"Saidas",'Controle diario'!I:I,Tabela8[[#This Row],[Data]])</f>
        <v>0</v>
      </c>
      <c r="F14" s="143">
        <f>F13+Tabela8[[#This Row],[CAIXA]]-Tabela8[[#This Row],[CAIXA2]]</f>
        <v>11039.4</v>
      </c>
    </row>
    <row r="15" spans="1:8" x14ac:dyDescent="0.25">
      <c r="A15">
        <v>9</v>
      </c>
      <c r="B15" s="140">
        <f>DATE($D$1,$E$2,Tabela8[[#This Row],[dia]])</f>
        <v>44601</v>
      </c>
      <c r="D15" s="157">
        <f>SUMIFS('Controle diario'!G:G,'Controle diario'!C:C,"Entrada",'Controle diario'!I:I,Tabela8[[#This Row],[Data]])</f>
        <v>0</v>
      </c>
      <c r="E15" s="157">
        <f>SUMIFS('Controle diario'!G:G,'Controle diario'!C:C,"Saidas",'Controle diario'!I:I,Tabela8[[#This Row],[Data]])</f>
        <v>0</v>
      </c>
      <c r="F15" s="143">
        <f>F14+Tabela8[[#This Row],[CAIXA]]-Tabela8[[#This Row],[CAIXA2]]</f>
        <v>11039.4</v>
      </c>
    </row>
    <row r="16" spans="1:8" x14ac:dyDescent="0.25">
      <c r="A16">
        <v>10</v>
      </c>
      <c r="B16" s="140">
        <f>DATE($D$1,$E$2,Tabela8[[#This Row],[dia]])</f>
        <v>44602</v>
      </c>
      <c r="D16" s="157">
        <f>SUMIFS('Controle diario'!G:G,'Controle diario'!C:C,"Entrada",'Controle diario'!I:I,Tabela8[[#This Row],[Data]])</f>
        <v>0</v>
      </c>
      <c r="E16" s="157">
        <f>SUMIFS('Controle diario'!G:G,'Controle diario'!C:C,"Saidas",'Controle diario'!I:I,Tabela8[[#This Row],[Data]])</f>
        <v>0</v>
      </c>
      <c r="F16" s="143">
        <f>F15+Tabela8[[#This Row],[CAIXA]]-Tabela8[[#This Row],[CAIXA2]]</f>
        <v>11039.4</v>
      </c>
    </row>
    <row r="17" spans="1:6" x14ac:dyDescent="0.25">
      <c r="A17">
        <v>11</v>
      </c>
      <c r="B17" s="140">
        <f>DATE($D$1,$E$2,Tabela8[[#This Row],[dia]])</f>
        <v>44603</v>
      </c>
      <c r="D17" s="157">
        <f>SUMIFS('Controle diario'!G:G,'Controle diario'!C:C,"Entrada",'Controle diario'!I:I,Tabela8[[#This Row],[Data]])</f>
        <v>0</v>
      </c>
      <c r="E17" s="157">
        <f>SUMIFS('Controle diario'!G:G,'Controle diario'!C:C,"Saidas",'Controle diario'!I:I,Tabela8[[#This Row],[Data]])</f>
        <v>0</v>
      </c>
      <c r="F17" s="143">
        <f>F16+Tabela8[[#This Row],[CAIXA]]-Tabela8[[#This Row],[CAIXA2]]</f>
        <v>11039.4</v>
      </c>
    </row>
    <row r="18" spans="1:6" x14ac:dyDescent="0.25">
      <c r="A18">
        <v>12</v>
      </c>
      <c r="B18" s="140">
        <f>DATE($D$1,$E$2,Tabela8[[#This Row],[dia]])</f>
        <v>44604</v>
      </c>
      <c r="D18" s="157">
        <f>SUMIFS('Controle diario'!G:G,'Controle diario'!C:C,"Entrada",'Controle diario'!I:I,Tabela8[[#This Row],[Data]])</f>
        <v>0</v>
      </c>
      <c r="E18" s="157">
        <f>SUMIFS('Controle diario'!G:G,'Controle diario'!C:C,"Saidas",'Controle diario'!I:I,Tabela8[[#This Row],[Data]])</f>
        <v>0</v>
      </c>
      <c r="F18" s="143">
        <f>F17+Tabela8[[#This Row],[CAIXA]]-Tabela8[[#This Row],[CAIXA2]]</f>
        <v>11039.4</v>
      </c>
    </row>
    <row r="19" spans="1:6" x14ac:dyDescent="0.25">
      <c r="A19">
        <v>13</v>
      </c>
      <c r="B19" s="140">
        <f>DATE($D$1,$E$2,Tabela8[[#This Row],[dia]])</f>
        <v>44605</v>
      </c>
      <c r="D19" s="157">
        <f>SUMIFS('Controle diario'!G:G,'Controle diario'!C:C,"Entrada",'Controle diario'!I:I,Tabela8[[#This Row],[Data]])</f>
        <v>0</v>
      </c>
      <c r="E19" s="157">
        <f>SUMIFS('Controle diario'!G:G,'Controle diario'!C:C,"Saidas",'Controle diario'!I:I,Tabela8[[#This Row],[Data]])</f>
        <v>0</v>
      </c>
      <c r="F19" s="143">
        <f>F18+Tabela8[[#This Row],[CAIXA]]-Tabela8[[#This Row],[CAIXA2]]</f>
        <v>11039.4</v>
      </c>
    </row>
    <row r="20" spans="1:6" x14ac:dyDescent="0.25">
      <c r="A20">
        <v>14</v>
      </c>
      <c r="B20" s="140">
        <f>DATE($D$1,$E$2,Tabela8[[#This Row],[dia]])</f>
        <v>44606</v>
      </c>
      <c r="D20" s="157">
        <f>SUMIFS('Controle diario'!G:G,'Controle diario'!C:C,"Entrada",'Controle diario'!I:I,Tabela8[[#This Row],[Data]])</f>
        <v>0</v>
      </c>
      <c r="E20" s="157">
        <f>SUMIFS('Controle diario'!G:G,'Controle diario'!C:C,"Saidas",'Controle diario'!I:I,Tabela8[[#This Row],[Data]])</f>
        <v>0</v>
      </c>
      <c r="F20" s="143">
        <f>F19+Tabela8[[#This Row],[CAIXA]]-Tabela8[[#This Row],[CAIXA2]]</f>
        <v>11039.4</v>
      </c>
    </row>
    <row r="21" spans="1:6" x14ac:dyDescent="0.25">
      <c r="A21">
        <v>15</v>
      </c>
      <c r="B21" s="140">
        <f>DATE($D$1,$E$2,Tabela8[[#This Row],[dia]])</f>
        <v>44607</v>
      </c>
      <c r="D21" s="157">
        <f>SUMIFS('Controle diario'!G:G,'Controle diario'!C:C,"Entrada",'Controle diario'!I:I,Tabela8[[#This Row],[Data]])</f>
        <v>800</v>
      </c>
      <c r="E21" s="157">
        <f>SUMIFS('Controle diario'!G:G,'Controle diario'!C:C,"Saidas",'Controle diario'!I:I,Tabela8[[#This Row],[Data]])</f>
        <v>0</v>
      </c>
      <c r="F21" s="143">
        <f>F20+Tabela8[[#This Row],[CAIXA]]-Tabela8[[#This Row],[CAIXA2]]</f>
        <v>11839.4</v>
      </c>
    </row>
    <row r="22" spans="1:6" x14ac:dyDescent="0.25">
      <c r="A22">
        <v>16</v>
      </c>
      <c r="B22" s="140">
        <f>DATE($D$1,$E$2,Tabela8[[#This Row],[dia]])</f>
        <v>44608</v>
      </c>
      <c r="D22" s="157">
        <f>SUMIFS('Controle diario'!G:G,'Controle diario'!C:C,"Entrada",'Controle diario'!I:I,Tabela8[[#This Row],[Data]])</f>
        <v>0</v>
      </c>
      <c r="E22" s="157">
        <f>SUMIFS('Controle diario'!G:G,'Controle diario'!C:C,"Saidas",'Controle diario'!I:I,Tabela8[[#This Row],[Data]])</f>
        <v>0</v>
      </c>
      <c r="F22" s="143">
        <f>F21+Tabela8[[#This Row],[CAIXA]]-Tabela8[[#This Row],[CAIXA2]]</f>
        <v>11839.4</v>
      </c>
    </row>
    <row r="23" spans="1:6" x14ac:dyDescent="0.25">
      <c r="A23">
        <v>17</v>
      </c>
      <c r="B23" s="140">
        <f>DATE($D$1,$E$2,Tabela8[[#This Row],[dia]])</f>
        <v>44609</v>
      </c>
      <c r="D23" s="157">
        <f>SUMIFS('Controle diario'!G:G,'Controle diario'!C:C,"Entrada",'Controle diario'!I:I,Tabela8[[#This Row],[Data]])</f>
        <v>0</v>
      </c>
      <c r="E23" s="157">
        <f>SUMIFS('Controle diario'!G:G,'Controle diario'!C:C,"Saidas",'Controle diario'!I:I,Tabela8[[#This Row],[Data]])</f>
        <v>0</v>
      </c>
      <c r="F23" s="143">
        <f>F22+Tabela8[[#This Row],[CAIXA]]-Tabela8[[#This Row],[CAIXA2]]</f>
        <v>11839.4</v>
      </c>
    </row>
    <row r="24" spans="1:6" x14ac:dyDescent="0.25">
      <c r="A24">
        <v>18</v>
      </c>
      <c r="B24" s="140">
        <f>DATE($D$1,$E$2,Tabela8[[#This Row],[dia]])</f>
        <v>44610</v>
      </c>
      <c r="D24" s="157">
        <f>SUMIFS('Controle diario'!G:G,'Controle diario'!C:C,"Entrada",'Controle diario'!I:I,Tabela8[[#This Row],[Data]])</f>
        <v>0</v>
      </c>
      <c r="E24" s="157">
        <f>SUMIFS('Controle diario'!G:G,'Controle diario'!C:C,"Saidas",'Controle diario'!I:I,Tabela8[[#This Row],[Data]])</f>
        <v>0</v>
      </c>
      <c r="F24" s="143">
        <f>F23+Tabela8[[#This Row],[CAIXA]]-Tabela8[[#This Row],[CAIXA2]]</f>
        <v>11839.4</v>
      </c>
    </row>
    <row r="25" spans="1:6" x14ac:dyDescent="0.25">
      <c r="A25">
        <v>19</v>
      </c>
      <c r="B25" s="140">
        <f>DATE($D$1,$E$2,Tabela8[[#This Row],[dia]])</f>
        <v>44611</v>
      </c>
      <c r="D25" s="157">
        <f>SUMIFS('Controle diario'!G:G,'Controle diario'!C:C,"Entrada",'Controle diario'!I:I,Tabela8[[#This Row],[Data]])</f>
        <v>0</v>
      </c>
      <c r="E25" s="157">
        <f>SUMIFS('Controle diario'!G:G,'Controle diario'!C:C,"Saidas",'Controle diario'!I:I,Tabela8[[#This Row],[Data]])</f>
        <v>0</v>
      </c>
      <c r="F25" s="143">
        <f>F24+Tabela8[[#This Row],[CAIXA]]-Tabela8[[#This Row],[CAIXA2]]</f>
        <v>11839.4</v>
      </c>
    </row>
    <row r="26" spans="1:6" x14ac:dyDescent="0.25">
      <c r="A26">
        <v>20</v>
      </c>
      <c r="B26" s="140">
        <f>DATE($D$1,$E$2,Tabela8[[#This Row],[dia]])</f>
        <v>44612</v>
      </c>
      <c r="D26" s="157">
        <f>SUMIFS('Controle diario'!G:G,'Controle diario'!C:C,"Entrada",'Controle diario'!I:I,Tabela8[[#This Row],[Data]])</f>
        <v>0</v>
      </c>
      <c r="E26" s="157">
        <f>SUMIFS('Controle diario'!G:G,'Controle diario'!C:C,"Saidas",'Controle diario'!I:I,Tabela8[[#This Row],[Data]])</f>
        <v>0</v>
      </c>
      <c r="F26" s="143">
        <f>F25+Tabela8[[#This Row],[CAIXA]]-Tabela8[[#This Row],[CAIXA2]]</f>
        <v>11839.4</v>
      </c>
    </row>
    <row r="27" spans="1:6" x14ac:dyDescent="0.25">
      <c r="A27">
        <v>21</v>
      </c>
      <c r="B27" s="140">
        <f>DATE($D$1,$E$2,Tabela8[[#This Row],[dia]])</f>
        <v>44613</v>
      </c>
      <c r="D27" s="157">
        <f>SUMIFS('Controle diario'!G:G,'Controle diario'!C:C,"Entrada",'Controle diario'!I:I,Tabela8[[#This Row],[Data]])</f>
        <v>0</v>
      </c>
      <c r="E27" s="157">
        <f>SUMIFS('Controle diario'!G:G,'Controle diario'!C:C,"Saidas",'Controle diario'!I:I,Tabela8[[#This Row],[Data]])</f>
        <v>0</v>
      </c>
      <c r="F27" s="143">
        <f>F26+Tabela8[[#This Row],[CAIXA]]-Tabela8[[#This Row],[CAIXA2]]</f>
        <v>11839.4</v>
      </c>
    </row>
    <row r="28" spans="1:6" x14ac:dyDescent="0.25">
      <c r="A28">
        <v>22</v>
      </c>
      <c r="B28" s="140">
        <f>DATE($D$1,$E$2,Tabela8[[#This Row],[dia]])</f>
        <v>44614</v>
      </c>
      <c r="D28" s="157">
        <f>SUMIFS('Controle diario'!G:G,'Controle diario'!C:C,"Entrada",'Controle diario'!I:I,Tabela8[[#This Row],[Data]])</f>
        <v>0</v>
      </c>
      <c r="E28" s="157">
        <f>SUMIFS('Controle diario'!G:G,'Controle diario'!C:C,"Saidas",'Controle diario'!I:I,Tabela8[[#This Row],[Data]])</f>
        <v>0</v>
      </c>
      <c r="F28" s="143">
        <f>F27+Tabela8[[#This Row],[CAIXA]]-Tabela8[[#This Row],[CAIXA2]]</f>
        <v>11839.4</v>
      </c>
    </row>
    <row r="29" spans="1:6" x14ac:dyDescent="0.25">
      <c r="A29">
        <v>23</v>
      </c>
      <c r="B29" s="140">
        <f>DATE($D$1,$E$2,Tabela8[[#This Row],[dia]])</f>
        <v>44615</v>
      </c>
      <c r="D29" s="157">
        <f>SUMIFS('Controle diario'!G:G,'Controle diario'!C:C,"Entrada",'Controle diario'!I:I,Tabela8[[#This Row],[Data]])</f>
        <v>0</v>
      </c>
      <c r="E29" s="157">
        <f>SUMIFS('Controle diario'!G:G,'Controle diario'!C:C,"Saidas",'Controle diario'!I:I,Tabela8[[#This Row],[Data]])</f>
        <v>0</v>
      </c>
      <c r="F29" s="143">
        <f>F28+Tabela8[[#This Row],[CAIXA]]-Tabela8[[#This Row],[CAIXA2]]</f>
        <v>11839.4</v>
      </c>
    </row>
    <row r="30" spans="1:6" x14ac:dyDescent="0.25">
      <c r="A30">
        <v>24</v>
      </c>
      <c r="B30" s="140">
        <f>DATE($D$1,$E$2,Tabela8[[#This Row],[dia]])</f>
        <v>44616</v>
      </c>
      <c r="D30" s="157">
        <f>SUMIFS('Controle diario'!G:G,'Controle diario'!C:C,"Entrada",'Controle diario'!I:I,Tabela8[[#This Row],[Data]])</f>
        <v>0</v>
      </c>
      <c r="E30" s="157">
        <f>SUMIFS('Controle diario'!G:G,'Controle diario'!C:C,"Saidas",'Controle diario'!I:I,Tabela8[[#This Row],[Data]])</f>
        <v>0</v>
      </c>
      <c r="F30" s="143">
        <f>F29+Tabela8[[#This Row],[CAIXA]]-Tabela8[[#This Row],[CAIXA2]]</f>
        <v>11839.4</v>
      </c>
    </row>
    <row r="31" spans="1:6" x14ac:dyDescent="0.25">
      <c r="A31">
        <v>25</v>
      </c>
      <c r="B31" s="140">
        <f>DATE($D$1,$E$2,Tabela8[[#This Row],[dia]])</f>
        <v>44617</v>
      </c>
      <c r="D31" s="157">
        <f>SUMIFS('Controle diario'!G:G,'Controle diario'!C:C,"Entrada",'Controle diario'!I:I,Tabela8[[#This Row],[Data]])</f>
        <v>0</v>
      </c>
      <c r="E31" s="157">
        <f>SUMIFS('Controle diario'!G:G,'Controle diario'!C:C,"Saidas",'Controle diario'!I:I,Tabela8[[#This Row],[Data]])</f>
        <v>0</v>
      </c>
      <c r="F31" s="143">
        <f>F30+Tabela8[[#This Row],[CAIXA]]-Tabela8[[#This Row],[CAIXA2]]</f>
        <v>11839.4</v>
      </c>
    </row>
    <row r="32" spans="1:6" x14ac:dyDescent="0.25">
      <c r="A32">
        <v>26</v>
      </c>
      <c r="B32" s="140">
        <f>DATE($D$1,$E$2,Tabela8[[#This Row],[dia]])</f>
        <v>44618</v>
      </c>
      <c r="D32" s="157">
        <f>SUMIFS('Controle diario'!G:G,'Controle diario'!C:C,"Entrada",'Controle diario'!I:I,Tabela8[[#This Row],[Data]])</f>
        <v>0</v>
      </c>
      <c r="E32" s="157">
        <f>SUMIFS('Controle diario'!G:G,'Controle diario'!C:C,"Saidas",'Controle diario'!I:I,Tabela8[[#This Row],[Data]])</f>
        <v>0</v>
      </c>
      <c r="F32" s="143">
        <f>F31+Tabela8[[#This Row],[CAIXA]]-Tabela8[[#This Row],[CAIXA2]]</f>
        <v>11839.4</v>
      </c>
    </row>
    <row r="33" spans="1:6" x14ac:dyDescent="0.25">
      <c r="A33">
        <v>27</v>
      </c>
      <c r="B33" s="140">
        <f>DATE($D$1,$E$2,Tabela8[[#This Row],[dia]])</f>
        <v>44619</v>
      </c>
      <c r="D33" s="157">
        <f>SUMIFS('Controle diario'!G:G,'Controle diario'!C:C,"Entrada",'Controle diario'!I:I,Tabela8[[#This Row],[Data]])</f>
        <v>0</v>
      </c>
      <c r="E33" s="157">
        <f>SUMIFS('Controle diario'!G:G,'Controle diario'!C:C,"Saidas",'Controle diario'!I:I,Tabela8[[#This Row],[Data]])</f>
        <v>0</v>
      </c>
      <c r="F33" s="143">
        <f>F32+Tabela8[[#This Row],[CAIXA]]-Tabela8[[#This Row],[CAIXA2]]</f>
        <v>11839.4</v>
      </c>
    </row>
    <row r="34" spans="1:6" x14ac:dyDescent="0.25">
      <c r="A34">
        <v>28</v>
      </c>
      <c r="B34" s="140">
        <f>DATE($D$1,$E$2,Tabela8[[#This Row],[dia]])</f>
        <v>44620</v>
      </c>
      <c r="D34" s="157">
        <f>SUMIFS('Controle diario'!G:G,'Controle diario'!C:C,"Entrada",'Controle diario'!I:I,Tabela8[[#This Row],[Data]])</f>
        <v>1120</v>
      </c>
      <c r="E34" s="157">
        <f>SUMIFS('Controle diario'!G:G,'Controle diario'!C:C,"Saidas",'Controle diario'!I:I,Tabela8[[#This Row],[Data]])</f>
        <v>0</v>
      </c>
      <c r="F34" s="143">
        <f>F33+Tabela8[[#This Row],[CAIXA]]-Tabela8[[#This Row],[CAIXA2]]</f>
        <v>12959.4</v>
      </c>
    </row>
    <row r="35" spans="1:6" x14ac:dyDescent="0.25">
      <c r="A35">
        <v>29</v>
      </c>
      <c r="B35" s="140">
        <f>DATE($D$1,$E$2,Tabela8[[#This Row],[dia]])</f>
        <v>44621</v>
      </c>
      <c r="D35" s="157">
        <f>SUMIFS('Controle diario'!G:G,'Controle diario'!C:C,"Entrada",'Controle diario'!I:I,Tabela8[[#This Row],[Data]])</f>
        <v>0</v>
      </c>
      <c r="E35" s="157">
        <f>SUMIFS('Controle diario'!G:G,'Controle diario'!C:C,"Saidas",'Controle diario'!I:I,Tabela8[[#This Row],[Data]])</f>
        <v>0</v>
      </c>
      <c r="F35" s="143">
        <f>F34+Tabela8[[#This Row],[CAIXA]]-Tabela8[[#This Row],[CAIXA2]]</f>
        <v>12959.4</v>
      </c>
    </row>
    <row r="36" spans="1:6" x14ac:dyDescent="0.25">
      <c r="A36">
        <v>30</v>
      </c>
      <c r="B36" s="140">
        <f>DATE($D$1,$E$2,Tabela8[[#This Row],[dia]])</f>
        <v>44622</v>
      </c>
      <c r="D36" s="157">
        <f>SUMIFS('Controle diario'!G:G,'Controle diario'!C:C,"Entrada",'Controle diario'!I:I,Tabela8[[#This Row],[Data]])</f>
        <v>0</v>
      </c>
      <c r="E36" s="157">
        <f>SUMIFS('Controle diario'!G:G,'Controle diario'!C:C,"Saidas",'Controle diario'!I:I,Tabela8[[#This Row],[Data]])</f>
        <v>0</v>
      </c>
      <c r="F36" s="143">
        <f>F35+Tabela8[[#This Row],[CAIXA]]-Tabela8[[#This Row],[CAIXA2]]</f>
        <v>12959.4</v>
      </c>
    </row>
    <row r="37" spans="1:6" x14ac:dyDescent="0.25">
      <c r="A37">
        <v>31</v>
      </c>
      <c r="B37" s="140">
        <f>DATE($D$1,$E$2,Tabela8[[#This Row],[dia]])</f>
        <v>44623</v>
      </c>
      <c r="D37" s="157">
        <f>SUMIFS('Controle diario'!G:G,'Controle diario'!C:C,"Entrada",'Controle diario'!I:I,Tabela8[[#This Row],[Data]])</f>
        <v>0</v>
      </c>
      <c r="E37" s="157">
        <f>SUMIFS('Controle diario'!G:G,'Controle diario'!C:C,"Saidas",'Controle diario'!I:I,Tabela8[[#This Row],[Data]])</f>
        <v>0</v>
      </c>
      <c r="F37" s="143">
        <f>F36+Tabela8[[#This Row],[CAIXA]]-Tabela8[[#This Row],[CAIXA2]]</f>
        <v>12959.4</v>
      </c>
    </row>
    <row r="38" spans="1:6" x14ac:dyDescent="0.25">
      <c r="D38" s="143"/>
      <c r="F38" s="143"/>
    </row>
  </sheetData>
  <mergeCells count="1">
    <mergeCell ref="B1:B3"/>
  </mergeCells>
  <pageMargins left="0.511811024" right="0.511811024" top="0.78740157499999996" bottom="0.78740157499999996" header="0.31496062000000002" footer="0.31496062000000002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'Base das contas'!$E$2:$E$13</xm:f>
          </x14:formula1>
          <xm:sqref>D2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10</vt:i4>
      </vt:variant>
    </vt:vector>
  </HeadingPairs>
  <TitlesOfParts>
    <vt:vector size="10" baseType="lpstr">
      <vt:lpstr>Fluxo de caixa 1 semestre</vt:lpstr>
      <vt:lpstr>fluxo de caixa 2 semestre</vt:lpstr>
      <vt:lpstr>CONTOLE DE CAIXA BANCOS</vt:lpstr>
      <vt:lpstr>FLUXO DE CAIXA </vt:lpstr>
      <vt:lpstr>CONTAS A RECEBER</vt:lpstr>
      <vt:lpstr>CONTAS A PAGAR</vt:lpstr>
      <vt:lpstr>Base das contas</vt:lpstr>
      <vt:lpstr>Controle diario</vt:lpstr>
      <vt:lpstr>Relatorio diario caixa</vt:lpstr>
      <vt:lpstr>Resumo mensal de despesas caixa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joao.persico</dc:creator>
  <cp:lastModifiedBy>RH</cp:lastModifiedBy>
  <cp:lastPrinted>2022-01-12T21:29:55Z</cp:lastPrinted>
  <dcterms:created xsi:type="dcterms:W3CDTF">2011-09-16T20:06:25Z</dcterms:created>
  <dcterms:modified xsi:type="dcterms:W3CDTF">2022-01-20T23:53:03Z</dcterms:modified>
</cp:coreProperties>
</file>