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ESTÁO FINANCEIRA - MARGARETH\GESTÁO FINANCEIRA - KITNET\"/>
    </mc:Choice>
  </mc:AlternateContent>
  <bookViews>
    <workbookView xWindow="0" yWindow="0" windowWidth="15360" windowHeight="6795" tabRatio="876" activeTab="1"/>
  </bookViews>
  <sheets>
    <sheet name="Setup" sheetId="7" r:id="rId1"/>
    <sheet name="Livro Diário" sheetId="2" r:id="rId2"/>
    <sheet name="Livro Razao" sheetId="1" r:id="rId3"/>
    <sheet name="Razonete" sheetId="6" r:id="rId4"/>
    <sheet name="Balancete" sheetId="3" r:id="rId5"/>
    <sheet name="Balanço Patrimonial" sheetId="4" r:id="rId6"/>
    <sheet name="DRE" sheetId="5" r:id="rId7"/>
    <sheet name="DFC" sheetId="9" r:id="rId8"/>
    <sheet name="FICHA DE AVALIACAO DO ESTOQUE" sheetId="8" state="hidden" r:id="rId9"/>
  </sheets>
  <externalReferences>
    <externalReference r:id="rId10"/>
  </externalReferences>
  <definedNames>
    <definedName name="_xlnm._FilterDatabase" localSheetId="4" hidden="1">Balancete!$B$2:$I$44</definedName>
    <definedName name="_xlnm._FilterDatabase" localSheetId="5" hidden="1">'Balanço Patrimonial'!$A$2:$H$33</definedName>
    <definedName name="_xlnm._FilterDatabase" localSheetId="0" hidden="1">Setup!$A$2:$I$44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C5" i="3"/>
  <c r="F5" i="3"/>
  <c r="G5" i="3"/>
  <c r="B6" i="3"/>
  <c r="C6" i="3"/>
  <c r="F6" i="3"/>
  <c r="G6" i="3"/>
  <c r="B7" i="3"/>
  <c r="C7" i="3"/>
  <c r="F7" i="3"/>
  <c r="G7" i="3"/>
  <c r="B8" i="3"/>
  <c r="C8" i="3"/>
  <c r="F8" i="3"/>
  <c r="G8" i="3"/>
  <c r="B9" i="3"/>
  <c r="C9" i="3"/>
  <c r="F9" i="3"/>
  <c r="G9" i="3"/>
  <c r="B10" i="3"/>
  <c r="C10" i="3"/>
  <c r="F10" i="3"/>
  <c r="G10" i="3"/>
  <c r="I10" i="3" s="1"/>
  <c r="B11" i="3"/>
  <c r="C11" i="3"/>
  <c r="F11" i="3"/>
  <c r="G11" i="3"/>
  <c r="B12" i="3"/>
  <c r="F12" i="3" s="1"/>
  <c r="C12" i="3"/>
  <c r="G12" i="3"/>
  <c r="B13" i="3"/>
  <c r="C13" i="3"/>
  <c r="F13" i="3"/>
  <c r="G13" i="3"/>
  <c r="B14" i="3"/>
  <c r="F14" i="3" s="1"/>
  <c r="C14" i="3"/>
  <c r="G14" i="3"/>
  <c r="B15" i="3"/>
  <c r="C15" i="3"/>
  <c r="F15" i="3"/>
  <c r="G15" i="3"/>
  <c r="B16" i="3"/>
  <c r="F16" i="3" s="1"/>
  <c r="C16" i="3"/>
  <c r="G16" i="3"/>
  <c r="B17" i="3"/>
  <c r="C17" i="3"/>
  <c r="F17" i="3"/>
  <c r="G17" i="3"/>
  <c r="B18" i="3"/>
  <c r="F18" i="3" s="1"/>
  <c r="C18" i="3"/>
  <c r="G18" i="3"/>
  <c r="B19" i="3"/>
  <c r="C19" i="3"/>
  <c r="F19" i="3"/>
  <c r="G19" i="3"/>
  <c r="B20" i="3"/>
  <c r="F20" i="3" s="1"/>
  <c r="C20" i="3"/>
  <c r="G20" i="3"/>
  <c r="B21" i="3"/>
  <c r="C21" i="3"/>
  <c r="F21" i="3"/>
  <c r="G21" i="3"/>
  <c r="B22" i="3"/>
  <c r="F22" i="3" s="1"/>
  <c r="C22" i="3"/>
  <c r="G22" i="3"/>
  <c r="B23" i="3"/>
  <c r="C23" i="3"/>
  <c r="F23" i="3"/>
  <c r="G23" i="3"/>
  <c r="B24" i="3"/>
  <c r="F24" i="3" s="1"/>
  <c r="C24" i="3"/>
  <c r="G24" i="3"/>
  <c r="B25" i="3"/>
  <c r="C25" i="3"/>
  <c r="F25" i="3"/>
  <c r="G25" i="3"/>
  <c r="B26" i="3"/>
  <c r="F26" i="3" s="1"/>
  <c r="C26" i="3"/>
  <c r="G26" i="3"/>
  <c r="B27" i="3"/>
  <c r="C27" i="3"/>
  <c r="F27" i="3"/>
  <c r="G27" i="3"/>
  <c r="B28" i="3"/>
  <c r="F28" i="3" s="1"/>
  <c r="C28" i="3"/>
  <c r="G28" i="3"/>
  <c r="B29" i="3"/>
  <c r="C29" i="3"/>
  <c r="F29" i="3"/>
  <c r="G29" i="3"/>
  <c r="B30" i="3"/>
  <c r="F30" i="3" s="1"/>
  <c r="C30" i="3"/>
  <c r="B31" i="3"/>
  <c r="C31" i="3"/>
  <c r="F31" i="3"/>
  <c r="G31" i="3"/>
  <c r="B32" i="3"/>
  <c r="F32" i="3" s="1"/>
  <c r="C32" i="3"/>
  <c r="B33" i="3"/>
  <c r="C33" i="3"/>
  <c r="F33" i="3"/>
  <c r="G33" i="3"/>
  <c r="B34" i="3"/>
  <c r="F34" i="3" s="1"/>
  <c r="C34" i="3"/>
  <c r="B35" i="3"/>
  <c r="C35" i="3"/>
  <c r="F35" i="3"/>
  <c r="G35" i="3"/>
  <c r="B36" i="3"/>
  <c r="F36" i="3" s="1"/>
  <c r="C36" i="3"/>
  <c r="G36" i="3"/>
  <c r="B37" i="3"/>
  <c r="C37" i="3"/>
  <c r="F37" i="3"/>
  <c r="G37" i="3"/>
  <c r="B38" i="3"/>
  <c r="F38" i="3" s="1"/>
  <c r="C38" i="3"/>
  <c r="G38" i="3"/>
  <c r="B39" i="3"/>
  <c r="C39" i="3"/>
  <c r="F39" i="3"/>
  <c r="G39" i="3"/>
  <c r="B40" i="3"/>
  <c r="F40" i="3" s="1"/>
  <c r="C40" i="3"/>
  <c r="B41" i="3"/>
  <c r="C41" i="3"/>
  <c r="F41" i="3"/>
  <c r="G41" i="3"/>
  <c r="B42" i="3"/>
  <c r="F42" i="3" s="1"/>
  <c r="C42" i="3"/>
  <c r="B43" i="3"/>
  <c r="C43" i="3"/>
  <c r="F43" i="3"/>
  <c r="G43" i="3"/>
  <c r="B44" i="3"/>
  <c r="F44" i="3" s="1"/>
  <c r="C44" i="3"/>
  <c r="G44" i="3"/>
  <c r="B45" i="3"/>
  <c r="C45" i="3"/>
  <c r="F45" i="3"/>
  <c r="G45" i="3"/>
  <c r="B46" i="3"/>
  <c r="F46" i="3" s="1"/>
  <c r="C46" i="3"/>
  <c r="G46" i="3"/>
  <c r="B47" i="3"/>
  <c r="C47" i="3"/>
  <c r="F47" i="3"/>
  <c r="G47" i="3"/>
  <c r="B48" i="3"/>
  <c r="G48" i="3" s="1"/>
  <c r="C48" i="3"/>
  <c r="B49" i="3"/>
  <c r="G49" i="3" s="1"/>
  <c r="C49" i="3"/>
  <c r="F49" i="3"/>
  <c r="B50" i="3"/>
  <c r="G50" i="3" s="1"/>
  <c r="C50" i="3"/>
  <c r="B51" i="3"/>
  <c r="G51" i="3" s="1"/>
  <c r="C51" i="3"/>
  <c r="B52" i="3"/>
  <c r="G52" i="3" s="1"/>
  <c r="C52" i="3"/>
  <c r="B53" i="3"/>
  <c r="G53" i="3" s="1"/>
  <c r="C53" i="3"/>
  <c r="F53" i="3"/>
  <c r="B54" i="3"/>
  <c r="G54" i="3" s="1"/>
  <c r="C54" i="3"/>
  <c r="B55" i="3"/>
  <c r="G55" i="3" s="1"/>
  <c r="C55" i="3"/>
  <c r="B56" i="3"/>
  <c r="G56" i="3" s="1"/>
  <c r="C56" i="3"/>
  <c r="B57" i="3"/>
  <c r="G57" i="3" s="1"/>
  <c r="C57" i="3"/>
  <c r="F57" i="3"/>
  <c r="D57" i="3" s="1"/>
  <c r="B58" i="3"/>
  <c r="G58" i="3" s="1"/>
  <c r="C58" i="3"/>
  <c r="B59" i="3"/>
  <c r="G59" i="3" s="1"/>
  <c r="C59" i="3"/>
  <c r="B60" i="3"/>
  <c r="G60" i="3" s="1"/>
  <c r="C60" i="3"/>
  <c r="B61" i="3"/>
  <c r="G61" i="3" s="1"/>
  <c r="C61" i="3"/>
  <c r="F61" i="3"/>
  <c r="B62" i="3"/>
  <c r="G62" i="3" s="1"/>
  <c r="C62" i="3"/>
  <c r="B63" i="3"/>
  <c r="G63" i="3" s="1"/>
  <c r="C63" i="3"/>
  <c r="B64" i="3"/>
  <c r="G64" i="3" s="1"/>
  <c r="C64" i="3"/>
  <c r="B65" i="3"/>
  <c r="G65" i="3" s="1"/>
  <c r="C65" i="3"/>
  <c r="F65" i="3"/>
  <c r="B66" i="3"/>
  <c r="G66" i="3" s="1"/>
  <c r="C66" i="3"/>
  <c r="B67" i="3"/>
  <c r="G67" i="3" s="1"/>
  <c r="C67" i="3"/>
  <c r="B4" i="3"/>
  <c r="G4" i="3" s="1"/>
  <c r="C4" i="3"/>
  <c r="F4" i="3"/>
  <c r="B3" i="3"/>
  <c r="C3" i="3"/>
  <c r="D7" i="7"/>
  <c r="I7" i="7" s="1"/>
  <c r="D8" i="7"/>
  <c r="I8" i="7" s="1"/>
  <c r="D9" i="7"/>
  <c r="D10" i="7"/>
  <c r="I10" i="7" s="1"/>
  <c r="D6" i="7"/>
  <c r="I6" i="7" s="1"/>
  <c r="D11" i="7"/>
  <c r="D12" i="7"/>
  <c r="I12" i="7" s="1"/>
  <c r="D13" i="7"/>
  <c r="D14" i="7"/>
  <c r="I14" i="7" s="1"/>
  <c r="D15" i="7"/>
  <c r="D16" i="7"/>
  <c r="I16" i="7" s="1"/>
  <c r="D17" i="7"/>
  <c r="I17" i="7" s="1"/>
  <c r="D18" i="7"/>
  <c r="I18" i="7" s="1"/>
  <c r="D19" i="7"/>
  <c r="D20" i="7"/>
  <c r="I20" i="7" s="1"/>
  <c r="D21" i="7"/>
  <c r="I21" i="7" s="1"/>
  <c r="D22" i="7"/>
  <c r="I22" i="7" s="1"/>
  <c r="D23" i="7"/>
  <c r="D24" i="7"/>
  <c r="I24" i="7" s="1"/>
  <c r="D25" i="7"/>
  <c r="D26" i="7"/>
  <c r="I26" i="7" s="1"/>
  <c r="D27" i="7"/>
  <c r="D28" i="7"/>
  <c r="I28" i="7" s="1"/>
  <c r="D29" i="7"/>
  <c r="D30" i="7"/>
  <c r="I30" i="7" s="1"/>
  <c r="D31" i="7"/>
  <c r="D32" i="7"/>
  <c r="I32" i="7" s="1"/>
  <c r="D33" i="7"/>
  <c r="I33" i="7" s="1"/>
  <c r="D34" i="7"/>
  <c r="I34" i="7" s="1"/>
  <c r="D35" i="7"/>
  <c r="D36" i="7"/>
  <c r="I36" i="7" s="1"/>
  <c r="D37" i="7"/>
  <c r="I37" i="7" s="1"/>
  <c r="D38" i="7"/>
  <c r="I38" i="7" s="1"/>
  <c r="D39" i="7"/>
  <c r="D40" i="7"/>
  <c r="I40" i="7" s="1"/>
  <c r="D41" i="7"/>
  <c r="D42" i="7"/>
  <c r="I42" i="7" s="1"/>
  <c r="D43" i="7"/>
  <c r="D44" i="7"/>
  <c r="I44" i="7" s="1"/>
  <c r="D45" i="7"/>
  <c r="I45" i="7" s="1"/>
  <c r="D46" i="7"/>
  <c r="I46" i="7" s="1"/>
  <c r="D47" i="7"/>
  <c r="I47" i="7" s="1"/>
  <c r="D48" i="7"/>
  <c r="I48" i="7" s="1"/>
  <c r="D49" i="7"/>
  <c r="I49" i="7" s="1"/>
  <c r="D50" i="7"/>
  <c r="I50" i="7" s="1"/>
  <c r="D51" i="7"/>
  <c r="I51" i="7" s="1"/>
  <c r="D52" i="7"/>
  <c r="I52" i="7" s="1"/>
  <c r="D53" i="7"/>
  <c r="I53" i="7" s="1"/>
  <c r="D5" i="7"/>
  <c r="I5" i="7" s="1"/>
  <c r="D4" i="7"/>
  <c r="I4" i="7" s="1"/>
  <c r="D3" i="7"/>
  <c r="I3" i="7" s="1"/>
  <c r="B16" i="5"/>
  <c r="A16" i="5"/>
  <c r="B15" i="5"/>
  <c r="A15" i="5"/>
  <c r="B13" i="5"/>
  <c r="A13" i="5"/>
  <c r="D5" i="5"/>
  <c r="D8" i="5" s="1"/>
  <c r="D10" i="5" s="1"/>
  <c r="F41" i="9"/>
  <c r="B41" i="9"/>
  <c r="A41" i="9"/>
  <c r="B40" i="9"/>
  <c r="A40" i="9"/>
  <c r="F40" i="9" s="1"/>
  <c r="F39" i="9"/>
  <c r="B39" i="9"/>
  <c r="A39" i="9"/>
  <c r="B38" i="9"/>
  <c r="A38" i="9"/>
  <c r="F38" i="9" s="1"/>
  <c r="F37" i="9"/>
  <c r="F32" i="9"/>
  <c r="B32" i="9"/>
  <c r="A32" i="9"/>
  <c r="B31" i="9"/>
  <c r="A31" i="9"/>
  <c r="F31" i="9" s="1"/>
  <c r="F30" i="9"/>
  <c r="B30" i="9"/>
  <c r="A30" i="9"/>
  <c r="B29" i="9"/>
  <c r="A29" i="9"/>
  <c r="F29" i="9" s="1"/>
  <c r="F28" i="9"/>
  <c r="B28" i="9"/>
  <c r="A28" i="9"/>
  <c r="B27" i="9"/>
  <c r="A27" i="9"/>
  <c r="F27" i="9" s="1"/>
  <c r="G22" i="9"/>
  <c r="F22" i="9"/>
  <c r="G21" i="9"/>
  <c r="F21" i="9"/>
  <c r="B20" i="9"/>
  <c r="A20" i="9"/>
  <c r="F19" i="9"/>
  <c r="B19" i="9"/>
  <c r="A19" i="9"/>
  <c r="B18" i="9"/>
  <c r="A18" i="9"/>
  <c r="F17" i="9"/>
  <c r="B17" i="9"/>
  <c r="A17" i="9"/>
  <c r="B16" i="9"/>
  <c r="A16" i="9"/>
  <c r="C13" i="9"/>
  <c r="B12" i="9"/>
  <c r="A12" i="9"/>
  <c r="F12" i="9" s="1"/>
  <c r="F11" i="9"/>
  <c r="B11" i="9"/>
  <c r="A11" i="9"/>
  <c r="B10" i="9"/>
  <c r="A10" i="9"/>
  <c r="F10" i="9" s="1"/>
  <c r="G9" i="9"/>
  <c r="F9" i="9"/>
  <c r="B9" i="9"/>
  <c r="A9" i="9"/>
  <c r="B8" i="9"/>
  <c r="A8" i="9"/>
  <c r="F8" i="9" s="1"/>
  <c r="F6" i="9"/>
  <c r="F5" i="9"/>
  <c r="C5" i="9" s="1"/>
  <c r="B5" i="9"/>
  <c r="A5" i="9"/>
  <c r="F4" i="9"/>
  <c r="C4" i="9" s="1"/>
  <c r="B4" i="9"/>
  <c r="A4" i="9"/>
  <c r="D11" i="3" l="1"/>
  <c r="D6" i="3"/>
  <c r="I44" i="3"/>
  <c r="E39" i="3"/>
  <c r="I36" i="3"/>
  <c r="D8" i="3"/>
  <c r="D7" i="3"/>
  <c r="E47" i="3"/>
  <c r="D10" i="3"/>
  <c r="I8" i="3"/>
  <c r="E6" i="3"/>
  <c r="H6" i="3" s="1"/>
  <c r="D5" i="3"/>
  <c r="D53" i="3"/>
  <c r="E31" i="3"/>
  <c r="E10" i="3"/>
  <c r="D9" i="3"/>
  <c r="I6" i="3"/>
  <c r="D47" i="3"/>
  <c r="E11" i="3"/>
  <c r="E9" i="3"/>
  <c r="E7" i="3"/>
  <c r="E5" i="3"/>
  <c r="D65" i="3"/>
  <c r="D49" i="3"/>
  <c r="I11" i="3"/>
  <c r="I9" i="3"/>
  <c r="I7" i="3"/>
  <c r="I5" i="3"/>
  <c r="D61" i="3"/>
  <c r="I47" i="3"/>
  <c r="E8" i="3"/>
  <c r="H8" i="3" s="1"/>
  <c r="D45" i="3"/>
  <c r="I45" i="3"/>
  <c r="D37" i="3"/>
  <c r="I37" i="3"/>
  <c r="E65" i="3"/>
  <c r="F64" i="3"/>
  <c r="E61" i="3"/>
  <c r="F60" i="3"/>
  <c r="E57" i="3"/>
  <c r="H57" i="3" s="1"/>
  <c r="F56" i="3"/>
  <c r="E53" i="3"/>
  <c r="F52" i="3"/>
  <c r="E49" i="3"/>
  <c r="H49" i="3" s="1"/>
  <c r="F48" i="3"/>
  <c r="E45" i="3"/>
  <c r="D43" i="3"/>
  <c r="I43" i="3"/>
  <c r="E37" i="3"/>
  <c r="D35" i="3"/>
  <c r="I35" i="3"/>
  <c r="F67" i="3"/>
  <c r="F63" i="3"/>
  <c r="F59" i="3"/>
  <c r="F55" i="3"/>
  <c r="F51" i="3"/>
  <c r="D46" i="3"/>
  <c r="E46" i="3"/>
  <c r="E43" i="3"/>
  <c r="G42" i="3"/>
  <c r="E42" i="3" s="1"/>
  <c r="D41" i="3"/>
  <c r="I41" i="3"/>
  <c r="D38" i="3"/>
  <c r="E38" i="3"/>
  <c r="E35" i="3"/>
  <c r="G34" i="3"/>
  <c r="E34" i="3" s="1"/>
  <c r="D33" i="3"/>
  <c r="I33" i="3"/>
  <c r="D28" i="3"/>
  <c r="E28" i="3"/>
  <c r="D26" i="3"/>
  <c r="E26" i="3"/>
  <c r="D24" i="3"/>
  <c r="E24" i="3"/>
  <c r="D22" i="3"/>
  <c r="E22" i="3"/>
  <c r="D20" i="3"/>
  <c r="E20" i="3"/>
  <c r="D18" i="3"/>
  <c r="E18" i="3"/>
  <c r="D16" i="3"/>
  <c r="E16" i="3"/>
  <c r="D14" i="3"/>
  <c r="E14" i="3"/>
  <c r="D12" i="3"/>
  <c r="E12" i="3"/>
  <c r="F66" i="3"/>
  <c r="I65" i="3"/>
  <c r="F62" i="3"/>
  <c r="I61" i="3"/>
  <c r="F58" i="3"/>
  <c r="I57" i="3"/>
  <c r="F54" i="3"/>
  <c r="I53" i="3"/>
  <c r="F50" i="3"/>
  <c r="I49" i="3"/>
  <c r="I46" i="3"/>
  <c r="D44" i="3"/>
  <c r="E44" i="3"/>
  <c r="E41" i="3"/>
  <c r="G40" i="3"/>
  <c r="E40" i="3" s="1"/>
  <c r="D39" i="3"/>
  <c r="I39" i="3"/>
  <c r="I38" i="3"/>
  <c r="D36" i="3"/>
  <c r="E36" i="3"/>
  <c r="E33" i="3"/>
  <c r="G32" i="3"/>
  <c r="D32" i="3" s="1"/>
  <c r="D31" i="3"/>
  <c r="I31" i="3"/>
  <c r="I28" i="3"/>
  <c r="I26" i="3"/>
  <c r="I24" i="3"/>
  <c r="I22" i="3"/>
  <c r="I20" i="3"/>
  <c r="I18" i="3"/>
  <c r="I16" i="3"/>
  <c r="I14" i="3"/>
  <c r="I12" i="3"/>
  <c r="G30" i="3"/>
  <c r="D30" i="3" s="1"/>
  <c r="D29" i="3"/>
  <c r="I29" i="3"/>
  <c r="E29" i="3"/>
  <c r="D27" i="3"/>
  <c r="I27" i="3"/>
  <c r="E27" i="3"/>
  <c r="D25" i="3"/>
  <c r="I25" i="3"/>
  <c r="E25" i="3"/>
  <c r="D23" i="3"/>
  <c r="I23" i="3"/>
  <c r="E23" i="3"/>
  <c r="D21" i="3"/>
  <c r="I21" i="3"/>
  <c r="E21" i="3"/>
  <c r="D19" i="3"/>
  <c r="I19" i="3"/>
  <c r="E19" i="3"/>
  <c r="D17" i="3"/>
  <c r="I17" i="3"/>
  <c r="E17" i="3"/>
  <c r="D15" i="3"/>
  <c r="I15" i="3"/>
  <c r="E15" i="3"/>
  <c r="D13" i="3"/>
  <c r="I13" i="3"/>
  <c r="E13" i="3"/>
  <c r="D4" i="3"/>
  <c r="I4" i="3"/>
  <c r="E4" i="3"/>
  <c r="I39" i="7"/>
  <c r="I41" i="7"/>
  <c r="I23" i="7"/>
  <c r="I25" i="7"/>
  <c r="I31" i="7"/>
  <c r="I15" i="7"/>
  <c r="I43" i="7"/>
  <c r="I35" i="7"/>
  <c r="I27" i="7"/>
  <c r="I19" i="7"/>
  <c r="I11" i="7"/>
  <c r="I29" i="7"/>
  <c r="I13" i="7"/>
  <c r="I9" i="7"/>
  <c r="A9" i="3" s="1"/>
  <c r="G3" i="3"/>
  <c r="F3" i="3"/>
  <c r="D11" i="5"/>
  <c r="D12" i="5"/>
  <c r="H22" i="9"/>
  <c r="H21" i="9"/>
  <c r="H9" i="9"/>
  <c r="C9" i="9" s="1"/>
  <c r="F16" i="9"/>
  <c r="F18" i="9"/>
  <c r="F20" i="9"/>
  <c r="K2" i="4"/>
  <c r="J2" i="4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H39" i="3" l="1"/>
  <c r="H7" i="3"/>
  <c r="H9" i="3"/>
  <c r="H53" i="3"/>
  <c r="H11" i="3"/>
  <c r="E30" i="3"/>
  <c r="H30" i="3" s="1"/>
  <c r="H5" i="3"/>
  <c r="H47" i="3"/>
  <c r="H15" i="3"/>
  <c r="H23" i="3"/>
  <c r="I30" i="3"/>
  <c r="H31" i="3"/>
  <c r="H38" i="3"/>
  <c r="D34" i="3"/>
  <c r="H34" i="3" s="1"/>
  <c r="H10" i="3"/>
  <c r="H61" i="3"/>
  <c r="H13" i="3"/>
  <c r="H21" i="3"/>
  <c r="H29" i="3"/>
  <c r="I40" i="3"/>
  <c r="E32" i="3"/>
  <c r="H32" i="3" s="1"/>
  <c r="D40" i="3"/>
  <c r="H40" i="3" s="1"/>
  <c r="I32" i="3"/>
  <c r="H65" i="3"/>
  <c r="H35" i="3"/>
  <c r="H33" i="3"/>
  <c r="D67" i="3"/>
  <c r="E67" i="3"/>
  <c r="I67" i="3"/>
  <c r="H44" i="3"/>
  <c r="H14" i="3"/>
  <c r="H22" i="3"/>
  <c r="D55" i="3"/>
  <c r="E55" i="3"/>
  <c r="I55" i="3"/>
  <c r="I42" i="3"/>
  <c r="D64" i="3"/>
  <c r="E64" i="3"/>
  <c r="I64" i="3"/>
  <c r="H4" i="3"/>
  <c r="H19" i="3"/>
  <c r="H36" i="3"/>
  <c r="D59" i="3"/>
  <c r="E59" i="3"/>
  <c r="I59" i="3"/>
  <c r="H37" i="3"/>
  <c r="H45" i="3"/>
  <c r="D51" i="3"/>
  <c r="E51" i="3"/>
  <c r="I51" i="3"/>
  <c r="D42" i="3"/>
  <c r="H42" i="3" s="1"/>
  <c r="D50" i="3"/>
  <c r="I50" i="3"/>
  <c r="E50" i="3"/>
  <c r="D58" i="3"/>
  <c r="I58" i="3"/>
  <c r="E58" i="3"/>
  <c r="D66" i="3"/>
  <c r="I66" i="3"/>
  <c r="E66" i="3"/>
  <c r="H18" i="3"/>
  <c r="H26" i="3"/>
  <c r="D48" i="3"/>
  <c r="E48" i="3"/>
  <c r="I48" i="3"/>
  <c r="D56" i="3"/>
  <c r="E56" i="3"/>
  <c r="I56" i="3"/>
  <c r="H27" i="3"/>
  <c r="H17" i="3"/>
  <c r="H25" i="3"/>
  <c r="D54" i="3"/>
  <c r="I54" i="3"/>
  <c r="E54" i="3"/>
  <c r="D62" i="3"/>
  <c r="I62" i="3"/>
  <c r="E62" i="3"/>
  <c r="H12" i="3"/>
  <c r="H16" i="3"/>
  <c r="H20" i="3"/>
  <c r="H24" i="3"/>
  <c r="H28" i="3"/>
  <c r="H41" i="3"/>
  <c r="H46" i="3"/>
  <c r="D63" i="3"/>
  <c r="E63" i="3"/>
  <c r="I63" i="3"/>
  <c r="I34" i="3"/>
  <c r="H43" i="3"/>
  <c r="D52" i="3"/>
  <c r="E52" i="3"/>
  <c r="I52" i="3"/>
  <c r="D60" i="3"/>
  <c r="E60" i="3"/>
  <c r="I60" i="3"/>
  <c r="B9" i="4"/>
  <c r="B13" i="4"/>
  <c r="B17" i="4"/>
  <c r="B10" i="4"/>
  <c r="B12" i="4"/>
  <c r="B27" i="4"/>
  <c r="B29" i="4"/>
  <c r="B8" i="4"/>
  <c r="B32" i="4"/>
  <c r="B11" i="4"/>
  <c r="B22" i="4"/>
  <c r="B24" i="4"/>
  <c r="B28" i="4"/>
  <c r="B20" i="4"/>
  <c r="B14" i="4"/>
  <c r="B6" i="4"/>
  <c r="B7" i="4"/>
  <c r="B30" i="4"/>
  <c r="B19" i="4"/>
  <c r="B25" i="4"/>
  <c r="B23" i="4"/>
  <c r="B31" i="4"/>
  <c r="I3" i="3"/>
  <c r="D14" i="5"/>
  <c r="D13" i="5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O4" i="2"/>
  <c r="N4" i="2"/>
  <c r="O3" i="2"/>
  <c r="N3" i="2"/>
  <c r="S13" i="6"/>
  <c r="S25" i="6" s="1"/>
  <c r="O13" i="6"/>
  <c r="O25" i="6" s="1"/>
  <c r="K13" i="6"/>
  <c r="K25" i="6" s="1"/>
  <c r="G13" i="6"/>
  <c r="G25" i="6" s="1"/>
  <c r="C13" i="6"/>
  <c r="C25" i="6" s="1"/>
  <c r="H52" i="3" l="1"/>
  <c r="H56" i="3"/>
  <c r="H66" i="3"/>
  <c r="H63" i="3"/>
  <c r="H64" i="3"/>
  <c r="H54" i="3"/>
  <c r="H50" i="3"/>
  <c r="H51" i="3"/>
  <c r="H67" i="3"/>
  <c r="H60" i="3"/>
  <c r="H55" i="3"/>
  <c r="H62" i="3"/>
  <c r="H48" i="3"/>
  <c r="H58" i="3"/>
  <c r="H59" i="3"/>
  <c r="G69" i="3"/>
  <c r="F69" i="3"/>
  <c r="D16" i="5"/>
  <c r="D15" i="5"/>
  <c r="D17" i="5" s="1"/>
  <c r="D20" i="5" s="1"/>
  <c r="D24" i="5" s="1"/>
  <c r="K37" i="6"/>
  <c r="G37" i="6"/>
  <c r="C37" i="6"/>
  <c r="O37" i="6"/>
  <c r="S37" i="6"/>
  <c r="S49" i="6" l="1"/>
  <c r="O49" i="6"/>
  <c r="C49" i="6"/>
  <c r="G49" i="6"/>
  <c r="K49" i="6"/>
  <c r="K61" i="6" l="1"/>
  <c r="G61" i="6"/>
  <c r="C61" i="6"/>
  <c r="O61" i="6"/>
  <c r="S61" i="6"/>
  <c r="O73" i="6" l="1"/>
  <c r="C73" i="6"/>
  <c r="S73" i="6"/>
  <c r="G73" i="6"/>
  <c r="K73" i="6"/>
  <c r="U3" i="8"/>
  <c r="Z6" i="8"/>
  <c r="U6" i="8" s="1"/>
  <c r="Z5" i="8"/>
  <c r="U5" i="8" s="1"/>
  <c r="Z4" i="8"/>
  <c r="Z3" i="8"/>
  <c r="Z2" i="8"/>
  <c r="V6" i="8"/>
  <c r="X6" i="8" s="1"/>
  <c r="W6" i="8" s="1"/>
  <c r="V5" i="8"/>
  <c r="X5" i="8" s="1"/>
  <c r="W5" i="8" s="1"/>
  <c r="V4" i="8"/>
  <c r="X4" i="8" s="1"/>
  <c r="V3" i="8"/>
  <c r="X3" i="8" s="1"/>
  <c r="W3" i="8" s="1"/>
  <c r="V2" i="8"/>
  <c r="X2" i="8" s="1"/>
  <c r="U2" i="8" s="1"/>
  <c r="Y6" i="8"/>
  <c r="Y5" i="8"/>
  <c r="Y4" i="8"/>
  <c r="Y3" i="8"/>
  <c r="Y2" i="8"/>
  <c r="E4" i="1"/>
  <c r="D4" i="1"/>
  <c r="G32" i="4"/>
  <c r="G25" i="4"/>
  <c r="G24" i="4"/>
  <c r="G23" i="4"/>
  <c r="G22" i="4"/>
  <c r="G21" i="4"/>
  <c r="H26" i="4"/>
  <c r="H15" i="4"/>
  <c r="D16" i="4"/>
  <c r="D18" i="4"/>
  <c r="D21" i="4"/>
  <c r="D26" i="4"/>
  <c r="L3" i="8"/>
  <c r="D16" i="8"/>
  <c r="E16" i="8"/>
  <c r="F16" i="8"/>
  <c r="F13" i="8"/>
  <c r="E13" i="8"/>
  <c r="D13" i="8"/>
  <c r="D10" i="8"/>
  <c r="G11" i="8" s="1"/>
  <c r="E10" i="8"/>
  <c r="F7" i="8"/>
  <c r="E7" i="8"/>
  <c r="D7" i="8"/>
  <c r="G4" i="8"/>
  <c r="H4" i="8"/>
  <c r="I4" i="8"/>
  <c r="U4" i="8" l="1"/>
  <c r="W4" i="8"/>
  <c r="G85" i="6"/>
  <c r="S85" i="6"/>
  <c r="K85" i="6"/>
  <c r="C85" i="6"/>
  <c r="O85" i="6"/>
  <c r="D15" i="4"/>
  <c r="W2" i="8"/>
  <c r="E4" i="8"/>
  <c r="E25" i="8" s="1"/>
  <c r="D4" i="8"/>
  <c r="D25" i="8" s="1"/>
  <c r="D46" i="8" s="1"/>
  <c r="R6" i="8"/>
  <c r="R5" i="8"/>
  <c r="R4" i="8"/>
  <c r="F10" i="8" s="1"/>
  <c r="R3" i="8"/>
  <c r="R2" i="8"/>
  <c r="F4" i="8" s="1"/>
  <c r="L5" i="8" s="1"/>
  <c r="F49" i="8"/>
  <c r="G48" i="8"/>
  <c r="G47" i="8"/>
  <c r="C25" i="8"/>
  <c r="C46" i="8" s="1"/>
  <c r="J24" i="8"/>
  <c r="J45" i="8" s="1"/>
  <c r="C24" i="8"/>
  <c r="C45" i="8" s="1"/>
  <c r="C7" i="8"/>
  <c r="C28" i="8" s="1"/>
  <c r="C47" i="8" s="1"/>
  <c r="L24" i="8"/>
  <c r="A17" i="3"/>
  <c r="G14" i="4"/>
  <c r="S26" i="6"/>
  <c r="K50" i="6"/>
  <c r="C38" i="6"/>
  <c r="G74" i="6"/>
  <c r="G62" i="6"/>
  <c r="K14" i="6"/>
  <c r="S2" i="6"/>
  <c r="G14" i="6"/>
  <c r="O62" i="6"/>
  <c r="C14" i="6"/>
  <c r="O38" i="6"/>
  <c r="C2" i="6"/>
  <c r="S50" i="6"/>
  <c r="S38" i="6"/>
  <c r="G26" i="6"/>
  <c r="K26" i="6"/>
  <c r="G2" i="6"/>
  <c r="S62" i="6"/>
  <c r="C50" i="6"/>
  <c r="O2" i="6"/>
  <c r="K2" i="6"/>
  <c r="K62" i="6"/>
  <c r="S74" i="6"/>
  <c r="C62" i="6"/>
  <c r="C26" i="6"/>
  <c r="C74" i="6"/>
  <c r="G38" i="6"/>
  <c r="O74" i="6"/>
  <c r="O14" i="6"/>
  <c r="O50" i="6"/>
  <c r="K74" i="6"/>
  <c r="G50" i="6"/>
  <c r="O26" i="6"/>
  <c r="K38" i="6"/>
  <c r="S14" i="6"/>
  <c r="H45" i="6" l="1"/>
  <c r="I45" i="6" s="1"/>
  <c r="G40" i="6"/>
  <c r="F40" i="6" s="1"/>
  <c r="H46" i="6"/>
  <c r="I46" i="6" s="1"/>
  <c r="H44" i="6"/>
  <c r="I44" i="6" s="1"/>
  <c r="H43" i="6"/>
  <c r="I43" i="6" s="1"/>
  <c r="H42" i="6"/>
  <c r="I42" i="6" s="1"/>
  <c r="G42" i="6"/>
  <c r="F42" i="6" s="1"/>
  <c r="H41" i="6"/>
  <c r="I41" i="6" s="1"/>
  <c r="H40" i="6"/>
  <c r="I40" i="6" s="1"/>
  <c r="G46" i="6"/>
  <c r="F46" i="6" s="1"/>
  <c r="G41" i="6"/>
  <c r="F41" i="6" s="1"/>
  <c r="G45" i="6"/>
  <c r="F45" i="6" s="1"/>
  <c r="G44" i="6"/>
  <c r="F44" i="6" s="1"/>
  <c r="G43" i="6"/>
  <c r="F43" i="6" s="1"/>
  <c r="P78" i="6"/>
  <c r="Q78" i="6" s="1"/>
  <c r="P77" i="6"/>
  <c r="Q77" i="6" s="1"/>
  <c r="P76" i="6"/>
  <c r="Q76" i="6" s="1"/>
  <c r="O82" i="6"/>
  <c r="N82" i="6" s="1"/>
  <c r="O81" i="6"/>
  <c r="N81" i="6" s="1"/>
  <c r="O80" i="6"/>
  <c r="N80" i="6" s="1"/>
  <c r="O79" i="6"/>
  <c r="N79" i="6" s="1"/>
  <c r="O78" i="6"/>
  <c r="N78" i="6" s="1"/>
  <c r="P82" i="6"/>
  <c r="Q82" i="6" s="1"/>
  <c r="O77" i="6"/>
  <c r="N77" i="6" s="1"/>
  <c r="P81" i="6"/>
  <c r="Q81" i="6" s="1"/>
  <c r="O76" i="6"/>
  <c r="N76" i="6" s="1"/>
  <c r="P80" i="6"/>
  <c r="Q80" i="6" s="1"/>
  <c r="P79" i="6"/>
  <c r="Q79" i="6" s="1"/>
  <c r="P18" i="6"/>
  <c r="Q18" i="6" s="1"/>
  <c r="P17" i="6"/>
  <c r="Q17" i="6" s="1"/>
  <c r="P16" i="6"/>
  <c r="Q16" i="6" s="1"/>
  <c r="O21" i="6"/>
  <c r="N21" i="6" s="1"/>
  <c r="P20" i="6"/>
  <c r="Q20" i="6" s="1"/>
  <c r="O20" i="6"/>
  <c r="N20" i="6" s="1"/>
  <c r="O22" i="6"/>
  <c r="N22" i="6" s="1"/>
  <c r="O18" i="6"/>
  <c r="N18" i="6" s="1"/>
  <c r="O19" i="6"/>
  <c r="N19" i="6" s="1"/>
  <c r="O17" i="6"/>
  <c r="N17" i="6" s="1"/>
  <c r="O16" i="6"/>
  <c r="N16" i="6" s="1"/>
  <c r="P19" i="6"/>
  <c r="Q19" i="6" s="1"/>
  <c r="P22" i="6"/>
  <c r="Q22" i="6" s="1"/>
  <c r="P21" i="6"/>
  <c r="Q21" i="6" s="1"/>
  <c r="H53" i="6"/>
  <c r="I53" i="6" s="1"/>
  <c r="H54" i="6"/>
  <c r="I54" i="6" s="1"/>
  <c r="H52" i="6"/>
  <c r="I52" i="6" s="1"/>
  <c r="G58" i="6"/>
  <c r="F58" i="6" s="1"/>
  <c r="G57" i="6"/>
  <c r="F57" i="6" s="1"/>
  <c r="G56" i="6"/>
  <c r="F56" i="6" s="1"/>
  <c r="G55" i="6"/>
  <c r="F55" i="6" s="1"/>
  <c r="G54" i="6"/>
  <c r="F54" i="6" s="1"/>
  <c r="H58" i="6"/>
  <c r="I58" i="6" s="1"/>
  <c r="G53" i="6"/>
  <c r="F53" i="6" s="1"/>
  <c r="H57" i="6"/>
  <c r="I57" i="6" s="1"/>
  <c r="G52" i="6"/>
  <c r="F52" i="6" s="1"/>
  <c r="H56" i="6"/>
  <c r="I56" i="6" s="1"/>
  <c r="H55" i="6"/>
  <c r="I55" i="6" s="1"/>
  <c r="L17" i="6"/>
  <c r="M17" i="6" s="1"/>
  <c r="L16" i="6"/>
  <c r="M16" i="6" s="1"/>
  <c r="K22" i="6"/>
  <c r="J22" i="6" s="1"/>
  <c r="K21" i="6"/>
  <c r="J21" i="6" s="1"/>
  <c r="K20" i="6"/>
  <c r="J20" i="6" s="1"/>
  <c r="K19" i="6"/>
  <c r="J19" i="6" s="1"/>
  <c r="K18" i="6"/>
  <c r="J18" i="6" s="1"/>
  <c r="L18" i="6"/>
  <c r="M18" i="6" s="1"/>
  <c r="L22" i="6"/>
  <c r="M22" i="6" s="1"/>
  <c r="K17" i="6"/>
  <c r="J17" i="6" s="1"/>
  <c r="L21" i="6"/>
  <c r="M21" i="6" s="1"/>
  <c r="K16" i="6"/>
  <c r="J16" i="6" s="1"/>
  <c r="L19" i="6"/>
  <c r="M19" i="6" s="1"/>
  <c r="L20" i="6"/>
  <c r="M20" i="6" s="1"/>
  <c r="D55" i="6"/>
  <c r="E55" i="6" s="1"/>
  <c r="D54" i="6"/>
  <c r="E54" i="6" s="1"/>
  <c r="D53" i="6"/>
  <c r="E53" i="6" s="1"/>
  <c r="D52" i="6"/>
  <c r="E52" i="6" s="1"/>
  <c r="C58" i="6"/>
  <c r="B58" i="6" s="1"/>
  <c r="C57" i="6"/>
  <c r="B57" i="6" s="1"/>
  <c r="C56" i="6"/>
  <c r="B56" i="6" s="1"/>
  <c r="C55" i="6"/>
  <c r="B55" i="6" s="1"/>
  <c r="D56" i="6"/>
  <c r="E56" i="6" s="1"/>
  <c r="C54" i="6"/>
  <c r="B54" i="6" s="1"/>
  <c r="D58" i="6"/>
  <c r="E58" i="6" s="1"/>
  <c r="C53" i="6"/>
  <c r="B53" i="6" s="1"/>
  <c r="D57" i="6"/>
  <c r="E57" i="6" s="1"/>
  <c r="C52" i="6"/>
  <c r="B52" i="6" s="1"/>
  <c r="P31" i="6"/>
  <c r="Q31" i="6" s="1"/>
  <c r="P30" i="6"/>
  <c r="Q30" i="6" s="1"/>
  <c r="P29" i="6"/>
  <c r="Q29" i="6" s="1"/>
  <c r="P28" i="6"/>
  <c r="Q28" i="6" s="1"/>
  <c r="O33" i="6"/>
  <c r="N33" i="6" s="1"/>
  <c r="O34" i="6"/>
  <c r="N34" i="6" s="1"/>
  <c r="O30" i="6"/>
  <c r="N30" i="6" s="1"/>
  <c r="O32" i="6"/>
  <c r="N32" i="6" s="1"/>
  <c r="O28" i="6"/>
  <c r="N28" i="6" s="1"/>
  <c r="O31" i="6"/>
  <c r="N31" i="6" s="1"/>
  <c r="P33" i="6"/>
  <c r="Q33" i="6" s="1"/>
  <c r="P32" i="6"/>
  <c r="Q32" i="6" s="1"/>
  <c r="O29" i="6"/>
  <c r="N29" i="6" s="1"/>
  <c r="P34" i="6"/>
  <c r="Q34" i="6" s="1"/>
  <c r="D79" i="6"/>
  <c r="E79" i="6" s="1"/>
  <c r="D78" i="6"/>
  <c r="E78" i="6" s="1"/>
  <c r="D77" i="6"/>
  <c r="E77" i="6" s="1"/>
  <c r="D76" i="6"/>
  <c r="E76" i="6" s="1"/>
  <c r="C82" i="6"/>
  <c r="B82" i="6" s="1"/>
  <c r="C81" i="6"/>
  <c r="B81" i="6" s="1"/>
  <c r="C80" i="6"/>
  <c r="B80" i="6" s="1"/>
  <c r="C79" i="6"/>
  <c r="B79" i="6" s="1"/>
  <c r="C78" i="6"/>
  <c r="B78" i="6" s="1"/>
  <c r="D80" i="6"/>
  <c r="E80" i="6" s="1"/>
  <c r="D82" i="6"/>
  <c r="E82" i="6" s="1"/>
  <c r="C77" i="6"/>
  <c r="B77" i="6" s="1"/>
  <c r="D81" i="6"/>
  <c r="E81" i="6" s="1"/>
  <c r="C76" i="6"/>
  <c r="B76" i="6" s="1"/>
  <c r="S20" i="6"/>
  <c r="R20" i="6" s="1"/>
  <c r="S19" i="6"/>
  <c r="R19" i="6" s="1"/>
  <c r="S18" i="6"/>
  <c r="R18" i="6" s="1"/>
  <c r="S21" i="6"/>
  <c r="R21" i="6" s="1"/>
  <c r="T22" i="6"/>
  <c r="U22" i="6" s="1"/>
  <c r="S17" i="6"/>
  <c r="R17" i="6" s="1"/>
  <c r="T21" i="6"/>
  <c r="U21" i="6" s="1"/>
  <c r="S16" i="6"/>
  <c r="R16" i="6" s="1"/>
  <c r="T20" i="6"/>
  <c r="U20" i="6" s="1"/>
  <c r="T19" i="6"/>
  <c r="U19" i="6" s="1"/>
  <c r="T18" i="6"/>
  <c r="U18" i="6" s="1"/>
  <c r="S22" i="6"/>
  <c r="R22" i="6" s="1"/>
  <c r="T17" i="6"/>
  <c r="U17" i="6" s="1"/>
  <c r="T16" i="6"/>
  <c r="U16" i="6" s="1"/>
  <c r="G19" i="6"/>
  <c r="F19" i="6" s="1"/>
  <c r="H22" i="6"/>
  <c r="I22" i="6" s="1"/>
  <c r="H20" i="6"/>
  <c r="I20" i="6" s="1"/>
  <c r="H19" i="6"/>
  <c r="I19" i="6" s="1"/>
  <c r="H17" i="6"/>
  <c r="I17" i="6" s="1"/>
  <c r="H18" i="6"/>
  <c r="I18" i="6" s="1"/>
  <c r="G17" i="6"/>
  <c r="F17" i="6" s="1"/>
  <c r="G22" i="6"/>
  <c r="F22" i="6" s="1"/>
  <c r="G21" i="6"/>
  <c r="F21" i="6" s="1"/>
  <c r="G20" i="6"/>
  <c r="F20" i="6" s="1"/>
  <c r="H21" i="6"/>
  <c r="I21" i="6" s="1"/>
  <c r="G18" i="6"/>
  <c r="F18" i="6" s="1"/>
  <c r="G16" i="6"/>
  <c r="F16" i="6" s="1"/>
  <c r="H16" i="6"/>
  <c r="I16" i="6" s="1"/>
  <c r="S46" i="6"/>
  <c r="R46" i="6" s="1"/>
  <c r="S45" i="6"/>
  <c r="R45" i="6" s="1"/>
  <c r="S44" i="6"/>
  <c r="R44" i="6" s="1"/>
  <c r="S43" i="6"/>
  <c r="R43" i="6" s="1"/>
  <c r="S42" i="6"/>
  <c r="R42" i="6" s="1"/>
  <c r="T46" i="6"/>
  <c r="U46" i="6" s="1"/>
  <c r="S41" i="6"/>
  <c r="R41" i="6" s="1"/>
  <c r="T45" i="6"/>
  <c r="U45" i="6" s="1"/>
  <c r="S40" i="6"/>
  <c r="R40" i="6" s="1"/>
  <c r="T44" i="6"/>
  <c r="U44" i="6" s="1"/>
  <c r="T43" i="6"/>
  <c r="U43" i="6" s="1"/>
  <c r="T41" i="6"/>
  <c r="U41" i="6" s="1"/>
  <c r="T42" i="6"/>
  <c r="U42" i="6" s="1"/>
  <c r="T40" i="6"/>
  <c r="U40" i="6" s="1"/>
  <c r="D20" i="6"/>
  <c r="E20" i="6" s="1"/>
  <c r="C16" i="6"/>
  <c r="B16" i="6" s="1"/>
  <c r="D18" i="6"/>
  <c r="E18" i="6" s="1"/>
  <c r="C17" i="6"/>
  <c r="B17" i="6" s="1"/>
  <c r="C22" i="6"/>
  <c r="B22" i="6" s="1"/>
  <c r="C20" i="6"/>
  <c r="B20" i="6" s="1"/>
  <c r="C18" i="6"/>
  <c r="B18" i="6" s="1"/>
  <c r="D22" i="6"/>
  <c r="E22" i="6" s="1"/>
  <c r="C19" i="6"/>
  <c r="B19" i="6" s="1"/>
  <c r="D21" i="6"/>
  <c r="E21" i="6" s="1"/>
  <c r="D19" i="6"/>
  <c r="E19" i="6" s="1"/>
  <c r="C21" i="6"/>
  <c r="B21" i="6" s="1"/>
  <c r="D16" i="6"/>
  <c r="E16" i="6" s="1"/>
  <c r="D17" i="6"/>
  <c r="E17" i="6" s="1"/>
  <c r="S10" i="6"/>
  <c r="R10" i="6" s="1"/>
  <c r="T5" i="6"/>
  <c r="U5" i="6" s="1"/>
  <c r="T6" i="6"/>
  <c r="U6" i="6" s="1"/>
  <c r="S9" i="6"/>
  <c r="R9" i="6" s="1"/>
  <c r="T4" i="6"/>
  <c r="U4" i="6" s="1"/>
  <c r="S8" i="6"/>
  <c r="R8" i="6" s="1"/>
  <c r="S7" i="6"/>
  <c r="R7" i="6" s="1"/>
  <c r="S6" i="6"/>
  <c r="R6" i="6" s="1"/>
  <c r="S5" i="6"/>
  <c r="R5" i="6" s="1"/>
  <c r="S4" i="6"/>
  <c r="R4" i="6" s="1"/>
  <c r="T10" i="6"/>
  <c r="U10" i="6" s="1"/>
  <c r="T7" i="6"/>
  <c r="U7" i="6" s="1"/>
  <c r="T9" i="6"/>
  <c r="U9" i="6" s="1"/>
  <c r="T8" i="6"/>
  <c r="U8" i="6" s="1"/>
  <c r="K78" i="6"/>
  <c r="J78" i="6" s="1"/>
  <c r="L82" i="6"/>
  <c r="M82" i="6" s="1"/>
  <c r="K77" i="6"/>
  <c r="J77" i="6" s="1"/>
  <c r="L81" i="6"/>
  <c r="M81" i="6" s="1"/>
  <c r="K76" i="6"/>
  <c r="J76" i="6" s="1"/>
  <c r="L80" i="6"/>
  <c r="M80" i="6" s="1"/>
  <c r="L79" i="6"/>
  <c r="M79" i="6" s="1"/>
  <c r="L78" i="6"/>
  <c r="M78" i="6" s="1"/>
  <c r="L77" i="6"/>
  <c r="M77" i="6" s="1"/>
  <c r="L76" i="6"/>
  <c r="M76" i="6" s="1"/>
  <c r="K82" i="6"/>
  <c r="J82" i="6" s="1"/>
  <c r="K81" i="6"/>
  <c r="J81" i="6" s="1"/>
  <c r="K79" i="6"/>
  <c r="J79" i="6" s="1"/>
  <c r="K80" i="6"/>
  <c r="J80" i="6" s="1"/>
  <c r="T67" i="6"/>
  <c r="U67" i="6" s="1"/>
  <c r="T66" i="6"/>
  <c r="U66" i="6" s="1"/>
  <c r="T65" i="6"/>
  <c r="U65" i="6" s="1"/>
  <c r="T64" i="6"/>
  <c r="U64" i="6" s="1"/>
  <c r="S70" i="6"/>
  <c r="R70" i="6" s="1"/>
  <c r="S69" i="6"/>
  <c r="R69" i="6" s="1"/>
  <c r="S68" i="6"/>
  <c r="R68" i="6" s="1"/>
  <c r="S67" i="6"/>
  <c r="R67" i="6" s="1"/>
  <c r="S66" i="6"/>
  <c r="R66" i="6" s="1"/>
  <c r="T70" i="6"/>
  <c r="U70" i="6" s="1"/>
  <c r="S65" i="6"/>
  <c r="R65" i="6" s="1"/>
  <c r="T68" i="6"/>
  <c r="U68" i="6" s="1"/>
  <c r="T69" i="6"/>
  <c r="U69" i="6" s="1"/>
  <c r="S64" i="6"/>
  <c r="R64" i="6" s="1"/>
  <c r="P7" i="6"/>
  <c r="Q7" i="6" s="1"/>
  <c r="P9" i="6"/>
  <c r="Q9" i="6" s="1"/>
  <c r="P6" i="6"/>
  <c r="Q6" i="6" s="1"/>
  <c r="P8" i="6"/>
  <c r="Q8" i="6" s="1"/>
  <c r="O10" i="6"/>
  <c r="N10" i="6" s="1"/>
  <c r="P5" i="6"/>
  <c r="Q5" i="6" s="1"/>
  <c r="O9" i="6"/>
  <c r="N9" i="6" s="1"/>
  <c r="P4" i="6"/>
  <c r="Q4" i="6" s="1"/>
  <c r="O8" i="6"/>
  <c r="N8" i="6" s="1"/>
  <c r="O7" i="6"/>
  <c r="N7" i="6" s="1"/>
  <c r="O6" i="6"/>
  <c r="N6" i="6" s="1"/>
  <c r="O5" i="6"/>
  <c r="N5" i="6" s="1"/>
  <c r="O4" i="6"/>
  <c r="N4" i="6" s="1"/>
  <c r="P10" i="6"/>
  <c r="Q10" i="6" s="1"/>
  <c r="T81" i="6"/>
  <c r="U81" i="6" s="1"/>
  <c r="S76" i="6"/>
  <c r="R76" i="6" s="1"/>
  <c r="T82" i="6"/>
  <c r="U82" i="6" s="1"/>
  <c r="T80" i="6"/>
  <c r="U80" i="6" s="1"/>
  <c r="T79" i="6"/>
  <c r="U79" i="6" s="1"/>
  <c r="T78" i="6"/>
  <c r="U78" i="6" s="1"/>
  <c r="T77" i="6"/>
  <c r="U77" i="6" s="1"/>
  <c r="T76" i="6"/>
  <c r="U76" i="6" s="1"/>
  <c r="S82" i="6"/>
  <c r="R82" i="6" s="1"/>
  <c r="S81" i="6"/>
  <c r="R81" i="6" s="1"/>
  <c r="S77" i="6"/>
  <c r="R77" i="6" s="1"/>
  <c r="S80" i="6"/>
  <c r="R80" i="6" s="1"/>
  <c r="S79" i="6"/>
  <c r="R79" i="6" s="1"/>
  <c r="S78" i="6"/>
  <c r="R78" i="6" s="1"/>
  <c r="P55" i="6"/>
  <c r="Q55" i="6" s="1"/>
  <c r="P53" i="6"/>
  <c r="Q53" i="6" s="1"/>
  <c r="O56" i="6"/>
  <c r="N56" i="6" s="1"/>
  <c r="P57" i="6"/>
  <c r="Q57" i="6" s="1"/>
  <c r="O54" i="6"/>
  <c r="N54" i="6" s="1"/>
  <c r="P54" i="6"/>
  <c r="Q54" i="6" s="1"/>
  <c r="O52" i="6"/>
  <c r="N52" i="6" s="1"/>
  <c r="P52" i="6"/>
  <c r="Q52" i="6" s="1"/>
  <c r="O58" i="6"/>
  <c r="N58" i="6" s="1"/>
  <c r="O57" i="6"/>
  <c r="N57" i="6" s="1"/>
  <c r="O55" i="6"/>
  <c r="N55" i="6" s="1"/>
  <c r="O53" i="6"/>
  <c r="N53" i="6" s="1"/>
  <c r="P56" i="6"/>
  <c r="Q56" i="6" s="1"/>
  <c r="P58" i="6"/>
  <c r="Q58" i="6" s="1"/>
  <c r="C8" i="6"/>
  <c r="B8" i="6" s="1"/>
  <c r="C6" i="6"/>
  <c r="B6" i="6" s="1"/>
  <c r="D9" i="6"/>
  <c r="E9" i="6" s="1"/>
  <c r="D7" i="6"/>
  <c r="E7" i="6" s="1"/>
  <c r="D5" i="6"/>
  <c r="E5" i="6" s="1"/>
  <c r="C9" i="6"/>
  <c r="B9" i="6" s="1"/>
  <c r="C7" i="6"/>
  <c r="B7" i="6" s="1"/>
  <c r="C5" i="6"/>
  <c r="B5" i="6" s="1"/>
  <c r="D10" i="6"/>
  <c r="E10" i="6" s="1"/>
  <c r="C4" i="6"/>
  <c r="B4" i="6" s="1"/>
  <c r="D8" i="6"/>
  <c r="E8" i="6" s="1"/>
  <c r="D4" i="6"/>
  <c r="E4" i="6" s="1"/>
  <c r="D6" i="6"/>
  <c r="E6" i="6" s="1"/>
  <c r="C10" i="6"/>
  <c r="B10" i="6" s="1"/>
  <c r="L43" i="6"/>
  <c r="M43" i="6" s="1"/>
  <c r="L42" i="6"/>
  <c r="M42" i="6" s="1"/>
  <c r="L41" i="6"/>
  <c r="M41" i="6" s="1"/>
  <c r="L40" i="6"/>
  <c r="M40" i="6" s="1"/>
  <c r="K46" i="6"/>
  <c r="J46" i="6" s="1"/>
  <c r="K45" i="6"/>
  <c r="J45" i="6" s="1"/>
  <c r="K44" i="6"/>
  <c r="J44" i="6" s="1"/>
  <c r="K43" i="6"/>
  <c r="J43" i="6" s="1"/>
  <c r="K42" i="6"/>
  <c r="J42" i="6" s="1"/>
  <c r="K40" i="6"/>
  <c r="J40" i="6" s="1"/>
  <c r="L44" i="6"/>
  <c r="M44" i="6" s="1"/>
  <c r="L46" i="6"/>
  <c r="M46" i="6" s="1"/>
  <c r="K41" i="6"/>
  <c r="J41" i="6" s="1"/>
  <c r="L45" i="6"/>
  <c r="M45" i="6" s="1"/>
  <c r="O70" i="6"/>
  <c r="N70" i="6" s="1"/>
  <c r="O69" i="6"/>
  <c r="N69" i="6" s="1"/>
  <c r="O68" i="6"/>
  <c r="N68" i="6" s="1"/>
  <c r="O67" i="6"/>
  <c r="N67" i="6" s="1"/>
  <c r="O66" i="6"/>
  <c r="N66" i="6" s="1"/>
  <c r="P70" i="6"/>
  <c r="Q70" i="6" s="1"/>
  <c r="O65" i="6"/>
  <c r="N65" i="6" s="1"/>
  <c r="P69" i="6"/>
  <c r="Q69" i="6" s="1"/>
  <c r="O64" i="6"/>
  <c r="N64" i="6" s="1"/>
  <c r="P68" i="6"/>
  <c r="Q68" i="6" s="1"/>
  <c r="P64" i="6"/>
  <c r="Q64" i="6" s="1"/>
  <c r="P67" i="6"/>
  <c r="Q67" i="6" s="1"/>
  <c r="P66" i="6"/>
  <c r="Q66" i="6" s="1"/>
  <c r="P65" i="6"/>
  <c r="Q65" i="6" s="1"/>
  <c r="C44" i="6"/>
  <c r="B44" i="6" s="1"/>
  <c r="C45" i="6"/>
  <c r="B45" i="6" s="1"/>
  <c r="C42" i="6"/>
  <c r="B42" i="6" s="1"/>
  <c r="C43" i="6"/>
  <c r="B43" i="6" s="1"/>
  <c r="C40" i="6"/>
  <c r="B40" i="6" s="1"/>
  <c r="C41" i="6"/>
  <c r="B41" i="6" s="1"/>
  <c r="D46" i="6"/>
  <c r="E46" i="6" s="1"/>
  <c r="D40" i="6"/>
  <c r="E40" i="6" s="1"/>
  <c r="D45" i="6"/>
  <c r="E45" i="6" s="1"/>
  <c r="D44" i="6"/>
  <c r="E44" i="6" s="1"/>
  <c r="D43" i="6"/>
  <c r="E43" i="6" s="1"/>
  <c r="D42" i="6"/>
  <c r="E42" i="6" s="1"/>
  <c r="D41" i="6"/>
  <c r="E41" i="6" s="1"/>
  <c r="C46" i="6"/>
  <c r="B46" i="6" s="1"/>
  <c r="K9" i="6"/>
  <c r="J9" i="6" s="1"/>
  <c r="K8" i="6"/>
  <c r="J8" i="6" s="1"/>
  <c r="K7" i="6"/>
  <c r="J7" i="6" s="1"/>
  <c r="L4" i="6"/>
  <c r="M4" i="6" s="1"/>
  <c r="K6" i="6"/>
  <c r="J6" i="6" s="1"/>
  <c r="K10" i="6"/>
  <c r="J10" i="6" s="1"/>
  <c r="L5" i="6"/>
  <c r="M5" i="6" s="1"/>
  <c r="K5" i="6"/>
  <c r="J5" i="6" s="1"/>
  <c r="L10" i="6"/>
  <c r="M10" i="6" s="1"/>
  <c r="K4" i="6"/>
  <c r="J4" i="6" s="1"/>
  <c r="L9" i="6"/>
  <c r="M9" i="6" s="1"/>
  <c r="L8" i="6"/>
  <c r="M8" i="6" s="1"/>
  <c r="L7" i="6"/>
  <c r="M7" i="6" s="1"/>
  <c r="L6" i="6"/>
  <c r="M6" i="6" s="1"/>
  <c r="S32" i="6"/>
  <c r="R32" i="6" s="1"/>
  <c r="S31" i="6"/>
  <c r="R31" i="6" s="1"/>
  <c r="S30" i="6"/>
  <c r="R30" i="6" s="1"/>
  <c r="T34" i="6"/>
  <c r="U34" i="6" s="1"/>
  <c r="S29" i="6"/>
  <c r="R29" i="6" s="1"/>
  <c r="T33" i="6"/>
  <c r="U33" i="6" s="1"/>
  <c r="S28" i="6"/>
  <c r="R28" i="6" s="1"/>
  <c r="T32" i="6"/>
  <c r="U32" i="6" s="1"/>
  <c r="T31" i="6"/>
  <c r="U31" i="6" s="1"/>
  <c r="T30" i="6"/>
  <c r="U30" i="6" s="1"/>
  <c r="T29" i="6"/>
  <c r="U29" i="6" s="1"/>
  <c r="S34" i="6"/>
  <c r="R34" i="6" s="1"/>
  <c r="S33" i="6"/>
  <c r="R33" i="6" s="1"/>
  <c r="T28" i="6"/>
  <c r="U28" i="6" s="1"/>
  <c r="G82" i="6"/>
  <c r="F82" i="6" s="1"/>
  <c r="G81" i="6"/>
  <c r="F81" i="6" s="1"/>
  <c r="G80" i="6"/>
  <c r="F80" i="6" s="1"/>
  <c r="H76" i="6"/>
  <c r="I76" i="6" s="1"/>
  <c r="G79" i="6"/>
  <c r="F79" i="6" s="1"/>
  <c r="G78" i="6"/>
  <c r="F78" i="6" s="1"/>
  <c r="H82" i="6"/>
  <c r="I82" i="6" s="1"/>
  <c r="G77" i="6"/>
  <c r="F77" i="6" s="1"/>
  <c r="H81" i="6"/>
  <c r="I81" i="6" s="1"/>
  <c r="G76" i="6"/>
  <c r="F76" i="6" s="1"/>
  <c r="H80" i="6"/>
  <c r="I80" i="6" s="1"/>
  <c r="H79" i="6"/>
  <c r="I79" i="6" s="1"/>
  <c r="H78" i="6"/>
  <c r="I78" i="6" s="1"/>
  <c r="H77" i="6"/>
  <c r="I77" i="6" s="1"/>
  <c r="G68" i="6"/>
  <c r="F68" i="6" s="1"/>
  <c r="G69" i="6"/>
  <c r="F69" i="6" s="1"/>
  <c r="G67" i="6"/>
  <c r="F67" i="6" s="1"/>
  <c r="G66" i="6"/>
  <c r="F66" i="6" s="1"/>
  <c r="H70" i="6"/>
  <c r="I70" i="6" s="1"/>
  <c r="G65" i="6"/>
  <c r="F65" i="6" s="1"/>
  <c r="H69" i="6"/>
  <c r="I69" i="6" s="1"/>
  <c r="G64" i="6"/>
  <c r="F64" i="6" s="1"/>
  <c r="H68" i="6"/>
  <c r="I68" i="6" s="1"/>
  <c r="H67" i="6"/>
  <c r="I67" i="6" s="1"/>
  <c r="H66" i="6"/>
  <c r="I66" i="6" s="1"/>
  <c r="H65" i="6"/>
  <c r="I65" i="6" s="1"/>
  <c r="H64" i="6"/>
  <c r="I64" i="6" s="1"/>
  <c r="G70" i="6"/>
  <c r="F70" i="6" s="1"/>
  <c r="L29" i="6"/>
  <c r="M29" i="6" s="1"/>
  <c r="L28" i="6"/>
  <c r="M28" i="6" s="1"/>
  <c r="L30" i="6"/>
  <c r="M30" i="6" s="1"/>
  <c r="K34" i="6"/>
  <c r="J34" i="6" s="1"/>
  <c r="K33" i="6"/>
  <c r="J33" i="6" s="1"/>
  <c r="K32" i="6"/>
  <c r="J32" i="6" s="1"/>
  <c r="K31" i="6"/>
  <c r="J31" i="6" s="1"/>
  <c r="K30" i="6"/>
  <c r="J30" i="6" s="1"/>
  <c r="L34" i="6"/>
  <c r="M34" i="6" s="1"/>
  <c r="K29" i="6"/>
  <c r="J29" i="6" s="1"/>
  <c r="L33" i="6"/>
  <c r="M33" i="6" s="1"/>
  <c r="K28" i="6"/>
  <c r="J28" i="6" s="1"/>
  <c r="L31" i="6"/>
  <c r="M31" i="6" s="1"/>
  <c r="L32" i="6"/>
  <c r="M32" i="6" s="1"/>
  <c r="L69" i="6"/>
  <c r="M69" i="6" s="1"/>
  <c r="K64" i="6"/>
  <c r="J64" i="6" s="1"/>
  <c r="K65" i="6"/>
  <c r="J65" i="6" s="1"/>
  <c r="L68" i="6"/>
  <c r="M68" i="6" s="1"/>
  <c r="L67" i="6"/>
  <c r="M67" i="6" s="1"/>
  <c r="L66" i="6"/>
  <c r="M66" i="6" s="1"/>
  <c r="L65" i="6"/>
  <c r="M65" i="6" s="1"/>
  <c r="L64" i="6"/>
  <c r="M64" i="6" s="1"/>
  <c r="K70" i="6"/>
  <c r="J70" i="6" s="1"/>
  <c r="K69" i="6"/>
  <c r="J69" i="6" s="1"/>
  <c r="L70" i="6"/>
  <c r="M70" i="6" s="1"/>
  <c r="K68" i="6"/>
  <c r="J68" i="6" s="1"/>
  <c r="K67" i="6"/>
  <c r="J67" i="6" s="1"/>
  <c r="K66" i="6"/>
  <c r="J66" i="6" s="1"/>
  <c r="D65" i="6"/>
  <c r="E65" i="6" s="1"/>
  <c r="D64" i="6"/>
  <c r="E64" i="6" s="1"/>
  <c r="C70" i="6"/>
  <c r="B70" i="6" s="1"/>
  <c r="C69" i="6"/>
  <c r="B69" i="6" s="1"/>
  <c r="C68" i="6"/>
  <c r="B68" i="6" s="1"/>
  <c r="C67" i="6"/>
  <c r="B67" i="6" s="1"/>
  <c r="C66" i="6"/>
  <c r="B66" i="6" s="1"/>
  <c r="D70" i="6"/>
  <c r="E70" i="6" s="1"/>
  <c r="C65" i="6"/>
  <c r="B65" i="6" s="1"/>
  <c r="D69" i="6"/>
  <c r="E69" i="6" s="1"/>
  <c r="C64" i="6"/>
  <c r="B64" i="6" s="1"/>
  <c r="D66" i="6"/>
  <c r="E66" i="6" s="1"/>
  <c r="D68" i="6"/>
  <c r="E68" i="6" s="1"/>
  <c r="D67" i="6"/>
  <c r="E67" i="6" s="1"/>
  <c r="H31" i="6"/>
  <c r="I31" i="6" s="1"/>
  <c r="H30" i="6"/>
  <c r="I30" i="6" s="1"/>
  <c r="H29" i="6"/>
  <c r="I29" i="6" s="1"/>
  <c r="H28" i="6"/>
  <c r="I28" i="6" s="1"/>
  <c r="G34" i="6"/>
  <c r="F34" i="6" s="1"/>
  <c r="H33" i="6"/>
  <c r="I33" i="6" s="1"/>
  <c r="G33" i="6"/>
  <c r="F33" i="6" s="1"/>
  <c r="G32" i="6"/>
  <c r="F32" i="6" s="1"/>
  <c r="G31" i="6"/>
  <c r="F31" i="6" s="1"/>
  <c r="G30" i="6"/>
  <c r="F30" i="6" s="1"/>
  <c r="G28" i="6"/>
  <c r="F28" i="6" s="1"/>
  <c r="H34" i="6"/>
  <c r="I34" i="6" s="1"/>
  <c r="G29" i="6"/>
  <c r="F29" i="6" s="1"/>
  <c r="H32" i="6"/>
  <c r="I32" i="6" s="1"/>
  <c r="L55" i="6"/>
  <c r="M55" i="6" s="1"/>
  <c r="L54" i="6"/>
  <c r="M54" i="6" s="1"/>
  <c r="L53" i="6"/>
  <c r="M53" i="6" s="1"/>
  <c r="L52" i="6"/>
  <c r="M52" i="6" s="1"/>
  <c r="K58" i="6"/>
  <c r="J58" i="6" s="1"/>
  <c r="K57" i="6"/>
  <c r="J57" i="6" s="1"/>
  <c r="K55" i="6"/>
  <c r="J55" i="6" s="1"/>
  <c r="K56" i="6"/>
  <c r="J56" i="6" s="1"/>
  <c r="K52" i="6"/>
  <c r="J52" i="6" s="1"/>
  <c r="L56" i="6"/>
  <c r="M56" i="6" s="1"/>
  <c r="K54" i="6"/>
  <c r="J54" i="6" s="1"/>
  <c r="K53" i="6"/>
  <c r="J53" i="6" s="1"/>
  <c r="L58" i="6"/>
  <c r="M58" i="6" s="1"/>
  <c r="L57" i="6"/>
  <c r="M57" i="6" s="1"/>
  <c r="P41" i="6"/>
  <c r="Q41" i="6" s="1"/>
  <c r="P40" i="6"/>
  <c r="Q40" i="6" s="1"/>
  <c r="O46" i="6"/>
  <c r="N46" i="6" s="1"/>
  <c r="O45" i="6"/>
  <c r="N45" i="6" s="1"/>
  <c r="O44" i="6"/>
  <c r="N44" i="6" s="1"/>
  <c r="O43" i="6"/>
  <c r="N43" i="6" s="1"/>
  <c r="O42" i="6"/>
  <c r="N42" i="6" s="1"/>
  <c r="P46" i="6"/>
  <c r="Q46" i="6" s="1"/>
  <c r="O41" i="6"/>
  <c r="N41" i="6" s="1"/>
  <c r="P43" i="6"/>
  <c r="Q43" i="6" s="1"/>
  <c r="P42" i="6"/>
  <c r="Q42" i="6" s="1"/>
  <c r="P45" i="6"/>
  <c r="Q45" i="6" s="1"/>
  <c r="O40" i="6"/>
  <c r="N40" i="6" s="1"/>
  <c r="P44" i="6"/>
  <c r="Q44" i="6" s="1"/>
  <c r="G6" i="6"/>
  <c r="F6" i="6" s="1"/>
  <c r="G9" i="6"/>
  <c r="F9" i="6" s="1"/>
  <c r="G7" i="6"/>
  <c r="F7" i="6" s="1"/>
  <c r="G5" i="6"/>
  <c r="F5" i="6" s="1"/>
  <c r="H10" i="6"/>
  <c r="I10" i="6" s="1"/>
  <c r="H6" i="6"/>
  <c r="I6" i="6" s="1"/>
  <c r="H9" i="6"/>
  <c r="I9" i="6" s="1"/>
  <c r="G8" i="6"/>
  <c r="F8" i="6" s="1"/>
  <c r="H7" i="6"/>
  <c r="I7" i="6" s="1"/>
  <c r="G4" i="6"/>
  <c r="F4" i="6" s="1"/>
  <c r="G10" i="6"/>
  <c r="F10" i="6" s="1"/>
  <c r="H5" i="6"/>
  <c r="I5" i="6" s="1"/>
  <c r="H4" i="6"/>
  <c r="I4" i="6" s="1"/>
  <c r="H8" i="6"/>
  <c r="I8" i="6" s="1"/>
  <c r="S54" i="6"/>
  <c r="R54" i="6" s="1"/>
  <c r="T58" i="6"/>
  <c r="U58" i="6" s="1"/>
  <c r="S53" i="6"/>
  <c r="R53" i="6" s="1"/>
  <c r="T57" i="6"/>
  <c r="U57" i="6" s="1"/>
  <c r="S52" i="6"/>
  <c r="R52" i="6" s="1"/>
  <c r="T56" i="6"/>
  <c r="U56" i="6" s="1"/>
  <c r="T55" i="6"/>
  <c r="U55" i="6" s="1"/>
  <c r="T54" i="6"/>
  <c r="U54" i="6" s="1"/>
  <c r="T53" i="6"/>
  <c r="U53" i="6" s="1"/>
  <c r="T52" i="6"/>
  <c r="U52" i="6" s="1"/>
  <c r="S58" i="6"/>
  <c r="R58" i="6" s="1"/>
  <c r="S55" i="6"/>
  <c r="R55" i="6" s="1"/>
  <c r="S57" i="6"/>
  <c r="R57" i="6" s="1"/>
  <c r="S56" i="6"/>
  <c r="R56" i="6" s="1"/>
  <c r="D33" i="6"/>
  <c r="E33" i="6" s="1"/>
  <c r="C28" i="6"/>
  <c r="B28" i="6" s="1"/>
  <c r="D29" i="6"/>
  <c r="E29" i="6" s="1"/>
  <c r="D30" i="6"/>
  <c r="E30" i="6" s="1"/>
  <c r="D34" i="6"/>
  <c r="E34" i="6" s="1"/>
  <c r="D31" i="6"/>
  <c r="E31" i="6" s="1"/>
  <c r="D32" i="6"/>
  <c r="E32" i="6" s="1"/>
  <c r="C31" i="6"/>
  <c r="B31" i="6" s="1"/>
  <c r="C32" i="6"/>
  <c r="B32" i="6" s="1"/>
  <c r="C29" i="6"/>
  <c r="B29" i="6" s="1"/>
  <c r="C33" i="6"/>
  <c r="B33" i="6" s="1"/>
  <c r="D28" i="6"/>
  <c r="E28" i="6" s="1"/>
  <c r="C30" i="6"/>
  <c r="B30" i="6" s="1"/>
  <c r="C34" i="6"/>
  <c r="B34" i="6" s="1"/>
  <c r="O97" i="6"/>
  <c r="C97" i="6"/>
  <c r="K97" i="6"/>
  <c r="A20" i="3"/>
  <c r="S97" i="6"/>
  <c r="K5" i="8"/>
  <c r="G97" i="6"/>
  <c r="J5" i="8"/>
  <c r="J4" i="8"/>
  <c r="G7" i="8" s="1"/>
  <c r="F25" i="8"/>
  <c r="F46" i="8" s="1"/>
  <c r="J46" i="8"/>
  <c r="J47" i="8" s="1"/>
  <c r="J48" i="8" s="1"/>
  <c r="J49" i="8" s="1"/>
  <c r="J50" i="8" s="1"/>
  <c r="L40" i="8"/>
  <c r="L45" i="8"/>
  <c r="C10" i="8"/>
  <c r="E46" i="8"/>
  <c r="K3" i="8"/>
  <c r="C98" i="6"/>
  <c r="I4" i="2"/>
  <c r="I25" i="2"/>
  <c r="J16" i="2"/>
  <c r="J26" i="2"/>
  <c r="I3" i="2"/>
  <c r="I24" i="2"/>
  <c r="I13" i="2"/>
  <c r="J11" i="2"/>
  <c r="I8" i="2"/>
  <c r="J28" i="2"/>
  <c r="J24" i="2"/>
  <c r="O98" i="6"/>
  <c r="J8" i="2"/>
  <c r="J10" i="2"/>
  <c r="G86" i="6"/>
  <c r="I18" i="2"/>
  <c r="I6" i="2"/>
  <c r="J25" i="2"/>
  <c r="I10" i="2"/>
  <c r="I19" i="2"/>
  <c r="J14" i="2"/>
  <c r="I15" i="2"/>
  <c r="J7" i="2"/>
  <c r="I20" i="2"/>
  <c r="J5" i="2"/>
  <c r="I27" i="2"/>
  <c r="J30" i="2"/>
  <c r="J22" i="2"/>
  <c r="J12" i="2"/>
  <c r="I16" i="2"/>
  <c r="J18" i="2"/>
  <c r="J13" i="2"/>
  <c r="S98" i="6"/>
  <c r="J19" i="2"/>
  <c r="K98" i="6"/>
  <c r="J6" i="2"/>
  <c r="K86" i="6"/>
  <c r="I22" i="2"/>
  <c r="O86" i="6"/>
  <c r="I28" i="2"/>
  <c r="J29" i="2"/>
  <c r="S86" i="6"/>
  <c r="J27" i="2"/>
  <c r="I29" i="2"/>
  <c r="J3" i="2"/>
  <c r="J15" i="2"/>
  <c r="I11" i="2"/>
  <c r="I12" i="2"/>
  <c r="I7" i="2"/>
  <c r="I14" i="2"/>
  <c r="I23" i="2"/>
  <c r="I17" i="2"/>
  <c r="J17" i="2"/>
  <c r="J4" i="2"/>
  <c r="C86" i="6"/>
  <c r="I26" i="2"/>
  <c r="J9" i="2"/>
  <c r="J20" i="2"/>
  <c r="I30" i="2"/>
  <c r="J23" i="2"/>
  <c r="I21" i="2"/>
  <c r="J21" i="2"/>
  <c r="I5" i="2"/>
  <c r="G98" i="6"/>
  <c r="I9" i="2"/>
  <c r="H104" i="6" l="1"/>
  <c r="I104" i="6" s="1"/>
  <c r="H103" i="6"/>
  <c r="I103" i="6" s="1"/>
  <c r="H102" i="6"/>
  <c r="I102" i="6" s="1"/>
  <c r="H101" i="6"/>
  <c r="I101" i="6" s="1"/>
  <c r="H100" i="6"/>
  <c r="I100" i="6" s="1"/>
  <c r="G106" i="6"/>
  <c r="F106" i="6" s="1"/>
  <c r="G105" i="6"/>
  <c r="F105" i="6" s="1"/>
  <c r="G104" i="6"/>
  <c r="F104" i="6" s="1"/>
  <c r="G103" i="6"/>
  <c r="F103" i="6" s="1"/>
  <c r="G102" i="6"/>
  <c r="F102" i="6" s="1"/>
  <c r="H106" i="6"/>
  <c r="I106" i="6" s="1"/>
  <c r="G101" i="6"/>
  <c r="F101" i="6" s="1"/>
  <c r="H105" i="6"/>
  <c r="I105" i="6" s="1"/>
  <c r="G100" i="6"/>
  <c r="F100" i="6" s="1"/>
  <c r="P106" i="6"/>
  <c r="Q106" i="6" s="1"/>
  <c r="O101" i="6"/>
  <c r="N101" i="6" s="1"/>
  <c r="P105" i="6"/>
  <c r="Q105" i="6" s="1"/>
  <c r="O100" i="6"/>
  <c r="N100" i="6" s="1"/>
  <c r="P104" i="6"/>
  <c r="Q104" i="6" s="1"/>
  <c r="P103" i="6"/>
  <c r="Q103" i="6" s="1"/>
  <c r="P102" i="6"/>
  <c r="Q102" i="6" s="1"/>
  <c r="P101" i="6"/>
  <c r="Q101" i="6" s="1"/>
  <c r="P100" i="6"/>
  <c r="Q100" i="6" s="1"/>
  <c r="O106" i="6"/>
  <c r="N106" i="6" s="1"/>
  <c r="O105" i="6"/>
  <c r="N105" i="6" s="1"/>
  <c r="O104" i="6"/>
  <c r="N104" i="6" s="1"/>
  <c r="O103" i="6"/>
  <c r="N103" i="6" s="1"/>
  <c r="O102" i="6"/>
  <c r="N102" i="6" s="1"/>
  <c r="C92" i="6"/>
  <c r="B92" i="6" s="1"/>
  <c r="C91" i="6"/>
  <c r="B91" i="6" s="1"/>
  <c r="C90" i="6"/>
  <c r="B90" i="6" s="1"/>
  <c r="D94" i="6"/>
  <c r="E94" i="6" s="1"/>
  <c r="C88" i="6"/>
  <c r="B88" i="6" s="1"/>
  <c r="D93" i="6"/>
  <c r="E93" i="6" s="1"/>
  <c r="C89" i="6"/>
  <c r="B89" i="6" s="1"/>
  <c r="D92" i="6"/>
  <c r="E92" i="6" s="1"/>
  <c r="D91" i="6"/>
  <c r="E91" i="6" s="1"/>
  <c r="C93" i="6"/>
  <c r="B93" i="6" s="1"/>
  <c r="D90" i="6"/>
  <c r="E90" i="6" s="1"/>
  <c r="D89" i="6"/>
  <c r="E89" i="6" s="1"/>
  <c r="D88" i="6"/>
  <c r="E88" i="6" s="1"/>
  <c r="C94" i="6"/>
  <c r="B94" i="6" s="1"/>
  <c r="H91" i="6"/>
  <c r="I91" i="6" s="1"/>
  <c r="H92" i="6"/>
  <c r="I92" i="6" s="1"/>
  <c r="H90" i="6"/>
  <c r="I90" i="6" s="1"/>
  <c r="H89" i="6"/>
  <c r="I89" i="6" s="1"/>
  <c r="H88" i="6"/>
  <c r="I88" i="6" s="1"/>
  <c r="G94" i="6"/>
  <c r="F94" i="6" s="1"/>
  <c r="G93" i="6"/>
  <c r="F93" i="6" s="1"/>
  <c r="G92" i="6"/>
  <c r="F92" i="6" s="1"/>
  <c r="G91" i="6"/>
  <c r="F91" i="6" s="1"/>
  <c r="G90" i="6"/>
  <c r="F90" i="6" s="1"/>
  <c r="H94" i="6"/>
  <c r="I94" i="6" s="1"/>
  <c r="G89" i="6"/>
  <c r="F89" i="6" s="1"/>
  <c r="H93" i="6"/>
  <c r="I93" i="6" s="1"/>
  <c r="G88" i="6"/>
  <c r="F88" i="6" s="1"/>
  <c r="S91" i="6"/>
  <c r="R91" i="6" s="1"/>
  <c r="T94" i="6"/>
  <c r="U94" i="6" s="1"/>
  <c r="S90" i="6"/>
  <c r="R90" i="6" s="1"/>
  <c r="T93" i="6"/>
  <c r="U93" i="6" s="1"/>
  <c r="S89" i="6"/>
  <c r="R89" i="6" s="1"/>
  <c r="T92" i="6"/>
  <c r="U92" i="6" s="1"/>
  <c r="S88" i="6"/>
  <c r="R88" i="6" s="1"/>
  <c r="T91" i="6"/>
  <c r="U91" i="6" s="1"/>
  <c r="T90" i="6"/>
  <c r="U90" i="6" s="1"/>
  <c r="T89" i="6"/>
  <c r="U89" i="6" s="1"/>
  <c r="T88" i="6"/>
  <c r="U88" i="6" s="1"/>
  <c r="S94" i="6"/>
  <c r="R94" i="6" s="1"/>
  <c r="S93" i="6"/>
  <c r="R93" i="6" s="1"/>
  <c r="S92" i="6"/>
  <c r="R92" i="6" s="1"/>
  <c r="S104" i="6"/>
  <c r="R104" i="6" s="1"/>
  <c r="S103" i="6"/>
  <c r="R103" i="6" s="1"/>
  <c r="S105" i="6"/>
  <c r="R105" i="6" s="1"/>
  <c r="S102" i="6"/>
  <c r="R102" i="6" s="1"/>
  <c r="T106" i="6"/>
  <c r="U106" i="6" s="1"/>
  <c r="S101" i="6"/>
  <c r="R101" i="6" s="1"/>
  <c r="T105" i="6"/>
  <c r="U105" i="6" s="1"/>
  <c r="S100" i="6"/>
  <c r="R100" i="6" s="1"/>
  <c r="T104" i="6"/>
  <c r="U104" i="6" s="1"/>
  <c r="T99" i="6"/>
  <c r="T103" i="6"/>
  <c r="U103" i="6" s="1"/>
  <c r="S99" i="6"/>
  <c r="T102" i="6"/>
  <c r="U102" i="6" s="1"/>
  <c r="T101" i="6"/>
  <c r="U101" i="6" s="1"/>
  <c r="T100" i="6"/>
  <c r="U100" i="6" s="1"/>
  <c r="S106" i="6"/>
  <c r="R106" i="6" s="1"/>
  <c r="L93" i="6"/>
  <c r="M93" i="6" s="1"/>
  <c r="K91" i="6"/>
  <c r="J91" i="6" s="1"/>
  <c r="L92" i="6"/>
  <c r="M92" i="6" s="1"/>
  <c r="L91" i="6"/>
  <c r="M91" i="6" s="1"/>
  <c r="L90" i="6"/>
  <c r="M90" i="6" s="1"/>
  <c r="L89" i="6"/>
  <c r="M89" i="6" s="1"/>
  <c r="L88" i="6"/>
  <c r="M88" i="6" s="1"/>
  <c r="K89" i="6"/>
  <c r="J89" i="6" s="1"/>
  <c r="K94" i="6"/>
  <c r="J94" i="6" s="1"/>
  <c r="K93" i="6"/>
  <c r="J93" i="6" s="1"/>
  <c r="K92" i="6"/>
  <c r="J92" i="6" s="1"/>
  <c r="L94" i="6"/>
  <c r="M94" i="6" s="1"/>
  <c r="K90" i="6"/>
  <c r="J90" i="6" s="1"/>
  <c r="K88" i="6"/>
  <c r="J88" i="6" s="1"/>
  <c r="K106" i="6"/>
  <c r="J106" i="6" s="1"/>
  <c r="K105" i="6"/>
  <c r="J105" i="6" s="1"/>
  <c r="K104" i="6"/>
  <c r="J104" i="6" s="1"/>
  <c r="K103" i="6"/>
  <c r="J103" i="6" s="1"/>
  <c r="K102" i="6"/>
  <c r="J102" i="6" s="1"/>
  <c r="L106" i="6"/>
  <c r="M106" i="6" s="1"/>
  <c r="K101" i="6"/>
  <c r="J101" i="6" s="1"/>
  <c r="L105" i="6"/>
  <c r="M105" i="6" s="1"/>
  <c r="K100" i="6"/>
  <c r="J100" i="6" s="1"/>
  <c r="L104" i="6"/>
  <c r="M104" i="6" s="1"/>
  <c r="L103" i="6"/>
  <c r="M103" i="6" s="1"/>
  <c r="L102" i="6"/>
  <c r="M102" i="6" s="1"/>
  <c r="L100" i="6"/>
  <c r="M100" i="6" s="1"/>
  <c r="L101" i="6"/>
  <c r="M101" i="6" s="1"/>
  <c r="C103" i="6"/>
  <c r="B103" i="6" s="1"/>
  <c r="C102" i="6"/>
  <c r="B102" i="6" s="1"/>
  <c r="D106" i="6"/>
  <c r="E106" i="6" s="1"/>
  <c r="C101" i="6"/>
  <c r="B101" i="6" s="1"/>
  <c r="D105" i="6"/>
  <c r="E105" i="6" s="1"/>
  <c r="C100" i="6"/>
  <c r="B100" i="6" s="1"/>
  <c r="D104" i="6"/>
  <c r="E104" i="6" s="1"/>
  <c r="D103" i="6"/>
  <c r="E103" i="6" s="1"/>
  <c r="D102" i="6"/>
  <c r="E102" i="6" s="1"/>
  <c r="D101" i="6"/>
  <c r="E101" i="6" s="1"/>
  <c r="D100" i="6"/>
  <c r="E100" i="6" s="1"/>
  <c r="C106" i="6"/>
  <c r="B106" i="6" s="1"/>
  <c r="C105" i="6"/>
  <c r="B105" i="6" s="1"/>
  <c r="C104" i="6"/>
  <c r="B104" i="6" s="1"/>
  <c r="P89" i="6"/>
  <c r="Q89" i="6" s="1"/>
  <c r="P88" i="6"/>
  <c r="Q88" i="6" s="1"/>
  <c r="O94" i="6"/>
  <c r="N94" i="6" s="1"/>
  <c r="O93" i="6"/>
  <c r="N93" i="6" s="1"/>
  <c r="O92" i="6"/>
  <c r="N92" i="6" s="1"/>
  <c r="O89" i="6"/>
  <c r="N89" i="6" s="1"/>
  <c r="O88" i="6"/>
  <c r="N88" i="6" s="1"/>
  <c r="P94" i="6"/>
  <c r="Q94" i="6" s="1"/>
  <c r="O91" i="6"/>
  <c r="N91" i="6" s="1"/>
  <c r="P90" i="6"/>
  <c r="Q90" i="6" s="1"/>
  <c r="P93" i="6"/>
  <c r="Q93" i="6" s="1"/>
  <c r="O90" i="6"/>
  <c r="N90" i="6" s="1"/>
  <c r="P92" i="6"/>
  <c r="Q92" i="6" s="1"/>
  <c r="P91" i="6"/>
  <c r="Q91" i="6" s="1"/>
  <c r="L13" i="2"/>
  <c r="L24" i="2"/>
  <c r="L16" i="2"/>
  <c r="L8" i="2"/>
  <c r="L29" i="2"/>
  <c r="L5" i="2"/>
  <c r="L27" i="2"/>
  <c r="L11" i="2"/>
  <c r="L30" i="2"/>
  <c r="L22" i="2"/>
  <c r="L14" i="2"/>
  <c r="L6" i="2"/>
  <c r="L25" i="2"/>
  <c r="L17" i="2"/>
  <c r="L9" i="2"/>
  <c r="L28" i="2"/>
  <c r="L20" i="2"/>
  <c r="L12" i="2"/>
  <c r="L4" i="2"/>
  <c r="L21" i="2"/>
  <c r="L19" i="2"/>
  <c r="L23" i="2"/>
  <c r="L15" i="2"/>
  <c r="L7" i="2"/>
  <c r="L26" i="2"/>
  <c r="L18" i="2"/>
  <c r="L10" i="2"/>
  <c r="G8" i="8"/>
  <c r="J7" i="8" s="1"/>
  <c r="G10" i="8" s="1"/>
  <c r="K4" i="8"/>
  <c r="C13" i="8"/>
  <c r="C31" i="8"/>
  <c r="C48" i="8" s="1"/>
  <c r="K24" i="8"/>
  <c r="L46" i="8"/>
  <c r="T107" i="6" l="1"/>
  <c r="S107" i="6"/>
  <c r="T3" i="6"/>
  <c r="T11" i="6" s="1"/>
  <c r="D15" i="6"/>
  <c r="D23" i="6" s="1"/>
  <c r="D3" i="6"/>
  <c r="D11" i="6" s="1"/>
  <c r="L39" i="6"/>
  <c r="L47" i="6" s="1"/>
  <c r="P3" i="6"/>
  <c r="P11" i="6" s="1"/>
  <c r="G39" i="6"/>
  <c r="G47" i="6" s="1"/>
  <c r="H3" i="6"/>
  <c r="H11" i="6" s="1"/>
  <c r="T27" i="6"/>
  <c r="T35" i="6" s="1"/>
  <c r="O27" i="6"/>
  <c r="O35" i="6" s="1"/>
  <c r="L3" i="6"/>
  <c r="L11" i="6" s="1"/>
  <c r="H15" i="6"/>
  <c r="H23" i="6" s="1"/>
  <c r="D75" i="6"/>
  <c r="D83" i="6" s="1"/>
  <c r="L15" i="6"/>
  <c r="L23" i="6" s="1"/>
  <c r="K7" i="8"/>
  <c r="H10" i="8" s="1"/>
  <c r="J9" i="8"/>
  <c r="K9" i="8" s="1"/>
  <c r="J8" i="8"/>
  <c r="H8" i="8"/>
  <c r="I8" i="8" s="1"/>
  <c r="L4" i="8"/>
  <c r="H7" i="8"/>
  <c r="I7" i="8" s="1"/>
  <c r="K45" i="8"/>
  <c r="K46" i="8"/>
  <c r="H47" i="8" s="1"/>
  <c r="I47" i="8" s="1"/>
  <c r="C16" i="8"/>
  <c r="C37" i="8" s="1"/>
  <c r="C50" i="8" s="1"/>
  <c r="C34" i="8"/>
  <c r="C49" i="8" s="1"/>
  <c r="F10" i="4"/>
  <c r="F6" i="4"/>
  <c r="F8" i="4"/>
  <c r="F9" i="4"/>
  <c r="F5" i="4"/>
  <c r="B5" i="4"/>
  <c r="F7" i="4"/>
  <c r="F31" i="4"/>
  <c r="G31" i="4" s="1"/>
  <c r="F27" i="4"/>
  <c r="F17" i="4"/>
  <c r="F11" i="4"/>
  <c r="C11" i="4"/>
  <c r="F30" i="4"/>
  <c r="F20" i="4"/>
  <c r="G20" i="4" s="1"/>
  <c r="F16" i="4"/>
  <c r="C14" i="4"/>
  <c r="F29" i="4"/>
  <c r="F19" i="4"/>
  <c r="G19" i="4" s="1"/>
  <c r="F13" i="4"/>
  <c r="G13" i="4" s="1"/>
  <c r="C13" i="4"/>
  <c r="C12" i="4"/>
  <c r="F28" i="4"/>
  <c r="F18" i="4"/>
  <c r="F12" i="4"/>
  <c r="G12" i="4" s="1"/>
  <c r="A5" i="3"/>
  <c r="A16" i="3"/>
  <c r="A32" i="3"/>
  <c r="A6" i="3"/>
  <c r="A12" i="3"/>
  <c r="A18" i="3"/>
  <c r="A21" i="3"/>
  <c r="A25" i="3"/>
  <c r="A29" i="3"/>
  <c r="A42" i="3"/>
  <c r="A35" i="3"/>
  <c r="A37" i="3"/>
  <c r="A11" i="3"/>
  <c r="A13" i="3"/>
  <c r="A24" i="3"/>
  <c r="A28" i="3"/>
  <c r="A34" i="3"/>
  <c r="A36" i="3"/>
  <c r="A44" i="3"/>
  <c r="A3" i="3"/>
  <c r="A7" i="3"/>
  <c r="A14" i="3"/>
  <c r="A10" i="3"/>
  <c r="A22" i="3"/>
  <c r="A26" i="3"/>
  <c r="A30" i="3"/>
  <c r="A43" i="3"/>
  <c r="A38" i="3"/>
  <c r="A40" i="3"/>
  <c r="A4" i="3"/>
  <c r="A8" i="3"/>
  <c r="A15" i="3"/>
  <c r="A19" i="3"/>
  <c r="A23" i="3"/>
  <c r="A27" i="3"/>
  <c r="A31" i="3"/>
  <c r="A33" i="3"/>
  <c r="A39" i="3"/>
  <c r="A41" i="3"/>
  <c r="L3" i="2"/>
  <c r="E24" i="1" s="1"/>
  <c r="K27" i="2"/>
  <c r="K19" i="2"/>
  <c r="K11" i="2"/>
  <c r="K30" i="2"/>
  <c r="K22" i="2"/>
  <c r="K10" i="2"/>
  <c r="K21" i="2"/>
  <c r="K5" i="2"/>
  <c r="K23" i="2"/>
  <c r="K15" i="2"/>
  <c r="K7" i="2"/>
  <c r="K26" i="2"/>
  <c r="K18" i="2"/>
  <c r="K14" i="2"/>
  <c r="K6" i="2"/>
  <c r="K29" i="2"/>
  <c r="K25" i="2"/>
  <c r="K17" i="2"/>
  <c r="K13" i="2"/>
  <c r="K9" i="2"/>
  <c r="K28" i="2"/>
  <c r="K24" i="2"/>
  <c r="K20" i="2"/>
  <c r="K16" i="2"/>
  <c r="K12" i="2"/>
  <c r="K8" i="2"/>
  <c r="K4" i="2"/>
  <c r="K3" i="2"/>
  <c r="S108" i="6" l="1"/>
  <c r="E3" i="3"/>
  <c r="D3" i="3"/>
  <c r="T108" i="6"/>
  <c r="P87" i="6"/>
  <c r="P95" i="6" s="1"/>
  <c r="O87" i="6"/>
  <c r="O95" i="6" s="1"/>
  <c r="D27" i="6"/>
  <c r="D35" i="6" s="1"/>
  <c r="P75" i="6"/>
  <c r="P83" i="6" s="1"/>
  <c r="P39" i="6"/>
  <c r="P47" i="6" s="1"/>
  <c r="P63" i="6"/>
  <c r="P71" i="6" s="1"/>
  <c r="L87" i="6"/>
  <c r="L95" i="6" s="1"/>
  <c r="S51" i="6"/>
  <c r="S59" i="6" s="1"/>
  <c r="T51" i="6"/>
  <c r="T59" i="6" s="1"/>
  <c r="L27" i="6"/>
  <c r="L35" i="6" s="1"/>
  <c r="T39" i="6"/>
  <c r="T47" i="6" s="1"/>
  <c r="P51" i="6"/>
  <c r="P59" i="6" s="1"/>
  <c r="S87" i="6"/>
  <c r="S95" i="6" s="1"/>
  <c r="D87" i="6"/>
  <c r="D95" i="6" s="1"/>
  <c r="T87" i="6"/>
  <c r="T95" i="6" s="1"/>
  <c r="H75" i="6"/>
  <c r="H83" i="6" s="1"/>
  <c r="L51" i="6"/>
  <c r="L59" i="6" s="1"/>
  <c r="D51" i="6"/>
  <c r="D59" i="6" s="1"/>
  <c r="T15" i="6"/>
  <c r="T23" i="6" s="1"/>
  <c r="T75" i="6"/>
  <c r="T83" i="6" s="1"/>
  <c r="H87" i="6"/>
  <c r="H95" i="6" s="1"/>
  <c r="D63" i="6"/>
  <c r="D71" i="6" s="1"/>
  <c r="L75" i="6"/>
  <c r="L83" i="6" s="1"/>
  <c r="T63" i="6"/>
  <c r="T71" i="6" s="1"/>
  <c r="C99" i="6"/>
  <c r="C107" i="6" s="1"/>
  <c r="G99" i="6"/>
  <c r="G107" i="6" s="1"/>
  <c r="P15" i="6"/>
  <c r="P23" i="6" s="1"/>
  <c r="D99" i="6"/>
  <c r="D107" i="6" s="1"/>
  <c r="H99" i="6"/>
  <c r="H107" i="6" s="1"/>
  <c r="H51" i="6"/>
  <c r="H59" i="6" s="1"/>
  <c r="H27" i="6"/>
  <c r="H35" i="6" s="1"/>
  <c r="H63" i="6"/>
  <c r="H71" i="6" s="1"/>
  <c r="D39" i="6"/>
  <c r="D47" i="6" s="1"/>
  <c r="H39" i="6"/>
  <c r="H47" i="6" s="1"/>
  <c r="H48" i="6" s="1"/>
  <c r="L63" i="6"/>
  <c r="L71" i="6" s="1"/>
  <c r="P27" i="6"/>
  <c r="P35" i="6" s="1"/>
  <c r="P36" i="6" s="1"/>
  <c r="K15" i="6"/>
  <c r="K23" i="6" s="1"/>
  <c r="K24" i="6" s="1"/>
  <c r="O75" i="6"/>
  <c r="O83" i="6" s="1"/>
  <c r="K63" i="6"/>
  <c r="K71" i="6" s="1"/>
  <c r="S75" i="6"/>
  <c r="S83" i="6" s="1"/>
  <c r="K87" i="6"/>
  <c r="K95" i="6" s="1"/>
  <c r="C87" i="6"/>
  <c r="C95" i="6" s="1"/>
  <c r="C96" i="6" s="1"/>
  <c r="C51" i="6"/>
  <c r="C59" i="6" s="1"/>
  <c r="S15" i="6"/>
  <c r="S23" i="6" s="1"/>
  <c r="C63" i="6"/>
  <c r="C71" i="6" s="1"/>
  <c r="K27" i="6"/>
  <c r="K35" i="6" s="1"/>
  <c r="K36" i="6" s="1"/>
  <c r="G87" i="6"/>
  <c r="G95" i="6" s="1"/>
  <c r="C3" i="6"/>
  <c r="C11" i="6" s="1"/>
  <c r="C12" i="6" s="1"/>
  <c r="C75" i="6"/>
  <c r="C83" i="6" s="1"/>
  <c r="C84" i="6" s="1"/>
  <c r="K3" i="6"/>
  <c r="K11" i="6" s="1"/>
  <c r="K12" i="6" s="1"/>
  <c r="K75" i="6"/>
  <c r="K83" i="6" s="1"/>
  <c r="S39" i="6"/>
  <c r="S47" i="6" s="1"/>
  <c r="O3" i="6"/>
  <c r="O11" i="6" s="1"/>
  <c r="O12" i="6" s="1"/>
  <c r="C15" i="6"/>
  <c r="C23" i="6" s="1"/>
  <c r="C24" i="6" s="1"/>
  <c r="O15" i="6"/>
  <c r="O23" i="6" s="1"/>
  <c r="O63" i="6"/>
  <c r="O71" i="6" s="1"/>
  <c r="G27" i="6"/>
  <c r="G35" i="6" s="1"/>
  <c r="S27" i="6"/>
  <c r="S35" i="6" s="1"/>
  <c r="S36" i="6" s="1"/>
  <c r="K39" i="6"/>
  <c r="K47" i="6" s="1"/>
  <c r="K48" i="6" s="1"/>
  <c r="S3" i="6"/>
  <c r="S11" i="6" s="1"/>
  <c r="S12" i="6" s="1"/>
  <c r="G3" i="6"/>
  <c r="G11" i="6" s="1"/>
  <c r="G12" i="6" s="1"/>
  <c r="O39" i="6"/>
  <c r="O47" i="6" s="1"/>
  <c r="G51" i="6"/>
  <c r="G59" i="6" s="1"/>
  <c r="C27" i="6"/>
  <c r="C35" i="6" s="1"/>
  <c r="O51" i="6"/>
  <c r="O59" i="6" s="1"/>
  <c r="G15" i="6"/>
  <c r="G23" i="6" s="1"/>
  <c r="G24" i="6" s="1"/>
  <c r="G75" i="6"/>
  <c r="G83" i="6" s="1"/>
  <c r="G63" i="6"/>
  <c r="G71" i="6" s="1"/>
  <c r="G72" i="6" s="1"/>
  <c r="C39" i="6"/>
  <c r="C47" i="6" s="1"/>
  <c r="S63" i="6"/>
  <c r="S71" i="6" s="1"/>
  <c r="K51" i="6"/>
  <c r="K59" i="6" s="1"/>
  <c r="D24" i="1"/>
  <c r="D22" i="1"/>
  <c r="D23" i="1"/>
  <c r="E22" i="1"/>
  <c r="E23" i="1"/>
  <c r="E20" i="1"/>
  <c r="E21" i="1"/>
  <c r="D20" i="1"/>
  <c r="D21" i="1"/>
  <c r="D18" i="1"/>
  <c r="D19" i="1"/>
  <c r="E18" i="1"/>
  <c r="E19" i="1"/>
  <c r="E16" i="1"/>
  <c r="E17" i="1"/>
  <c r="D16" i="1"/>
  <c r="D17" i="1"/>
  <c r="D14" i="1"/>
  <c r="D15" i="1"/>
  <c r="E14" i="1"/>
  <c r="E15" i="1"/>
  <c r="E12" i="1"/>
  <c r="E13" i="1"/>
  <c r="D12" i="1"/>
  <c r="D13" i="1"/>
  <c r="D10" i="1"/>
  <c r="D11" i="1"/>
  <c r="E10" i="1"/>
  <c r="E11" i="1"/>
  <c r="E8" i="1"/>
  <c r="E9" i="1"/>
  <c r="D8" i="1"/>
  <c r="D9" i="1"/>
  <c r="D6" i="1"/>
  <c r="D7" i="1"/>
  <c r="E6" i="1"/>
  <c r="E7" i="1"/>
  <c r="K8" i="8"/>
  <c r="K10" i="8"/>
  <c r="H13" i="8" s="1"/>
  <c r="I10" i="8"/>
  <c r="L9" i="8"/>
  <c r="L7" i="8"/>
  <c r="L47" i="8"/>
  <c r="H4" i="4"/>
  <c r="C5" i="1"/>
  <c r="C6" i="1"/>
  <c r="B6" i="1"/>
  <c r="E5" i="1"/>
  <c r="D5" i="1"/>
  <c r="B5" i="1"/>
  <c r="O48" i="6" l="1"/>
  <c r="E69" i="3"/>
  <c r="H3" i="3"/>
  <c r="D69" i="3"/>
  <c r="G36" i="6"/>
  <c r="P96" i="6"/>
  <c r="C36" i="6"/>
  <c r="O96" i="6"/>
  <c r="S72" i="6"/>
  <c r="O84" i="6"/>
  <c r="S48" i="6"/>
  <c r="K96" i="6"/>
  <c r="K72" i="6"/>
  <c r="O72" i="6"/>
  <c r="K84" i="6"/>
  <c r="S24" i="6"/>
  <c r="G84" i="6"/>
  <c r="O60" i="6"/>
  <c r="T60" i="6"/>
  <c r="S84" i="6"/>
  <c r="C48" i="6"/>
  <c r="S60" i="6"/>
  <c r="T96" i="6"/>
  <c r="C108" i="6"/>
  <c r="S96" i="6"/>
  <c r="O24" i="6"/>
  <c r="C60" i="6"/>
  <c r="K60" i="6"/>
  <c r="G60" i="6"/>
  <c r="G96" i="6"/>
  <c r="C72" i="6"/>
  <c r="G108" i="6"/>
  <c r="H108" i="6"/>
  <c r="D108" i="6"/>
  <c r="L99" i="6"/>
  <c r="L107" i="6" s="1"/>
  <c r="P99" i="6"/>
  <c r="P107" i="6" s="1"/>
  <c r="K99" i="6"/>
  <c r="K107" i="6" s="1"/>
  <c r="O99" i="6"/>
  <c r="O107" i="6" s="1"/>
  <c r="O36" i="6"/>
  <c r="G48" i="6"/>
  <c r="D72" i="6"/>
  <c r="D84" i="6"/>
  <c r="H36" i="6"/>
  <c r="L12" i="6"/>
  <c r="T12" i="6"/>
  <c r="L96" i="6"/>
  <c r="H12" i="6"/>
  <c r="H72" i="6"/>
  <c r="H96" i="6"/>
  <c r="H84" i="6"/>
  <c r="L24" i="6"/>
  <c r="T24" i="6"/>
  <c r="T84" i="6"/>
  <c r="H60" i="6"/>
  <c r="T36" i="6"/>
  <c r="D60" i="6"/>
  <c r="T48" i="6"/>
  <c r="P84" i="6"/>
  <c r="P48" i="6"/>
  <c r="D24" i="6"/>
  <c r="L60" i="6"/>
  <c r="L72" i="6"/>
  <c r="P12" i="6"/>
  <c r="L36" i="6"/>
  <c r="T72" i="6"/>
  <c r="L48" i="6"/>
  <c r="L84" i="6"/>
  <c r="H24" i="6"/>
  <c r="D12" i="6"/>
  <c r="D96" i="6"/>
  <c r="P60" i="6"/>
  <c r="P72" i="6"/>
  <c r="D48" i="6"/>
  <c r="D36" i="6"/>
  <c r="P24" i="6"/>
  <c r="E25" i="1"/>
  <c r="D25" i="1"/>
  <c r="J10" i="8"/>
  <c r="J11" i="8"/>
  <c r="J12" i="8"/>
  <c r="H11" i="8"/>
  <c r="I11" i="8" s="1"/>
  <c r="K47" i="8"/>
  <c r="H48" i="8" s="1"/>
  <c r="I48" i="8" s="1"/>
  <c r="I51" i="8" s="1"/>
  <c r="I40" i="8"/>
  <c r="H3" i="4"/>
  <c r="D4" i="4"/>
  <c r="D3" i="4" s="1"/>
  <c r="L108" i="6" l="1"/>
  <c r="O108" i="6"/>
  <c r="K108" i="6"/>
  <c r="P108" i="6"/>
  <c r="K3" i="4"/>
  <c r="J27" i="4"/>
  <c r="D26" i="1"/>
  <c r="E26" i="1"/>
  <c r="K12" i="8"/>
  <c r="L12" i="8" s="1"/>
  <c r="L10" i="8"/>
  <c r="G14" i="8"/>
  <c r="G13" i="8"/>
  <c r="I13" i="8" s="1"/>
  <c r="K11" i="8"/>
  <c r="L11" i="8" s="1"/>
  <c r="L48" i="8"/>
  <c r="H14" i="8" l="1"/>
  <c r="I14" i="8" s="1"/>
  <c r="J13" i="8"/>
  <c r="K13" i="8"/>
  <c r="H16" i="8" s="1"/>
  <c r="J15" i="8"/>
  <c r="L49" i="8"/>
  <c r="K48" i="8"/>
  <c r="K15" i="8" l="1"/>
  <c r="L15" i="8" s="1"/>
  <c r="J14" i="8"/>
  <c r="K14" i="8" s="1"/>
  <c r="L14" i="8" s="1"/>
  <c r="G16" i="8"/>
  <c r="I16" i="8" s="1"/>
  <c r="L13" i="8"/>
  <c r="K49" i="8"/>
  <c r="L50" i="8"/>
  <c r="G17" i="8" l="1"/>
  <c r="J18" i="8" s="1"/>
  <c r="K18" i="8" s="1"/>
  <c r="L18" i="8" s="1"/>
  <c r="K50" i="8"/>
  <c r="L51" i="8"/>
  <c r="L8" i="8"/>
  <c r="K16" i="8" l="1"/>
  <c r="J16" i="8"/>
  <c r="J17" i="8"/>
  <c r="K17" i="8" s="1"/>
  <c r="L17" i="8" s="1"/>
  <c r="H17" i="8"/>
  <c r="I17" i="8" s="1"/>
  <c r="I19" i="8" s="1"/>
  <c r="L16" i="8" l="1"/>
  <c r="L19" i="8" s="1"/>
  <c r="C3" i="5" l="1"/>
  <c r="C5" i="5" s="1"/>
  <c r="G9" i="4" l="1"/>
  <c r="C18" i="5"/>
  <c r="C12" i="5"/>
  <c r="C16" i="5"/>
  <c r="G27" i="4" l="1"/>
  <c r="G40" i="9"/>
  <c r="H40" i="9" s="1"/>
  <c r="C27" i="4"/>
  <c r="C24" i="4"/>
  <c r="G29" i="9"/>
  <c r="H29" i="9" s="1"/>
  <c r="C29" i="9" s="1"/>
  <c r="G28" i="4"/>
  <c r="G38" i="9"/>
  <c r="H38" i="9" s="1"/>
  <c r="G7" i="4"/>
  <c r="G16" i="4"/>
  <c r="G39" i="9"/>
  <c r="H39" i="9" s="1"/>
  <c r="G18" i="4"/>
  <c r="C19" i="4"/>
  <c r="G18" i="9"/>
  <c r="H18" i="9" s="1"/>
  <c r="C18" i="9" s="1"/>
  <c r="G10" i="4"/>
  <c r="C10" i="4"/>
  <c r="C5" i="4"/>
  <c r="C22" i="4"/>
  <c r="C6" i="4"/>
  <c r="G41" i="9"/>
  <c r="H41" i="9" s="1"/>
  <c r="G11" i="4"/>
  <c r="C9" i="4"/>
  <c r="C7" i="4"/>
  <c r="C23" i="4"/>
  <c r="C25" i="4"/>
  <c r="G5" i="4"/>
  <c r="G30" i="4"/>
  <c r="G32" i="9"/>
  <c r="H32" i="9" s="1"/>
  <c r="C32" i="9" s="1"/>
  <c r="C28" i="4"/>
  <c r="G8" i="4"/>
  <c r="G17" i="9"/>
  <c r="H17" i="9" s="1"/>
  <c r="C17" i="9" s="1"/>
  <c r="G6" i="4"/>
  <c r="C17" i="4"/>
  <c r="C16" i="4" s="1"/>
  <c r="G28" i="9"/>
  <c r="H28" i="9" s="1"/>
  <c r="C28" i="9" s="1"/>
  <c r="C20" i="4"/>
  <c r="C8" i="4"/>
  <c r="G29" i="4"/>
  <c r="G20" i="9"/>
  <c r="H20" i="9" s="1"/>
  <c r="C20" i="9" s="1"/>
  <c r="G17" i="4"/>
  <c r="C19" i="5"/>
  <c r="C13" i="5"/>
  <c r="C11" i="5"/>
  <c r="C9" i="5"/>
  <c r="C10" i="5" s="1"/>
  <c r="C40" i="9"/>
  <c r="C38" i="9"/>
  <c r="C39" i="9"/>
  <c r="C41" i="9"/>
  <c r="G30" i="9" l="1"/>
  <c r="H30" i="9" s="1"/>
  <c r="C30" i="9" s="1"/>
  <c r="G27" i="9"/>
  <c r="H27" i="9" s="1"/>
  <c r="C27" i="9" s="1"/>
  <c r="G4" i="4"/>
  <c r="C18" i="4"/>
  <c r="C17" i="5"/>
  <c r="C20" i="5" s="1"/>
  <c r="C22" i="5" s="1"/>
  <c r="C4" i="4"/>
  <c r="G19" i="9"/>
  <c r="H19" i="9" s="1"/>
  <c r="C19" i="9" s="1"/>
  <c r="G31" i="9"/>
  <c r="H31" i="9" s="1"/>
  <c r="C31" i="9" s="1"/>
  <c r="G10" i="9"/>
  <c r="H10" i="9" s="1"/>
  <c r="C10" i="9" s="1"/>
  <c r="G12" i="9"/>
  <c r="H12" i="9" s="1"/>
  <c r="C12" i="9" s="1"/>
  <c r="G26" i="4"/>
  <c r="G16" i="9"/>
  <c r="H16" i="9" s="1"/>
  <c r="C16" i="9" s="1"/>
  <c r="G8" i="9"/>
  <c r="H8" i="9" s="1"/>
  <c r="C8" i="9" s="1"/>
  <c r="G11" i="9"/>
  <c r="H11" i="9" s="1"/>
  <c r="C11" i="9" s="1"/>
  <c r="C21" i="4"/>
  <c r="G15" i="4"/>
  <c r="C26" i="4"/>
  <c r="C15" i="4" l="1"/>
  <c r="C3" i="4" s="1"/>
  <c r="C21" i="5"/>
  <c r="C24" i="5" s="1"/>
  <c r="G3" i="4"/>
  <c r="J3" i="4" l="1"/>
  <c r="C3" i="9" l="1"/>
  <c r="C7" i="9" s="1"/>
</calcChain>
</file>

<file path=xl/sharedStrings.xml><?xml version="1.0" encoding="utf-8"?>
<sst xmlns="http://schemas.openxmlformats.org/spreadsheetml/2006/main" count="437" uniqueCount="237">
  <si>
    <t>GRUPO</t>
  </si>
  <si>
    <t>SUB-GRUPO</t>
  </si>
  <si>
    <t>ELEMENTO</t>
  </si>
  <si>
    <t>ORDEM</t>
  </si>
  <si>
    <t>CONTA</t>
  </si>
  <si>
    <t>Grupo</t>
  </si>
  <si>
    <t>Multiplicador</t>
  </si>
  <si>
    <t>Caixa</t>
  </si>
  <si>
    <t>AC</t>
  </si>
  <si>
    <t>Banco</t>
  </si>
  <si>
    <t>Contas a Receber</t>
  </si>
  <si>
    <t>Despesas Antecipadas</t>
  </si>
  <si>
    <t>Impostos a Recuperar</t>
  </si>
  <si>
    <t>Contas a Receber a Longo Prazo</t>
  </si>
  <si>
    <t>AÑC</t>
  </si>
  <si>
    <t>Terrenos - Investimento</t>
  </si>
  <si>
    <t>Obra de Arte</t>
  </si>
  <si>
    <t>Móveis e Utensílios</t>
  </si>
  <si>
    <t>Máquinas e Equipamentos</t>
  </si>
  <si>
    <t>Imóveis</t>
  </si>
  <si>
    <t>Veículos</t>
  </si>
  <si>
    <t>Terrenos - Imobilizado</t>
  </si>
  <si>
    <t>Depreciação Acumulada</t>
  </si>
  <si>
    <t>Marcas e Patentes</t>
  </si>
  <si>
    <t>Software</t>
  </si>
  <si>
    <t>Contas a Pagar</t>
  </si>
  <si>
    <t>PC</t>
  </si>
  <si>
    <t>Fornecedores</t>
  </si>
  <si>
    <t>Receitas Antecipadas</t>
  </si>
  <si>
    <t>Dividendos a Pagar</t>
  </si>
  <si>
    <t>Contas a Pagar a Longo Prazo</t>
  </si>
  <si>
    <t>PÑC</t>
  </si>
  <si>
    <t>Fornecedores a Pagar a Longo Prazo</t>
  </si>
  <si>
    <t>Capital Social</t>
  </si>
  <si>
    <t>PL</t>
  </si>
  <si>
    <t>Lucros Acumulados</t>
  </si>
  <si>
    <t>Prejuízos Acumulados</t>
  </si>
  <si>
    <t>Reserva de Lucros</t>
  </si>
  <si>
    <t>Água/Luz</t>
  </si>
  <si>
    <t>DESPESA</t>
  </si>
  <si>
    <t>Salários</t>
  </si>
  <si>
    <t>CMV</t>
  </si>
  <si>
    <t>CPV</t>
  </si>
  <si>
    <t>CSP</t>
  </si>
  <si>
    <t>Despesa com Depreciação</t>
  </si>
  <si>
    <t>Despesa Financeira</t>
  </si>
  <si>
    <t>IRPJ/CSLL</t>
  </si>
  <si>
    <t>Impostos sobre venda</t>
  </si>
  <si>
    <t>Receita</t>
  </si>
  <si>
    <t>RECEITA</t>
  </si>
  <si>
    <t>Receita Financeira</t>
  </si>
  <si>
    <t>ARE</t>
  </si>
  <si>
    <t>DATA</t>
  </si>
  <si>
    <t>DESCRIÇÃO</t>
  </si>
  <si>
    <t>DÉBITO</t>
  </si>
  <si>
    <t>CRÉDITO</t>
  </si>
  <si>
    <t>VALOR</t>
  </si>
  <si>
    <t>D</t>
  </si>
  <si>
    <t>C</t>
  </si>
  <si>
    <t>CONTA:</t>
  </si>
  <si>
    <t>Saldo inicial</t>
  </si>
  <si>
    <t>SALDO FINAL</t>
  </si>
  <si>
    <t>FINAL</t>
  </si>
  <si>
    <t>INICIAL</t>
  </si>
  <si>
    <t>Cód.</t>
  </si>
  <si>
    <t>CONTAS</t>
  </si>
  <si>
    <t>SALDO</t>
  </si>
  <si>
    <t>Data:</t>
  </si>
  <si>
    <t>cod</t>
  </si>
  <si>
    <t>BALANÇO PATRIMONIAL</t>
  </si>
  <si>
    <t>ATIVO</t>
  </si>
  <si>
    <t>PASSIVO + PL</t>
  </si>
  <si>
    <t>1.1</t>
  </si>
  <si>
    <t>ATIVO CIRCULANTE</t>
  </si>
  <si>
    <t>PASSIVO CIRCULANTE</t>
  </si>
  <si>
    <t>1.1.1</t>
  </si>
  <si>
    <t>3.1.1</t>
  </si>
  <si>
    <t>1.2.1</t>
  </si>
  <si>
    <t>3.2.1</t>
  </si>
  <si>
    <t>1.3.1</t>
  </si>
  <si>
    <t>3.3.1</t>
  </si>
  <si>
    <t>1.4.1</t>
  </si>
  <si>
    <t>3.4.1</t>
  </si>
  <si>
    <t>1.5.1</t>
  </si>
  <si>
    <t>3.5.1</t>
  </si>
  <si>
    <t>3.6.1</t>
  </si>
  <si>
    <t>3.7.1</t>
  </si>
  <si>
    <t>ATIVO NÃO CIRCULANTE</t>
  </si>
  <si>
    <t>PASSIVO NÃO CIRCULANTE</t>
  </si>
  <si>
    <t>Realizável a Longo Prazo</t>
  </si>
  <si>
    <t>4.1.1</t>
  </si>
  <si>
    <t>2.1.1</t>
  </si>
  <si>
    <t>4.2.1</t>
  </si>
  <si>
    <t>Investimento</t>
  </si>
  <si>
    <t>4.3.1</t>
  </si>
  <si>
    <t>2.2.1</t>
  </si>
  <si>
    <t>4.4.1</t>
  </si>
  <si>
    <t>2.2.2</t>
  </si>
  <si>
    <t>4.5.1</t>
  </si>
  <si>
    <t>Imobilizado</t>
  </si>
  <si>
    <t>2.3.1</t>
  </si>
  <si>
    <t>2.3.2</t>
  </si>
  <si>
    <t>2.3.3</t>
  </si>
  <si>
    <t>2.3.4</t>
  </si>
  <si>
    <t>Intangível</t>
  </si>
  <si>
    <t>PATRIMÔNIO LÍQUIDO</t>
  </si>
  <si>
    <t>2.4.1</t>
  </si>
  <si>
    <t>5.1.1</t>
  </si>
  <si>
    <t>2.4.2</t>
  </si>
  <si>
    <t>5.2.1</t>
  </si>
  <si>
    <t>2.4.3</t>
  </si>
  <si>
    <t>5.3.1</t>
  </si>
  <si>
    <t>2.4.4</t>
  </si>
  <si>
    <t>5.4.1</t>
  </si>
  <si>
    <t>2.4.5</t>
  </si>
  <si>
    <t>5.5.1</t>
  </si>
  <si>
    <t>Nota Explicativa</t>
  </si>
  <si>
    <t>7.1.1</t>
  </si>
  <si>
    <t>Receita Bruta</t>
  </si>
  <si>
    <t>6.1.1</t>
  </si>
  <si>
    <t>6.7.1</t>
  </si>
  <si>
    <t>(-) Impostos sobre a Venda</t>
  </si>
  <si>
    <t>6.2.1</t>
  </si>
  <si>
    <t>(-) Devoluções</t>
  </si>
  <si>
    <t>6.3.1</t>
  </si>
  <si>
    <t>Receita Líquida</t>
  </si>
  <si>
    <t>6.3.2</t>
  </si>
  <si>
    <t>DEMONSTRATIVO DO RESULTADO DO EXERCÍCIO</t>
  </si>
  <si>
    <t>6.3.3</t>
  </si>
  <si>
    <t>ATUAL</t>
  </si>
  <si>
    <t>6.4.1</t>
  </si>
  <si>
    <t>RECEITA LÍQUIDA</t>
  </si>
  <si>
    <t>6.5.1</t>
  </si>
  <si>
    <t>6.3.*</t>
  </si>
  <si>
    <t>(-) Custo</t>
  </si>
  <si>
    <t>6.6.1</t>
  </si>
  <si>
    <t>LUCRO BRUTO</t>
  </si>
  <si>
    <t>7.2.1</t>
  </si>
  <si>
    <t>8.1.1</t>
  </si>
  <si>
    <t>RESULTADO ANTES DAS RECEITAS E DESPESAS FINANCEIRAS</t>
  </si>
  <si>
    <t>RESULTADO ANTES DOS TRIBUTOS SOBRE O LUCRO</t>
  </si>
  <si>
    <t>(-) IRPJ</t>
  </si>
  <si>
    <t>(-) CSLL</t>
  </si>
  <si>
    <t>LUCRO LÍQUIDO</t>
  </si>
  <si>
    <t>PEPS</t>
  </si>
  <si>
    <t>quantidade</t>
  </si>
  <si>
    <t>preço</t>
  </si>
  <si>
    <t>Total</t>
  </si>
  <si>
    <t>Imposto compra</t>
  </si>
  <si>
    <t>Compra</t>
  </si>
  <si>
    <t>Imposto Venda</t>
  </si>
  <si>
    <t>Venda</t>
  </si>
  <si>
    <t>QTD</t>
  </si>
  <si>
    <t>$ UNI</t>
  </si>
  <si>
    <t>$ TOTAL</t>
  </si>
  <si>
    <t>Inicial</t>
  </si>
  <si>
    <t>O2</t>
  </si>
  <si>
    <t>O3</t>
  </si>
  <si>
    <t>O4</t>
  </si>
  <si>
    <t>O5</t>
  </si>
  <si>
    <t>O6</t>
  </si>
  <si>
    <t>TOTAL</t>
  </si>
  <si>
    <t>UEPS</t>
  </si>
  <si>
    <t>MPM</t>
  </si>
  <si>
    <t>Despesa não operacional</t>
  </si>
  <si>
    <t>Si</t>
  </si>
  <si>
    <t>DIFERENÇA</t>
  </si>
  <si>
    <t>3.2.1 - Fornecedores</t>
  </si>
  <si>
    <t>SALDOS TOTAIS</t>
  </si>
  <si>
    <t>Empresa: Lucrecio LTDA</t>
  </si>
  <si>
    <t>Mercadorias</t>
  </si>
  <si>
    <t>Conta teste</t>
  </si>
  <si>
    <t>1.6.2</t>
  </si>
  <si>
    <t/>
  </si>
  <si>
    <t>Formula oculta na coluna f g h</t>
  </si>
  <si>
    <t>Atividades Operacionais</t>
  </si>
  <si>
    <t>FORMULAS</t>
  </si>
  <si>
    <t>Resuldado Liquido</t>
  </si>
  <si>
    <t>DRE</t>
  </si>
  <si>
    <t>Resultado Ajustado</t>
  </si>
  <si>
    <t>CONTAS DO ATIVO</t>
  </si>
  <si>
    <t>BALANCO PATRIMONIAL</t>
  </si>
  <si>
    <t>PNC</t>
  </si>
  <si>
    <t>Caixa Atividades Operacionais</t>
  </si>
  <si>
    <t>Atividades de investimento</t>
  </si>
  <si>
    <t>ANC</t>
  </si>
  <si>
    <r>
      <t>BALANCO PATRIMONIALATIVO (</t>
    </r>
    <r>
      <rPr>
        <sz val="6"/>
        <color rgb="FFFF0000"/>
        <rFont val="5"/>
      </rPr>
      <t>NÃO CIRCULANTE EXCETO CONTAS A PAGAR A LONGO PRAZO</t>
    </r>
    <r>
      <rPr>
        <sz val="6"/>
        <color theme="1"/>
        <rFont val="5"/>
      </rPr>
      <t>)</t>
    </r>
  </si>
  <si>
    <t>Caixa Atividades de Investimento</t>
  </si>
  <si>
    <t>Atividades de Financiamento</t>
  </si>
  <si>
    <t>Saldo Inicial</t>
  </si>
  <si>
    <t>Caixa Atividades de Financiamento</t>
  </si>
  <si>
    <t>Saldo Final</t>
  </si>
  <si>
    <t>TAXA DE JUROS CAIXA</t>
  </si>
  <si>
    <t>6.5.1 - Despesa Financeira</t>
  </si>
  <si>
    <t>3.3.1 - Empréstimo a Pagar</t>
  </si>
  <si>
    <t>IOF ITAU</t>
  </si>
  <si>
    <t>ALUGUEL</t>
  </si>
  <si>
    <t>6.2.2 - Aluguel</t>
  </si>
  <si>
    <t>1.3.1 - Contas a Receber</t>
  </si>
  <si>
    <t>BOLETO IBAMA- CONCURSO PRO-LABORE</t>
  </si>
  <si>
    <t>6.2.3 - Pro labore</t>
  </si>
  <si>
    <t xml:space="preserve">TROCA MIOLO KIT 6+2COPIAS CHAVES </t>
  </si>
  <si>
    <t>COMPRAS ALIMENTACAO - PRO LABORE</t>
  </si>
  <si>
    <t>EMPRESTIMO MAE</t>
  </si>
  <si>
    <t>PRESTACAO APT PARC 233 24/12   - PRO LABORE</t>
  </si>
  <si>
    <t>EMPRESTIMO DERLON</t>
  </si>
  <si>
    <t>COLIRIO DIGBY - PRO LABORE</t>
  </si>
  <si>
    <t>CAFU  - PRO LABORE</t>
  </si>
  <si>
    <t>GAS  - PRO LABORE</t>
  </si>
  <si>
    <t>JUROS ITAU</t>
  </si>
  <si>
    <t>LUZ BURITI  28/12- PRO LABORE</t>
  </si>
  <si>
    <t>AGUA BURITI  - PRO LABORE</t>
  </si>
  <si>
    <t>COND BURITI - PRO LABORE</t>
  </si>
  <si>
    <t>CARTAO CAIXA - PRO LABORE</t>
  </si>
  <si>
    <t>CARTAO AME - PRO LABORE</t>
  </si>
  <si>
    <t>INTERNET BURITI  - PRO LABORE</t>
  </si>
  <si>
    <t>ENEGIA TOLENDA ( REF 30/11)</t>
  </si>
  <si>
    <t>AGUA TOLENDAL  30/11- PRO LABORE</t>
  </si>
  <si>
    <t>GASOLINA</t>
  </si>
  <si>
    <t>PECA KIT 7 - REGISTRO CHUVEIRO.</t>
  </si>
  <si>
    <t>DEVOLUCAO MAE EMPRESTIMO</t>
  </si>
  <si>
    <t>RACAO CACHORROS - PRO LABORE</t>
  </si>
  <si>
    <t>MARMITA CANAA - PROLABORE</t>
  </si>
  <si>
    <t>MARMITA PEIXE VIVO - PROLABORE</t>
  </si>
  <si>
    <t>MERCADO MINEIRAO-PROLABORE</t>
  </si>
  <si>
    <t>SEGURO EMPRESTIMO- JUROS BANCARIOS</t>
  </si>
  <si>
    <t>PECLD</t>
  </si>
  <si>
    <t>Amortizacão</t>
  </si>
  <si>
    <t>Empréstimo a Pagar</t>
  </si>
  <si>
    <t>Impostos a recolher</t>
  </si>
  <si>
    <t>Salários a pagar</t>
  </si>
  <si>
    <t>Empréstimo a logo prazo</t>
  </si>
  <si>
    <t>Aluguel</t>
  </si>
  <si>
    <t>Pro labore</t>
  </si>
  <si>
    <t>Despesa com PECLD</t>
  </si>
  <si>
    <t>Lucro Venda Imobilizado</t>
  </si>
  <si>
    <t>ENERGIA KITNET 10/12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</si>
</sst>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/m/yy;@"/>
    <numFmt numFmtId="165" formatCode="&quot;R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FFFFFF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Times New Roman"/>
      <family val="1"/>
    </font>
    <font>
      <sz val="4"/>
      <color theme="1"/>
      <name val="Calibri"/>
      <family val="2"/>
      <scheme val="minor"/>
    </font>
    <font>
      <sz val="11"/>
      <name val="Calibri"/>
      <family val="2"/>
      <scheme val="minor"/>
    </font>
    <font>
      <sz val="5"/>
      <color theme="1"/>
      <name val="Calibri Light"/>
      <family val="2"/>
      <scheme val="major"/>
    </font>
    <font>
      <sz val="6"/>
      <color theme="1"/>
      <name val="Calibri"/>
      <family val="2"/>
      <scheme val="minor"/>
    </font>
    <font>
      <sz val="6"/>
      <color theme="1"/>
      <name val="5"/>
    </font>
    <font>
      <sz val="6"/>
      <color rgb="FFFF0000"/>
      <name val="5"/>
    </font>
    <font>
      <sz val="8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left" wrapText="1" readingOrder="1"/>
    </xf>
    <xf numFmtId="14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6" xfId="0" applyBorder="1"/>
    <xf numFmtId="0" fontId="4" fillId="0" borderId="7" xfId="0" applyFont="1" applyBorder="1"/>
    <xf numFmtId="14" fontId="4" fillId="0" borderId="8" xfId="0" applyNumberFormat="1" applyFont="1" applyBorder="1"/>
    <xf numFmtId="8" fontId="5" fillId="0" borderId="12" xfId="0" applyNumberFormat="1" applyFont="1" applyBorder="1"/>
    <xf numFmtId="0" fontId="5" fillId="0" borderId="12" xfId="0" applyFont="1" applyBorder="1"/>
    <xf numFmtId="0" fontId="5" fillId="0" borderId="15" xfId="0" applyFont="1" applyBorder="1"/>
    <xf numFmtId="8" fontId="4" fillId="0" borderId="16" xfId="0" applyNumberFormat="1" applyFont="1" applyBorder="1"/>
    <xf numFmtId="8" fontId="5" fillId="0" borderId="16" xfId="0" applyNumberFormat="1" applyFont="1" applyBorder="1"/>
    <xf numFmtId="0" fontId="5" fillId="0" borderId="16" xfId="0" applyFont="1" applyBorder="1"/>
    <xf numFmtId="0" fontId="3" fillId="0" borderId="3" xfId="0" applyFont="1" applyBorder="1" applyAlignment="1">
      <alignment horizontal="left" wrapText="1" readingOrder="1"/>
    </xf>
    <xf numFmtId="0" fontId="0" fillId="0" borderId="0" xfId="0" applyFill="1" applyBorder="1"/>
    <xf numFmtId="0" fontId="6" fillId="2" borderId="17" xfId="0" applyFont="1" applyFill="1" applyBorder="1" applyAlignment="1">
      <alignment horizontal="left" vertical="center" wrapText="1" readingOrder="1"/>
    </xf>
    <xf numFmtId="0" fontId="6" fillId="3" borderId="17" xfId="0" applyFont="1" applyFill="1" applyBorder="1" applyAlignment="1">
      <alignment horizontal="left" vertical="center" wrapText="1" readingOrder="1"/>
    </xf>
    <xf numFmtId="0" fontId="6" fillId="4" borderId="17" xfId="0" applyFont="1" applyFill="1" applyBorder="1" applyAlignment="1">
      <alignment horizontal="left" vertical="center" wrapText="1" readingOrder="1"/>
    </xf>
    <xf numFmtId="14" fontId="7" fillId="0" borderId="18" xfId="0" applyNumberFormat="1" applyFont="1" applyBorder="1"/>
    <xf numFmtId="0" fontId="7" fillId="0" borderId="19" xfId="0" applyFont="1" applyBorder="1"/>
    <xf numFmtId="8" fontId="7" fillId="0" borderId="19" xfId="0" applyNumberFormat="1" applyFont="1" applyBorder="1"/>
    <xf numFmtId="8" fontId="7" fillId="0" borderId="20" xfId="0" applyNumberFormat="1" applyFont="1" applyBorder="1"/>
    <xf numFmtId="14" fontId="7" fillId="5" borderId="21" xfId="0" applyNumberFormat="1" applyFont="1" applyFill="1" applyBorder="1"/>
    <xf numFmtId="0" fontId="7" fillId="5" borderId="22" xfId="0" applyFont="1" applyFill="1" applyBorder="1"/>
    <xf numFmtId="8" fontId="7" fillId="5" borderId="22" xfId="0" applyNumberFormat="1" applyFont="1" applyFill="1" applyBorder="1"/>
    <xf numFmtId="8" fontId="7" fillId="5" borderId="23" xfId="0" applyNumberFormat="1" applyFont="1" applyFill="1" applyBorder="1"/>
    <xf numFmtId="0" fontId="7" fillId="5" borderId="24" xfId="0" applyFont="1" applyFill="1" applyBorder="1"/>
    <xf numFmtId="14" fontId="7" fillId="0" borderId="21" xfId="0" applyNumberFormat="1" applyFont="1" applyBorder="1"/>
    <xf numFmtId="0" fontId="7" fillId="0" borderId="22" xfId="0" applyFont="1" applyBorder="1"/>
    <xf numFmtId="8" fontId="7" fillId="0" borderId="22" xfId="0" applyNumberFormat="1" applyFont="1" applyBorder="1"/>
    <xf numFmtId="8" fontId="7" fillId="0" borderId="23" xfId="0" applyNumberFormat="1" applyFont="1" applyBorder="1"/>
    <xf numFmtId="14" fontId="7" fillId="0" borderId="26" xfId="0" applyNumberFormat="1" applyFont="1" applyBorder="1"/>
    <xf numFmtId="0" fontId="7" fillId="0" borderId="26" xfId="0" applyFont="1" applyBorder="1"/>
    <xf numFmtId="14" fontId="7" fillId="5" borderId="26" xfId="0" applyNumberFormat="1" applyFont="1" applyFill="1" applyBorder="1"/>
    <xf numFmtId="0" fontId="8" fillId="0" borderId="0" xfId="0" applyFont="1"/>
    <xf numFmtId="8" fontId="8" fillId="0" borderId="0" xfId="0" applyNumberFormat="1" applyFont="1"/>
    <xf numFmtId="8" fontId="6" fillId="4" borderId="17" xfId="0" applyNumberFormat="1" applyFont="1" applyFill="1" applyBorder="1" applyAlignment="1">
      <alignment horizontal="left" vertical="center" wrapText="1" readingOrder="1"/>
    </xf>
    <xf numFmtId="8" fontId="6" fillId="3" borderId="17" xfId="0" applyNumberFormat="1" applyFont="1" applyFill="1" applyBorder="1" applyAlignment="1">
      <alignment horizontal="left" vertical="center" wrapText="1" readingOrder="1"/>
    </xf>
    <xf numFmtId="43" fontId="7" fillId="5" borderId="22" xfId="0" applyNumberFormat="1" applyFont="1" applyFill="1" applyBorder="1"/>
    <xf numFmtId="43" fontId="7" fillId="5" borderId="0" xfId="0" applyNumberFormat="1" applyFont="1" applyFill="1" applyBorder="1"/>
    <xf numFmtId="43" fontId="7" fillId="5" borderId="25" xfId="0" applyNumberFormat="1" applyFont="1" applyFill="1" applyBorder="1"/>
    <xf numFmtId="43" fontId="7" fillId="0" borderId="22" xfId="0" applyNumberFormat="1" applyFont="1" applyBorder="1"/>
    <xf numFmtId="43" fontId="7" fillId="0" borderId="0" xfId="0" applyNumberFormat="1" applyFont="1"/>
    <xf numFmtId="43" fontId="7" fillId="5" borderId="0" xfId="0" applyNumberFormat="1" applyFont="1" applyFill="1"/>
    <xf numFmtId="43" fontId="7" fillId="0" borderId="0" xfId="0" applyNumberFormat="1" applyFont="1" applyBorder="1"/>
    <xf numFmtId="44" fontId="4" fillId="0" borderId="16" xfId="1" quotePrefix="1" applyFont="1" applyBorder="1" applyAlignment="1">
      <alignment horizontal="center"/>
    </xf>
    <xf numFmtId="44" fontId="0" fillId="0" borderId="0" xfId="0" applyNumberFormat="1"/>
    <xf numFmtId="9" fontId="0" fillId="0" borderId="0" xfId="0" applyNumberFormat="1"/>
    <xf numFmtId="0" fontId="9" fillId="6" borderId="0" xfId="0" applyFont="1" applyFill="1"/>
    <xf numFmtId="0" fontId="2" fillId="7" borderId="28" xfId="0" applyFont="1" applyFill="1" applyBorder="1"/>
    <xf numFmtId="0" fontId="2" fillId="7" borderId="11" xfId="0" applyFont="1" applyFill="1" applyBorder="1"/>
    <xf numFmtId="0" fontId="0" fillId="6" borderId="0" xfId="0" applyFill="1"/>
    <xf numFmtId="8" fontId="5" fillId="6" borderId="11" xfId="0" applyNumberFormat="1" applyFont="1" applyFill="1" applyBorder="1"/>
    <xf numFmtId="0" fontId="4" fillId="6" borderId="10" xfId="0" applyFont="1" applyFill="1" applyBorder="1"/>
    <xf numFmtId="8" fontId="4" fillId="6" borderId="11" xfId="0" applyNumberFormat="1" applyFont="1" applyFill="1" applyBorder="1" applyAlignment="1">
      <alignment horizontal="right"/>
    </xf>
    <xf numFmtId="0" fontId="4" fillId="6" borderId="10" xfId="0" applyFont="1" applyFill="1" applyBorder="1" applyAlignment="1">
      <alignment horizontal="left" indent="1"/>
    </xf>
    <xf numFmtId="8" fontId="4" fillId="6" borderId="11" xfId="0" applyNumberFormat="1" applyFont="1" applyFill="1" applyBorder="1"/>
    <xf numFmtId="0" fontId="5" fillId="6" borderId="10" xfId="0" applyFont="1" applyFill="1" applyBorder="1" applyAlignment="1">
      <alignment horizontal="left" indent="3"/>
    </xf>
    <xf numFmtId="0" fontId="4" fillId="6" borderId="10" xfId="0" applyFont="1" applyFill="1" applyBorder="1" applyAlignment="1">
      <alignment horizontal="left" indent="2"/>
    </xf>
    <xf numFmtId="8" fontId="4" fillId="6" borderId="12" xfId="0" applyNumberFormat="1" applyFont="1" applyFill="1" applyBorder="1"/>
    <xf numFmtId="0" fontId="5" fillId="6" borderId="11" xfId="0" applyFont="1" applyFill="1" applyBorder="1"/>
    <xf numFmtId="0" fontId="5" fillId="6" borderId="13" xfId="0" applyFont="1" applyFill="1" applyBorder="1"/>
    <xf numFmtId="0" fontId="5" fillId="6" borderId="14" xfId="0" applyFont="1" applyFill="1" applyBorder="1"/>
    <xf numFmtId="0" fontId="5" fillId="6" borderId="13" xfId="0" applyFont="1" applyFill="1" applyBorder="1" applyAlignment="1">
      <alignment horizontal="left" indent="3"/>
    </xf>
    <xf numFmtId="43" fontId="5" fillId="6" borderId="14" xfId="0" applyNumberFormat="1" applyFont="1" applyFill="1" applyBorder="1"/>
    <xf numFmtId="8" fontId="0" fillId="6" borderId="0" xfId="0" applyNumberFormat="1" applyFill="1"/>
    <xf numFmtId="44" fontId="0" fillId="6" borderId="0" xfId="0" applyNumberFormat="1" applyFill="1"/>
    <xf numFmtId="14" fontId="0" fillId="6" borderId="0" xfId="0" applyNumberFormat="1" applyFill="1"/>
    <xf numFmtId="0" fontId="0" fillId="8" borderId="27" xfId="0" applyFill="1" applyBorder="1"/>
    <xf numFmtId="43" fontId="0" fillId="8" borderId="27" xfId="0" applyNumberFormat="1" applyFill="1" applyBorder="1"/>
    <xf numFmtId="0" fontId="0" fillId="8" borderId="11" xfId="0" applyFill="1" applyBorder="1"/>
    <xf numFmtId="43" fontId="0" fillId="8" borderId="11" xfId="0" applyNumberFormat="1" applyFill="1" applyBorder="1"/>
    <xf numFmtId="0" fontId="0" fillId="8" borderId="11" xfId="0" applyFill="1" applyBorder="1" applyAlignment="1">
      <alignment horizontal="left" inden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2" fillId="0" borderId="0" xfId="0" applyNumberFormat="1" applyFont="1"/>
    <xf numFmtId="49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4" fontId="4" fillId="0" borderId="9" xfId="1" quotePrefix="1" applyNumberFormat="1" applyFont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14" fontId="0" fillId="0" borderId="11" xfId="0" applyNumberFormat="1" applyBorder="1"/>
    <xf numFmtId="8" fontId="0" fillId="0" borderId="11" xfId="0" applyNumberFormat="1" applyBorder="1"/>
    <xf numFmtId="8" fontId="0" fillId="7" borderId="0" xfId="0" applyNumberFormat="1" applyFill="1"/>
    <xf numFmtId="0" fontId="0" fillId="7" borderId="0" xfId="0" applyFill="1"/>
    <xf numFmtId="0" fontId="0" fillId="0" borderId="0" xfId="0" applyBorder="1"/>
    <xf numFmtId="6" fontId="0" fillId="0" borderId="0" xfId="0" applyNumberFormat="1" applyAlignment="1">
      <alignment horizontal="right"/>
    </xf>
    <xf numFmtId="0" fontId="0" fillId="0" borderId="31" xfId="0" applyBorder="1"/>
    <xf numFmtId="0" fontId="0" fillId="0" borderId="0" xfId="0" applyAlignment="1"/>
    <xf numFmtId="0" fontId="2" fillId="0" borderId="32" xfId="0" applyFont="1" applyBorder="1"/>
    <xf numFmtId="43" fontId="0" fillId="0" borderId="11" xfId="0" applyNumberFormat="1" applyBorder="1" applyAlignment="1">
      <alignment horizontal="right"/>
    </xf>
    <xf numFmtId="0" fontId="0" fillId="0" borderId="32" xfId="0" applyBorder="1"/>
    <xf numFmtId="0" fontId="0" fillId="0" borderId="11" xfId="0" applyBorder="1"/>
    <xf numFmtId="0" fontId="0" fillId="0" borderId="32" xfId="0" applyFont="1" applyBorder="1"/>
    <xf numFmtId="6" fontId="0" fillId="0" borderId="11" xfId="0" applyNumberFormat="1" applyBorder="1" applyAlignment="1">
      <alignment horizontal="right"/>
    </xf>
    <xf numFmtId="0" fontId="13" fillId="0" borderId="0" xfId="0" applyFont="1" applyAlignment="1">
      <alignment wrapText="1"/>
    </xf>
    <xf numFmtId="6" fontId="0" fillId="0" borderId="0" xfId="0" applyNumberFormat="1"/>
    <xf numFmtId="0" fontId="14" fillId="0" borderId="0" xfId="0" applyFont="1" applyAlignment="1">
      <alignment wrapText="1"/>
    </xf>
    <xf numFmtId="0" fontId="15" fillId="0" borderId="32" xfId="0" applyFont="1" applyBorder="1"/>
    <xf numFmtId="0" fontId="14" fillId="0" borderId="0" xfId="0" applyFont="1"/>
    <xf numFmtId="6" fontId="0" fillId="0" borderId="11" xfId="0" applyNumberFormat="1" applyFont="1" applyBorder="1" applyAlignment="1">
      <alignment horizontal="right"/>
    </xf>
    <xf numFmtId="0" fontId="16" fillId="0" borderId="0" xfId="0" applyFont="1" applyAlignment="1"/>
    <xf numFmtId="0" fontId="17" fillId="0" borderId="0" xfId="0" applyFont="1"/>
    <xf numFmtId="0" fontId="0" fillId="0" borderId="33" xfId="0" applyBorder="1" applyAlignment="1"/>
    <xf numFmtId="0" fontId="0" fillId="0" borderId="16" xfId="0" applyBorder="1" applyAlignment="1"/>
    <xf numFmtId="0" fontId="0" fillId="0" borderId="32" xfId="0" applyBorder="1" applyAlignment="1"/>
    <xf numFmtId="0" fontId="0" fillId="0" borderId="31" xfId="0" applyBorder="1" applyAlignment="1"/>
    <xf numFmtId="0" fontId="0" fillId="8" borderId="35" xfId="0" applyFill="1" applyBorder="1" applyAlignment="1">
      <alignment horizontal="left" indent="1"/>
    </xf>
    <xf numFmtId="43" fontId="0" fillId="8" borderId="36" xfId="0" applyNumberFormat="1" applyFill="1" applyBorder="1"/>
    <xf numFmtId="43" fontId="0" fillId="8" borderId="35" xfId="0" applyNumberFormat="1" applyFill="1" applyBorder="1"/>
    <xf numFmtId="0" fontId="0" fillId="8" borderId="28" xfId="0" applyFill="1" applyBorder="1" applyAlignment="1">
      <alignment horizontal="left" indent="1"/>
    </xf>
    <xf numFmtId="43" fontId="0" fillId="8" borderId="37" xfId="0" applyNumberFormat="1" applyFill="1" applyBorder="1"/>
    <xf numFmtId="43" fontId="0" fillId="8" borderId="28" xfId="0" applyNumberFormat="1" applyFill="1" applyBorder="1"/>
    <xf numFmtId="0" fontId="2" fillId="8" borderId="11" xfId="0" applyFont="1" applyFill="1" applyBorder="1" applyAlignment="1">
      <alignment horizontal="left" wrapText="1"/>
    </xf>
    <xf numFmtId="0" fontId="2" fillId="8" borderId="11" xfId="0" applyFont="1" applyFill="1" applyBorder="1" applyAlignment="1">
      <alignment horizontal="left"/>
    </xf>
    <xf numFmtId="0" fontId="2" fillId="8" borderId="11" xfId="0" applyFont="1" applyFill="1" applyBorder="1"/>
    <xf numFmtId="164" fontId="12" fillId="0" borderId="0" xfId="0" applyNumberFormat="1" applyFont="1" applyBorder="1"/>
    <xf numFmtId="0" fontId="12" fillId="0" borderId="0" xfId="0" applyFont="1" applyBorder="1" applyAlignment="1">
      <alignment vertical="center"/>
    </xf>
    <xf numFmtId="44" fontId="15" fillId="16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4" fontId="12" fillId="0" borderId="0" xfId="0" applyNumberFormat="1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38" xfId="0" applyBorder="1"/>
    <xf numFmtId="0" fontId="3" fillId="0" borderId="11" xfId="0" applyFont="1" applyBorder="1" applyAlignment="1">
      <alignment horizontal="left" wrapText="1" readingOrder="1"/>
    </xf>
    <xf numFmtId="0" fontId="0" fillId="0" borderId="39" xfId="0" applyBorder="1"/>
    <xf numFmtId="14" fontId="4" fillId="0" borderId="8" xfId="0" applyNumberFormat="1" applyFont="1" applyBorder="1" applyAlignment="1">
      <alignment horizontal="center"/>
    </xf>
    <xf numFmtId="165" fontId="5" fillId="0" borderId="12" xfId="0" applyNumberFormat="1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2" fillId="14" borderId="16" xfId="0" applyFont="1" applyFill="1" applyBorder="1" applyAlignment="1">
      <alignment horizontal="center"/>
    </xf>
    <xf numFmtId="0" fontId="2" fillId="14" borderId="32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left"/>
    </xf>
    <xf numFmtId="0" fontId="2" fillId="15" borderId="3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%20-%20SISTEMA%20CONTABIL%20-1%20LIVRO%20DIARIO%202%20lIVRO%20RAZAO%20%203%20RAZONTE%20%204%20BALANC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Livro Diário"/>
      <sheetName val="Livro Razao"/>
      <sheetName val="Razonete"/>
      <sheetName val="Balancete"/>
      <sheetName val="Balanço Patrimonial"/>
      <sheetName val="DRE"/>
      <sheetName val="DFC"/>
      <sheetName val="FICHA DE AVALIACAO DO ESTOQUE"/>
    </sheetNames>
    <sheetDataSet>
      <sheetData sheetId="0"/>
      <sheetData sheetId="1"/>
      <sheetData sheetId="2"/>
      <sheetData sheetId="3"/>
      <sheetData sheetId="4">
        <row r="1">
          <cell r="D1" t="str">
            <v>FINAL</v>
          </cell>
        </row>
        <row r="2">
          <cell r="B2" t="str">
            <v>Cód.</v>
          </cell>
          <cell r="C2" t="str">
            <v>CONTAS</v>
          </cell>
          <cell r="D2" t="str">
            <v>DÉBITO</v>
          </cell>
          <cell r="E2" t="str">
            <v>CRÉDITO</v>
          </cell>
        </row>
        <row r="3">
          <cell r="B3" t="str">
            <v>1.1.1</v>
          </cell>
          <cell r="C3" t="str">
            <v>Caixa</v>
          </cell>
          <cell r="D3">
            <v>0</v>
          </cell>
          <cell r="E3">
            <v>0</v>
          </cell>
        </row>
        <row r="4">
          <cell r="B4" t="str">
            <v>1.2.1</v>
          </cell>
          <cell r="C4" t="str">
            <v>Banco</v>
          </cell>
          <cell r="D4">
            <v>0</v>
          </cell>
          <cell r="E4">
            <v>0</v>
          </cell>
        </row>
        <row r="5">
          <cell r="B5" t="str">
            <v>1.3.1</v>
          </cell>
          <cell r="C5" t="str">
            <v>Contas a Receber</v>
          </cell>
          <cell r="D5">
            <v>0</v>
          </cell>
          <cell r="E5">
            <v>450</v>
          </cell>
        </row>
        <row r="6">
          <cell r="B6" t="str">
            <v>1.3.2</v>
          </cell>
          <cell r="C6" t="str">
            <v>PECLD</v>
          </cell>
          <cell r="D6">
            <v>0</v>
          </cell>
          <cell r="E6">
            <v>0</v>
          </cell>
        </row>
        <row r="7">
          <cell r="B7" t="str">
            <v>1.4.1</v>
          </cell>
          <cell r="C7" t="str">
            <v>Mercadorias</v>
          </cell>
          <cell r="D7">
            <v>0</v>
          </cell>
          <cell r="E7">
            <v>0</v>
          </cell>
        </row>
        <row r="8">
          <cell r="B8" t="str">
            <v>1.5.1</v>
          </cell>
          <cell r="C8" t="str">
            <v>Despesas Antecipadas</v>
          </cell>
          <cell r="D8">
            <v>0</v>
          </cell>
          <cell r="E8">
            <v>0</v>
          </cell>
        </row>
        <row r="9">
          <cell r="B9" t="str">
            <v>1.6.1</v>
          </cell>
          <cell r="C9" t="str">
            <v>Impostos a Recuperar</v>
          </cell>
          <cell r="D9">
            <v>0</v>
          </cell>
          <cell r="E9">
            <v>0</v>
          </cell>
        </row>
        <row r="10">
          <cell r="B10" t="str">
            <v>1.6.2</v>
          </cell>
          <cell r="C10" t="str">
            <v>Conta teste</v>
          </cell>
          <cell r="D10">
            <v>0</v>
          </cell>
          <cell r="E10">
            <v>0</v>
          </cell>
        </row>
        <row r="11">
          <cell r="B11" t="str">
            <v>2.1.1</v>
          </cell>
          <cell r="C11" t="str">
            <v>Contas a Receber a Longo Prazo</v>
          </cell>
          <cell r="D11">
            <v>0</v>
          </cell>
          <cell r="E11">
            <v>0</v>
          </cell>
        </row>
        <row r="12">
          <cell r="B12" t="str">
            <v>2.2.1</v>
          </cell>
          <cell r="C12" t="str">
            <v>Terrenos - Investimento</v>
          </cell>
          <cell r="D12">
            <v>0</v>
          </cell>
          <cell r="E12">
            <v>0</v>
          </cell>
        </row>
        <row r="13">
          <cell r="B13" t="str">
            <v>2.2.2</v>
          </cell>
          <cell r="C13" t="str">
            <v>Obra de Arte</v>
          </cell>
          <cell r="D13">
            <v>0</v>
          </cell>
          <cell r="E13">
            <v>0</v>
          </cell>
        </row>
        <row r="14">
          <cell r="B14" t="str">
            <v>2.2.4</v>
          </cell>
          <cell r="C14" t="str">
            <v>Móveis e Utensílios</v>
          </cell>
          <cell r="D14">
            <v>0</v>
          </cell>
          <cell r="E14">
            <v>0</v>
          </cell>
        </row>
        <row r="15">
          <cell r="B15" t="str">
            <v>2.3.1</v>
          </cell>
          <cell r="C15" t="str">
            <v>Máquinas e Equipamentos</v>
          </cell>
          <cell r="D15">
            <v>0</v>
          </cell>
          <cell r="E15">
            <v>0</v>
          </cell>
        </row>
        <row r="16">
          <cell r="B16" t="str">
            <v>2.3.2</v>
          </cell>
          <cell r="C16" t="str">
            <v>Imóveis</v>
          </cell>
          <cell r="D16">
            <v>0</v>
          </cell>
          <cell r="E16">
            <v>0</v>
          </cell>
        </row>
        <row r="17">
          <cell r="B17" t="str">
            <v>2.3.3</v>
          </cell>
          <cell r="C17" t="str">
            <v>Veículos</v>
          </cell>
          <cell r="D17">
            <v>0</v>
          </cell>
          <cell r="E17">
            <v>0</v>
          </cell>
        </row>
        <row r="18">
          <cell r="B18" t="str">
            <v>2.3.4</v>
          </cell>
          <cell r="C18" t="str">
            <v>Terrenos - Imobilizado</v>
          </cell>
          <cell r="D18">
            <v>0</v>
          </cell>
          <cell r="E18">
            <v>0</v>
          </cell>
        </row>
        <row r="19">
          <cell r="B19" t="str">
            <v>2.3.5</v>
          </cell>
          <cell r="C19" t="str">
            <v>Depreciação Acumulada</v>
          </cell>
          <cell r="D19">
            <v>0</v>
          </cell>
          <cell r="E19">
            <v>0</v>
          </cell>
        </row>
        <row r="20">
          <cell r="B20" t="str">
            <v>2.4.1</v>
          </cell>
          <cell r="C20" t="str">
            <v>Marcas e Patentes</v>
          </cell>
          <cell r="D20">
            <v>0</v>
          </cell>
          <cell r="E20">
            <v>0</v>
          </cell>
        </row>
        <row r="21">
          <cell r="B21" t="str">
            <v>2.4.2</v>
          </cell>
          <cell r="C21" t="str">
            <v>Software</v>
          </cell>
          <cell r="D21">
            <v>0</v>
          </cell>
          <cell r="E21">
            <v>0</v>
          </cell>
        </row>
        <row r="22">
          <cell r="B22" t="str">
            <v>3.1.1</v>
          </cell>
          <cell r="C22" t="str">
            <v>Contas a Pagar</v>
          </cell>
          <cell r="D22">
            <v>0</v>
          </cell>
          <cell r="E22">
            <v>0</v>
          </cell>
        </row>
        <row r="23">
          <cell r="B23" t="str">
            <v>3.2.1</v>
          </cell>
          <cell r="C23" t="str">
            <v>Fornecedores</v>
          </cell>
          <cell r="D23">
            <v>0</v>
          </cell>
          <cell r="E23">
            <v>0</v>
          </cell>
        </row>
        <row r="24">
          <cell r="B24" t="str">
            <v>3.3.1</v>
          </cell>
          <cell r="C24" t="str">
            <v>Empréstimo a Pagar</v>
          </cell>
          <cell r="D24">
            <v>0</v>
          </cell>
          <cell r="E24">
            <v>0</v>
          </cell>
        </row>
        <row r="25">
          <cell r="B25" t="str">
            <v>3.4.1</v>
          </cell>
          <cell r="C25" t="str">
            <v>Impostos a recolher</v>
          </cell>
          <cell r="D25">
            <v>0</v>
          </cell>
          <cell r="E25">
            <v>12.840000000000002</v>
          </cell>
        </row>
        <row r="26">
          <cell r="B26" t="str">
            <v>3.5.1</v>
          </cell>
          <cell r="C26" t="str">
            <v>Salários a pagar</v>
          </cell>
          <cell r="D26">
            <v>0</v>
          </cell>
          <cell r="E26">
            <v>0</v>
          </cell>
        </row>
        <row r="27">
          <cell r="B27" t="str">
            <v>3.6.1</v>
          </cell>
          <cell r="C27" t="str">
            <v>Receitas Antecipadas</v>
          </cell>
          <cell r="D27">
            <v>0</v>
          </cell>
          <cell r="E27">
            <v>0</v>
          </cell>
        </row>
        <row r="28">
          <cell r="B28" t="str">
            <v>3.7.1</v>
          </cell>
          <cell r="C28" t="str">
            <v>Dividendos a Pagar</v>
          </cell>
          <cell r="D28">
            <v>0</v>
          </cell>
          <cell r="E28">
            <v>0</v>
          </cell>
        </row>
        <row r="29">
          <cell r="B29" t="str">
            <v>4.1.1</v>
          </cell>
          <cell r="C29" t="str">
            <v>Contas a Pagar a Longo Prazo</v>
          </cell>
          <cell r="D29">
            <v>0</v>
          </cell>
          <cell r="E29">
            <v>0</v>
          </cell>
        </row>
        <row r="30">
          <cell r="B30" t="str">
            <v>4.2.1</v>
          </cell>
          <cell r="C30" t="str">
            <v>Fornecedores a Pagar a Longo Prazo</v>
          </cell>
          <cell r="D30">
            <v>0</v>
          </cell>
          <cell r="E30">
            <v>0</v>
          </cell>
        </row>
        <row r="31">
          <cell r="B31" t="str">
            <v>4.3.1</v>
          </cell>
          <cell r="C31" t="str">
            <v>Empréstimo a logo prazo</v>
          </cell>
          <cell r="D31">
            <v>0</v>
          </cell>
          <cell r="E31">
            <v>0</v>
          </cell>
        </row>
        <row r="32">
          <cell r="B32" t="str">
            <v>5.1.1</v>
          </cell>
          <cell r="C32" t="str">
            <v>Capital Social</v>
          </cell>
          <cell r="D32">
            <v>0</v>
          </cell>
          <cell r="E32">
            <v>0</v>
          </cell>
          <cell r="I32">
            <v>0</v>
          </cell>
        </row>
        <row r="33">
          <cell r="B33" t="str">
            <v>5.2.1</v>
          </cell>
          <cell r="C33" t="str">
            <v>Lucros Acumulados</v>
          </cell>
          <cell r="D33">
            <v>0</v>
          </cell>
          <cell r="E33">
            <v>0</v>
          </cell>
          <cell r="I33">
            <v>0</v>
          </cell>
        </row>
        <row r="34">
          <cell r="B34" t="str">
            <v>5.3.1</v>
          </cell>
          <cell r="C34" t="str">
            <v>Prejuízos Acumulados</v>
          </cell>
          <cell r="D34">
            <v>0</v>
          </cell>
          <cell r="E34">
            <v>0</v>
          </cell>
          <cell r="I34">
            <v>0</v>
          </cell>
        </row>
        <row r="35">
          <cell r="B35" t="str">
            <v>5.4.1</v>
          </cell>
          <cell r="C35" t="str">
            <v>Reserva de Lucros</v>
          </cell>
          <cell r="D35">
            <v>0</v>
          </cell>
          <cell r="E35">
            <v>0</v>
          </cell>
          <cell r="I35">
            <v>0</v>
          </cell>
        </row>
        <row r="36">
          <cell r="B36" t="str">
            <v>6.1.1</v>
          </cell>
          <cell r="C36" t="str">
            <v>Água/Luz</v>
          </cell>
          <cell r="D36">
            <v>0</v>
          </cell>
          <cell r="E36">
            <v>0</v>
          </cell>
        </row>
        <row r="37">
          <cell r="B37" t="str">
            <v>6.2.1</v>
          </cell>
          <cell r="C37" t="str">
            <v>Salários</v>
          </cell>
          <cell r="D37">
            <v>0</v>
          </cell>
          <cell r="E37">
            <v>0</v>
          </cell>
        </row>
        <row r="38">
          <cell r="B38" t="str">
            <v>6.2.2</v>
          </cell>
          <cell r="C38" t="str">
            <v>Aluguel</v>
          </cell>
          <cell r="D38">
            <v>0</v>
          </cell>
          <cell r="E38">
            <v>0</v>
          </cell>
        </row>
        <row r="39">
          <cell r="B39" t="str">
            <v>6.2.3</v>
          </cell>
          <cell r="C39" t="str">
            <v>Pro labore</v>
          </cell>
          <cell r="D39">
            <v>0</v>
          </cell>
          <cell r="E39">
            <v>0</v>
          </cell>
        </row>
        <row r="40">
          <cell r="B40" t="str">
            <v>6.3.1</v>
          </cell>
          <cell r="C40" t="str">
            <v>CMV</v>
          </cell>
          <cell r="D40">
            <v>0</v>
          </cell>
          <cell r="E40">
            <v>0</v>
          </cell>
        </row>
        <row r="41">
          <cell r="B41" t="str">
            <v>6.3.2</v>
          </cell>
          <cell r="C41" t="str">
            <v>CPV</v>
          </cell>
          <cell r="D41">
            <v>0</v>
          </cell>
          <cell r="E41">
            <v>0</v>
          </cell>
        </row>
        <row r="42">
          <cell r="B42" t="str">
            <v>6.3.3</v>
          </cell>
          <cell r="C42" t="str">
            <v>CSP</v>
          </cell>
          <cell r="D42">
            <v>0</v>
          </cell>
          <cell r="E42">
            <v>0</v>
          </cell>
        </row>
        <row r="43">
          <cell r="B43" t="str">
            <v>6.4.1</v>
          </cell>
          <cell r="C43" t="str">
            <v>Despesa com Depreciação</v>
          </cell>
          <cell r="D43">
            <v>0</v>
          </cell>
          <cell r="E43">
            <v>0</v>
          </cell>
        </row>
        <row r="44">
          <cell r="B44" t="str">
            <v>6.4.2</v>
          </cell>
          <cell r="C44" t="str">
            <v>Despesa com PECLD</v>
          </cell>
          <cell r="D44">
            <v>0</v>
          </cell>
          <cell r="E44">
            <v>0</v>
          </cell>
        </row>
        <row r="45">
          <cell r="B45" t="str">
            <v>6.5.1</v>
          </cell>
          <cell r="C45" t="str">
            <v>Despesa Financeira</v>
          </cell>
        </row>
        <row r="46">
          <cell r="B46" t="str">
            <v>6.6.1</v>
          </cell>
          <cell r="C46" t="str">
            <v>IRPJ/CSLL</v>
          </cell>
          <cell r="D46">
            <v>0</v>
          </cell>
          <cell r="E46">
            <v>462.84</v>
          </cell>
        </row>
        <row r="47">
          <cell r="B47" t="str">
            <v>6.7.1</v>
          </cell>
          <cell r="C47" t="str">
            <v>Impostos sobre venda</v>
          </cell>
          <cell r="D47">
            <v>0</v>
          </cell>
          <cell r="E47">
            <v>0</v>
          </cell>
        </row>
        <row r="48">
          <cell r="B48" t="str">
            <v>6.8.1</v>
          </cell>
          <cell r="C48" t="str">
            <v>Despesa não operacional</v>
          </cell>
          <cell r="D48">
            <v>0</v>
          </cell>
          <cell r="E48">
            <v>0</v>
          </cell>
        </row>
        <row r="49">
          <cell r="B49" t="str">
            <v>7.1.1</v>
          </cell>
          <cell r="C49" t="str">
            <v>Receita</v>
          </cell>
          <cell r="D49">
            <v>0</v>
          </cell>
          <cell r="E49">
            <v>0</v>
          </cell>
        </row>
        <row r="50">
          <cell r="B50" t="str">
            <v>7.2.1</v>
          </cell>
          <cell r="C50" t="str">
            <v>Receita Financeira</v>
          </cell>
          <cell r="D50">
            <v>0</v>
          </cell>
          <cell r="E50">
            <v>0</v>
          </cell>
        </row>
        <row r="51">
          <cell r="B51" t="str">
            <v>7.3.1</v>
          </cell>
          <cell r="C51" t="str">
            <v>Lucro Venda Imobilizado</v>
          </cell>
          <cell r="D51">
            <v>0</v>
          </cell>
          <cell r="E51">
            <v>0</v>
          </cell>
        </row>
        <row r="52">
          <cell r="B52" t="str">
            <v>8.1.1</v>
          </cell>
          <cell r="C52" t="str">
            <v>ARE</v>
          </cell>
          <cell r="D52">
            <v>0</v>
          </cell>
          <cell r="E52">
            <v>0</v>
          </cell>
        </row>
        <row r="53">
          <cell r="C53" t="str">
            <v>SALDO</v>
          </cell>
          <cell r="D53">
            <v>0</v>
          </cell>
          <cell r="E53">
            <v>925.68</v>
          </cell>
        </row>
      </sheetData>
      <sheetData sheetId="5">
        <row r="1">
          <cell r="B1" t="str">
            <v>Empresa: Lucrecio LTDA</v>
          </cell>
          <cell r="D1" t="str">
            <v>Data:</v>
          </cell>
        </row>
        <row r="2">
          <cell r="A2" t="str">
            <v>cod</v>
          </cell>
          <cell r="B2" t="str">
            <v>BALANÇO PATRIMONIAL</v>
          </cell>
          <cell r="C2">
            <v>44165</v>
          </cell>
          <cell r="D2">
            <v>44135</v>
          </cell>
          <cell r="E2" t="str">
            <v>cod</v>
          </cell>
          <cell r="G2">
            <v>44165</v>
          </cell>
          <cell r="H2">
            <v>44135</v>
          </cell>
        </row>
        <row r="3">
          <cell r="B3" t="str">
            <v>ATIVO</v>
          </cell>
          <cell r="C3">
            <v>450</v>
          </cell>
          <cell r="D3">
            <v>2300</v>
          </cell>
          <cell r="F3" t="str">
            <v>PASSIVO + PL</v>
          </cell>
          <cell r="G3">
            <v>12.840000000000002</v>
          </cell>
          <cell r="H3">
            <v>0</v>
          </cell>
        </row>
        <row r="4">
          <cell r="A4" t="str">
            <v>1.1</v>
          </cell>
          <cell r="B4" t="str">
            <v>ATIVO CIRCULANTE</v>
          </cell>
          <cell r="C4">
            <v>450</v>
          </cell>
          <cell r="D4">
            <v>2300</v>
          </cell>
          <cell r="F4" t="str">
            <v>PASSIVO CIRCULANTE</v>
          </cell>
          <cell r="G4">
            <v>12.840000000000002</v>
          </cell>
          <cell r="H4">
            <v>0</v>
          </cell>
        </row>
        <row r="5">
          <cell r="A5" t="str">
            <v>1.1.1</v>
          </cell>
          <cell r="B5" t="str">
            <v>Caixa</v>
          </cell>
          <cell r="C5">
            <v>0</v>
          </cell>
          <cell r="D5">
            <v>500</v>
          </cell>
          <cell r="E5" t="str">
            <v>3.1.1</v>
          </cell>
          <cell r="F5" t="str">
            <v>Contas a Pagar</v>
          </cell>
          <cell r="G5">
            <v>0</v>
          </cell>
        </row>
        <row r="6">
          <cell r="A6" t="str">
            <v>1.2.1</v>
          </cell>
          <cell r="B6" t="str">
            <v>Banco</v>
          </cell>
          <cell r="C6">
            <v>0</v>
          </cell>
          <cell r="D6">
            <v>500</v>
          </cell>
          <cell r="E6" t="str">
            <v>3.2.1</v>
          </cell>
          <cell r="F6" t="str">
            <v>Fornecedores</v>
          </cell>
          <cell r="G6">
            <v>0</v>
          </cell>
        </row>
        <row r="7">
          <cell r="A7" t="str">
            <v>1.3.1</v>
          </cell>
          <cell r="B7" t="str">
            <v>Contas a Receber</v>
          </cell>
          <cell r="C7">
            <v>450</v>
          </cell>
          <cell r="D7">
            <v>200</v>
          </cell>
          <cell r="E7" t="str">
            <v>3.3.1</v>
          </cell>
          <cell r="F7" t="str">
            <v>Empréstimo a Pagar</v>
          </cell>
          <cell r="G7">
            <v>12.840000000000002</v>
          </cell>
        </row>
        <row r="8">
          <cell r="A8" t="str">
            <v>1.4.1</v>
          </cell>
          <cell r="B8" t="str">
            <v>PECLD</v>
          </cell>
          <cell r="C8">
            <v>0</v>
          </cell>
          <cell r="D8">
            <v>500</v>
          </cell>
          <cell r="E8" t="str">
            <v>3.4.1</v>
          </cell>
          <cell r="F8" t="str">
            <v>Impostos a recolher</v>
          </cell>
          <cell r="G8">
            <v>0</v>
          </cell>
        </row>
        <row r="9">
          <cell r="A9" t="str">
            <v>1.5.1</v>
          </cell>
          <cell r="B9" t="str">
            <v>Mercadorias</v>
          </cell>
          <cell r="C9">
            <v>0</v>
          </cell>
          <cell r="D9">
            <v>600</v>
          </cell>
          <cell r="E9" t="str">
            <v>3.5.1</v>
          </cell>
          <cell r="F9" t="str">
            <v>Salários a pagar</v>
          </cell>
          <cell r="G9">
            <v>0</v>
          </cell>
        </row>
        <row r="10">
          <cell r="A10" t="str">
            <v>1.6.2</v>
          </cell>
          <cell r="B10" t="str">
            <v/>
          </cell>
          <cell r="C10" t="str">
            <v/>
          </cell>
          <cell r="E10" t="str">
            <v>3.6.1</v>
          </cell>
          <cell r="F10" t="str">
            <v>Receitas Antecipadas</v>
          </cell>
          <cell r="G10">
            <v>0</v>
          </cell>
        </row>
        <row r="11">
          <cell r="B11">
            <v>0</v>
          </cell>
          <cell r="C11">
            <v>0</v>
          </cell>
          <cell r="E11" t="str">
            <v>3.7.1</v>
          </cell>
          <cell r="F11" t="str">
            <v>Dividendos a Pagar</v>
          </cell>
          <cell r="G11">
            <v>0</v>
          </cell>
        </row>
        <row r="12">
          <cell r="B12">
            <v>0</v>
          </cell>
          <cell r="C12">
            <v>0</v>
          </cell>
          <cell r="E12" t="str">
            <v>3.8.1</v>
          </cell>
          <cell r="F12" t="str">
            <v/>
          </cell>
          <cell r="G12" t="str">
            <v/>
          </cell>
        </row>
        <row r="13">
          <cell r="B13">
            <v>0</v>
          </cell>
          <cell r="C13">
            <v>0</v>
          </cell>
          <cell r="E13" t="str">
            <v>3.9.1</v>
          </cell>
          <cell r="F13" t="str">
            <v/>
          </cell>
          <cell r="G13" t="str">
            <v/>
          </cell>
        </row>
        <row r="14">
          <cell r="B14">
            <v>0</v>
          </cell>
          <cell r="C14">
            <v>0</v>
          </cell>
          <cell r="F14" t="str">
            <v/>
          </cell>
          <cell r="G14" t="str">
            <v/>
          </cell>
        </row>
        <row r="15">
          <cell r="B15" t="str">
            <v>ATIVO NÃO CIRCULANTE</v>
          </cell>
          <cell r="C15">
            <v>0</v>
          </cell>
          <cell r="D15">
            <v>0</v>
          </cell>
          <cell r="F15" t="str">
            <v>PASSIVO NÃO CIRCULANTE</v>
          </cell>
          <cell r="G15">
            <v>0</v>
          </cell>
          <cell r="H15">
            <v>0</v>
          </cell>
        </row>
        <row r="16">
          <cell r="B16" t="str">
            <v>Realizável a Longo Prazo</v>
          </cell>
          <cell r="C16">
            <v>0</v>
          </cell>
          <cell r="D16">
            <v>0</v>
          </cell>
          <cell r="E16" t="str">
            <v>4.1.1</v>
          </cell>
          <cell r="F16" t="str">
            <v>Contas a Pagar a Longo Prazo</v>
          </cell>
          <cell r="G16">
            <v>0</v>
          </cell>
        </row>
        <row r="17">
          <cell r="A17" t="str">
            <v>2.1.1</v>
          </cell>
          <cell r="B17" t="str">
            <v>Contas a Receber a Longo Prazo</v>
          </cell>
          <cell r="C17">
            <v>0</v>
          </cell>
          <cell r="E17" t="str">
            <v>4.2.1</v>
          </cell>
          <cell r="F17" t="str">
            <v>Fornecedores a Pagar a Longo Prazo</v>
          </cell>
          <cell r="G17">
            <v>0</v>
          </cell>
        </row>
        <row r="18">
          <cell r="B18" t="str">
            <v>Investimento</v>
          </cell>
          <cell r="C18">
            <v>0</v>
          </cell>
          <cell r="D18">
            <v>0</v>
          </cell>
          <cell r="E18" t="str">
            <v>4.3.1</v>
          </cell>
          <cell r="F18" t="str">
            <v>Empréstimo a logo prazo</v>
          </cell>
          <cell r="G18">
            <v>0</v>
          </cell>
        </row>
        <row r="19">
          <cell r="A19" t="str">
            <v>2.2.1</v>
          </cell>
          <cell r="B19" t="str">
            <v>Terrenos - Investimento</v>
          </cell>
          <cell r="C19">
            <v>0</v>
          </cell>
          <cell r="E19" t="str">
            <v>4.4.1</v>
          </cell>
          <cell r="F19" t="str">
            <v/>
          </cell>
          <cell r="G19" t="str">
            <v/>
          </cell>
        </row>
        <row r="20">
          <cell r="A20" t="str">
            <v>2.2.2</v>
          </cell>
          <cell r="B20" t="str">
            <v/>
          </cell>
          <cell r="C20" t="str">
            <v/>
          </cell>
          <cell r="E20" t="str">
            <v>4.5.1</v>
          </cell>
          <cell r="F20" t="str">
            <v/>
          </cell>
          <cell r="G20" t="str">
            <v/>
          </cell>
        </row>
        <row r="21">
          <cell r="B21" t="str">
            <v>Imobilizado</v>
          </cell>
          <cell r="C21">
            <v>0</v>
          </cell>
          <cell r="D21">
            <v>0</v>
          </cell>
          <cell r="G21" t="str">
            <v/>
          </cell>
        </row>
        <row r="22">
          <cell r="A22" t="str">
            <v>2.3.1</v>
          </cell>
          <cell r="B22" t="str">
            <v>Obra de Arte</v>
          </cell>
          <cell r="C22">
            <v>0</v>
          </cell>
          <cell r="G22" t="str">
            <v/>
          </cell>
        </row>
        <row r="23">
          <cell r="A23" t="str">
            <v>2.3.2</v>
          </cell>
          <cell r="B23" t="str">
            <v/>
          </cell>
          <cell r="C23" t="str">
            <v/>
          </cell>
          <cell r="G23" t="str">
            <v/>
          </cell>
        </row>
        <row r="24">
          <cell r="A24" t="str">
            <v>2.3.3</v>
          </cell>
          <cell r="B24" t="str">
            <v/>
          </cell>
          <cell r="C24" t="str">
            <v/>
          </cell>
          <cell r="G24" t="str">
            <v/>
          </cell>
        </row>
        <row r="25">
          <cell r="A25" t="str">
            <v>2.3.4</v>
          </cell>
          <cell r="B25" t="str">
            <v/>
          </cell>
          <cell r="C25" t="str">
            <v/>
          </cell>
          <cell r="G25" t="str">
            <v/>
          </cell>
        </row>
        <row r="26">
          <cell r="B26" t="str">
            <v>Intangível</v>
          </cell>
          <cell r="C26">
            <v>0</v>
          </cell>
          <cell r="D26">
            <v>0</v>
          </cell>
          <cell r="F26" t="str">
            <v>PATRIMÔNIO LÍQUIDO</v>
          </cell>
          <cell r="G26">
            <v>0</v>
          </cell>
          <cell r="H26">
            <v>0</v>
          </cell>
        </row>
        <row r="27">
          <cell r="A27" t="str">
            <v>2.4.1</v>
          </cell>
          <cell r="B27" t="str">
            <v>Móveis e Utensílios</v>
          </cell>
          <cell r="C27">
            <v>0</v>
          </cell>
          <cell r="D27">
            <v>0</v>
          </cell>
          <cell r="E27" t="str">
            <v>5.1.1</v>
          </cell>
          <cell r="F27" t="str">
            <v>Capital Social</v>
          </cell>
          <cell r="G27">
            <v>0</v>
          </cell>
        </row>
        <row r="28">
          <cell r="A28" t="str">
            <v>2.4.2</v>
          </cell>
          <cell r="B28" t="str">
            <v/>
          </cell>
          <cell r="C28" t="str">
            <v/>
          </cell>
          <cell r="D28">
            <v>0</v>
          </cell>
          <cell r="E28" t="str">
            <v>5.2.1</v>
          </cell>
          <cell r="F28" t="str">
            <v>Lucros Acumulados</v>
          </cell>
          <cell r="G28">
            <v>0</v>
          </cell>
        </row>
        <row r="29">
          <cell r="A29" t="str">
            <v>2.4.3</v>
          </cell>
          <cell r="B29" t="str">
            <v/>
          </cell>
          <cell r="E29" t="str">
            <v>5.3.1</v>
          </cell>
          <cell r="F29" t="str">
            <v>Prejuízos Acumulados</v>
          </cell>
          <cell r="G29">
            <v>0</v>
          </cell>
        </row>
        <row r="30">
          <cell r="A30" t="str">
            <v>2.4.4</v>
          </cell>
          <cell r="B30" t="str">
            <v/>
          </cell>
          <cell r="E30" t="str">
            <v>5.4.1</v>
          </cell>
          <cell r="F30" t="str">
            <v>Reserva de Lucros</v>
          </cell>
          <cell r="G30">
            <v>0</v>
          </cell>
        </row>
        <row r="31">
          <cell r="A31" t="str">
            <v>2.4.5</v>
          </cell>
          <cell r="B31" t="str">
            <v/>
          </cell>
          <cell r="E31" t="str">
            <v>5.5.1</v>
          </cell>
          <cell r="F31" t="str">
            <v/>
          </cell>
          <cell r="G31" t="str">
            <v/>
          </cell>
        </row>
        <row r="32">
          <cell r="A32" t="str">
            <v>2.4.5</v>
          </cell>
          <cell r="B32" t="str">
            <v/>
          </cell>
          <cell r="G32" t="str">
            <v/>
          </cell>
        </row>
      </sheetData>
      <sheetData sheetId="6">
        <row r="1">
          <cell r="B1" t="str">
            <v>Nota Explicativa</v>
          </cell>
        </row>
        <row r="2">
          <cell r="A2" t="str">
            <v>7.1.1</v>
          </cell>
          <cell r="B2" t="str">
            <v>Receita Bruta</v>
          </cell>
          <cell r="C2">
            <v>0</v>
          </cell>
        </row>
        <row r="3">
          <cell r="A3" t="str">
            <v>6.7.1</v>
          </cell>
          <cell r="B3" t="str">
            <v>(-) Impostos sobre a Venda</v>
          </cell>
          <cell r="C3">
            <v>0</v>
          </cell>
        </row>
        <row r="4">
          <cell r="B4" t="str">
            <v>(-) Devoluções</v>
          </cell>
        </row>
        <row r="5">
          <cell r="B5" t="str">
            <v>Receita Líquida</v>
          </cell>
          <cell r="C5">
            <v>0</v>
          </cell>
        </row>
        <row r="6">
          <cell r="B6" t="str">
            <v>DEMONSTRATIVO DO RESULTADO DO EXERCÍCIO</v>
          </cell>
        </row>
        <row r="7">
          <cell r="C7" t="str">
            <v>ATUAL</v>
          </cell>
        </row>
        <row r="8">
          <cell r="A8" t="str">
            <v>Receita</v>
          </cell>
          <cell r="B8" t="str">
            <v>RECEITA LÍQUIDA</v>
          </cell>
          <cell r="C8">
            <v>0</v>
          </cell>
        </row>
        <row r="9">
          <cell r="A9" t="str">
            <v>6.3.*</v>
          </cell>
          <cell r="B9" t="str">
            <v>(-) Custo</v>
          </cell>
          <cell r="C9">
            <v>0</v>
          </cell>
        </row>
        <row r="10">
          <cell r="B10" t="str">
            <v>LUCRO BRUTO</v>
          </cell>
          <cell r="C10">
            <v>0</v>
          </cell>
        </row>
        <row r="11">
          <cell r="A11" t="str">
            <v>6.1.1</v>
          </cell>
          <cell r="B11" t="str">
            <v>Água/Luz</v>
          </cell>
          <cell r="C11">
            <v>0</v>
          </cell>
        </row>
        <row r="12">
          <cell r="A12" t="str">
            <v>6.2.1</v>
          </cell>
          <cell r="B12" t="str">
            <v>Salários</v>
          </cell>
          <cell r="C12">
            <v>0</v>
          </cell>
        </row>
        <row r="13">
          <cell r="A13" t="str">
            <v>6.2.2</v>
          </cell>
          <cell r="B13" t="str">
            <v>Aluguel</v>
          </cell>
          <cell r="C13">
            <v>0</v>
          </cell>
        </row>
        <row r="14">
          <cell r="A14" t="str">
            <v>6.4.1</v>
          </cell>
          <cell r="B14" t="str">
            <v>Despesa com Depreciação</v>
          </cell>
          <cell r="C14">
            <v>0</v>
          </cell>
        </row>
        <row r="15">
          <cell r="A15" t="str">
            <v>6.4.2</v>
          </cell>
          <cell r="B15" t="str">
            <v>Despesa com PECLD</v>
          </cell>
          <cell r="C15">
            <v>0</v>
          </cell>
        </row>
        <row r="16">
          <cell r="A16" t="str">
            <v>7.3.1</v>
          </cell>
          <cell r="B16" t="str">
            <v>Lucro Venda Imobilizado</v>
          </cell>
          <cell r="C16">
            <v>0</v>
          </cell>
        </row>
        <row r="17">
          <cell r="B17" t="str">
            <v>RESULTADO ANTES DAS RECEITAS E DESPESAS FINANCEIRAS</v>
          </cell>
          <cell r="C17">
            <v>0</v>
          </cell>
        </row>
        <row r="18">
          <cell r="A18" t="str">
            <v>7.2.1</v>
          </cell>
          <cell r="B18" t="str">
            <v>Receita Financeira</v>
          </cell>
          <cell r="C18">
            <v>0</v>
          </cell>
        </row>
        <row r="19">
          <cell r="A19" t="str">
            <v>6.5.1</v>
          </cell>
          <cell r="B19" t="str">
            <v>Despesa Financeira</v>
          </cell>
          <cell r="C19">
            <v>0</v>
          </cell>
        </row>
        <row r="20">
          <cell r="B20" t="str">
            <v>RESULTADO ANTES DOS TRIBUTOS SOBRE O LUCRO</v>
          </cell>
          <cell r="C20">
            <v>0</v>
          </cell>
        </row>
        <row r="21">
          <cell r="A21">
            <v>0.15</v>
          </cell>
          <cell r="B21" t="str">
            <v>(-) IRPJ</v>
          </cell>
          <cell r="C21">
            <v>0</v>
          </cell>
        </row>
        <row r="22">
          <cell r="A22">
            <v>0.09</v>
          </cell>
          <cell r="B22" t="str">
            <v>(-) CSLL</v>
          </cell>
          <cell r="C22">
            <v>0</v>
          </cell>
        </row>
        <row r="24">
          <cell r="B24" t="str">
            <v>LUCRO LÍQUIDO</v>
          </cell>
          <cell r="C24">
            <v>0</v>
          </cell>
        </row>
      </sheetData>
      <sheetData sheetId="7">
        <row r="8">
          <cell r="A8" t="str">
            <v>1.3.1</v>
          </cell>
        </row>
        <row r="9">
          <cell r="A9" t="str">
            <v>1.3.2</v>
          </cell>
        </row>
        <row r="10">
          <cell r="A10" t="str">
            <v>1.4.1</v>
          </cell>
        </row>
        <row r="11">
          <cell r="A11" t="str">
            <v>1.5.1</v>
          </cell>
        </row>
        <row r="12">
          <cell r="A12" t="str">
            <v>2.1.1</v>
          </cell>
        </row>
        <row r="27">
          <cell r="A27" t="str">
            <v>2.2.1</v>
          </cell>
        </row>
        <row r="28">
          <cell r="A28" t="str">
            <v>2.2.2</v>
          </cell>
        </row>
        <row r="29">
          <cell r="A29" t="str">
            <v>2.3.3</v>
          </cell>
        </row>
        <row r="30">
          <cell r="A30" t="str">
            <v>2.3.1</v>
          </cell>
        </row>
        <row r="31">
          <cell r="A31" t="str">
            <v>2.4.1</v>
          </cell>
        </row>
        <row r="32">
          <cell r="A32" t="str">
            <v>2.4.2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I53"/>
  <sheetViews>
    <sheetView topLeftCell="A37" workbookViewId="0">
      <selection activeCell="C3" sqref="C3:C53"/>
    </sheetView>
  </sheetViews>
  <sheetFormatPr defaultRowHeight="15" x14ac:dyDescent="0.25"/>
  <cols>
    <col min="2" max="2" width="11" bestFit="1" customWidth="1"/>
    <col min="3" max="3" width="10.28515625" bestFit="1" customWidth="1"/>
    <col min="5" max="5" width="31" bestFit="1" customWidth="1"/>
  </cols>
  <sheetData>
    <row r="2" spans="1:9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9" ht="15.75" thickBot="1" x14ac:dyDescent="0.3">
      <c r="A3">
        <v>1</v>
      </c>
      <c r="B3">
        <v>1</v>
      </c>
      <c r="C3">
        <v>1</v>
      </c>
      <c r="D3" t="str">
        <f t="shared" ref="D3:D53" si="0">A3&amp;"."&amp;B3&amp;"."&amp;C3</f>
        <v>1.1.1</v>
      </c>
      <c r="E3" s="1" t="s">
        <v>7</v>
      </c>
      <c r="F3" t="s">
        <v>8</v>
      </c>
      <c r="G3">
        <v>1</v>
      </c>
      <c r="I3" t="str">
        <f t="shared" ref="I3:I53" si="1">D3&amp;" - "&amp;E3</f>
        <v>1.1.1 - Caixa</v>
      </c>
    </row>
    <row r="4" spans="1:9" ht="15.75" thickBot="1" x14ac:dyDescent="0.3">
      <c r="A4">
        <v>1</v>
      </c>
      <c r="B4">
        <v>2</v>
      </c>
      <c r="C4">
        <v>1</v>
      </c>
      <c r="D4" t="str">
        <f t="shared" si="0"/>
        <v>1.2.1</v>
      </c>
      <c r="E4" s="1" t="s">
        <v>9</v>
      </c>
      <c r="F4" t="s">
        <v>8</v>
      </c>
      <c r="G4">
        <v>1</v>
      </c>
      <c r="I4" t="str">
        <f t="shared" si="1"/>
        <v>1.2.1 - Banco</v>
      </c>
    </row>
    <row r="5" spans="1:9" ht="15.75" thickBot="1" x14ac:dyDescent="0.3">
      <c r="A5">
        <v>1</v>
      </c>
      <c r="B5">
        <v>3</v>
      </c>
      <c r="C5">
        <v>1</v>
      </c>
      <c r="D5" t="str">
        <f t="shared" si="0"/>
        <v>1.3.1</v>
      </c>
      <c r="E5" s="1" t="s">
        <v>10</v>
      </c>
      <c r="F5" t="s">
        <v>8</v>
      </c>
      <c r="G5">
        <v>1</v>
      </c>
      <c r="I5" t="str">
        <f t="shared" si="1"/>
        <v>1.3.1 - Contas a Receber</v>
      </c>
    </row>
    <row r="6" spans="1:9" ht="15.75" thickBot="1" x14ac:dyDescent="0.3">
      <c r="A6">
        <v>1</v>
      </c>
      <c r="B6">
        <v>4</v>
      </c>
      <c r="C6">
        <v>1</v>
      </c>
      <c r="D6" t="str">
        <f t="shared" si="0"/>
        <v>1.4.1</v>
      </c>
      <c r="E6" s="1" t="s">
        <v>226</v>
      </c>
      <c r="F6" t="s">
        <v>8</v>
      </c>
      <c r="G6">
        <v>1</v>
      </c>
      <c r="I6" t="str">
        <f t="shared" si="1"/>
        <v>1.4.1 - PECLD</v>
      </c>
    </row>
    <row r="7" spans="1:9" ht="15.75" thickBot="1" x14ac:dyDescent="0.3">
      <c r="A7">
        <v>1</v>
      </c>
      <c r="B7">
        <v>5</v>
      </c>
      <c r="C7">
        <v>1</v>
      </c>
      <c r="D7" t="str">
        <f t="shared" si="0"/>
        <v>1.5.1</v>
      </c>
      <c r="E7" s="1" t="s">
        <v>170</v>
      </c>
      <c r="F7" t="s">
        <v>8</v>
      </c>
      <c r="G7">
        <v>1</v>
      </c>
      <c r="I7" t="str">
        <f t="shared" si="1"/>
        <v>1.5.1 - Mercadorias</v>
      </c>
    </row>
    <row r="8" spans="1:9" ht="15.75" thickBot="1" x14ac:dyDescent="0.3">
      <c r="A8">
        <v>1</v>
      </c>
      <c r="B8">
        <v>6</v>
      </c>
      <c r="C8">
        <v>1</v>
      </c>
      <c r="D8" t="str">
        <f t="shared" si="0"/>
        <v>1.6.1</v>
      </c>
      <c r="E8" s="1" t="s">
        <v>11</v>
      </c>
      <c r="F8" t="s">
        <v>8</v>
      </c>
      <c r="G8">
        <v>1</v>
      </c>
      <c r="I8" t="str">
        <f t="shared" si="1"/>
        <v>1.6.1 - Despesas Antecipadas</v>
      </c>
    </row>
    <row r="9" spans="1:9" ht="15.75" thickBot="1" x14ac:dyDescent="0.3">
      <c r="A9">
        <v>1</v>
      </c>
      <c r="B9">
        <v>7</v>
      </c>
      <c r="C9">
        <v>1</v>
      </c>
      <c r="D9" t="str">
        <f t="shared" si="0"/>
        <v>1.7.1</v>
      </c>
      <c r="E9" s="1" t="s">
        <v>12</v>
      </c>
      <c r="F9" t="s">
        <v>8</v>
      </c>
      <c r="G9">
        <v>1</v>
      </c>
      <c r="I9" t="str">
        <f t="shared" si="1"/>
        <v>1.7.1 - Impostos a Recuperar</v>
      </c>
    </row>
    <row r="10" spans="1:9" ht="15.75" thickBot="1" x14ac:dyDescent="0.3">
      <c r="A10">
        <v>1</v>
      </c>
      <c r="B10">
        <v>8</v>
      </c>
      <c r="C10">
        <v>1</v>
      </c>
      <c r="D10" t="str">
        <f t="shared" si="0"/>
        <v>1.8.1</v>
      </c>
      <c r="E10" s="1" t="s">
        <v>171</v>
      </c>
      <c r="F10" t="s">
        <v>8</v>
      </c>
      <c r="G10">
        <v>1</v>
      </c>
      <c r="I10" t="str">
        <f t="shared" si="1"/>
        <v>1.8.1 - Conta teste</v>
      </c>
    </row>
    <row r="11" spans="1:9" ht="15.75" thickBot="1" x14ac:dyDescent="0.3">
      <c r="A11">
        <v>2</v>
      </c>
      <c r="B11">
        <v>1</v>
      </c>
      <c r="C11">
        <v>1</v>
      </c>
      <c r="D11" t="str">
        <f t="shared" si="0"/>
        <v>2.1.1</v>
      </c>
      <c r="E11" s="1" t="s">
        <v>13</v>
      </c>
      <c r="F11" t="s">
        <v>14</v>
      </c>
      <c r="G11">
        <v>1</v>
      </c>
      <c r="I11" t="str">
        <f t="shared" si="1"/>
        <v>2.1.1 - Contas a Receber a Longo Prazo</v>
      </c>
    </row>
    <row r="12" spans="1:9" ht="15.75" thickBot="1" x14ac:dyDescent="0.3">
      <c r="A12">
        <v>2</v>
      </c>
      <c r="B12">
        <v>2</v>
      </c>
      <c r="C12">
        <v>1</v>
      </c>
      <c r="D12" t="str">
        <f t="shared" si="0"/>
        <v>2.2.1</v>
      </c>
      <c r="E12" s="2" t="s">
        <v>15</v>
      </c>
      <c r="F12" t="s">
        <v>14</v>
      </c>
      <c r="G12">
        <v>1</v>
      </c>
      <c r="I12" t="str">
        <f t="shared" si="1"/>
        <v>2.2.1 - Terrenos - Investimento</v>
      </c>
    </row>
    <row r="13" spans="1:9" ht="15.75" thickBot="1" x14ac:dyDescent="0.3">
      <c r="A13">
        <v>2</v>
      </c>
      <c r="B13">
        <v>3</v>
      </c>
      <c r="C13">
        <v>1</v>
      </c>
      <c r="D13" t="str">
        <f t="shared" si="0"/>
        <v>2.3.1</v>
      </c>
      <c r="E13" s="1" t="s">
        <v>16</v>
      </c>
      <c r="F13" t="s">
        <v>14</v>
      </c>
      <c r="G13">
        <v>1</v>
      </c>
      <c r="I13" t="str">
        <f t="shared" si="1"/>
        <v>2.3.1 - Obra de Arte</v>
      </c>
    </row>
    <row r="14" spans="1:9" ht="15.75" thickBot="1" x14ac:dyDescent="0.3">
      <c r="A14">
        <v>2</v>
      </c>
      <c r="B14">
        <v>4</v>
      </c>
      <c r="C14">
        <v>1</v>
      </c>
      <c r="D14" t="str">
        <f t="shared" si="0"/>
        <v>2.4.1</v>
      </c>
      <c r="E14" s="2" t="s">
        <v>17</v>
      </c>
      <c r="F14" t="s">
        <v>14</v>
      </c>
      <c r="G14">
        <v>1</v>
      </c>
      <c r="I14" t="str">
        <f t="shared" si="1"/>
        <v>2.4.1 - Móveis e Utensílios</v>
      </c>
    </row>
    <row r="15" spans="1:9" ht="15.75" thickBot="1" x14ac:dyDescent="0.3">
      <c r="A15">
        <v>2</v>
      </c>
      <c r="B15">
        <v>5</v>
      </c>
      <c r="C15">
        <v>1</v>
      </c>
      <c r="D15" t="str">
        <f t="shared" si="0"/>
        <v>2.5.1</v>
      </c>
      <c r="E15" s="2" t="s">
        <v>18</v>
      </c>
      <c r="F15" t="s">
        <v>14</v>
      </c>
      <c r="G15">
        <v>1</v>
      </c>
      <c r="I15" t="str">
        <f t="shared" si="1"/>
        <v>2.5.1 - Máquinas e Equipamentos</v>
      </c>
    </row>
    <row r="16" spans="1:9" ht="15.75" thickBot="1" x14ac:dyDescent="0.3">
      <c r="A16">
        <v>2</v>
      </c>
      <c r="B16">
        <v>6</v>
      </c>
      <c r="C16">
        <v>1</v>
      </c>
      <c r="D16" t="str">
        <f t="shared" si="0"/>
        <v>2.6.1</v>
      </c>
      <c r="E16" s="2" t="s">
        <v>19</v>
      </c>
      <c r="F16" t="s">
        <v>14</v>
      </c>
      <c r="G16">
        <v>1</v>
      </c>
      <c r="I16" t="str">
        <f t="shared" si="1"/>
        <v>2.6.1 - Imóveis</v>
      </c>
    </row>
    <row r="17" spans="1:9" ht="15.75" thickBot="1" x14ac:dyDescent="0.3">
      <c r="A17">
        <v>2</v>
      </c>
      <c r="B17">
        <v>7</v>
      </c>
      <c r="C17">
        <v>1</v>
      </c>
      <c r="D17" t="str">
        <f t="shared" si="0"/>
        <v>2.7.1</v>
      </c>
      <c r="E17" s="2" t="s">
        <v>20</v>
      </c>
      <c r="F17" t="s">
        <v>14</v>
      </c>
      <c r="G17">
        <v>1</v>
      </c>
      <c r="I17" t="str">
        <f t="shared" si="1"/>
        <v>2.7.1 - Veículos</v>
      </c>
    </row>
    <row r="18" spans="1:9" ht="15.75" thickBot="1" x14ac:dyDescent="0.3">
      <c r="A18">
        <v>2</v>
      </c>
      <c r="B18">
        <v>8</v>
      </c>
      <c r="C18">
        <v>1</v>
      </c>
      <c r="D18" s="17" t="str">
        <f t="shared" si="0"/>
        <v>2.8.1</v>
      </c>
      <c r="E18" s="2" t="s">
        <v>21</v>
      </c>
      <c r="F18" t="s">
        <v>14</v>
      </c>
      <c r="G18">
        <v>1</v>
      </c>
      <c r="I18" t="str">
        <f t="shared" si="1"/>
        <v>2.8.1 - Terrenos - Imobilizado</v>
      </c>
    </row>
    <row r="19" spans="1:9" ht="15.75" thickBot="1" x14ac:dyDescent="0.3">
      <c r="A19">
        <v>2</v>
      </c>
      <c r="B19">
        <v>9</v>
      </c>
      <c r="C19">
        <v>1</v>
      </c>
      <c r="D19" t="str">
        <f t="shared" si="0"/>
        <v>2.9.1</v>
      </c>
      <c r="E19" s="2" t="s">
        <v>22</v>
      </c>
      <c r="F19" t="s">
        <v>14</v>
      </c>
      <c r="G19">
        <v>-1</v>
      </c>
      <c r="I19" t="str">
        <f t="shared" si="1"/>
        <v>2.9.1 - Depreciação Acumulada</v>
      </c>
    </row>
    <row r="20" spans="1:9" ht="15.75" thickBot="1" x14ac:dyDescent="0.3">
      <c r="A20">
        <v>2</v>
      </c>
      <c r="B20">
        <v>10</v>
      </c>
      <c r="C20">
        <v>1</v>
      </c>
      <c r="D20" t="str">
        <f t="shared" si="0"/>
        <v>2.10.1</v>
      </c>
      <c r="E20" s="2" t="s">
        <v>23</v>
      </c>
      <c r="F20" t="s">
        <v>14</v>
      </c>
      <c r="G20">
        <v>1</v>
      </c>
      <c r="I20" t="str">
        <f t="shared" si="1"/>
        <v>2.10.1 - Marcas e Patentes</v>
      </c>
    </row>
    <row r="21" spans="1:9" ht="15.75" thickBot="1" x14ac:dyDescent="0.3">
      <c r="A21">
        <v>2</v>
      </c>
      <c r="B21">
        <v>11</v>
      </c>
      <c r="C21">
        <v>1</v>
      </c>
      <c r="D21" t="str">
        <f t="shared" si="0"/>
        <v>2.11.1</v>
      </c>
      <c r="E21" s="2" t="s">
        <v>24</v>
      </c>
      <c r="F21" t="s">
        <v>14</v>
      </c>
      <c r="G21">
        <v>1</v>
      </c>
      <c r="I21" t="str">
        <f t="shared" si="1"/>
        <v>2.11.1 - Software</v>
      </c>
    </row>
    <row r="22" spans="1:9" ht="15.75" thickBot="1" x14ac:dyDescent="0.3">
      <c r="A22">
        <v>2</v>
      </c>
      <c r="B22">
        <v>12</v>
      </c>
      <c r="C22">
        <v>1</v>
      </c>
      <c r="D22" t="str">
        <f t="shared" si="0"/>
        <v>2.12.1</v>
      </c>
      <c r="E22" s="2" t="s">
        <v>227</v>
      </c>
      <c r="F22" t="s">
        <v>14</v>
      </c>
      <c r="G22">
        <v>1</v>
      </c>
      <c r="I22" t="str">
        <f t="shared" si="1"/>
        <v>2.12.1 - Amortizacão</v>
      </c>
    </row>
    <row r="23" spans="1:9" ht="15.75" thickBot="1" x14ac:dyDescent="0.3">
      <c r="A23">
        <v>3</v>
      </c>
      <c r="B23">
        <v>1</v>
      </c>
      <c r="C23">
        <v>1</v>
      </c>
      <c r="D23" t="str">
        <f t="shared" si="0"/>
        <v>3.1.1</v>
      </c>
      <c r="E23" s="2" t="s">
        <v>25</v>
      </c>
      <c r="F23" t="s">
        <v>26</v>
      </c>
      <c r="G23">
        <v>-1</v>
      </c>
      <c r="I23" t="str">
        <f t="shared" si="1"/>
        <v>3.1.1 - Contas a Pagar</v>
      </c>
    </row>
    <row r="24" spans="1:9" ht="15.75" thickBot="1" x14ac:dyDescent="0.3">
      <c r="A24">
        <v>3</v>
      </c>
      <c r="B24">
        <v>2</v>
      </c>
      <c r="C24">
        <v>1</v>
      </c>
      <c r="D24" t="str">
        <f t="shared" si="0"/>
        <v>3.2.1</v>
      </c>
      <c r="E24" s="2" t="s">
        <v>27</v>
      </c>
      <c r="F24" t="s">
        <v>26</v>
      </c>
      <c r="G24">
        <v>-1</v>
      </c>
      <c r="I24" t="str">
        <f t="shared" si="1"/>
        <v>3.2.1 - Fornecedores</v>
      </c>
    </row>
    <row r="25" spans="1:9" ht="15.75" thickBot="1" x14ac:dyDescent="0.3">
      <c r="A25">
        <v>3</v>
      </c>
      <c r="B25">
        <v>3</v>
      </c>
      <c r="C25">
        <v>1</v>
      </c>
      <c r="D25" t="str">
        <f t="shared" si="0"/>
        <v>3.3.1</v>
      </c>
      <c r="E25" s="2" t="s">
        <v>228</v>
      </c>
      <c r="F25" t="s">
        <v>26</v>
      </c>
      <c r="G25">
        <v>-1</v>
      </c>
      <c r="I25" t="str">
        <f t="shared" si="1"/>
        <v>3.3.1 - Empréstimo a Pagar</v>
      </c>
    </row>
    <row r="26" spans="1:9" ht="15.75" thickBot="1" x14ac:dyDescent="0.3">
      <c r="A26">
        <v>3</v>
      </c>
      <c r="B26">
        <v>4</v>
      </c>
      <c r="C26">
        <v>1</v>
      </c>
      <c r="D26" t="str">
        <f t="shared" si="0"/>
        <v>3.4.1</v>
      </c>
      <c r="E26" s="3" t="s">
        <v>229</v>
      </c>
      <c r="F26" t="s">
        <v>26</v>
      </c>
      <c r="G26">
        <v>-1</v>
      </c>
      <c r="I26" t="str">
        <f t="shared" si="1"/>
        <v>3.4.1 - Impostos a recolher</v>
      </c>
    </row>
    <row r="27" spans="1:9" ht="15.75" thickBot="1" x14ac:dyDescent="0.3">
      <c r="A27">
        <v>3</v>
      </c>
      <c r="B27">
        <v>5</v>
      </c>
      <c r="C27">
        <v>1</v>
      </c>
      <c r="D27" t="str">
        <f t="shared" si="0"/>
        <v>3.5.1</v>
      </c>
      <c r="E27" s="2" t="s">
        <v>230</v>
      </c>
      <c r="F27" t="s">
        <v>26</v>
      </c>
      <c r="G27">
        <v>-1</v>
      </c>
      <c r="I27" t="str">
        <f t="shared" si="1"/>
        <v>3.5.1 - Salários a pagar</v>
      </c>
    </row>
    <row r="28" spans="1:9" ht="15.75" thickBot="1" x14ac:dyDescent="0.3">
      <c r="A28">
        <v>3</v>
      </c>
      <c r="B28">
        <v>6</v>
      </c>
      <c r="C28">
        <v>1</v>
      </c>
      <c r="D28" t="str">
        <f t="shared" si="0"/>
        <v>3.6.1</v>
      </c>
      <c r="E28" s="2" t="s">
        <v>28</v>
      </c>
      <c r="F28" t="s">
        <v>26</v>
      </c>
      <c r="G28">
        <v>-1</v>
      </c>
      <c r="I28" t="str">
        <f t="shared" si="1"/>
        <v>3.6.1 - Receitas Antecipadas</v>
      </c>
    </row>
    <row r="29" spans="1:9" ht="15.75" thickBot="1" x14ac:dyDescent="0.3">
      <c r="A29">
        <v>3</v>
      </c>
      <c r="B29">
        <v>7</v>
      </c>
      <c r="C29">
        <v>1</v>
      </c>
      <c r="D29" t="str">
        <f t="shared" si="0"/>
        <v>3.7.1</v>
      </c>
      <c r="E29" s="2" t="s">
        <v>29</v>
      </c>
      <c r="F29" t="s">
        <v>26</v>
      </c>
      <c r="G29">
        <v>0</v>
      </c>
      <c r="I29" t="str">
        <f t="shared" si="1"/>
        <v>3.7.1 - Dividendos a Pagar</v>
      </c>
    </row>
    <row r="30" spans="1:9" ht="15.75" thickBot="1" x14ac:dyDescent="0.3">
      <c r="A30">
        <v>4</v>
      </c>
      <c r="B30">
        <v>1</v>
      </c>
      <c r="C30">
        <v>1</v>
      </c>
      <c r="D30" t="str">
        <f t="shared" si="0"/>
        <v>4.1.1</v>
      </c>
      <c r="E30" s="2" t="s">
        <v>30</v>
      </c>
      <c r="F30" t="s">
        <v>31</v>
      </c>
      <c r="G30">
        <v>-1</v>
      </c>
      <c r="I30" t="str">
        <f t="shared" si="1"/>
        <v>4.1.1 - Contas a Pagar a Longo Prazo</v>
      </c>
    </row>
    <row r="31" spans="1:9" ht="15.75" thickBot="1" x14ac:dyDescent="0.3">
      <c r="A31">
        <v>4</v>
      </c>
      <c r="B31">
        <v>2</v>
      </c>
      <c r="C31">
        <v>1</v>
      </c>
      <c r="D31" t="str">
        <f t="shared" si="0"/>
        <v>4.2.1</v>
      </c>
      <c r="E31" s="2" t="s">
        <v>32</v>
      </c>
      <c r="F31" t="s">
        <v>31</v>
      </c>
      <c r="G31">
        <v>-1</v>
      </c>
      <c r="I31" t="str">
        <f t="shared" si="1"/>
        <v>4.2.1 - Fornecedores a Pagar a Longo Prazo</v>
      </c>
    </row>
    <row r="32" spans="1:9" ht="15.75" thickBot="1" x14ac:dyDescent="0.3">
      <c r="A32">
        <v>4</v>
      </c>
      <c r="B32">
        <v>3</v>
      </c>
      <c r="C32">
        <v>1</v>
      </c>
      <c r="D32" t="str">
        <f t="shared" si="0"/>
        <v>4.3.1</v>
      </c>
      <c r="E32" s="2" t="s">
        <v>231</v>
      </c>
      <c r="F32" t="s">
        <v>31</v>
      </c>
      <c r="G32">
        <v>-1</v>
      </c>
      <c r="I32" t="str">
        <f t="shared" si="1"/>
        <v>4.3.1 - Empréstimo a logo prazo</v>
      </c>
    </row>
    <row r="33" spans="1:9" ht="15.75" thickBot="1" x14ac:dyDescent="0.3">
      <c r="A33">
        <v>5</v>
      </c>
      <c r="B33">
        <v>1</v>
      </c>
      <c r="C33">
        <v>1</v>
      </c>
      <c r="D33" t="str">
        <f t="shared" si="0"/>
        <v>5.1.1</v>
      </c>
      <c r="E33" s="3" t="s">
        <v>33</v>
      </c>
      <c r="F33" t="s">
        <v>34</v>
      </c>
      <c r="G33">
        <v>-1</v>
      </c>
      <c r="I33" t="str">
        <f t="shared" si="1"/>
        <v>5.1.1 - Capital Social</v>
      </c>
    </row>
    <row r="34" spans="1:9" ht="15.75" thickBot="1" x14ac:dyDescent="0.3">
      <c r="A34">
        <v>5</v>
      </c>
      <c r="B34">
        <v>2</v>
      </c>
      <c r="C34">
        <v>1</v>
      </c>
      <c r="D34" t="str">
        <f t="shared" si="0"/>
        <v>5.2.1</v>
      </c>
      <c r="E34" s="3" t="s">
        <v>35</v>
      </c>
      <c r="F34" t="s">
        <v>34</v>
      </c>
      <c r="G34">
        <v>-1</v>
      </c>
      <c r="I34" t="str">
        <f t="shared" si="1"/>
        <v>5.2.1 - Lucros Acumulados</v>
      </c>
    </row>
    <row r="35" spans="1:9" ht="15.75" thickBot="1" x14ac:dyDescent="0.3">
      <c r="A35">
        <v>5</v>
      </c>
      <c r="B35">
        <v>3</v>
      </c>
      <c r="C35">
        <v>1</v>
      </c>
      <c r="D35" t="str">
        <f t="shared" si="0"/>
        <v>5.3.1</v>
      </c>
      <c r="E35" s="3" t="s">
        <v>36</v>
      </c>
      <c r="F35" t="s">
        <v>34</v>
      </c>
      <c r="G35">
        <v>1</v>
      </c>
      <c r="I35" t="str">
        <f t="shared" si="1"/>
        <v>5.3.1 - Prejuízos Acumulados</v>
      </c>
    </row>
    <row r="36" spans="1:9" ht="15.75" thickBot="1" x14ac:dyDescent="0.3">
      <c r="A36">
        <v>5</v>
      </c>
      <c r="B36">
        <v>4</v>
      </c>
      <c r="C36">
        <v>1</v>
      </c>
      <c r="D36" t="str">
        <f t="shared" si="0"/>
        <v>5.4.1</v>
      </c>
      <c r="E36" s="3" t="s">
        <v>37</v>
      </c>
      <c r="F36" t="s">
        <v>34</v>
      </c>
      <c r="G36">
        <v>-1</v>
      </c>
      <c r="I36" t="str">
        <f t="shared" si="1"/>
        <v>5.4.1 - Reserva de Lucros</v>
      </c>
    </row>
    <row r="37" spans="1:9" ht="15.75" thickBot="1" x14ac:dyDescent="0.3">
      <c r="A37">
        <v>6</v>
      </c>
      <c r="B37">
        <v>1</v>
      </c>
      <c r="C37">
        <v>1</v>
      </c>
      <c r="D37" t="str">
        <f t="shared" si="0"/>
        <v>6.1.1</v>
      </c>
      <c r="E37" s="3" t="s">
        <v>38</v>
      </c>
      <c r="F37" t="s">
        <v>39</v>
      </c>
      <c r="G37">
        <v>1</v>
      </c>
      <c r="I37" t="str">
        <f t="shared" si="1"/>
        <v>6.1.1 - Água/Luz</v>
      </c>
    </row>
    <row r="38" spans="1:9" ht="15.75" thickBot="1" x14ac:dyDescent="0.3">
      <c r="A38">
        <v>6</v>
      </c>
      <c r="B38">
        <v>2</v>
      </c>
      <c r="C38">
        <v>1</v>
      </c>
      <c r="D38" t="str">
        <f t="shared" si="0"/>
        <v>6.2.1</v>
      </c>
      <c r="E38" s="2" t="s">
        <v>40</v>
      </c>
      <c r="F38" t="s">
        <v>39</v>
      </c>
      <c r="G38">
        <v>1</v>
      </c>
      <c r="I38" t="str">
        <f t="shared" si="1"/>
        <v>6.2.1 - Salários</v>
      </c>
    </row>
    <row r="39" spans="1:9" ht="15.75" thickBot="1" x14ac:dyDescent="0.3">
      <c r="A39">
        <v>6</v>
      </c>
      <c r="B39">
        <v>3</v>
      </c>
      <c r="C39">
        <v>1</v>
      </c>
      <c r="D39" t="str">
        <f t="shared" si="0"/>
        <v>6.3.1</v>
      </c>
      <c r="E39" s="2" t="s">
        <v>232</v>
      </c>
      <c r="F39" t="s">
        <v>39</v>
      </c>
      <c r="G39">
        <v>1</v>
      </c>
      <c r="I39" t="str">
        <f t="shared" si="1"/>
        <v>6.3.1 - Aluguel</v>
      </c>
    </row>
    <row r="40" spans="1:9" ht="15.75" thickBot="1" x14ac:dyDescent="0.3">
      <c r="A40">
        <v>6</v>
      </c>
      <c r="B40">
        <v>4</v>
      </c>
      <c r="C40">
        <v>1</v>
      </c>
      <c r="D40" t="str">
        <f t="shared" si="0"/>
        <v>6.4.1</v>
      </c>
      <c r="E40" s="2" t="s">
        <v>233</v>
      </c>
      <c r="F40" t="s">
        <v>39</v>
      </c>
      <c r="G40">
        <v>1</v>
      </c>
      <c r="I40" t="str">
        <f t="shared" si="1"/>
        <v>6.4.1 - Pro labore</v>
      </c>
    </row>
    <row r="41" spans="1:9" ht="15.75" thickBot="1" x14ac:dyDescent="0.3">
      <c r="A41">
        <v>6</v>
      </c>
      <c r="B41">
        <v>5</v>
      </c>
      <c r="C41">
        <v>1</v>
      </c>
      <c r="D41" t="str">
        <f t="shared" si="0"/>
        <v>6.5.1</v>
      </c>
      <c r="E41" s="2" t="s">
        <v>41</v>
      </c>
      <c r="F41" t="s">
        <v>39</v>
      </c>
      <c r="G41">
        <v>1</v>
      </c>
      <c r="I41" t="str">
        <f t="shared" si="1"/>
        <v>6.5.1 - CMV</v>
      </c>
    </row>
    <row r="42" spans="1:9" ht="15.75" thickBot="1" x14ac:dyDescent="0.3">
      <c r="A42">
        <v>6</v>
      </c>
      <c r="B42">
        <v>6</v>
      </c>
      <c r="C42">
        <v>1</v>
      </c>
      <c r="D42" t="str">
        <f t="shared" si="0"/>
        <v>6.6.1</v>
      </c>
      <c r="E42" s="2" t="s">
        <v>42</v>
      </c>
      <c r="F42" t="s">
        <v>39</v>
      </c>
      <c r="G42">
        <v>1</v>
      </c>
      <c r="I42" t="str">
        <f t="shared" si="1"/>
        <v>6.6.1 - CPV</v>
      </c>
    </row>
    <row r="43" spans="1:9" ht="15.75" thickBot="1" x14ac:dyDescent="0.3">
      <c r="A43">
        <v>6</v>
      </c>
      <c r="B43">
        <v>7</v>
      </c>
      <c r="C43">
        <v>1</v>
      </c>
      <c r="D43" t="str">
        <f t="shared" si="0"/>
        <v>6.7.1</v>
      </c>
      <c r="E43" s="2" t="s">
        <v>43</v>
      </c>
      <c r="F43" t="s">
        <v>39</v>
      </c>
      <c r="G43">
        <v>1</v>
      </c>
      <c r="I43" t="str">
        <f t="shared" si="1"/>
        <v>6.7.1 - CSP</v>
      </c>
    </row>
    <row r="44" spans="1:9" ht="15.75" thickBot="1" x14ac:dyDescent="0.3">
      <c r="A44">
        <v>6</v>
      </c>
      <c r="B44">
        <v>8</v>
      </c>
      <c r="C44">
        <v>1</v>
      </c>
      <c r="D44" t="str">
        <f t="shared" si="0"/>
        <v>6.8.1</v>
      </c>
      <c r="E44" s="2" t="s">
        <v>44</v>
      </c>
      <c r="F44" t="s">
        <v>39</v>
      </c>
      <c r="G44">
        <v>1</v>
      </c>
      <c r="I44" t="str">
        <f t="shared" si="1"/>
        <v>6.8.1 - Despesa com Depreciação</v>
      </c>
    </row>
    <row r="45" spans="1:9" ht="15.75" thickBot="1" x14ac:dyDescent="0.3">
      <c r="A45">
        <v>6</v>
      </c>
      <c r="B45">
        <v>9</v>
      </c>
      <c r="C45">
        <v>1</v>
      </c>
      <c r="D45" t="str">
        <f t="shared" si="0"/>
        <v>6.9.1</v>
      </c>
      <c r="E45" s="2" t="s">
        <v>234</v>
      </c>
      <c r="F45" t="s">
        <v>39</v>
      </c>
      <c r="G45">
        <v>1</v>
      </c>
      <c r="I45" t="str">
        <f t="shared" si="1"/>
        <v>6.9.1 - Despesa com PECLD</v>
      </c>
    </row>
    <row r="46" spans="1:9" ht="15.75" thickBot="1" x14ac:dyDescent="0.3">
      <c r="A46">
        <v>6</v>
      </c>
      <c r="B46">
        <v>10</v>
      </c>
      <c r="C46">
        <v>1</v>
      </c>
      <c r="D46" t="str">
        <f t="shared" si="0"/>
        <v>6.10.1</v>
      </c>
      <c r="E46" s="2" t="s">
        <v>45</v>
      </c>
      <c r="F46" t="s">
        <v>39</v>
      </c>
      <c r="G46">
        <v>1</v>
      </c>
      <c r="I46" t="str">
        <f t="shared" si="1"/>
        <v>6.10.1 - Despesa Financeira</v>
      </c>
    </row>
    <row r="47" spans="1:9" ht="15.75" thickBot="1" x14ac:dyDescent="0.3">
      <c r="A47">
        <v>6</v>
      </c>
      <c r="B47">
        <v>11</v>
      </c>
      <c r="C47">
        <v>1</v>
      </c>
      <c r="D47" t="str">
        <f t="shared" si="0"/>
        <v>6.11.1</v>
      </c>
      <c r="E47" s="2" t="s">
        <v>46</v>
      </c>
      <c r="F47" t="s">
        <v>39</v>
      </c>
      <c r="G47">
        <v>1</v>
      </c>
      <c r="I47" t="str">
        <f t="shared" si="1"/>
        <v>6.11.1 - IRPJ/CSLL</v>
      </c>
    </row>
    <row r="48" spans="1:9" x14ac:dyDescent="0.25">
      <c r="A48">
        <v>6</v>
      </c>
      <c r="B48">
        <v>12</v>
      </c>
      <c r="C48">
        <v>1</v>
      </c>
      <c r="D48" t="str">
        <f t="shared" si="0"/>
        <v>6.12.1</v>
      </c>
      <c r="E48" s="133" t="s">
        <v>47</v>
      </c>
      <c r="F48" t="s">
        <v>39</v>
      </c>
      <c r="G48">
        <v>1</v>
      </c>
      <c r="I48" t="str">
        <f t="shared" si="1"/>
        <v>6.12.1 - Impostos sobre venda</v>
      </c>
    </row>
    <row r="49" spans="1:9" x14ac:dyDescent="0.25">
      <c r="A49">
        <v>6</v>
      </c>
      <c r="B49">
        <v>13</v>
      </c>
      <c r="C49">
        <v>1</v>
      </c>
      <c r="D49" t="str">
        <f t="shared" si="0"/>
        <v>6.13.1</v>
      </c>
      <c r="E49" s="134" t="s">
        <v>164</v>
      </c>
      <c r="F49" t="s">
        <v>49</v>
      </c>
      <c r="G49">
        <v>-1</v>
      </c>
      <c r="I49" t="str">
        <f t="shared" si="1"/>
        <v>6.13.1 - Despesa não operacional</v>
      </c>
    </row>
    <row r="50" spans="1:9" x14ac:dyDescent="0.25">
      <c r="A50">
        <v>7</v>
      </c>
      <c r="B50">
        <v>1</v>
      </c>
      <c r="C50">
        <v>1</v>
      </c>
      <c r="D50" t="str">
        <f t="shared" si="0"/>
        <v>7.1.1</v>
      </c>
      <c r="E50" s="134" t="s">
        <v>48</v>
      </c>
      <c r="F50" t="s">
        <v>49</v>
      </c>
      <c r="G50">
        <v>-1</v>
      </c>
      <c r="I50" t="str">
        <f t="shared" si="1"/>
        <v>7.1.1 - Receita</v>
      </c>
    </row>
    <row r="51" spans="1:9" ht="15.75" thickBot="1" x14ac:dyDescent="0.3">
      <c r="A51">
        <v>7</v>
      </c>
      <c r="B51">
        <v>2</v>
      </c>
      <c r="C51">
        <v>1</v>
      </c>
      <c r="D51" t="str">
        <f t="shared" si="0"/>
        <v>7.2.1</v>
      </c>
      <c r="E51" s="135" t="s">
        <v>50</v>
      </c>
      <c r="F51" t="s">
        <v>49</v>
      </c>
      <c r="G51">
        <v>-1</v>
      </c>
      <c r="I51" t="str">
        <f t="shared" si="1"/>
        <v>7.2.1 - Receita Financeira</v>
      </c>
    </row>
    <row r="52" spans="1:9" ht="15.75" thickBot="1" x14ac:dyDescent="0.3">
      <c r="A52">
        <v>7</v>
      </c>
      <c r="B52">
        <v>3</v>
      </c>
      <c r="C52">
        <v>1</v>
      </c>
      <c r="D52" t="str">
        <f t="shared" si="0"/>
        <v>7.3.1</v>
      </c>
      <c r="E52" s="133" t="s">
        <v>235</v>
      </c>
      <c r="F52" t="s">
        <v>49</v>
      </c>
      <c r="G52">
        <v>-1</v>
      </c>
      <c r="I52" t="str">
        <f t="shared" si="1"/>
        <v>7.3.1 - Lucro Venda Imobilizado</v>
      </c>
    </row>
    <row r="53" spans="1:9" ht="15.75" thickBot="1" x14ac:dyDescent="0.3">
      <c r="A53">
        <v>8</v>
      </c>
      <c r="B53">
        <v>1</v>
      </c>
      <c r="C53">
        <v>1</v>
      </c>
      <c r="D53" t="str">
        <f t="shared" si="0"/>
        <v>8.1.1</v>
      </c>
      <c r="E53" s="2" t="s">
        <v>51</v>
      </c>
      <c r="F53" t="s">
        <v>39</v>
      </c>
      <c r="G53">
        <v>1</v>
      </c>
      <c r="I53" t="str">
        <f t="shared" si="1"/>
        <v>8.1.1 - ARE</v>
      </c>
    </row>
  </sheetData>
  <autoFilter ref="A2:I44">
    <sortState ref="A3:I44">
      <sortCondition ref="D2:D44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S51"/>
  <sheetViews>
    <sheetView tabSelected="1" topLeftCell="A16" workbookViewId="0">
      <selection activeCell="C26" sqref="C26"/>
    </sheetView>
  </sheetViews>
  <sheetFormatPr defaultRowHeight="15" x14ac:dyDescent="0.25"/>
  <cols>
    <col min="1" max="1" width="1" style="90" customWidth="1"/>
    <col min="2" max="2" width="10.5703125" style="80" bestFit="1" customWidth="1"/>
    <col min="3" max="3" width="82" customWidth="1"/>
    <col min="4" max="4" width="34.42578125" customWidth="1"/>
    <col min="5" max="5" width="23" customWidth="1"/>
    <col min="6" max="6" width="12.5703125" bestFit="1" customWidth="1"/>
    <col min="7" max="8" width="8.85546875" style="90"/>
    <col min="9" max="13" width="0" hidden="1" customWidth="1"/>
    <col min="14" max="14" width="23" hidden="1" customWidth="1"/>
    <col min="15" max="15" width="21.140625" hidden="1" customWidth="1"/>
    <col min="16" max="16" width="0" hidden="1" customWidth="1"/>
    <col min="17" max="19" width="8.85546875" style="90"/>
  </cols>
  <sheetData>
    <row r="1" spans="2:15" x14ac:dyDescent="0.25">
      <c r="B1" s="91"/>
      <c r="C1" s="90"/>
      <c r="D1" s="90"/>
      <c r="E1" s="90"/>
      <c r="F1" s="90"/>
    </row>
    <row r="2" spans="2:15" x14ac:dyDescent="0.25">
      <c r="B2" s="79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I2" t="s">
        <v>57</v>
      </c>
      <c r="J2" t="s">
        <v>58</v>
      </c>
    </row>
    <row r="3" spans="2:15" x14ac:dyDescent="0.25">
      <c r="B3" s="127">
        <v>44564</v>
      </c>
      <c r="C3" s="128" t="s">
        <v>192</v>
      </c>
      <c r="D3" t="s">
        <v>193</v>
      </c>
      <c r="E3" t="s">
        <v>194</v>
      </c>
      <c r="F3" s="129">
        <v>1.29</v>
      </c>
      <c r="I3" s="54">
        <f ca="1">COUNTIF(INDIRECT("D2:e"&amp;ROW()),D3)</f>
        <v>1</v>
      </c>
      <c r="J3" s="54">
        <f ca="1">COUNTIF(INDIRECT("d2:E"&amp;ROW()),E3)</f>
        <v>1</v>
      </c>
      <c r="K3" s="54" t="str">
        <f ca="1">I3&amp;D3</f>
        <v>16.5.1 - Despesa Financeira</v>
      </c>
      <c r="L3" s="54" t="str">
        <f ca="1">J3&amp;E3</f>
        <v>13.3.1 - Empréstimo a Pagar</v>
      </c>
      <c r="N3" t="str">
        <f>MID(D3,9,20)&amp;COUNTIFS($D$1:$E3,D3)</f>
        <v>Despesa Financeira1</v>
      </c>
      <c r="O3" t="str">
        <f>MID(E3,9,20)&amp;COUNTIFS($D$1:$E3,E3)</f>
        <v>Empréstimo a Pagar1</v>
      </c>
    </row>
    <row r="4" spans="2:15" x14ac:dyDescent="0.25">
      <c r="B4" s="127">
        <v>44564</v>
      </c>
      <c r="C4" s="128" t="s">
        <v>192</v>
      </c>
      <c r="D4" t="s">
        <v>193</v>
      </c>
      <c r="E4" t="s">
        <v>194</v>
      </c>
      <c r="F4" s="129">
        <v>11.17</v>
      </c>
      <c r="I4" s="54">
        <f t="shared" ref="I4:I30" ca="1" si="0">COUNTIF(INDIRECT("D2:e"&amp;ROW()),D4)</f>
        <v>2</v>
      </c>
      <c r="J4" s="54">
        <f t="shared" ref="J4:J30" ca="1" si="1">COUNTIF(INDIRECT("d2:E"&amp;ROW()),E4)</f>
        <v>2</v>
      </c>
      <c r="K4" s="54" t="str">
        <f t="shared" ref="K4:K30" ca="1" si="2">I4&amp;D4</f>
        <v>26.5.1 - Despesa Financeira</v>
      </c>
      <c r="L4" s="54" t="str">
        <f t="shared" ref="L4:L30" ca="1" si="3">J4&amp;E4</f>
        <v>23.3.1 - Empréstimo a Pagar</v>
      </c>
      <c r="N4" t="str">
        <f>MID(D4,9,30)&amp;COUNTIFS($D$1:$E4,D4)</f>
        <v>Despesa Financeira2</v>
      </c>
      <c r="O4" t="str">
        <f>MID(E4,9,30)&amp;COUNTIFS($D$1:$E4,E4)</f>
        <v>Empréstimo a Pagar2</v>
      </c>
    </row>
    <row r="5" spans="2:15" x14ac:dyDescent="0.25">
      <c r="B5" s="127">
        <v>44565</v>
      </c>
      <c r="C5" s="128" t="s">
        <v>195</v>
      </c>
      <c r="D5" t="s">
        <v>193</v>
      </c>
      <c r="E5" t="s">
        <v>194</v>
      </c>
      <c r="F5" s="129">
        <v>0.38</v>
      </c>
      <c r="I5" s="54">
        <f t="shared" ca="1" si="0"/>
        <v>3</v>
      </c>
      <c r="J5" s="54">
        <f t="shared" ca="1" si="1"/>
        <v>3</v>
      </c>
      <c r="K5" s="54" t="str">
        <f t="shared" ca="1" si="2"/>
        <v>36.5.1 - Despesa Financeira</v>
      </c>
      <c r="L5" s="54" t="str">
        <f t="shared" ca="1" si="3"/>
        <v>33.3.1 - Empréstimo a Pagar</v>
      </c>
      <c r="N5" t="str">
        <f>MID(D5,9,30)&amp;COUNTIFS($D$1:$E5,D5)</f>
        <v>Despesa Financeira3</v>
      </c>
      <c r="O5" t="str">
        <f>MID(E5,9,30)&amp;COUNTIFS($D$1:$E5,E5)</f>
        <v>Empréstimo a Pagar3</v>
      </c>
    </row>
    <row r="6" spans="2:15" x14ac:dyDescent="0.25">
      <c r="B6" s="127">
        <v>44565</v>
      </c>
      <c r="C6" s="128" t="s">
        <v>196</v>
      </c>
      <c r="D6" t="s">
        <v>197</v>
      </c>
      <c r="E6" t="s">
        <v>198</v>
      </c>
      <c r="F6" s="129">
        <v>450</v>
      </c>
      <c r="I6" s="54">
        <f t="shared" ca="1" si="0"/>
        <v>1</v>
      </c>
      <c r="J6" s="54">
        <f t="shared" ca="1" si="1"/>
        <v>1</v>
      </c>
      <c r="K6" s="54" t="str">
        <f t="shared" ca="1" si="2"/>
        <v>16.2.2 - Aluguel</v>
      </c>
      <c r="L6" s="54" t="str">
        <f t="shared" ca="1" si="3"/>
        <v>11.3.1 - Contas a Receber</v>
      </c>
      <c r="N6" t="str">
        <f>MID(D6,9,30)&amp;COUNTIFS($D$1:$E6,D6)</f>
        <v>Aluguel1</v>
      </c>
      <c r="O6" t="str">
        <f>MID(E6,9,30)&amp;COUNTIFS($D$1:$E6,E6)</f>
        <v>Contas a Receber1</v>
      </c>
    </row>
    <row r="7" spans="2:15" x14ac:dyDescent="0.25">
      <c r="B7" s="127">
        <v>44565</v>
      </c>
      <c r="C7" s="128" t="s">
        <v>199</v>
      </c>
      <c r="D7" t="s">
        <v>200</v>
      </c>
      <c r="F7" s="129">
        <v>102</v>
      </c>
      <c r="I7" s="54">
        <f t="shared" ca="1" si="0"/>
        <v>1</v>
      </c>
      <c r="J7" s="54">
        <f t="shared" ca="1" si="1"/>
        <v>0</v>
      </c>
      <c r="K7" s="54" t="str">
        <f t="shared" ca="1" si="2"/>
        <v>16.2.3 - Pro labore</v>
      </c>
      <c r="L7" s="54" t="str">
        <f t="shared" ca="1" si="3"/>
        <v>0</v>
      </c>
      <c r="N7" t="str">
        <f>MID(D7,9,30)&amp;COUNTIFS($D$1:$E7,D7)</f>
        <v>Pro labore1</v>
      </c>
      <c r="O7" t="str">
        <f>MID(E7,9,30)&amp;COUNTIFS($D$1:$E7,E7)</f>
        <v>0</v>
      </c>
    </row>
    <row r="8" spans="2:15" x14ac:dyDescent="0.25">
      <c r="B8" s="127">
        <v>44565</v>
      </c>
      <c r="C8" s="128" t="s">
        <v>201</v>
      </c>
      <c r="F8" s="129">
        <v>50</v>
      </c>
      <c r="I8" s="54">
        <f t="shared" ca="1" si="0"/>
        <v>0</v>
      </c>
      <c r="J8" s="54">
        <f t="shared" ca="1" si="1"/>
        <v>0</v>
      </c>
      <c r="K8" s="54" t="str">
        <f t="shared" ca="1" si="2"/>
        <v>0</v>
      </c>
      <c r="L8" s="54" t="str">
        <f t="shared" ca="1" si="3"/>
        <v>0</v>
      </c>
      <c r="N8" t="str">
        <f>MID(D8,9,30)&amp;COUNTIFS($D$1:$E8,D8)</f>
        <v>0</v>
      </c>
      <c r="O8" t="str">
        <f>MID(E8,9,30)&amp;COUNTIFS($D$1:$E8,E8)</f>
        <v>0</v>
      </c>
    </row>
    <row r="9" spans="2:15" x14ac:dyDescent="0.25">
      <c r="B9" s="127">
        <v>44565</v>
      </c>
      <c r="C9" s="128" t="s">
        <v>196</v>
      </c>
      <c r="F9" s="129">
        <v>220</v>
      </c>
      <c r="I9" s="54">
        <f t="shared" ca="1" si="0"/>
        <v>0</v>
      </c>
      <c r="J9" s="54">
        <f t="shared" ca="1" si="1"/>
        <v>0</v>
      </c>
      <c r="K9" s="54" t="str">
        <f t="shared" ca="1" si="2"/>
        <v>0</v>
      </c>
      <c r="L9" s="54" t="str">
        <f t="shared" ca="1" si="3"/>
        <v>0</v>
      </c>
      <c r="N9" t="str">
        <f>MID(D9,9,30)&amp;COUNTIFS($D$1:$E9,D9)</f>
        <v>0</v>
      </c>
      <c r="O9" t="str">
        <f>MID(E9,9,30)&amp;COUNTIFS($D$1:$E9,E9)</f>
        <v>0</v>
      </c>
    </row>
    <row r="10" spans="2:15" x14ac:dyDescent="0.25">
      <c r="B10" s="127">
        <v>44566</v>
      </c>
      <c r="C10" s="128" t="s">
        <v>202</v>
      </c>
      <c r="F10" s="129">
        <v>109.99</v>
      </c>
      <c r="I10" s="54">
        <f t="shared" ca="1" si="0"/>
        <v>0</v>
      </c>
      <c r="J10" s="54">
        <f t="shared" ca="1" si="1"/>
        <v>0</v>
      </c>
      <c r="K10" s="54" t="str">
        <f t="shared" ca="1" si="2"/>
        <v>0</v>
      </c>
      <c r="L10" s="54" t="str">
        <f t="shared" ca="1" si="3"/>
        <v>0</v>
      </c>
      <c r="N10" t="str">
        <f>MID(D10,9,30)&amp;COUNTIFS($D$1:$E10,D10)</f>
        <v>0</v>
      </c>
      <c r="O10" t="str">
        <f>MID(E10,9,30)&amp;COUNTIFS($D$1:$E10,E10)</f>
        <v>0</v>
      </c>
    </row>
    <row r="11" spans="2:15" x14ac:dyDescent="0.25">
      <c r="B11" s="127">
        <v>44567</v>
      </c>
      <c r="C11" s="128" t="s">
        <v>196</v>
      </c>
      <c r="F11" s="129">
        <v>420</v>
      </c>
      <c r="I11" s="54">
        <f t="shared" ca="1" si="0"/>
        <v>0</v>
      </c>
      <c r="J11" s="54">
        <f t="shared" ca="1" si="1"/>
        <v>0</v>
      </c>
      <c r="K11" s="54" t="str">
        <f t="shared" ca="1" si="2"/>
        <v>0</v>
      </c>
      <c r="L11" s="54" t="str">
        <f t="shared" ca="1" si="3"/>
        <v>0</v>
      </c>
      <c r="N11" t="str">
        <f>MID(D11,9,30)&amp;COUNTIFS($D$1:$E11,D11)</f>
        <v>0</v>
      </c>
      <c r="O11" t="str">
        <f>MID(E11,9,30)&amp;COUNTIFS($D$1:$E11,E11)</f>
        <v>0</v>
      </c>
    </row>
    <row r="12" spans="2:15" x14ac:dyDescent="0.25">
      <c r="B12" s="127">
        <v>44567</v>
      </c>
      <c r="C12" s="128" t="s">
        <v>203</v>
      </c>
      <c r="F12" s="129">
        <v>39.130000000000003</v>
      </c>
      <c r="I12" s="54">
        <f t="shared" ca="1" si="0"/>
        <v>0</v>
      </c>
      <c r="J12" s="54">
        <f t="shared" ca="1" si="1"/>
        <v>0</v>
      </c>
      <c r="K12" s="54" t="str">
        <f t="shared" ca="1" si="2"/>
        <v>0</v>
      </c>
      <c r="L12" s="54" t="str">
        <f t="shared" ca="1" si="3"/>
        <v>0</v>
      </c>
      <c r="N12" t="str">
        <f>MID(D12,9,30)&amp;COUNTIFS($D$1:$E12,D12)</f>
        <v>0</v>
      </c>
      <c r="O12" t="str">
        <f>MID(E12,9,30)&amp;COUNTIFS($D$1:$E12,E12)</f>
        <v>0</v>
      </c>
    </row>
    <row r="13" spans="2:15" x14ac:dyDescent="0.25">
      <c r="B13" s="127">
        <v>44567</v>
      </c>
      <c r="C13" s="130" t="s">
        <v>204</v>
      </c>
      <c r="F13" s="129">
        <v>833.68</v>
      </c>
      <c r="I13" s="54">
        <f t="shared" ca="1" si="0"/>
        <v>0</v>
      </c>
      <c r="J13" s="54">
        <f t="shared" ca="1" si="1"/>
        <v>0</v>
      </c>
      <c r="K13" s="54" t="str">
        <f t="shared" ca="1" si="2"/>
        <v>0</v>
      </c>
      <c r="L13" s="54" t="str">
        <f t="shared" ca="1" si="3"/>
        <v>0</v>
      </c>
      <c r="N13" t="str">
        <f>MID(D13,9,30)&amp;COUNTIFS($D$1:$E13,D13)</f>
        <v>0</v>
      </c>
      <c r="O13" t="str">
        <f>MID(E13,9,30)&amp;COUNTIFS($D$1:$E13,E13)</f>
        <v>0</v>
      </c>
    </row>
    <row r="14" spans="2:15" x14ac:dyDescent="0.25">
      <c r="B14" s="127">
        <v>44568</v>
      </c>
      <c r="C14" s="128" t="s">
        <v>196</v>
      </c>
      <c r="F14" s="129">
        <v>420</v>
      </c>
      <c r="I14" s="54">
        <f t="shared" ca="1" si="0"/>
        <v>0</v>
      </c>
      <c r="J14" s="54">
        <f t="shared" ca="1" si="1"/>
        <v>0</v>
      </c>
      <c r="K14" s="54" t="str">
        <f t="shared" ca="1" si="2"/>
        <v>0</v>
      </c>
      <c r="L14" s="54" t="str">
        <f t="shared" ca="1" si="3"/>
        <v>0</v>
      </c>
      <c r="N14" t="str">
        <f>MID(D14,9,30)&amp;COUNTIFS($D$1:$E14,D14)</f>
        <v>0</v>
      </c>
      <c r="O14" t="str">
        <f>MID(E14,9,30)&amp;COUNTIFS($D$1:$E14,E14)</f>
        <v>0</v>
      </c>
    </row>
    <row r="15" spans="2:15" x14ac:dyDescent="0.25">
      <c r="B15" s="127">
        <v>44568</v>
      </c>
      <c r="C15" s="128" t="s">
        <v>205</v>
      </c>
      <c r="F15" s="129">
        <v>5439.4</v>
      </c>
      <c r="I15" s="54">
        <f t="shared" ca="1" si="0"/>
        <v>0</v>
      </c>
      <c r="J15" s="54">
        <f t="shared" ca="1" si="1"/>
        <v>0</v>
      </c>
      <c r="K15" s="54" t="str">
        <f t="shared" ca="1" si="2"/>
        <v>0</v>
      </c>
      <c r="L15" s="54" t="str">
        <f t="shared" ca="1" si="3"/>
        <v>0</v>
      </c>
      <c r="N15" t="str">
        <f>MID(D15,9,30)&amp;COUNTIFS($D$1:$E15,D15)</f>
        <v>0</v>
      </c>
      <c r="O15" t="str">
        <f>MID(E15,9,30)&amp;COUNTIFS($D$1:$E15,E15)</f>
        <v>0</v>
      </c>
    </row>
    <row r="16" spans="2:15" x14ac:dyDescent="0.25">
      <c r="B16" s="127">
        <v>44568</v>
      </c>
      <c r="C16" s="128" t="s">
        <v>206</v>
      </c>
      <c r="F16" s="129">
        <v>100</v>
      </c>
      <c r="I16" s="54">
        <f t="shared" ca="1" si="0"/>
        <v>0</v>
      </c>
      <c r="J16" s="54">
        <f t="shared" ca="1" si="1"/>
        <v>0</v>
      </c>
      <c r="K16" s="54" t="str">
        <f t="shared" ca="1" si="2"/>
        <v>0</v>
      </c>
      <c r="L16" s="54" t="str">
        <f t="shared" ca="1" si="3"/>
        <v>0</v>
      </c>
      <c r="N16" t="str">
        <f>MID(D16,9,30)&amp;COUNTIFS($D$1:$E16,D16)</f>
        <v>0</v>
      </c>
      <c r="O16" t="str">
        <f>MID(E16,9,30)&amp;COUNTIFS($D$1:$E16,E16)</f>
        <v>0</v>
      </c>
    </row>
    <row r="17" spans="2:15" x14ac:dyDescent="0.25">
      <c r="B17" s="127">
        <v>44568</v>
      </c>
      <c r="C17" s="128" t="s">
        <v>207</v>
      </c>
      <c r="F17" s="129">
        <v>30</v>
      </c>
      <c r="I17" s="54">
        <f t="shared" ca="1" si="0"/>
        <v>0</v>
      </c>
      <c r="J17" s="54">
        <f t="shared" ca="1" si="1"/>
        <v>0</v>
      </c>
      <c r="K17" s="54" t="str">
        <f t="shared" ca="1" si="2"/>
        <v>0</v>
      </c>
      <c r="L17" s="54" t="str">
        <f t="shared" ca="1" si="3"/>
        <v>0</v>
      </c>
      <c r="N17" t="str">
        <f>MID(D17,9,30)&amp;COUNTIFS($D$1:$E17,D17)</f>
        <v>0</v>
      </c>
      <c r="O17" t="str">
        <f>MID(E17,9,30)&amp;COUNTIFS($D$1:$E17,E17)</f>
        <v>0</v>
      </c>
    </row>
    <row r="18" spans="2:15" x14ac:dyDescent="0.25">
      <c r="B18" s="127">
        <v>44568</v>
      </c>
      <c r="C18" s="128" t="s">
        <v>208</v>
      </c>
      <c r="F18" s="129">
        <v>100</v>
      </c>
      <c r="I18" s="54">
        <f t="shared" ca="1" si="0"/>
        <v>0</v>
      </c>
      <c r="J18" s="54">
        <f t="shared" ca="1" si="1"/>
        <v>0</v>
      </c>
      <c r="K18" s="54" t="str">
        <f t="shared" ca="1" si="2"/>
        <v>0</v>
      </c>
      <c r="L18" s="54" t="str">
        <f t="shared" ca="1" si="3"/>
        <v>0</v>
      </c>
      <c r="N18" t="str">
        <f>MID(D18,9,30)&amp;COUNTIFS($D$1:$E18,D18)</f>
        <v>0</v>
      </c>
      <c r="O18" t="str">
        <f>MID(E18,9,30)&amp;COUNTIFS($D$1:$E18,E18)</f>
        <v>0</v>
      </c>
    </row>
    <row r="19" spans="2:15" x14ac:dyDescent="0.25">
      <c r="B19" s="127">
        <v>44568</v>
      </c>
      <c r="C19" s="128" t="s">
        <v>209</v>
      </c>
      <c r="F19" s="129">
        <v>1.59</v>
      </c>
      <c r="I19" s="54">
        <f t="shared" ca="1" si="0"/>
        <v>0</v>
      </c>
      <c r="J19" s="54">
        <f t="shared" ca="1" si="1"/>
        <v>0</v>
      </c>
      <c r="K19" s="54" t="str">
        <f t="shared" ca="1" si="2"/>
        <v>0</v>
      </c>
      <c r="L19" s="54" t="str">
        <f t="shared" ca="1" si="3"/>
        <v>0</v>
      </c>
      <c r="N19" t="str">
        <f>MID(D19,9,30)&amp;COUNTIFS($D$1:$E19,D19)</f>
        <v>0</v>
      </c>
      <c r="O19" t="str">
        <f>MID(E19,9,30)&amp;COUNTIFS($D$1:$E19,E19)</f>
        <v>0</v>
      </c>
    </row>
    <row r="20" spans="2:15" x14ac:dyDescent="0.25">
      <c r="B20" s="127">
        <v>44568</v>
      </c>
      <c r="C20" s="128" t="s">
        <v>210</v>
      </c>
      <c r="F20" s="129">
        <v>173.8</v>
      </c>
      <c r="I20" s="54">
        <f t="shared" ca="1" si="0"/>
        <v>0</v>
      </c>
      <c r="J20" s="54">
        <f t="shared" ca="1" si="1"/>
        <v>0</v>
      </c>
      <c r="K20" s="54" t="str">
        <f t="shared" ca="1" si="2"/>
        <v>0</v>
      </c>
      <c r="L20" s="54" t="str">
        <f t="shared" ca="1" si="3"/>
        <v>0</v>
      </c>
      <c r="N20" t="str">
        <f>MID(D20,9,30)&amp;COUNTIFS($D$1:$E20,D20)</f>
        <v>0</v>
      </c>
      <c r="O20" t="str">
        <f>MID(E20,9,30)&amp;COUNTIFS($D$1:$E20,E20)</f>
        <v>0</v>
      </c>
    </row>
    <row r="21" spans="2:15" x14ac:dyDescent="0.25">
      <c r="B21" s="127">
        <v>44568</v>
      </c>
      <c r="C21" s="128" t="s">
        <v>211</v>
      </c>
      <c r="F21" s="129">
        <v>105.16</v>
      </c>
      <c r="I21" s="54">
        <f t="shared" ca="1" si="0"/>
        <v>0</v>
      </c>
      <c r="J21" s="54">
        <f t="shared" ca="1" si="1"/>
        <v>0</v>
      </c>
      <c r="K21" s="54" t="str">
        <f t="shared" ca="1" si="2"/>
        <v>0</v>
      </c>
      <c r="L21" s="54" t="str">
        <f t="shared" ca="1" si="3"/>
        <v>0</v>
      </c>
      <c r="N21" t="str">
        <f>MID(D21,9,30)&amp;COUNTIFS($D$1:$E21,D21)</f>
        <v>0</v>
      </c>
      <c r="O21" t="str">
        <f>MID(E21,9,30)&amp;COUNTIFS($D$1:$E21,E21)</f>
        <v>0</v>
      </c>
    </row>
    <row r="22" spans="2:15" x14ac:dyDescent="0.25">
      <c r="B22" s="127">
        <v>44568</v>
      </c>
      <c r="C22" s="128" t="s">
        <v>212</v>
      </c>
      <c r="F22" s="129">
        <v>190</v>
      </c>
      <c r="I22" s="54">
        <f t="shared" ca="1" si="0"/>
        <v>0</v>
      </c>
      <c r="J22" s="54">
        <f t="shared" ca="1" si="1"/>
        <v>0</v>
      </c>
      <c r="K22" s="54" t="str">
        <f t="shared" ca="1" si="2"/>
        <v>0</v>
      </c>
      <c r="L22" s="54" t="str">
        <f t="shared" ca="1" si="3"/>
        <v>0</v>
      </c>
      <c r="N22" t="str">
        <f>MID(D22,9,30)&amp;COUNTIFS($D$1:$E22,D22)</f>
        <v>0</v>
      </c>
      <c r="O22" t="str">
        <f>MID(E22,9,30)&amp;COUNTIFS($D$1:$E22,E22)</f>
        <v>0</v>
      </c>
    </row>
    <row r="23" spans="2:15" x14ac:dyDescent="0.25">
      <c r="B23" s="127">
        <v>44568</v>
      </c>
      <c r="C23" s="128" t="s">
        <v>213</v>
      </c>
      <c r="F23" s="129">
        <v>1180.1199999999999</v>
      </c>
      <c r="I23" s="54">
        <f t="shared" ca="1" si="0"/>
        <v>0</v>
      </c>
      <c r="J23" s="54">
        <f t="shared" ca="1" si="1"/>
        <v>0</v>
      </c>
      <c r="K23" s="54" t="str">
        <f t="shared" ca="1" si="2"/>
        <v>0</v>
      </c>
      <c r="L23" s="54" t="str">
        <f t="shared" ca="1" si="3"/>
        <v>0</v>
      </c>
      <c r="N23" t="str">
        <f>MID(D23,9,30)&amp;COUNTIFS($D$1:$E23,D23)</f>
        <v>0</v>
      </c>
      <c r="O23" t="str">
        <f>MID(E23,9,30)&amp;COUNTIFS($D$1:$E23,E23)</f>
        <v>0</v>
      </c>
    </row>
    <row r="24" spans="2:15" x14ac:dyDescent="0.25">
      <c r="B24" s="127">
        <v>44568</v>
      </c>
      <c r="C24" s="128" t="s">
        <v>214</v>
      </c>
      <c r="F24" s="129">
        <v>401.5</v>
      </c>
      <c r="I24" s="54">
        <f t="shared" ca="1" si="0"/>
        <v>0</v>
      </c>
      <c r="J24" s="54">
        <f t="shared" ca="1" si="1"/>
        <v>0</v>
      </c>
      <c r="K24" s="54" t="str">
        <f t="shared" ca="1" si="2"/>
        <v>0</v>
      </c>
      <c r="L24" s="54" t="str">
        <f t="shared" ca="1" si="3"/>
        <v>0</v>
      </c>
      <c r="N24" t="str">
        <f>MID(D24,9,30)&amp;COUNTIFS($D$1:$E24,D24)</f>
        <v>0</v>
      </c>
      <c r="O24" t="str">
        <f>MID(E24,9,30)&amp;COUNTIFS($D$1:$E24,E24)</f>
        <v>0</v>
      </c>
    </row>
    <row r="25" spans="2:15" x14ac:dyDescent="0.25">
      <c r="B25" s="127">
        <v>44568</v>
      </c>
      <c r="C25" s="128" t="s">
        <v>215</v>
      </c>
      <c r="F25" s="129">
        <v>89.9</v>
      </c>
      <c r="I25" s="54">
        <f t="shared" ca="1" si="0"/>
        <v>0</v>
      </c>
      <c r="J25" s="54">
        <f t="shared" ca="1" si="1"/>
        <v>0</v>
      </c>
      <c r="K25" s="54" t="str">
        <f t="shared" ca="1" si="2"/>
        <v>0</v>
      </c>
      <c r="L25" s="54" t="str">
        <f t="shared" ca="1" si="3"/>
        <v>0</v>
      </c>
      <c r="N25" t="str">
        <f>MID(D25,9,30)&amp;COUNTIFS($D$1:$E25,D25)</f>
        <v>0</v>
      </c>
      <c r="O25" t="str">
        <f>MID(E25,9,30)&amp;COUNTIFS($D$1:$E25,E25)</f>
        <v>0</v>
      </c>
    </row>
    <row r="26" spans="2:15" x14ac:dyDescent="0.25">
      <c r="B26" s="127">
        <v>44568</v>
      </c>
      <c r="C26" s="131" t="s">
        <v>236</v>
      </c>
      <c r="F26" s="129">
        <v>131.09</v>
      </c>
      <c r="I26" s="54">
        <f t="shared" ca="1" si="0"/>
        <v>0</v>
      </c>
      <c r="J26" s="54">
        <f t="shared" ca="1" si="1"/>
        <v>0</v>
      </c>
      <c r="K26" s="54" t="str">
        <f t="shared" ca="1" si="2"/>
        <v>0</v>
      </c>
      <c r="L26" s="54" t="str">
        <f t="shared" ca="1" si="3"/>
        <v>0</v>
      </c>
      <c r="N26" t="str">
        <f>MID(D26,9,30)&amp;COUNTIFS($D$1:$E26,D26)</f>
        <v>0</v>
      </c>
      <c r="O26" t="str">
        <f>MID(E26,9,30)&amp;COUNTIFS($D$1:$E26,E26)</f>
        <v>0</v>
      </c>
    </row>
    <row r="27" spans="2:15" x14ac:dyDescent="0.25">
      <c r="B27" s="127">
        <v>44568</v>
      </c>
      <c r="C27" s="131" t="s">
        <v>216</v>
      </c>
      <c r="F27" s="129">
        <v>272.11</v>
      </c>
      <c r="I27" s="54">
        <f t="shared" ca="1" si="0"/>
        <v>0</v>
      </c>
      <c r="J27" s="54">
        <f t="shared" ca="1" si="1"/>
        <v>0</v>
      </c>
      <c r="K27" s="54" t="str">
        <f t="shared" ca="1" si="2"/>
        <v>0</v>
      </c>
      <c r="L27" s="54" t="str">
        <f t="shared" ca="1" si="3"/>
        <v>0</v>
      </c>
      <c r="N27" t="str">
        <f>MID(D27,9,30)&amp;COUNTIFS($D$1:$E27,D27)</f>
        <v>0</v>
      </c>
      <c r="O27" t="str">
        <f>MID(E27,9,30)&amp;COUNTIFS($D$1:$E27,E27)</f>
        <v>0</v>
      </c>
    </row>
    <row r="28" spans="2:15" x14ac:dyDescent="0.25">
      <c r="B28" s="127">
        <v>44569</v>
      </c>
      <c r="C28" s="128" t="s">
        <v>196</v>
      </c>
      <c r="F28" s="129">
        <v>420</v>
      </c>
      <c r="I28" s="54">
        <f t="shared" ca="1" si="0"/>
        <v>0</v>
      </c>
      <c r="J28" s="54">
        <f t="shared" ca="1" si="1"/>
        <v>0</v>
      </c>
      <c r="K28" s="54" t="str">
        <f t="shared" ca="1" si="2"/>
        <v>0</v>
      </c>
      <c r="L28" s="54" t="str">
        <f t="shared" ca="1" si="3"/>
        <v>0</v>
      </c>
      <c r="N28" t="str">
        <f>MID(D28,9,30)&amp;COUNTIFS($D$1:$E28,D28)</f>
        <v>0</v>
      </c>
      <c r="O28" t="str">
        <f>MID(E28,9,30)&amp;COUNTIFS($D$1:$E28,E28)</f>
        <v>0</v>
      </c>
    </row>
    <row r="29" spans="2:15" x14ac:dyDescent="0.25">
      <c r="B29" s="127">
        <v>44569</v>
      </c>
      <c r="C29" s="128" t="s">
        <v>196</v>
      </c>
      <c r="F29" s="129">
        <v>450</v>
      </c>
      <c r="I29" s="54">
        <f t="shared" ca="1" si="0"/>
        <v>0</v>
      </c>
      <c r="J29" s="54">
        <f t="shared" ca="1" si="1"/>
        <v>0</v>
      </c>
      <c r="K29" s="54" t="str">
        <f t="shared" ca="1" si="2"/>
        <v>0</v>
      </c>
      <c r="L29" s="54" t="str">
        <f t="shared" ca="1" si="3"/>
        <v>0</v>
      </c>
      <c r="N29" t="str">
        <f>MID(D29,9,30)&amp;COUNTIFS($D$1:$E29,D29)</f>
        <v>0</v>
      </c>
      <c r="O29" t="str">
        <f>MID(E29,9,30)&amp;COUNTIFS($D$1:$E29,E29)</f>
        <v>0</v>
      </c>
    </row>
    <row r="30" spans="2:15" x14ac:dyDescent="0.25">
      <c r="B30" s="127">
        <v>44569</v>
      </c>
      <c r="C30" s="128" t="s">
        <v>217</v>
      </c>
      <c r="F30" s="129">
        <v>324.58999999999997</v>
      </c>
      <c r="I30" s="54">
        <f t="shared" ca="1" si="0"/>
        <v>0</v>
      </c>
      <c r="J30" s="54">
        <f t="shared" ca="1" si="1"/>
        <v>0</v>
      </c>
      <c r="K30" s="54" t="str">
        <f t="shared" ca="1" si="2"/>
        <v>0</v>
      </c>
      <c r="L30" s="54" t="str">
        <f t="shared" ca="1" si="3"/>
        <v>0</v>
      </c>
      <c r="N30" t="str">
        <f>MID(D30,9,30)&amp;COUNTIFS($D$1:$E30,D30)</f>
        <v>0</v>
      </c>
      <c r="O30" t="str">
        <f>MID(E30,9,30)&amp;COUNTIFS($D$1:$E30,E30)</f>
        <v>0</v>
      </c>
    </row>
    <row r="31" spans="2:15" x14ac:dyDescent="0.25">
      <c r="B31" s="127">
        <v>44570</v>
      </c>
      <c r="C31" s="128" t="s">
        <v>218</v>
      </c>
      <c r="F31" s="129">
        <v>30</v>
      </c>
      <c r="I31" s="54"/>
      <c r="J31" s="54"/>
      <c r="K31" s="54"/>
      <c r="L31" s="54"/>
    </row>
    <row r="32" spans="2:15" x14ac:dyDescent="0.25">
      <c r="B32" s="127">
        <v>44571</v>
      </c>
      <c r="C32" s="128" t="s">
        <v>219</v>
      </c>
      <c r="F32" s="129">
        <v>30</v>
      </c>
    </row>
    <row r="33" spans="2:6" x14ac:dyDescent="0.25">
      <c r="B33" s="127">
        <v>44571</v>
      </c>
      <c r="C33" s="128" t="s">
        <v>220</v>
      </c>
      <c r="F33" s="129">
        <v>50</v>
      </c>
    </row>
    <row r="34" spans="2:6" x14ac:dyDescent="0.25">
      <c r="B34" s="127">
        <v>44572</v>
      </c>
      <c r="C34" s="132" t="s">
        <v>221</v>
      </c>
      <c r="F34" s="129">
        <v>10</v>
      </c>
    </row>
    <row r="35" spans="2:6" x14ac:dyDescent="0.25">
      <c r="B35" s="127">
        <v>44572</v>
      </c>
      <c r="C35" s="128" t="s">
        <v>222</v>
      </c>
      <c r="F35" s="129"/>
    </row>
    <row r="36" spans="2:6" x14ac:dyDescent="0.25">
      <c r="B36" s="127">
        <v>44573</v>
      </c>
      <c r="C36" s="128" t="s">
        <v>223</v>
      </c>
      <c r="F36" s="129">
        <v>14.9</v>
      </c>
    </row>
    <row r="37" spans="2:6" x14ac:dyDescent="0.25">
      <c r="B37" s="127">
        <v>44575</v>
      </c>
      <c r="C37" s="128" t="s">
        <v>224</v>
      </c>
      <c r="F37" s="129">
        <v>8.49</v>
      </c>
    </row>
    <row r="38" spans="2:6" x14ac:dyDescent="0.25">
      <c r="B38" s="127">
        <v>44576</v>
      </c>
      <c r="C38" s="130" t="s">
        <v>225</v>
      </c>
      <c r="F38" s="129">
        <v>25.5</v>
      </c>
    </row>
    <row r="39" spans="2:6" x14ac:dyDescent="0.25">
      <c r="F39" s="5"/>
    </row>
    <row r="40" spans="2:6" x14ac:dyDescent="0.25">
      <c r="F40" s="5"/>
    </row>
    <row r="41" spans="2:6" x14ac:dyDescent="0.25">
      <c r="F41" s="5"/>
    </row>
    <row r="42" spans="2:6" x14ac:dyDescent="0.25">
      <c r="F42" s="5"/>
    </row>
    <row r="43" spans="2:6" x14ac:dyDescent="0.25">
      <c r="F43" s="5"/>
    </row>
    <row r="44" spans="2:6" x14ac:dyDescent="0.25">
      <c r="F44" s="5"/>
    </row>
    <row r="45" spans="2:6" x14ac:dyDescent="0.25">
      <c r="F45" s="5"/>
    </row>
    <row r="46" spans="2:6" x14ac:dyDescent="0.25">
      <c r="F46" s="5"/>
    </row>
    <row r="47" spans="2:6" x14ac:dyDescent="0.25">
      <c r="F47" s="5"/>
    </row>
    <row r="48" spans="2:6" x14ac:dyDescent="0.25">
      <c r="F48" s="5"/>
    </row>
    <row r="49" spans="6:6" x14ac:dyDescent="0.25">
      <c r="F49" s="5"/>
    </row>
    <row r="50" spans="6:6" x14ac:dyDescent="0.25">
      <c r="F50" s="5"/>
    </row>
    <row r="51" spans="6:6" x14ac:dyDescent="0.25">
      <c r="F51" s="5"/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[1]Setup!#REF!</xm:f>
          </x14:formula1>
          <xm:sqref>D3:E30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2:E42"/>
  <sheetViews>
    <sheetView workbookViewId="0">
      <selection activeCell="C2" sqref="C2"/>
    </sheetView>
  </sheetViews>
  <sheetFormatPr defaultRowHeight="15" x14ac:dyDescent="0.25"/>
  <cols>
    <col min="2" max="2" width="10.5703125" bestFit="1" customWidth="1"/>
    <col min="3" max="3" width="55.5703125" customWidth="1"/>
    <col min="4" max="4" width="13.85546875" bestFit="1" customWidth="1"/>
    <col min="5" max="5" width="14" bestFit="1" customWidth="1"/>
  </cols>
  <sheetData>
    <row r="2" spans="1:5" x14ac:dyDescent="0.25">
      <c r="B2" s="54" t="s">
        <v>59</v>
      </c>
      <c r="C2" t="s">
        <v>167</v>
      </c>
      <c r="D2" s="49"/>
      <c r="E2" s="49"/>
    </row>
    <row r="3" spans="1:5" x14ac:dyDescent="0.25">
      <c r="A3" s="54"/>
      <c r="B3" s="54" t="s">
        <v>52</v>
      </c>
      <c r="C3" s="54" t="s">
        <v>53</v>
      </c>
      <c r="D3" s="54" t="s">
        <v>54</v>
      </c>
      <c r="E3" s="54" t="s">
        <v>55</v>
      </c>
    </row>
    <row r="4" spans="1:5" x14ac:dyDescent="0.25">
      <c r="A4" s="54"/>
      <c r="B4" s="54" t="s">
        <v>60</v>
      </c>
      <c r="C4" s="54"/>
      <c r="D4" s="69">
        <f>IF(_xlfn.IFNA(VLOOKUP(LEFT(C2,5),'Balanço Patrimonial'!A:D,4,0),0)-_xlfn.IFNA(VLOOKUP(LEFT(C2,5),'Balanço Patrimonial'!E:H,4,0),0)&lt;0,"",_xlfn.IFNA(VLOOKUP(LEFT(C2,5),'Balanço Patrimonial'!A:D,4,0),0)-_xlfn.IFNA(VLOOKUP(LEFT(C2,5),'Balanço Patrimonial'!E:H,4,0),0))</f>
        <v>0</v>
      </c>
      <c r="E4" s="69">
        <f>-IF(_xlfn.IFNA(VLOOKUP(LEFT(C2,5),'Balanço Patrimonial'!A:D,4,0),0)-_xlfn.IFNA(VLOOKUP(LEFT(C2,5),'Balanço Patrimonial'!E:H,4,0),0)&gt;0,0,_xlfn.IFNA(VLOOKUP(LEFT(C2,5),'Balanço Patrimonial'!A:D,4,0),0)-_xlfn.IFNA(VLOOKUP(LEFT(C2,5),'Balanço Patrimonial'!E:H,4,0),0))</f>
        <v>0</v>
      </c>
    </row>
    <row r="5" spans="1:5" x14ac:dyDescent="0.25">
      <c r="A5" s="54">
        <v>1</v>
      </c>
      <c r="B5" s="70" t="str">
        <f ca="1">_xlfn.IFNA(_xlfn.IFNA(INDEX('Livro Diário'!B:B,MATCH('Livro Razao'!A5&amp;'Livro Razao'!$C$2,'Livro Diário'!K:K,0),1),INDEX('Livro Diário'!B:B,MATCH('Livro Razao'!A5&amp;'Livro Razao'!$C$2,'Livro Diário'!L:L,0),1)),"")</f>
        <v/>
      </c>
      <c r="C5" s="54" t="str">
        <f ca="1">_xlfn.IFNA(_xlfn.IFNA(INDEX('Livro Diário'!C:C,MATCH('Livro Razao'!A5&amp;'Livro Razao'!$C$2,'Livro Diário'!K:K,0),1),INDEX('Livro Diário'!C:C,MATCH('Livro Razao'!A5&amp;'Livro Razao'!$C$2,'Livro Diário'!L:L,0),1)),"")</f>
        <v/>
      </c>
      <c r="D5" s="69" t="str">
        <f ca="1">_xlfn.IFNA(INDEX('Livro Diário'!F:F,MATCH('Livro Razao'!A5&amp;'Livro Razao'!$C$2,'Livro Diário'!K:K,0),1),"")</f>
        <v/>
      </c>
      <c r="E5" s="69" t="str">
        <f ca="1">_xlfn.IFNA(_xlfn.IFNA(INDEX('Livro Diário'!F:F,MATCH('Livro Razao'!A5&amp;'Livro Razao'!$C$2,'Livro Diário'!L:L,0),1),""),"")</f>
        <v/>
      </c>
    </row>
    <row r="6" spans="1:5" x14ac:dyDescent="0.25">
      <c r="A6" s="54">
        <v>2</v>
      </c>
      <c r="B6" s="70" t="str">
        <f ca="1">_xlfn.IFNA(_xlfn.IFNA(INDEX('Livro Diário'!B:B,MATCH('Livro Razao'!A6&amp;'Livro Razao'!$C$2,'Livro Diário'!K:K,0),1),INDEX('Livro Diário'!B:B,MATCH('Livro Razao'!A6&amp;'Livro Razao'!$C$2,'Livro Diário'!L:L,0),1)),"")</f>
        <v/>
      </c>
      <c r="C6" s="54" t="str">
        <f ca="1">_xlfn.IFNA(_xlfn.IFNA(INDEX('Livro Diário'!C:C,MATCH('Livro Razao'!A6&amp;'Livro Razao'!$C$2,'Livro Diário'!K:K,0),1),INDEX('Livro Diário'!C:C,MATCH('Livro Razao'!A6&amp;'Livro Razao'!$C$2,'Livro Diário'!L:L,0),1)),"")</f>
        <v/>
      </c>
      <c r="D6" s="69" t="str">
        <f ca="1">_xlfn.IFNA(INDEX('Livro Diário'!F:F,MATCH('Livro Razao'!A6&amp;'Livro Razao'!$C$2,'Livro Diário'!K:K,0),1),"")</f>
        <v/>
      </c>
      <c r="E6" s="69" t="str">
        <f ca="1">_xlfn.IFNA(_xlfn.IFNA(INDEX('Livro Diário'!F:F,MATCH('Livro Razao'!A6&amp;'Livro Razao'!$C$2,'Livro Diário'!L:L,0),1),""),"")</f>
        <v/>
      </c>
    </row>
    <row r="7" spans="1:5" x14ac:dyDescent="0.25">
      <c r="A7" s="54">
        <v>3</v>
      </c>
      <c r="B7" s="70"/>
      <c r="C7" s="54"/>
      <c r="D7" s="69" t="str">
        <f ca="1">_xlfn.IFNA(INDEX('Livro Diário'!F:F,MATCH('Livro Razao'!A7&amp;'Livro Razao'!$C$2,'Livro Diário'!K:K,0),1),"")</f>
        <v/>
      </c>
      <c r="E7" s="69" t="str">
        <f ca="1">_xlfn.IFNA(_xlfn.IFNA(INDEX('Livro Diário'!F:F,MATCH('Livro Razao'!A7&amp;'Livro Razao'!$C$2,'Livro Diário'!L:L,0),1),""),"")</f>
        <v/>
      </c>
    </row>
    <row r="8" spans="1:5" x14ac:dyDescent="0.25">
      <c r="A8" s="54">
        <v>4</v>
      </c>
      <c r="B8" s="70"/>
      <c r="C8" s="54"/>
      <c r="D8" s="69" t="str">
        <f ca="1">_xlfn.IFNA(INDEX('Livro Diário'!F:F,MATCH('Livro Razao'!A8&amp;'Livro Razao'!$C$2,'Livro Diário'!K:K,0),1),"")</f>
        <v/>
      </c>
      <c r="E8" s="69" t="str">
        <f ca="1">_xlfn.IFNA(_xlfn.IFNA(INDEX('Livro Diário'!F:F,MATCH('Livro Razao'!A8&amp;'Livro Razao'!$C$2,'Livro Diário'!L:L,0),1),""),"")</f>
        <v/>
      </c>
    </row>
    <row r="9" spans="1:5" x14ac:dyDescent="0.25">
      <c r="A9" s="54">
        <v>5</v>
      </c>
      <c r="B9" s="70"/>
      <c r="C9" s="54"/>
      <c r="D9" s="69" t="str">
        <f ca="1">_xlfn.IFNA(INDEX('Livro Diário'!F:F,MATCH('Livro Razao'!A9&amp;'Livro Razao'!$C$2,'Livro Diário'!K:K,0),1),"")</f>
        <v/>
      </c>
      <c r="E9" s="69" t="str">
        <f ca="1">_xlfn.IFNA(_xlfn.IFNA(INDEX('Livro Diário'!F:F,MATCH('Livro Razao'!A9&amp;'Livro Razao'!$C$2,'Livro Diário'!L:L,0),1),""),"")</f>
        <v/>
      </c>
    </row>
    <row r="10" spans="1:5" x14ac:dyDescent="0.25">
      <c r="A10" s="54">
        <v>6</v>
      </c>
      <c r="B10" s="70"/>
      <c r="C10" s="54"/>
      <c r="D10" s="69" t="str">
        <f ca="1">_xlfn.IFNA(INDEX('Livro Diário'!F:F,MATCH('Livro Razao'!A10&amp;'Livro Razao'!$C$2,'Livro Diário'!K:K,0),1),"")</f>
        <v/>
      </c>
      <c r="E10" s="69" t="str">
        <f ca="1">_xlfn.IFNA(_xlfn.IFNA(INDEX('Livro Diário'!F:F,MATCH('Livro Razao'!A10&amp;'Livro Razao'!$C$2,'Livro Diário'!L:L,0),1),""),"")</f>
        <v/>
      </c>
    </row>
    <row r="11" spans="1:5" x14ac:dyDescent="0.25">
      <c r="A11" s="54">
        <v>7</v>
      </c>
      <c r="B11" s="70"/>
      <c r="C11" s="54"/>
      <c r="D11" s="69" t="str">
        <f ca="1">_xlfn.IFNA(INDEX('Livro Diário'!F:F,MATCH('Livro Razao'!A11&amp;'Livro Razao'!$C$2,'Livro Diário'!K:K,0),1),"")</f>
        <v/>
      </c>
      <c r="E11" s="69" t="str">
        <f ca="1">_xlfn.IFNA(_xlfn.IFNA(INDEX('Livro Diário'!F:F,MATCH('Livro Razao'!A11&amp;'Livro Razao'!$C$2,'Livro Diário'!L:L,0),1),""),"")</f>
        <v/>
      </c>
    </row>
    <row r="12" spans="1:5" x14ac:dyDescent="0.25">
      <c r="A12" s="54">
        <v>8</v>
      </c>
      <c r="B12" s="70"/>
      <c r="C12" s="54"/>
      <c r="D12" s="69" t="str">
        <f ca="1">_xlfn.IFNA(INDEX('Livro Diário'!F:F,MATCH('Livro Razao'!A12&amp;'Livro Razao'!$C$2,'Livro Diário'!K:K,0),1),"")</f>
        <v/>
      </c>
      <c r="E12" s="69" t="str">
        <f ca="1">_xlfn.IFNA(_xlfn.IFNA(INDEX('Livro Diário'!F:F,MATCH('Livro Razao'!A12&amp;'Livro Razao'!$C$2,'Livro Diário'!L:L,0),1),""),"")</f>
        <v/>
      </c>
    </row>
    <row r="13" spans="1:5" x14ac:dyDescent="0.25">
      <c r="A13" s="54">
        <v>9</v>
      </c>
      <c r="B13" s="70"/>
      <c r="C13" s="54"/>
      <c r="D13" s="69" t="str">
        <f ca="1">_xlfn.IFNA(INDEX('Livro Diário'!F:F,MATCH('Livro Razao'!A13&amp;'Livro Razao'!$C$2,'Livro Diário'!K:K,0),1),"")</f>
        <v/>
      </c>
      <c r="E13" s="69" t="str">
        <f ca="1">_xlfn.IFNA(_xlfn.IFNA(INDEX('Livro Diário'!F:F,MATCH('Livro Razao'!A13&amp;'Livro Razao'!$C$2,'Livro Diário'!L:L,0),1),""),"")</f>
        <v/>
      </c>
    </row>
    <row r="14" spans="1:5" x14ac:dyDescent="0.25">
      <c r="A14" s="54">
        <v>10</v>
      </c>
      <c r="B14" s="70"/>
      <c r="C14" s="54"/>
      <c r="D14" s="69" t="str">
        <f ca="1">_xlfn.IFNA(INDEX('Livro Diário'!F:F,MATCH('Livro Razao'!A14&amp;'Livro Razao'!$C$2,'Livro Diário'!K:K,0),1),"")</f>
        <v/>
      </c>
      <c r="E14" s="69" t="str">
        <f ca="1">_xlfn.IFNA(_xlfn.IFNA(INDEX('Livro Diário'!F:F,MATCH('Livro Razao'!A14&amp;'Livro Razao'!$C$2,'Livro Diário'!L:L,0),1),""),"")</f>
        <v/>
      </c>
    </row>
    <row r="15" spans="1:5" x14ac:dyDescent="0.25">
      <c r="A15" s="54">
        <v>11</v>
      </c>
      <c r="B15" s="70"/>
      <c r="C15" s="54"/>
      <c r="D15" s="69" t="str">
        <f ca="1">_xlfn.IFNA(INDEX('Livro Diário'!F:F,MATCH('Livro Razao'!A15&amp;'Livro Razao'!$C$2,'Livro Diário'!K:K,0),1),"")</f>
        <v/>
      </c>
      <c r="E15" s="69" t="str">
        <f ca="1">_xlfn.IFNA(_xlfn.IFNA(INDEX('Livro Diário'!F:F,MATCH('Livro Razao'!A15&amp;'Livro Razao'!$C$2,'Livro Diário'!L:L,0),1),""),"")</f>
        <v/>
      </c>
    </row>
    <row r="16" spans="1:5" x14ac:dyDescent="0.25">
      <c r="A16" s="54">
        <v>12</v>
      </c>
      <c r="B16" s="70"/>
      <c r="C16" s="54"/>
      <c r="D16" s="69" t="str">
        <f ca="1">_xlfn.IFNA(INDEX('Livro Diário'!F:F,MATCH('Livro Razao'!A16&amp;'Livro Razao'!$C$2,'Livro Diário'!K:K,0),1),"")</f>
        <v/>
      </c>
      <c r="E16" s="69" t="str">
        <f ca="1">_xlfn.IFNA(_xlfn.IFNA(INDEX('Livro Diário'!F:F,MATCH('Livro Razao'!A16&amp;'Livro Razao'!$C$2,'Livro Diário'!L:L,0),1),""),"")</f>
        <v/>
      </c>
    </row>
    <row r="17" spans="1:5" x14ac:dyDescent="0.25">
      <c r="A17" s="54">
        <v>13</v>
      </c>
      <c r="B17" s="70"/>
      <c r="C17" s="54"/>
      <c r="D17" s="69" t="str">
        <f ca="1">_xlfn.IFNA(INDEX('Livro Diário'!F:F,MATCH('Livro Razao'!A17&amp;'Livro Razao'!$C$2,'Livro Diário'!K:K,0),1),"")</f>
        <v/>
      </c>
      <c r="E17" s="69" t="str">
        <f ca="1">_xlfn.IFNA(_xlfn.IFNA(INDEX('Livro Diário'!F:F,MATCH('Livro Razao'!A17&amp;'Livro Razao'!$C$2,'Livro Diário'!L:L,0),1),""),"")</f>
        <v/>
      </c>
    </row>
    <row r="18" spans="1:5" x14ac:dyDescent="0.25">
      <c r="A18" s="54">
        <v>14</v>
      </c>
      <c r="B18" s="70"/>
      <c r="C18" s="54"/>
      <c r="D18" s="69" t="str">
        <f ca="1">_xlfn.IFNA(INDEX('Livro Diário'!F:F,MATCH('Livro Razao'!A18&amp;'Livro Razao'!$C$2,'Livro Diário'!K:K,0),1),"")</f>
        <v/>
      </c>
      <c r="E18" s="69" t="str">
        <f ca="1">_xlfn.IFNA(_xlfn.IFNA(INDEX('Livro Diário'!F:F,MATCH('Livro Razao'!A18&amp;'Livro Razao'!$C$2,'Livro Diário'!L:L,0),1),""),"")</f>
        <v/>
      </c>
    </row>
    <row r="19" spans="1:5" x14ac:dyDescent="0.25">
      <c r="A19" s="54">
        <v>15</v>
      </c>
      <c r="B19" s="70"/>
      <c r="C19" s="54"/>
      <c r="D19" s="69" t="str">
        <f ca="1">_xlfn.IFNA(INDEX('Livro Diário'!F:F,MATCH('Livro Razao'!A19&amp;'Livro Razao'!$C$2,'Livro Diário'!K:K,0),1),"")</f>
        <v/>
      </c>
      <c r="E19" s="69" t="str">
        <f ca="1">_xlfn.IFNA(_xlfn.IFNA(INDEX('Livro Diário'!F:F,MATCH('Livro Razao'!A19&amp;'Livro Razao'!$C$2,'Livro Diário'!L:L,0),1),""),"")</f>
        <v/>
      </c>
    </row>
    <row r="20" spans="1:5" x14ac:dyDescent="0.25">
      <c r="A20" s="54">
        <v>16</v>
      </c>
      <c r="B20" s="70"/>
      <c r="C20" s="54"/>
      <c r="D20" s="69" t="str">
        <f ca="1">_xlfn.IFNA(INDEX('Livro Diário'!F:F,MATCH('Livro Razao'!A20&amp;'Livro Razao'!$C$2,'Livro Diário'!K:K,0),1),"")</f>
        <v/>
      </c>
      <c r="E20" s="69" t="str">
        <f ca="1">_xlfn.IFNA(_xlfn.IFNA(INDEX('Livro Diário'!F:F,MATCH('Livro Razao'!A20&amp;'Livro Razao'!$C$2,'Livro Diário'!L:L,0),1),""),"")</f>
        <v/>
      </c>
    </row>
    <row r="21" spans="1:5" x14ac:dyDescent="0.25">
      <c r="A21" s="54">
        <v>17</v>
      </c>
      <c r="B21" s="70"/>
      <c r="C21" s="54"/>
      <c r="D21" s="69" t="str">
        <f ca="1">_xlfn.IFNA(INDEX('Livro Diário'!F:F,MATCH('Livro Razao'!A21&amp;'Livro Razao'!$C$2,'Livro Diário'!K:K,0),1),"")</f>
        <v/>
      </c>
      <c r="E21" s="69" t="str">
        <f ca="1">_xlfn.IFNA(_xlfn.IFNA(INDEX('Livro Diário'!F:F,MATCH('Livro Razao'!A21&amp;'Livro Razao'!$C$2,'Livro Diário'!L:L,0),1),""),"")</f>
        <v/>
      </c>
    </row>
    <row r="22" spans="1:5" x14ac:dyDescent="0.25">
      <c r="A22" s="54">
        <v>18</v>
      </c>
      <c r="B22" s="70"/>
      <c r="C22" s="54"/>
      <c r="D22" s="69" t="str">
        <f ca="1">_xlfn.IFNA(INDEX('Livro Diário'!F:F,MATCH('Livro Razao'!A22&amp;'Livro Razao'!$C$2,'Livro Diário'!K:K,0),1),"")</f>
        <v/>
      </c>
      <c r="E22" s="69" t="str">
        <f ca="1">_xlfn.IFNA(_xlfn.IFNA(INDEX('Livro Diário'!F:F,MATCH('Livro Razao'!A22&amp;'Livro Razao'!$C$2,'Livro Diário'!L:L,0),1),""),"")</f>
        <v/>
      </c>
    </row>
    <row r="23" spans="1:5" x14ac:dyDescent="0.25">
      <c r="A23" s="54">
        <v>19</v>
      </c>
      <c r="B23" s="70"/>
      <c r="C23" s="54"/>
      <c r="D23" s="69" t="str">
        <f ca="1">_xlfn.IFNA(INDEX('Livro Diário'!F:F,MATCH('Livro Razao'!A23&amp;'Livro Razao'!$C$2,'Livro Diário'!K:K,0),1),"")</f>
        <v/>
      </c>
      <c r="E23" s="69" t="str">
        <f ca="1">_xlfn.IFNA(_xlfn.IFNA(INDEX('Livro Diário'!F:F,MATCH('Livro Razao'!A23&amp;'Livro Razao'!$C$2,'Livro Diário'!L:L,0),1),""),"")</f>
        <v/>
      </c>
    </row>
    <row r="24" spans="1:5" x14ac:dyDescent="0.25">
      <c r="A24" s="54">
        <v>20</v>
      </c>
      <c r="B24" s="70"/>
      <c r="C24" s="54"/>
      <c r="D24" s="69" t="str">
        <f ca="1">_xlfn.IFNA(INDEX('Livro Diário'!F:F,MATCH('Livro Razao'!A24&amp;'Livro Razao'!$C$2,'Livro Diário'!K:K,0),1),"")</f>
        <v/>
      </c>
      <c r="E24" s="69" t="str">
        <f ca="1">_xlfn.IFNA(_xlfn.IFNA(INDEX('Livro Diário'!F:F,MATCH('Livro Razao'!A24&amp;'Livro Razao'!$C$2,'Livro Diário'!L:L,0),1),""),"")</f>
        <v/>
      </c>
    </row>
    <row r="25" spans="1:5" x14ac:dyDescent="0.25">
      <c r="A25" s="54"/>
      <c r="B25" s="70" t="s">
        <v>61</v>
      </c>
      <c r="C25" s="54"/>
      <c r="D25" s="69">
        <f ca="1">SUM(D4:D24)</f>
        <v>0</v>
      </c>
      <c r="E25" s="69">
        <f ca="1">SUM(E4:E24)</f>
        <v>0</v>
      </c>
    </row>
    <row r="26" spans="1:5" x14ac:dyDescent="0.25">
      <c r="A26" s="54"/>
      <c r="B26" s="70"/>
      <c r="C26" s="54"/>
      <c r="D26" s="69">
        <f ca="1">IF(E25&gt;D25,0,D25-E25)</f>
        <v>0</v>
      </c>
      <c r="E26" s="69">
        <f ca="1">IF(E25&lt;D25,0,E25-D25)</f>
        <v>0</v>
      </c>
    </row>
    <row r="27" spans="1:5" x14ac:dyDescent="0.25">
      <c r="A27" s="54"/>
      <c r="B27" s="70"/>
      <c r="C27" s="54"/>
      <c r="D27" s="69"/>
      <c r="E27" s="69"/>
    </row>
    <row r="28" spans="1:5" x14ac:dyDescent="0.25">
      <c r="B28" s="4"/>
      <c r="D28" s="49"/>
      <c r="E28" s="49"/>
    </row>
    <row r="29" spans="1:5" x14ac:dyDescent="0.25">
      <c r="B29" s="4"/>
      <c r="D29" s="49"/>
      <c r="E29" s="49"/>
    </row>
    <row r="30" spans="1:5" x14ac:dyDescent="0.25">
      <c r="B30" s="4"/>
      <c r="D30" s="49"/>
      <c r="E30" s="49"/>
    </row>
    <row r="31" spans="1:5" x14ac:dyDescent="0.25">
      <c r="B31" s="4"/>
      <c r="D31" s="49"/>
      <c r="E31" s="49"/>
    </row>
    <row r="32" spans="1:5" x14ac:dyDescent="0.25">
      <c r="B32" s="4"/>
      <c r="D32" s="49"/>
      <c r="E32" s="49"/>
    </row>
    <row r="33" spans="2:5" x14ac:dyDescent="0.25">
      <c r="B33" s="4"/>
      <c r="D33" s="49"/>
      <c r="E33" s="49"/>
    </row>
    <row r="34" spans="2:5" x14ac:dyDescent="0.25">
      <c r="B34" s="4"/>
      <c r="D34" s="49"/>
      <c r="E34" s="49"/>
    </row>
    <row r="35" spans="2:5" x14ac:dyDescent="0.25">
      <c r="B35" s="4"/>
      <c r="D35" s="49"/>
      <c r="E35" s="49"/>
    </row>
    <row r="36" spans="2:5" x14ac:dyDescent="0.25">
      <c r="D36" s="49"/>
      <c r="E36" s="49"/>
    </row>
    <row r="37" spans="2:5" x14ac:dyDescent="0.25">
      <c r="D37" s="49"/>
      <c r="E37" s="49"/>
    </row>
    <row r="38" spans="2:5" x14ac:dyDescent="0.25">
      <c r="D38" s="49"/>
      <c r="E38" s="49"/>
    </row>
    <row r="39" spans="2:5" x14ac:dyDescent="0.25">
      <c r="D39" s="49"/>
      <c r="E39" s="49"/>
    </row>
    <row r="40" spans="2:5" x14ac:dyDescent="0.25">
      <c r="D40" s="49"/>
      <c r="E40" s="49"/>
    </row>
    <row r="41" spans="2:5" x14ac:dyDescent="0.25">
      <c r="D41" s="49"/>
      <c r="E41" s="49"/>
    </row>
    <row r="42" spans="2:5" x14ac:dyDescent="0.25">
      <c r="D42" s="49"/>
      <c r="E42" s="49"/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Setup!$I$3:$I$44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U108"/>
  <sheetViews>
    <sheetView showGridLines="0" workbookViewId="0">
      <selection activeCell="O4" sqref="N4:O4"/>
    </sheetView>
  </sheetViews>
  <sheetFormatPr defaultRowHeight="15" x14ac:dyDescent="0.25"/>
  <cols>
    <col min="2" max="2" width="9.140625" style="85"/>
    <col min="5" max="5" width="10.140625" style="78" customWidth="1"/>
    <col min="6" max="6" width="10.7109375" style="86" bestFit="1" customWidth="1"/>
    <col min="9" max="9" width="11.5703125" style="78" customWidth="1"/>
    <col min="14" max="14" width="10.7109375" bestFit="1" customWidth="1"/>
  </cols>
  <sheetData>
    <row r="1" spans="1:21" x14ac:dyDescent="0.25">
      <c r="C1">
        <v>3</v>
      </c>
      <c r="G1">
        <v>4</v>
      </c>
      <c r="K1">
        <v>5</v>
      </c>
      <c r="O1">
        <v>6</v>
      </c>
      <c r="S1">
        <v>7</v>
      </c>
    </row>
    <row r="2" spans="1:21" x14ac:dyDescent="0.25">
      <c r="C2" s="138" t="str">
        <f ca="1">INDIRECT("Balancete!c"&amp;C1)</f>
        <v>Caixa</v>
      </c>
      <c r="D2" s="138"/>
      <c r="G2" s="138" t="str">
        <f ca="1">INDIRECT("Balancete!C"&amp;G1)</f>
        <v>Banco</v>
      </c>
      <c r="H2" s="138"/>
      <c r="K2" s="138" t="str">
        <f ca="1">INDIRECT("Balancete!C"&amp;K1)</f>
        <v>Contas a Receber</v>
      </c>
      <c r="L2" s="138"/>
      <c r="O2" s="138" t="str">
        <f ca="1">INDIRECT("Balancete!C"&amp;O1)</f>
        <v>PECLD</v>
      </c>
      <c r="P2" s="138"/>
      <c r="S2" s="138" t="str">
        <f ca="1">INDIRECT("Balancete!C"&amp;S1)</f>
        <v>Mercadorias</v>
      </c>
      <c r="T2" s="138"/>
    </row>
    <row r="3" spans="1:21" x14ac:dyDescent="0.25">
      <c r="A3">
        <v>2</v>
      </c>
      <c r="B3" s="85" t="s">
        <v>165</v>
      </c>
      <c r="C3" s="81" t="str">
        <f ca="1">IF(VLOOKUP(C2,Balancete!$C:$F,4,0)&gt;0,VLOOKUP(C2,Balancete!$C:$F,4,0),"")</f>
        <v/>
      </c>
      <c r="D3" s="82" t="str">
        <f ca="1">IF(VLOOKUP(C2,Balancete!$C:$G,5,0)&gt;0,VLOOKUP(C2,Balancete!$C:$G,5,0),"")</f>
        <v/>
      </c>
      <c r="F3" s="85" t="s">
        <v>165</v>
      </c>
      <c r="G3" s="81" t="str">
        <f ca="1">IF(VLOOKUP(G2,Balancete!$C:$F,4,0)&gt;0,VLOOKUP(G2,Balancete!$C:$F,4,0),"")</f>
        <v/>
      </c>
      <c r="H3" s="82" t="str">
        <f ca="1">IF(VLOOKUP(G2,Balancete!$C:$G,5,0)&gt;0,VLOOKUP(G2,Balancete!$C:$G,5,0),"")</f>
        <v/>
      </c>
      <c r="J3" s="85" t="s">
        <v>165</v>
      </c>
      <c r="K3" s="81" t="str">
        <f ca="1">IF(VLOOKUP(K2,Balancete!$C:$F,4,0)&gt;0,VLOOKUP(K2,Balancete!$C:$F,4,0),"")</f>
        <v/>
      </c>
      <c r="L3" s="82" t="str">
        <f ca="1">IF(VLOOKUP(K2,Balancete!$C:$G,5,0)&gt;0,VLOOKUP(K2,Balancete!$C:$G,5,0),"")</f>
        <v/>
      </c>
      <c r="M3" s="78"/>
      <c r="N3" s="85" t="s">
        <v>165</v>
      </c>
      <c r="O3" s="81" t="str">
        <f ca="1">IF(VLOOKUP(O2,Balancete!$C:$F,4,0)&gt;0,VLOOKUP(O2,Balancete!$C:$F,4,0),"")</f>
        <v/>
      </c>
      <c r="P3" s="82" t="str">
        <f ca="1">IF(VLOOKUP(O2,Balancete!$C:$G,5,0)&gt;0,VLOOKUP(O2,Balancete!$C:$G,5,0),"")</f>
        <v/>
      </c>
      <c r="Q3" s="78"/>
      <c r="R3" s="85" t="s">
        <v>165</v>
      </c>
      <c r="S3" s="81" t="str">
        <f ca="1">IF(VLOOKUP(S2,Balancete!$C:$F,4,0)&gt;0,VLOOKUP(S2,Balancete!$C:$F,4,0),"")</f>
        <v/>
      </c>
      <c r="T3" s="82" t="str">
        <f ca="1">IF(VLOOKUP(S2,Balancete!$C:$G,5,0)&gt;0,VLOOKUP(S2,Balancete!$C:$G,5,0),"")</f>
        <v/>
      </c>
      <c r="U3" s="78"/>
    </row>
    <row r="4" spans="1:21" x14ac:dyDescent="0.25">
      <c r="A4">
        <v>1</v>
      </c>
      <c r="B4" s="85" t="str">
        <f ca="1">IF(C4&lt;&gt;"",INDEX('Livro Diário'!$B:$B,MATCH(Razonete!C$2&amp;$A4,'Livro Diário'!$N:$N,0),1),"")</f>
        <v/>
      </c>
      <c r="C4" t="str">
        <f ca="1">_xlfn.IFNA(INDEX('Livro Diário'!$F:$F,MATCH(Razonete!C$2&amp;$A4,'Livro Diário'!$N:$N,0),0),"")</f>
        <v/>
      </c>
      <c r="D4" s="7" t="str">
        <f ca="1">_xlfn.IFNA(INDEX('Livro Diário'!$F:$F,MATCH(Razonete!C$2&amp;$A4,'Livro Diário'!$O:$O,0),0),"")</f>
        <v/>
      </c>
      <c r="E4" s="78" t="str">
        <f ca="1">IF(D4&lt;&gt;"",INDEX('Livro Diário'!$B:$B,MATCH(Razonete!C$2&amp;$A4,'Livro Diário'!$O:$O,0),1),"")</f>
        <v/>
      </c>
      <c r="F4" s="85" t="str">
        <f ca="1">IF(G4&lt;&gt;"",INDEX('Livro Diário'!$B:$B,MATCH(Razonete!G$2&amp;$A4,'Livro Diário'!$N:$N,0),1),"")</f>
        <v/>
      </c>
      <c r="G4" t="str">
        <f ca="1">_xlfn.IFNA(INDEX('Livro Diário'!$F:$F,MATCH(Razonete!G$2&amp;$A4,'Livro Diário'!$N:$N,0),0),"")</f>
        <v/>
      </c>
      <c r="H4" s="7" t="str">
        <f ca="1">_xlfn.IFNA(INDEX('Livro Diário'!$F:$F,MATCH(Razonete!G$2&amp;$A4,'Livro Diário'!$O:$O,0),0),"")</f>
        <v/>
      </c>
      <c r="I4" s="78" t="str">
        <f ca="1">IF(H4&lt;&gt;"",INDEX('Livro Diário'!$B:$B,MATCH(Razonete!G$2&amp;$A4,'Livro Diário'!$O:$O,0),1),"")</f>
        <v/>
      </c>
      <c r="J4" s="85" t="str">
        <f ca="1">IF(K4&lt;&gt;"",INDEX('Livro Diário'!$B:$B,MATCH(Razonete!K$2&amp;$A4,'Livro Diário'!$N:$N,0),1),"")</f>
        <v/>
      </c>
      <c r="K4" t="str">
        <f ca="1">_xlfn.IFNA(INDEX('Livro Diário'!$F:$F,MATCH(Razonete!K$2&amp;$A4,'Livro Diário'!$N:$N,0),0),"")</f>
        <v/>
      </c>
      <c r="L4" s="7">
        <f ca="1">_xlfn.IFNA(INDEX('Livro Diário'!$F:$F,MATCH(Razonete!K$2&amp;$A4,'Livro Diário'!$O:$O,0),0),"")</f>
        <v>450</v>
      </c>
      <c r="M4" s="78">
        <f ca="1">IF(L4&lt;&gt;"",INDEX('Livro Diário'!$B:$B,MATCH(Razonete!K$2&amp;$A4,'Livro Diário'!$O:$O,0),1),"")</f>
        <v>44565</v>
      </c>
      <c r="N4" s="85" t="str">
        <f ca="1">IF(O4&lt;&gt;"",INDEX('Livro Diário'!$B:$B,MATCH(Razonete!O$2&amp;$A4,'Livro Diário'!$N:$N,0),1),"")</f>
        <v/>
      </c>
      <c r="O4" t="str">
        <f ca="1">_xlfn.IFNA(INDEX('Livro Diário'!$F:$F,MATCH(Razonete!O$2&amp;$A4,'Livro Diário'!$N:$N,0),0),"")</f>
        <v/>
      </c>
      <c r="P4" s="7" t="str">
        <f ca="1">_xlfn.IFNA(INDEX('Livro Diário'!$F:$F,MATCH(Razonete!O$2&amp;$A4,'Livro Diário'!$O:$O,0),0),"")</f>
        <v/>
      </c>
      <c r="Q4" s="78" t="str">
        <f ca="1">IF(P4&lt;&gt;"",INDEX('Livro Diário'!$B:$B,MATCH(Razonete!O$2&amp;$A4,'Livro Diário'!$O:$O,0),1),"")</f>
        <v/>
      </c>
      <c r="R4" s="85" t="str">
        <f ca="1">IF(S4&lt;&gt;"",INDEX('Livro Diário'!$B:$B,MATCH(Razonete!S$2&amp;$A4,'Livro Diário'!$N:$N,0),1),"")</f>
        <v/>
      </c>
      <c r="S4" t="str">
        <f ca="1">_xlfn.IFNA(INDEX('Livro Diário'!$F:$F,MATCH(Razonete!S$2&amp;$A4,'Livro Diário'!$N:$N,0),0),"")</f>
        <v/>
      </c>
      <c r="T4" s="7" t="str">
        <f ca="1">_xlfn.IFNA(INDEX('Livro Diário'!$F:$F,MATCH(Razonete!S$2&amp;$A4,'Livro Diário'!$O:$O,0),0),"")</f>
        <v/>
      </c>
      <c r="U4" s="78" t="str">
        <f ca="1">IF(T4&lt;&gt;"",INDEX('Livro Diário'!$B:$B,MATCH(Razonete!S$2&amp;$A4,'Livro Diário'!$O:$O,0),1),"")</f>
        <v/>
      </c>
    </row>
    <row r="5" spans="1:21" x14ac:dyDescent="0.25">
      <c r="A5">
        <v>2</v>
      </c>
      <c r="B5" s="85" t="str">
        <f ca="1">IF(C5&lt;&gt;"",INDEX('Livro Diário'!$B:$B,MATCH(Razonete!C$2&amp;$A5,'Livro Diário'!$N:$N,0),1),"")</f>
        <v/>
      </c>
      <c r="C5" t="str">
        <f ca="1">_xlfn.IFNA(INDEX('Livro Diário'!$F:$F,MATCH(Razonete!C$2&amp;$A5,'Livro Diário'!$N:$N,0),0),"")</f>
        <v/>
      </c>
      <c r="D5" s="7" t="str">
        <f ca="1">_xlfn.IFNA(INDEX('Livro Diário'!$F:$F,MATCH(Razonete!C$2&amp;$A5,'Livro Diário'!$O:$O,0),0),"")</f>
        <v/>
      </c>
      <c r="E5" s="78" t="str">
        <f ca="1">IF(D5&lt;&gt;"",INDEX('Livro Diário'!$B:$B,MATCH(Razonete!C$2&amp;$A5,'Livro Diário'!$O:$O,0),1),"")</f>
        <v/>
      </c>
      <c r="F5" s="85" t="str">
        <f ca="1">IF(G5&lt;&gt;"",INDEX('Livro Diário'!$B:$B,MATCH(Razonete!G$2&amp;$A5,'Livro Diário'!$N:$N,0),1),"")</f>
        <v/>
      </c>
      <c r="G5" t="str">
        <f ca="1">_xlfn.IFNA(INDEX('Livro Diário'!$F:$F,MATCH(Razonete!G$2&amp;$A5,'Livro Diário'!$N:$N,0),0),"")</f>
        <v/>
      </c>
      <c r="H5" s="7" t="str">
        <f ca="1">_xlfn.IFNA(INDEX('Livro Diário'!$F:$F,MATCH(Razonete!G$2&amp;$A5,'Livro Diário'!$O:$O,0),0),"")</f>
        <v/>
      </c>
      <c r="I5" s="78" t="str">
        <f ca="1">IF(H5&lt;&gt;"",INDEX('Livro Diário'!$B:$B,MATCH(Razonete!G$2&amp;$A5,'Livro Diário'!$O:$O,0),1),"")</f>
        <v/>
      </c>
      <c r="J5" s="85" t="str">
        <f ca="1">IF(K5&lt;&gt;"",INDEX('Livro Diário'!$B:$B,MATCH(Razonete!K$2&amp;$A5,'Livro Diário'!$N:$N,0),1),"")</f>
        <v/>
      </c>
      <c r="K5" t="str">
        <f ca="1">_xlfn.IFNA(INDEX('Livro Diário'!$F:$F,MATCH(Razonete!K$2&amp;$A5,'Livro Diário'!$N:$N,0),0),"")</f>
        <v/>
      </c>
      <c r="L5" s="7" t="str">
        <f ca="1">_xlfn.IFNA(INDEX('Livro Diário'!$F:$F,MATCH(Razonete!K$2&amp;$A5,'Livro Diário'!$O:$O,0),0),"")</f>
        <v/>
      </c>
      <c r="M5" s="78" t="str">
        <f ca="1">IF(L5&lt;&gt;"",INDEX('Livro Diário'!$B:$B,MATCH(Razonete!K$2&amp;$A5,'Livro Diário'!$O:$O,0),1),"")</f>
        <v/>
      </c>
      <c r="N5" s="85" t="str">
        <f ca="1">IF(O5&lt;&gt;"",INDEX('Livro Diário'!$B:$B,MATCH(Razonete!O$2&amp;$A5,'Livro Diário'!$N:$N,0),1),"")</f>
        <v/>
      </c>
      <c r="O5" t="str">
        <f ca="1">_xlfn.IFNA(INDEX('Livro Diário'!$F:$F,MATCH(Razonete!O$2&amp;$A5,'Livro Diário'!$N:$N,0),0),"")</f>
        <v/>
      </c>
      <c r="P5" s="7" t="str">
        <f ca="1">_xlfn.IFNA(INDEX('Livro Diário'!$F:$F,MATCH(Razonete!O$2&amp;$A5,'Livro Diário'!$O:$O,0),0),"")</f>
        <v/>
      </c>
      <c r="Q5" s="78" t="str">
        <f ca="1">IF(P5&lt;&gt;"",INDEX('Livro Diário'!$B:$B,MATCH(Razonete!O$2&amp;$A5,'Livro Diário'!$O:$O,0),1),"")</f>
        <v/>
      </c>
      <c r="R5" s="85" t="str">
        <f ca="1">IF(S5&lt;&gt;"",INDEX('Livro Diário'!$B:$B,MATCH(Razonete!S$2&amp;$A5,'Livro Diário'!$N:$N,0),1),"")</f>
        <v/>
      </c>
      <c r="S5" t="str">
        <f ca="1">_xlfn.IFNA(INDEX('Livro Diário'!$F:$F,MATCH(Razonete!S$2&amp;$A5,'Livro Diário'!$N:$N,0),0),"")</f>
        <v/>
      </c>
      <c r="T5" s="7" t="str">
        <f ca="1">_xlfn.IFNA(INDEX('Livro Diário'!$F:$F,MATCH(Razonete!S$2&amp;$A5,'Livro Diário'!$O:$O,0),0),"")</f>
        <v/>
      </c>
      <c r="U5" s="78" t="str">
        <f ca="1">IF(T5&lt;&gt;"",INDEX('Livro Diário'!$B:$B,MATCH(Razonete!S$2&amp;$A5,'Livro Diário'!$O:$O,0),1),"")</f>
        <v/>
      </c>
    </row>
    <row r="6" spans="1:21" x14ac:dyDescent="0.25">
      <c r="A6">
        <v>3</v>
      </c>
      <c r="B6" s="85" t="str">
        <f ca="1">IF(C6&lt;&gt;"",INDEX('Livro Diário'!$B:$B,MATCH(Razonete!C$2&amp;$A6,'Livro Diário'!$N:$N,0),1),"")</f>
        <v/>
      </c>
      <c r="C6" t="str">
        <f ca="1">_xlfn.IFNA(INDEX('Livro Diário'!$F:$F,MATCH(Razonete!C$2&amp;$A6,'Livro Diário'!$N:$N,0),0),"")</f>
        <v/>
      </c>
      <c r="D6" s="7" t="str">
        <f ca="1">_xlfn.IFNA(INDEX('Livro Diário'!$F:$F,MATCH(Razonete!C$2&amp;$A6,'Livro Diário'!$O:$O,0),0),"")</f>
        <v/>
      </c>
      <c r="E6" s="78" t="str">
        <f ca="1">IF(D6&lt;&gt;"",INDEX('Livro Diário'!$B:$B,MATCH(Razonete!C$2&amp;$A6,'Livro Diário'!$O:$O,0),1),"")</f>
        <v/>
      </c>
      <c r="F6" s="85" t="str">
        <f ca="1">IF(G6&lt;&gt;"",INDEX('Livro Diário'!$B:$B,MATCH(Razonete!G$2&amp;$A6,'Livro Diário'!$N:$N,0),1),"")</f>
        <v/>
      </c>
      <c r="G6" t="str">
        <f ca="1">_xlfn.IFNA(INDEX('Livro Diário'!$F:$F,MATCH(Razonete!G$2&amp;$A6,'Livro Diário'!$N:$N,0),0),"")</f>
        <v/>
      </c>
      <c r="H6" s="7" t="str">
        <f ca="1">_xlfn.IFNA(INDEX('Livro Diário'!$F:$F,MATCH(Razonete!G$2&amp;$A6,'Livro Diário'!$O:$O,0),0),"")</f>
        <v/>
      </c>
      <c r="I6" s="78" t="str">
        <f ca="1">IF(H6&lt;&gt;"",INDEX('Livro Diário'!$B:$B,MATCH(Razonete!G$2&amp;$A6,'Livro Diário'!$O:$O,0),1),"")</f>
        <v/>
      </c>
      <c r="J6" s="85" t="str">
        <f ca="1">IF(K6&lt;&gt;"",INDEX('Livro Diário'!$B:$B,MATCH(Razonete!K$2&amp;$A6,'Livro Diário'!$N:$N,0),1),"")</f>
        <v/>
      </c>
      <c r="K6" t="str">
        <f ca="1">_xlfn.IFNA(INDEX('Livro Diário'!$F:$F,MATCH(Razonete!K$2&amp;$A6,'Livro Diário'!$N:$N,0),0),"")</f>
        <v/>
      </c>
      <c r="L6" s="7" t="str">
        <f ca="1">_xlfn.IFNA(INDEX('Livro Diário'!$F:$F,MATCH(Razonete!K$2&amp;$A6,'Livro Diário'!$O:$O,0),0),"")</f>
        <v/>
      </c>
      <c r="M6" s="78" t="str">
        <f ca="1">IF(L6&lt;&gt;"",INDEX('Livro Diário'!$B:$B,MATCH(Razonete!K$2&amp;$A6,'Livro Diário'!$O:$O,0),1),"")</f>
        <v/>
      </c>
      <c r="N6" s="85" t="str">
        <f ca="1">IF(O6&lt;&gt;"",INDEX('Livro Diário'!$B:$B,MATCH(Razonete!O$2&amp;$A6,'Livro Diário'!$N:$N,0),1),"")</f>
        <v/>
      </c>
      <c r="O6" t="str">
        <f ca="1">_xlfn.IFNA(INDEX('Livro Diário'!$F:$F,MATCH(Razonete!O$2&amp;$A6,'Livro Diário'!$N:$N,0),0),"")</f>
        <v/>
      </c>
      <c r="P6" s="7" t="str">
        <f ca="1">_xlfn.IFNA(INDEX('Livro Diário'!$F:$F,MATCH(Razonete!O$2&amp;$A6,'Livro Diário'!$O:$O,0),0),"")</f>
        <v/>
      </c>
      <c r="Q6" s="78" t="str">
        <f ca="1">IF(P6&lt;&gt;"",INDEX('Livro Diário'!$B:$B,MATCH(Razonete!O$2&amp;$A6,'Livro Diário'!$O:$O,0),1),"")</f>
        <v/>
      </c>
      <c r="R6" s="85" t="str">
        <f ca="1">IF(S6&lt;&gt;"",INDEX('Livro Diário'!$B:$B,MATCH(Razonete!S$2&amp;$A6,'Livro Diário'!$N:$N,0),1),"")</f>
        <v/>
      </c>
      <c r="S6" t="str">
        <f ca="1">_xlfn.IFNA(INDEX('Livro Diário'!$F:$F,MATCH(Razonete!S$2&amp;$A6,'Livro Diário'!$N:$N,0),0),"")</f>
        <v/>
      </c>
      <c r="T6" s="7" t="str">
        <f ca="1">_xlfn.IFNA(INDEX('Livro Diário'!$F:$F,MATCH(Razonete!S$2&amp;$A6,'Livro Diário'!$O:$O,0),0),"")</f>
        <v/>
      </c>
      <c r="U6" s="78" t="str">
        <f ca="1">IF(T6&lt;&gt;"",INDEX('Livro Diário'!$B:$B,MATCH(Razonete!S$2&amp;$A6,'Livro Diário'!$O:$O,0),1),"")</f>
        <v/>
      </c>
    </row>
    <row r="7" spans="1:21" x14ac:dyDescent="0.25">
      <c r="A7">
        <v>4</v>
      </c>
      <c r="B7" s="85" t="str">
        <f ca="1">IF(C7&lt;&gt;"",INDEX('Livro Diário'!$B:$B,MATCH(Razonete!C$2&amp;$A7,'Livro Diário'!$N:$N,0),1),"")</f>
        <v/>
      </c>
      <c r="C7" t="str">
        <f ca="1">_xlfn.IFNA(INDEX('Livro Diário'!$F:$F,MATCH(Razonete!C$2&amp;$A7,'Livro Diário'!$N:$N,0),0),"")</f>
        <v/>
      </c>
      <c r="D7" s="7" t="str">
        <f ca="1">_xlfn.IFNA(INDEX('Livro Diário'!$F:$F,MATCH(Razonete!C$2&amp;$A7,'Livro Diário'!$O:$O,0),0),"")</f>
        <v/>
      </c>
      <c r="E7" s="78" t="str">
        <f ca="1">IF(D7&lt;&gt;"",INDEX('Livro Diário'!$B:$B,MATCH(Razonete!C$2&amp;$A7,'Livro Diário'!$O:$O,0),1),"")</f>
        <v/>
      </c>
      <c r="F7" s="85" t="str">
        <f ca="1">IF(G7&lt;&gt;"",INDEX('Livro Diário'!$B:$B,MATCH(Razonete!G$2&amp;$A7,'Livro Diário'!$N:$N,0),1),"")</f>
        <v/>
      </c>
      <c r="G7" t="str">
        <f ca="1">_xlfn.IFNA(INDEX('Livro Diário'!$F:$F,MATCH(Razonete!G$2&amp;$A7,'Livro Diário'!$N:$N,0),0),"")</f>
        <v/>
      </c>
      <c r="H7" s="7" t="str">
        <f ca="1">_xlfn.IFNA(INDEX('Livro Diário'!$F:$F,MATCH(Razonete!G$2&amp;$A7,'Livro Diário'!$O:$O,0),0),"")</f>
        <v/>
      </c>
      <c r="I7" s="78" t="str">
        <f ca="1">IF(H7&lt;&gt;"",INDEX('Livro Diário'!$B:$B,MATCH(Razonete!G$2&amp;$A7,'Livro Diário'!$O:$O,0),1),"")</f>
        <v/>
      </c>
      <c r="J7" s="85" t="str">
        <f ca="1">IF(K7&lt;&gt;"",INDEX('Livro Diário'!$B:$B,MATCH(Razonete!K$2&amp;$A7,'Livro Diário'!$N:$N,0),1),"")</f>
        <v/>
      </c>
      <c r="K7" t="str">
        <f ca="1">_xlfn.IFNA(INDEX('Livro Diário'!$F:$F,MATCH(Razonete!K$2&amp;$A7,'Livro Diário'!$N:$N,0),0),"")</f>
        <v/>
      </c>
      <c r="L7" s="7" t="str">
        <f ca="1">_xlfn.IFNA(INDEX('Livro Diário'!$F:$F,MATCH(Razonete!K$2&amp;$A7,'Livro Diário'!$O:$O,0),0),"")</f>
        <v/>
      </c>
      <c r="M7" s="78" t="str">
        <f ca="1">IF(L7&lt;&gt;"",INDEX('Livro Diário'!$B:$B,MATCH(Razonete!K$2&amp;$A7,'Livro Diário'!$O:$O,0),1),"")</f>
        <v/>
      </c>
      <c r="N7" s="85" t="str">
        <f ca="1">IF(O7&lt;&gt;"",INDEX('Livro Diário'!$B:$B,MATCH(Razonete!O$2&amp;$A7,'Livro Diário'!$N:$N,0),1),"")</f>
        <v/>
      </c>
      <c r="O7" t="str">
        <f ca="1">_xlfn.IFNA(INDEX('Livro Diário'!$F:$F,MATCH(Razonete!O$2&amp;$A7,'Livro Diário'!$N:$N,0),0),"")</f>
        <v/>
      </c>
      <c r="P7" s="7" t="str">
        <f ca="1">_xlfn.IFNA(INDEX('Livro Diário'!$F:$F,MATCH(Razonete!O$2&amp;$A7,'Livro Diário'!$O:$O,0),0),"")</f>
        <v/>
      </c>
      <c r="Q7" s="78" t="str">
        <f ca="1">IF(P7&lt;&gt;"",INDEX('Livro Diário'!$B:$B,MATCH(Razonete!O$2&amp;$A7,'Livro Diário'!$O:$O,0),1),"")</f>
        <v/>
      </c>
      <c r="R7" s="85" t="str">
        <f ca="1">IF(S7&lt;&gt;"",INDEX('Livro Diário'!$B:$B,MATCH(Razonete!S$2&amp;$A7,'Livro Diário'!$N:$N,0),1),"")</f>
        <v/>
      </c>
      <c r="S7" t="str">
        <f ca="1">_xlfn.IFNA(INDEX('Livro Diário'!$F:$F,MATCH(Razonete!S$2&amp;$A7,'Livro Diário'!$N:$N,0),0),"")</f>
        <v/>
      </c>
      <c r="T7" s="7" t="str">
        <f ca="1">_xlfn.IFNA(INDEX('Livro Diário'!$F:$F,MATCH(Razonete!S$2&amp;$A7,'Livro Diário'!$O:$O,0),0),"")</f>
        <v/>
      </c>
      <c r="U7" s="78" t="str">
        <f ca="1">IF(T7&lt;&gt;"",INDEX('Livro Diário'!$B:$B,MATCH(Razonete!S$2&amp;$A7,'Livro Diário'!$O:$O,0),1),"")</f>
        <v/>
      </c>
    </row>
    <row r="8" spans="1:21" x14ac:dyDescent="0.25">
      <c r="A8">
        <v>5</v>
      </c>
      <c r="B8" s="85" t="str">
        <f ca="1">IF(C8&lt;&gt;"",INDEX('Livro Diário'!$B:$B,MATCH(Razonete!C$2&amp;$A8,'Livro Diário'!$N:$N,0),1),"")</f>
        <v/>
      </c>
      <c r="C8" t="str">
        <f ca="1">_xlfn.IFNA(INDEX('Livro Diário'!$F:$F,MATCH(Razonete!C$2&amp;$A8,'Livro Diário'!$N:$N,0),0),"")</f>
        <v/>
      </c>
      <c r="D8" s="7" t="str">
        <f ca="1">_xlfn.IFNA(INDEX('Livro Diário'!$F:$F,MATCH(Razonete!C$2&amp;$A8,'Livro Diário'!$O:$O,0),0),"")</f>
        <v/>
      </c>
      <c r="E8" s="78" t="str">
        <f ca="1">IF(D8&lt;&gt;"",INDEX('Livro Diário'!$B:$B,MATCH(Razonete!C$2&amp;$A8,'Livro Diário'!$O:$O,0),1),"")</f>
        <v/>
      </c>
      <c r="F8" s="85" t="str">
        <f ca="1">IF(G8&lt;&gt;"",INDEX('Livro Diário'!$B:$B,MATCH(Razonete!G$2&amp;$A8,'Livro Diário'!$N:$N,0),1),"")</f>
        <v/>
      </c>
      <c r="G8" t="str">
        <f ca="1">_xlfn.IFNA(INDEX('Livro Diário'!$F:$F,MATCH(Razonete!G$2&amp;$A8,'Livro Diário'!$N:$N,0),0),"")</f>
        <v/>
      </c>
      <c r="H8" s="7" t="str">
        <f ca="1">_xlfn.IFNA(INDEX('Livro Diário'!$F:$F,MATCH(Razonete!G$2&amp;$A8,'Livro Diário'!$O:$O,0),0),"")</f>
        <v/>
      </c>
      <c r="I8" s="78" t="str">
        <f ca="1">IF(H8&lt;&gt;"",INDEX('Livro Diário'!$B:$B,MATCH(Razonete!G$2&amp;$A8,'Livro Diário'!$O:$O,0),1),"")</f>
        <v/>
      </c>
      <c r="J8" s="85" t="str">
        <f ca="1">IF(K8&lt;&gt;"",INDEX('Livro Diário'!$B:$B,MATCH(Razonete!K$2&amp;$A8,'Livro Diário'!$N:$N,0),1),"")</f>
        <v/>
      </c>
      <c r="K8" t="str">
        <f ca="1">_xlfn.IFNA(INDEX('Livro Diário'!$F:$F,MATCH(Razonete!K$2&amp;$A8,'Livro Diário'!$N:$N,0),0),"")</f>
        <v/>
      </c>
      <c r="L8" s="7" t="str">
        <f ca="1">_xlfn.IFNA(INDEX('Livro Diário'!$F:$F,MATCH(Razonete!K$2&amp;$A8,'Livro Diário'!$O:$O,0),0),"")</f>
        <v/>
      </c>
      <c r="M8" s="78" t="str">
        <f ca="1">IF(L8&lt;&gt;"",INDEX('Livro Diário'!$B:$B,MATCH(Razonete!K$2&amp;$A8,'Livro Diário'!$O:$O,0),1),"")</f>
        <v/>
      </c>
      <c r="N8" s="85" t="str">
        <f ca="1">IF(O8&lt;&gt;"",INDEX('Livro Diário'!$B:$B,MATCH(Razonete!O$2&amp;$A8,'Livro Diário'!$N:$N,0),1),"")</f>
        <v/>
      </c>
      <c r="O8" t="str">
        <f ca="1">_xlfn.IFNA(INDEX('Livro Diário'!$F:$F,MATCH(Razonete!O$2&amp;$A8,'Livro Diário'!$N:$N,0),0),"")</f>
        <v/>
      </c>
      <c r="P8" s="7" t="str">
        <f ca="1">_xlfn.IFNA(INDEX('Livro Diário'!$F:$F,MATCH(Razonete!O$2&amp;$A8,'Livro Diário'!$O:$O,0),0),"")</f>
        <v/>
      </c>
      <c r="Q8" s="78" t="str">
        <f ca="1">IF(P8&lt;&gt;"",INDEX('Livro Diário'!$B:$B,MATCH(Razonete!O$2&amp;$A8,'Livro Diário'!$O:$O,0),1),"")</f>
        <v/>
      </c>
      <c r="R8" s="85" t="str">
        <f ca="1">IF(S8&lt;&gt;"",INDEX('Livro Diário'!$B:$B,MATCH(Razonete!S$2&amp;$A8,'Livro Diário'!$N:$N,0),1),"")</f>
        <v/>
      </c>
      <c r="S8" t="str">
        <f ca="1">_xlfn.IFNA(INDEX('Livro Diário'!$F:$F,MATCH(Razonete!S$2&amp;$A8,'Livro Diário'!$N:$N,0),0),"")</f>
        <v/>
      </c>
      <c r="T8" s="7" t="str">
        <f ca="1">_xlfn.IFNA(INDEX('Livro Diário'!$F:$F,MATCH(Razonete!S$2&amp;$A8,'Livro Diário'!$O:$O,0),0),"")</f>
        <v/>
      </c>
      <c r="U8" s="78" t="str">
        <f ca="1">IF(T8&lt;&gt;"",INDEX('Livro Diário'!$B:$B,MATCH(Razonete!S$2&amp;$A8,'Livro Diário'!$O:$O,0),1),"")</f>
        <v/>
      </c>
    </row>
    <row r="9" spans="1:21" x14ac:dyDescent="0.25">
      <c r="A9">
        <v>6</v>
      </c>
      <c r="B9" s="85" t="str">
        <f ca="1">IF(C9&lt;&gt;"",INDEX('Livro Diário'!$B:$B,MATCH(Razonete!C$2&amp;$A9,'Livro Diário'!$N:$N,0),1),"")</f>
        <v/>
      </c>
      <c r="C9" t="str">
        <f ca="1">_xlfn.IFNA(INDEX('Livro Diário'!$F:$F,MATCH(Razonete!C$2&amp;$A9,'Livro Diário'!$N:$N,0),0),"")</f>
        <v/>
      </c>
      <c r="D9" s="7" t="str">
        <f ca="1">_xlfn.IFNA(INDEX('Livro Diário'!$F:$F,MATCH(Razonete!C$2&amp;$A9,'Livro Diário'!$O:$O,0),0),"")</f>
        <v/>
      </c>
      <c r="E9" s="78" t="str">
        <f ca="1">IF(D9&lt;&gt;"",INDEX('Livro Diário'!$B:$B,MATCH(Razonete!C$2&amp;$A9,'Livro Diário'!$O:$O,0),1),"")</f>
        <v/>
      </c>
      <c r="F9" s="85" t="str">
        <f ca="1">IF(G9&lt;&gt;"",INDEX('Livro Diário'!$B:$B,MATCH(Razonete!G$2&amp;$A9,'Livro Diário'!$N:$N,0),1),"")</f>
        <v/>
      </c>
      <c r="G9" t="str">
        <f ca="1">_xlfn.IFNA(INDEX('Livro Diário'!$F:$F,MATCH(Razonete!G$2&amp;$A9,'Livro Diário'!$N:$N,0),0),"")</f>
        <v/>
      </c>
      <c r="H9" s="7" t="str">
        <f ca="1">_xlfn.IFNA(INDEX('Livro Diário'!$F:$F,MATCH(Razonete!G$2&amp;$A9,'Livro Diário'!$O:$O,0),0),"")</f>
        <v/>
      </c>
      <c r="I9" s="78" t="str">
        <f ca="1">IF(H9&lt;&gt;"",INDEX('Livro Diário'!$B:$B,MATCH(Razonete!G$2&amp;$A9,'Livro Diário'!$O:$O,0),1),"")</f>
        <v/>
      </c>
      <c r="J9" s="85" t="str">
        <f ca="1">IF(K9&lt;&gt;"",INDEX('Livro Diário'!$B:$B,MATCH(Razonete!K$2&amp;$A9,'Livro Diário'!$N:$N,0),1),"")</f>
        <v/>
      </c>
      <c r="K9" t="str">
        <f ca="1">_xlfn.IFNA(INDEX('Livro Diário'!$F:$F,MATCH(Razonete!K$2&amp;$A9,'Livro Diário'!$N:$N,0),0),"")</f>
        <v/>
      </c>
      <c r="L9" s="7" t="str">
        <f ca="1">_xlfn.IFNA(INDEX('Livro Diário'!$F:$F,MATCH(Razonete!K$2&amp;$A9,'Livro Diário'!$O:$O,0),0),"")</f>
        <v/>
      </c>
      <c r="M9" s="78" t="str">
        <f ca="1">IF(L9&lt;&gt;"",INDEX('Livro Diário'!$B:$B,MATCH(Razonete!K$2&amp;$A9,'Livro Diário'!$O:$O,0),1),"")</f>
        <v/>
      </c>
      <c r="N9" s="85" t="str">
        <f ca="1">IF(O9&lt;&gt;"",INDEX('Livro Diário'!$B:$B,MATCH(Razonete!O$2&amp;$A9,'Livro Diário'!$N:$N,0),1),"")</f>
        <v/>
      </c>
      <c r="O9" t="str">
        <f ca="1">_xlfn.IFNA(INDEX('Livro Diário'!$F:$F,MATCH(Razonete!O$2&amp;$A9,'Livro Diário'!$N:$N,0),0),"")</f>
        <v/>
      </c>
      <c r="P9" s="7" t="str">
        <f ca="1">_xlfn.IFNA(INDEX('Livro Diário'!$F:$F,MATCH(Razonete!O$2&amp;$A9,'Livro Diário'!$O:$O,0),0),"")</f>
        <v/>
      </c>
      <c r="Q9" s="78" t="str">
        <f ca="1">IF(P9&lt;&gt;"",INDEX('Livro Diário'!$B:$B,MATCH(Razonete!O$2&amp;$A9,'Livro Diário'!$O:$O,0),1),"")</f>
        <v/>
      </c>
      <c r="R9" s="85" t="str">
        <f ca="1">IF(S9&lt;&gt;"",INDEX('Livro Diário'!$B:$B,MATCH(Razonete!S$2&amp;$A9,'Livro Diário'!$N:$N,0),1),"")</f>
        <v/>
      </c>
      <c r="S9" t="str">
        <f ca="1">_xlfn.IFNA(INDEX('Livro Diário'!$F:$F,MATCH(Razonete!S$2&amp;$A9,'Livro Diário'!$N:$N,0),0),"")</f>
        <v/>
      </c>
      <c r="T9" s="7" t="str">
        <f ca="1">_xlfn.IFNA(INDEX('Livro Diário'!$F:$F,MATCH(Razonete!S$2&amp;$A9,'Livro Diário'!$O:$O,0),0),"")</f>
        <v/>
      </c>
      <c r="U9" s="78" t="str">
        <f ca="1">IF(T9&lt;&gt;"",INDEX('Livro Diário'!$B:$B,MATCH(Razonete!S$2&amp;$A9,'Livro Diário'!$O:$O,0),1),"")</f>
        <v/>
      </c>
    </row>
    <row r="10" spans="1:21" ht="15.75" thickBot="1" x14ac:dyDescent="0.3">
      <c r="A10">
        <v>7</v>
      </c>
      <c r="B10" s="85" t="str">
        <f ca="1">IF(C10&lt;&gt;"",INDEX('Livro Diário'!$B:$B,MATCH(Razonete!C$2&amp;$A10,'Livro Diário'!$N:$N,0),1),"")</f>
        <v/>
      </c>
      <c r="C10" t="str">
        <f ca="1">_xlfn.IFNA(INDEX('Livro Diário'!$F:$F,MATCH(Razonete!C$2&amp;$A10,'Livro Diário'!$N:$N,0),0),"")</f>
        <v/>
      </c>
      <c r="D10" s="7" t="str">
        <f ca="1">_xlfn.IFNA(INDEX('Livro Diário'!$F:$F,MATCH(Razonete!C$2&amp;$A10,'Livro Diário'!$O:$O,0),0),"")</f>
        <v/>
      </c>
      <c r="E10" s="78" t="str">
        <f ca="1">IF(D10&lt;&gt;"",INDEX('Livro Diário'!$B:$B,MATCH(Razonete!C$2&amp;$A10,'Livro Diário'!$O:$O,0),1),"")</f>
        <v/>
      </c>
      <c r="F10" s="85" t="str">
        <f ca="1">IF(G10&lt;&gt;"",INDEX('Livro Diário'!$B:$B,MATCH(Razonete!G$2&amp;$A10,'Livro Diário'!$N:$N,0),1),"")</f>
        <v/>
      </c>
      <c r="G10" t="str">
        <f ca="1">_xlfn.IFNA(INDEX('Livro Diário'!$F:$F,MATCH(Razonete!G$2&amp;$A10,'Livro Diário'!$N:$N,0),0),"")</f>
        <v/>
      </c>
      <c r="H10" s="7" t="str">
        <f ca="1">_xlfn.IFNA(INDEX('Livro Diário'!$F:$F,MATCH(Razonete!G$2&amp;$A10,'Livro Diário'!$O:$O,0),0),"")</f>
        <v/>
      </c>
      <c r="I10" s="78" t="str">
        <f ca="1">IF(H10&lt;&gt;"",INDEX('Livro Diário'!$B:$B,MATCH(Razonete!G$2&amp;$A10,'Livro Diário'!$O:$O,0),1),"")</f>
        <v/>
      </c>
      <c r="J10" s="85" t="str">
        <f ca="1">IF(K10&lt;&gt;"",INDEX('Livro Diário'!$B:$B,MATCH(Razonete!K$2&amp;$A10,'Livro Diário'!$N:$N,0),1),"")</f>
        <v/>
      </c>
      <c r="K10" t="str">
        <f ca="1">_xlfn.IFNA(INDEX('Livro Diário'!$F:$F,MATCH(Razonete!K$2&amp;$A10,'Livro Diário'!$N:$N,0),0),"")</f>
        <v/>
      </c>
      <c r="L10" s="7" t="str">
        <f ca="1">_xlfn.IFNA(INDEX('Livro Diário'!$F:$F,MATCH(Razonete!K$2&amp;$A10,'Livro Diário'!$O:$O,0),0),"")</f>
        <v/>
      </c>
      <c r="M10" s="78" t="str">
        <f ca="1">IF(L10&lt;&gt;"",INDEX('Livro Diário'!$B:$B,MATCH(Razonete!K$2&amp;$A10,'Livro Diário'!$O:$O,0),1),"")</f>
        <v/>
      </c>
      <c r="N10" s="85" t="str">
        <f ca="1">IF(O10&lt;&gt;"",INDEX('Livro Diário'!$B:$B,MATCH(Razonete!O$2&amp;$A10,'Livro Diário'!$N:$N,0),1),"")</f>
        <v/>
      </c>
      <c r="O10" t="str">
        <f ca="1">_xlfn.IFNA(INDEX('Livro Diário'!$F:$F,MATCH(Razonete!O$2&amp;$A10,'Livro Diário'!$N:$N,0),0),"")</f>
        <v/>
      </c>
      <c r="P10" s="7" t="str">
        <f ca="1">_xlfn.IFNA(INDEX('Livro Diário'!$F:$F,MATCH(Razonete!O$2&amp;$A10,'Livro Diário'!$O:$O,0),0),"")</f>
        <v/>
      </c>
      <c r="Q10" s="78" t="str">
        <f ca="1">IF(P10&lt;&gt;"",INDEX('Livro Diário'!$B:$B,MATCH(Razonete!O$2&amp;$A10,'Livro Diário'!$O:$O,0),1),"")</f>
        <v/>
      </c>
      <c r="R10" s="85" t="str">
        <f ca="1">IF(S10&lt;&gt;"",INDEX('Livro Diário'!$B:$B,MATCH(Razonete!S$2&amp;$A10,'Livro Diário'!$N:$N,0),1),"")</f>
        <v/>
      </c>
      <c r="S10" t="str">
        <f ca="1">_xlfn.IFNA(INDEX('Livro Diário'!$F:$F,MATCH(Razonete!S$2&amp;$A10,'Livro Diário'!$N:$N,0),0),"")</f>
        <v/>
      </c>
      <c r="T10" s="7" t="str">
        <f ca="1">_xlfn.IFNA(INDEX('Livro Diário'!$F:$F,MATCH(Razonete!S$2&amp;$A10,'Livro Diário'!$O:$O,0),0),"")</f>
        <v/>
      </c>
      <c r="U10" s="78" t="str">
        <f ca="1">IF(T10&lt;&gt;"",INDEX('Livro Diário'!$B:$B,MATCH(Razonete!S$2&amp;$A10,'Livro Diário'!$O:$O,0),1),"")</f>
        <v/>
      </c>
    </row>
    <row r="11" spans="1:21" ht="16.5" thickTop="1" thickBot="1" x14ac:dyDescent="0.3">
      <c r="C11" s="83">
        <f ca="1">SUM(C3:C10)</f>
        <v>0</v>
      </c>
      <c r="D11" s="84">
        <f ca="1">SUM(D3:D10)</f>
        <v>0</v>
      </c>
      <c r="F11" s="85"/>
      <c r="G11" s="83">
        <f ca="1">SUM(G3:G10)</f>
        <v>0</v>
      </c>
      <c r="H11" s="84">
        <f ca="1">SUM(H3:H10)</f>
        <v>0</v>
      </c>
      <c r="J11" s="85"/>
      <c r="K11" s="83">
        <f ca="1">SUM(K3:K10)</f>
        <v>0</v>
      </c>
      <c r="L11" s="84">
        <f ca="1">SUM(L3:L10)</f>
        <v>450</v>
      </c>
      <c r="M11" s="78"/>
      <c r="N11" s="85"/>
      <c r="O11" s="83">
        <f ca="1">SUM(O3:O10)</f>
        <v>0</v>
      </c>
      <c r="P11" s="84">
        <f ca="1">SUM(P3:P10)</f>
        <v>0</v>
      </c>
      <c r="Q11" s="78"/>
      <c r="R11" s="85"/>
      <c r="S11" s="83">
        <f ca="1">SUM(S3:S10)</f>
        <v>0</v>
      </c>
      <c r="T11" s="84">
        <f ca="1">SUM(T3:T10)</f>
        <v>0</v>
      </c>
      <c r="U11" s="78"/>
    </row>
    <row r="12" spans="1:21" ht="15.75" thickTop="1" x14ac:dyDescent="0.25">
      <c r="C12" t="str">
        <f ca="1">IF(C11&gt;D11,C11-D11,"")</f>
        <v/>
      </c>
      <c r="D12" t="str">
        <f ca="1">IF(D11&gt;C11,D11-C11,"")</f>
        <v/>
      </c>
      <c r="F12" s="85"/>
      <c r="G12" t="str">
        <f ca="1">IF(G11&gt;H11,G11-H11,"")</f>
        <v/>
      </c>
      <c r="H12" t="str">
        <f ca="1">IF(H11&gt;G11,H11-G11,"")</f>
        <v/>
      </c>
      <c r="J12" s="85"/>
      <c r="K12" t="str">
        <f ca="1">IF(K11&gt;L11,K11-L11,"")</f>
        <v/>
      </c>
      <c r="L12">
        <f ca="1">IF(L11&gt;K11,L11-K11,"")</f>
        <v>450</v>
      </c>
      <c r="M12" s="78"/>
      <c r="N12" s="85"/>
      <c r="O12" t="str">
        <f ca="1">IF(O11&gt;P11,O11-P11,"")</f>
        <v/>
      </c>
      <c r="P12" t="str">
        <f ca="1">IF(P11&gt;O11,P11-O11,"")</f>
        <v/>
      </c>
      <c r="Q12" s="78"/>
      <c r="R12" s="85"/>
      <c r="S12" t="str">
        <f ca="1">IF(S11&gt;T11,S11-T11,"")</f>
        <v/>
      </c>
      <c r="T12" t="str">
        <f ca="1">IF(T11&gt;S11,T11-S11,"")</f>
        <v/>
      </c>
      <c r="U12" s="78"/>
    </row>
    <row r="13" spans="1:21" x14ac:dyDescent="0.25">
      <c r="C13">
        <f>C1+5</f>
        <v>8</v>
      </c>
      <c r="G13">
        <f>G1+5</f>
        <v>9</v>
      </c>
      <c r="K13">
        <f>K1+5</f>
        <v>10</v>
      </c>
      <c r="O13">
        <f>O1+5</f>
        <v>11</v>
      </c>
      <c r="S13">
        <f>S1+5</f>
        <v>12</v>
      </c>
    </row>
    <row r="14" spans="1:21" s="76" customFormat="1" ht="27" customHeight="1" x14ac:dyDescent="0.25">
      <c r="B14" s="87"/>
      <c r="C14" s="139" t="str">
        <f ca="1">INDIRECT("Balancete!C"&amp;C13)</f>
        <v>Despesas Antecipadas</v>
      </c>
      <c r="D14" s="139"/>
      <c r="E14" s="77"/>
      <c r="F14" s="88"/>
      <c r="G14" s="139" t="str">
        <f ca="1">INDIRECT("Balancete!C"&amp;G13)</f>
        <v>Impostos a Recuperar</v>
      </c>
      <c r="H14" s="139"/>
      <c r="I14" s="77"/>
      <c r="K14" s="139" t="str">
        <f ca="1">INDIRECT("Balancete!C"&amp;K13)</f>
        <v>Conta teste</v>
      </c>
      <c r="L14" s="139"/>
      <c r="O14" s="139" t="str">
        <f ca="1">INDIRECT("Balancete!C"&amp;O13)</f>
        <v>Contas a Receber a Longo Prazo</v>
      </c>
      <c r="P14" s="139"/>
      <c r="S14" s="139" t="str">
        <f ca="1">INDIRECT("Balancete!C"&amp;S13)</f>
        <v>Terrenos - Investimento</v>
      </c>
      <c r="T14" s="139"/>
    </row>
    <row r="15" spans="1:21" x14ac:dyDescent="0.25">
      <c r="A15">
        <v>14</v>
      </c>
      <c r="B15" s="85" t="s">
        <v>165</v>
      </c>
      <c r="C15" s="81" t="str">
        <f ca="1">IF(VLOOKUP(C14,Balancete!$C:$F,4,0)&gt;0,VLOOKUP(C14,Balancete!$C:$F,4,0),"")</f>
        <v/>
      </c>
      <c r="D15" s="82" t="str">
        <f ca="1">IF(VLOOKUP(C14,Balancete!$C:$G,5,0)&gt;0,VLOOKUP(C14,Balancete!$C:$G,5,0),"")</f>
        <v/>
      </c>
      <c r="F15" s="85" t="s">
        <v>165</v>
      </c>
      <c r="G15" s="81" t="str">
        <f ca="1">IF(VLOOKUP(G14,Balancete!$C:$F,4,0)&gt;0,VLOOKUP(G14,Balancete!$C:$F,4,0),"")</f>
        <v/>
      </c>
      <c r="H15" s="82" t="str">
        <f ca="1">IF(VLOOKUP(G14,Balancete!$C:$G,5,0)&gt;0,VLOOKUP(G14,Balancete!$C:$G,5,0),"")</f>
        <v/>
      </c>
      <c r="J15" s="85" t="s">
        <v>165</v>
      </c>
      <c r="K15" s="81" t="str">
        <f ca="1">IF(VLOOKUP(K14,Balancete!$C:$F,4,0)&gt;0,VLOOKUP(K14,Balancete!$C:$F,4,0),"")</f>
        <v/>
      </c>
      <c r="L15" s="82" t="str">
        <f ca="1">IF(VLOOKUP(K14,Balancete!$C:$G,5,0)&gt;0,VLOOKUP(K14,Balancete!$C:$G,5,0),"")</f>
        <v/>
      </c>
      <c r="M15" s="78"/>
      <c r="N15" s="85" t="s">
        <v>165</v>
      </c>
      <c r="O15" s="81" t="str">
        <f ca="1">IF(VLOOKUP(O14,Balancete!$C:$F,4,0)&gt;0,VLOOKUP(O14,Balancete!$C:$F,4,0),"")</f>
        <v/>
      </c>
      <c r="P15" s="82" t="str">
        <f ca="1">IF(VLOOKUP(O14,Balancete!$C:$G,5,0)&gt;0,VLOOKUP(O14,Balancete!$C:$G,5,0),"")</f>
        <v/>
      </c>
      <c r="Q15" s="78"/>
      <c r="R15" s="85" t="s">
        <v>165</v>
      </c>
      <c r="S15" s="81" t="str">
        <f ca="1">IF(VLOOKUP(S14,Balancete!$C:$F,4,0)&gt;0,VLOOKUP(S14,Balancete!$C:$F,4,0),"")</f>
        <v/>
      </c>
      <c r="T15" s="82" t="str">
        <f ca="1">IF(VLOOKUP(S14,Balancete!$C:$G,5,0)&gt;0,VLOOKUP(S14,Balancete!$C:$G,5,0),"")</f>
        <v/>
      </c>
      <c r="U15" s="78"/>
    </row>
    <row r="16" spans="1:21" x14ac:dyDescent="0.25">
      <c r="A16">
        <v>1</v>
      </c>
      <c r="B16" s="85" t="str">
        <f ca="1">IF(C16&lt;&gt;"",INDEX('Livro Diário'!$B:$B,MATCH(Razonete!C$14&amp;$A16,'Livro Diário'!$N:$N,0),1),"")</f>
        <v/>
      </c>
      <c r="C16" t="str">
        <f ca="1">_xlfn.IFNA(INDEX('Livro Diário'!$F:$F,MATCH(Razonete!C$14&amp;$A16,'Livro Diário'!$N:$N,0),0),"")</f>
        <v/>
      </c>
      <c r="D16" s="7" t="str">
        <f ca="1">_xlfn.IFNA(INDEX('Livro Diário'!$F:$F,MATCH(Razonete!C$14&amp;$A16,'Livro Diário'!$O:$O,0),0),"")</f>
        <v/>
      </c>
      <c r="E16" s="78" t="str">
        <f ca="1">IF(D16&lt;&gt;"",INDEX('Livro Diário'!$B:$B,MATCH(Razonete!C$14&amp;$A16,'Livro Diário'!$O:$O,0),1),"")</f>
        <v/>
      </c>
      <c r="F16" s="85" t="str">
        <f ca="1">IF(G16&lt;&gt;"",INDEX('Livro Diário'!$B:$B,MATCH(Razonete!G$14&amp;$A16,'Livro Diário'!$N:$N,0),1),"")</f>
        <v/>
      </c>
      <c r="G16" t="str">
        <f ca="1">_xlfn.IFNA(INDEX('Livro Diário'!$F:$F,MATCH(Razonete!G$14&amp;$A16,'Livro Diário'!$N:$N,0),0),"")</f>
        <v/>
      </c>
      <c r="H16" s="7" t="str">
        <f ca="1">_xlfn.IFNA(INDEX('Livro Diário'!$F:$F,MATCH(Razonete!G$14&amp;$A16,'Livro Diário'!$O:$O,0),0),"")</f>
        <v/>
      </c>
      <c r="I16" s="78" t="str">
        <f ca="1">IF(H16&lt;&gt;"",INDEX('Livro Diário'!$B:$B,MATCH(Razonete!G$2&amp;$A16,'Livro Diário'!$O:$O,0),1),"")</f>
        <v/>
      </c>
      <c r="J16" s="85" t="str">
        <f ca="1">IF(K16&lt;&gt;"",INDEX('Livro Diário'!$B:$B,MATCH(Razonete!K$14&amp;$A16,'Livro Diário'!$N:$N,0),1),"")</f>
        <v/>
      </c>
      <c r="K16" t="str">
        <f ca="1">_xlfn.IFNA(INDEX('Livro Diário'!$F:$F,MATCH(Razonete!K$14&amp;$A16,'Livro Diário'!$N:$N,0),0),"")</f>
        <v/>
      </c>
      <c r="L16" s="7" t="str">
        <f ca="1">_xlfn.IFNA(INDEX('Livro Diário'!$F:$F,MATCH(Razonete!K$14&amp;$A16,'Livro Diário'!$O:$O,0),0),"")</f>
        <v/>
      </c>
      <c r="M16" s="78" t="str">
        <f ca="1">IF(L16&lt;&gt;"",INDEX('Livro Diário'!$B:$B,MATCH(Razonete!K$2&amp;$A16,'Livro Diário'!$O:$O,0),1),"")</f>
        <v/>
      </c>
      <c r="N16" s="85" t="str">
        <f ca="1">IF(O16&lt;&gt;"",INDEX('Livro Diário'!$B:$B,MATCH(Razonete!O$14&amp;$A16,'Livro Diário'!$N:$N,0),1),"")</f>
        <v/>
      </c>
      <c r="O16" t="str">
        <f ca="1">_xlfn.IFNA(INDEX('Livro Diário'!$F:$F,MATCH(Razonete!O$14&amp;$A16,'Livro Diário'!$N:$N,0),0),"")</f>
        <v/>
      </c>
      <c r="P16" s="7" t="str">
        <f ca="1">_xlfn.IFNA(INDEX('Livro Diário'!$F:$F,MATCH(Razonete!O$14&amp;$A16,'Livro Diário'!$O:$O,0),0),"")</f>
        <v/>
      </c>
      <c r="Q16" s="78" t="str">
        <f ca="1">IF(P16&lt;&gt;"",INDEX('Livro Diário'!$B:$B,MATCH(Razonete!O$2&amp;$A16,'Livro Diário'!$O:$O,0),1),"")</f>
        <v/>
      </c>
      <c r="R16" s="85" t="str">
        <f ca="1">IF(S16&lt;&gt;"",INDEX('Livro Diário'!$B:$B,MATCH(Razonete!S$14&amp;$A16,'Livro Diário'!$N:$N,0),1),"")</f>
        <v/>
      </c>
      <c r="S16" t="str">
        <f ca="1">_xlfn.IFNA(INDEX('Livro Diário'!$F:$F,MATCH(Razonete!S$14&amp;$A16,'Livro Diário'!$N:$N,0),0),"")</f>
        <v/>
      </c>
      <c r="T16" s="7" t="str">
        <f ca="1">_xlfn.IFNA(INDEX('Livro Diário'!$F:$F,MATCH(Razonete!S$14&amp;$A16,'Livro Diário'!$O:$O,0),0),"")</f>
        <v/>
      </c>
      <c r="U16" s="78" t="str">
        <f ca="1">IF(T16&lt;&gt;"",INDEX('Livro Diário'!$B:$B,MATCH(Razonete!S$2&amp;$A16,'Livro Diário'!$O:$O,0),1),"")</f>
        <v/>
      </c>
    </row>
    <row r="17" spans="1:21" x14ac:dyDescent="0.25">
      <c r="A17">
        <v>2</v>
      </c>
      <c r="B17" s="85" t="str">
        <f ca="1">IF(C17&lt;&gt;"",INDEX('Livro Diário'!$B:$B,MATCH(Razonete!C$14&amp;$A17,'Livro Diário'!$N:$N,0),1),"")</f>
        <v/>
      </c>
      <c r="C17" t="str">
        <f ca="1">_xlfn.IFNA(INDEX('Livro Diário'!$F:$F,MATCH(Razonete!C$14&amp;$A17,'Livro Diário'!$N:$N,0),0),"")</f>
        <v/>
      </c>
      <c r="D17" s="7" t="str">
        <f ca="1">_xlfn.IFNA(INDEX('Livro Diário'!$F:$F,MATCH(Razonete!C$14&amp;$A17,'Livro Diário'!$O:$O,0),0),"")</f>
        <v/>
      </c>
      <c r="E17" s="78" t="str">
        <f ca="1">IF(D17&lt;&gt;"",INDEX('Livro Diário'!$B:$B,MATCH(Razonete!C$14&amp;$A17,'Livro Diário'!$O:$O,0),1),"")</f>
        <v/>
      </c>
      <c r="F17" s="85" t="str">
        <f ca="1">IF(G17&lt;&gt;"",INDEX('Livro Diário'!$B:$B,MATCH(Razonete!G$14&amp;$A17,'Livro Diário'!$N:$N,0),1),"")</f>
        <v/>
      </c>
      <c r="G17" t="str">
        <f ca="1">_xlfn.IFNA(INDEX('Livro Diário'!$F:$F,MATCH(Razonete!G$14&amp;$A17,'Livro Diário'!$N:$N,0),0),"")</f>
        <v/>
      </c>
      <c r="H17" s="7" t="str">
        <f ca="1">_xlfn.IFNA(INDEX('Livro Diário'!$F:$F,MATCH(Razonete!G$14&amp;$A17,'Livro Diário'!$O:$O,0),0),"")</f>
        <v/>
      </c>
      <c r="I17" s="78" t="str">
        <f ca="1">IF(H17&lt;&gt;"",INDEX('Livro Diário'!$B:$B,MATCH(Razonete!G$2&amp;$A17,'Livro Diário'!$O:$O,0),1),"")</f>
        <v/>
      </c>
      <c r="J17" s="85" t="str">
        <f ca="1">IF(K17&lt;&gt;"",INDEX('Livro Diário'!$B:$B,MATCH(Razonete!K$14&amp;$A17,'Livro Diário'!$N:$N,0),1),"")</f>
        <v/>
      </c>
      <c r="K17" t="str">
        <f ca="1">_xlfn.IFNA(INDEX('Livro Diário'!$F:$F,MATCH(Razonete!K$14&amp;$A17,'Livro Diário'!$N:$N,0),0),"")</f>
        <v/>
      </c>
      <c r="L17" s="7" t="str">
        <f ca="1">_xlfn.IFNA(INDEX('Livro Diário'!$F:$F,MATCH(Razonete!K$14&amp;$A17,'Livro Diário'!$O:$O,0),0),"")</f>
        <v/>
      </c>
      <c r="M17" s="78" t="str">
        <f ca="1">IF(L17&lt;&gt;"",INDEX('Livro Diário'!$B:$B,MATCH(Razonete!K$2&amp;$A17,'Livro Diário'!$O:$O,0),1),"")</f>
        <v/>
      </c>
      <c r="N17" s="85" t="str">
        <f ca="1">IF(O17&lt;&gt;"",INDEX('Livro Diário'!$B:$B,MATCH(Razonete!O$14&amp;$A17,'Livro Diário'!$N:$N,0),1),"")</f>
        <v/>
      </c>
      <c r="O17" t="str">
        <f ca="1">_xlfn.IFNA(INDEX('Livro Diário'!$F:$F,MATCH(Razonete!O$14&amp;$A17,'Livro Diário'!$N:$N,0),0),"")</f>
        <v/>
      </c>
      <c r="P17" s="7" t="str">
        <f ca="1">_xlfn.IFNA(INDEX('Livro Diário'!$F:$F,MATCH(Razonete!O$14&amp;$A17,'Livro Diário'!$O:$O,0),0),"")</f>
        <v/>
      </c>
      <c r="Q17" s="78" t="str">
        <f ca="1">IF(P17&lt;&gt;"",INDEX('Livro Diário'!$B:$B,MATCH(Razonete!O$2&amp;$A17,'Livro Diário'!$O:$O,0),1),"")</f>
        <v/>
      </c>
      <c r="R17" s="85" t="str">
        <f ca="1">IF(S17&lt;&gt;"",INDEX('Livro Diário'!$B:$B,MATCH(Razonete!S$14&amp;$A17,'Livro Diário'!$N:$N,0),1),"")</f>
        <v/>
      </c>
      <c r="S17" t="str">
        <f ca="1">_xlfn.IFNA(INDEX('Livro Diário'!$F:$F,MATCH(Razonete!S$14&amp;$A17,'Livro Diário'!$N:$N,0),0),"")</f>
        <v/>
      </c>
      <c r="T17" s="7" t="str">
        <f ca="1">_xlfn.IFNA(INDEX('Livro Diário'!$F:$F,MATCH(Razonete!S$14&amp;$A17,'Livro Diário'!$O:$O,0),0),"")</f>
        <v/>
      </c>
      <c r="U17" s="78" t="str">
        <f ca="1">IF(T17&lt;&gt;"",INDEX('Livro Diário'!$B:$B,MATCH(Razonete!S$2&amp;$A17,'Livro Diário'!$O:$O,0),1),"")</f>
        <v/>
      </c>
    </row>
    <row r="18" spans="1:21" x14ac:dyDescent="0.25">
      <c r="A18">
        <v>3</v>
      </c>
      <c r="B18" s="85" t="str">
        <f ca="1">IF(C18&lt;&gt;"",INDEX('Livro Diário'!$B:$B,MATCH(Razonete!C$14&amp;$A18,'Livro Diário'!$N:$N,0),1),"")</f>
        <v/>
      </c>
      <c r="C18" t="str">
        <f ca="1">_xlfn.IFNA(INDEX('Livro Diário'!$F:$F,MATCH(Razonete!C$14&amp;$A18,'Livro Diário'!$N:$N,0),0),"")</f>
        <v/>
      </c>
      <c r="D18" s="7" t="str">
        <f ca="1">_xlfn.IFNA(INDEX('Livro Diário'!$F:$F,MATCH(Razonete!C$14&amp;$A18,'Livro Diário'!$O:$O,0),0),"")</f>
        <v/>
      </c>
      <c r="E18" s="78" t="str">
        <f ca="1">IF(D18&lt;&gt;"",INDEX('Livro Diário'!$B:$B,MATCH(Razonete!C$14&amp;$A18,'Livro Diário'!$O:$O,0),1),"")</f>
        <v/>
      </c>
      <c r="F18" s="85" t="str">
        <f ca="1">IF(G18&lt;&gt;"",INDEX('Livro Diário'!$B:$B,MATCH(Razonete!G$14&amp;$A18,'Livro Diário'!$N:$N,0),1),"")</f>
        <v/>
      </c>
      <c r="G18" t="str">
        <f ca="1">_xlfn.IFNA(INDEX('Livro Diário'!$F:$F,MATCH(Razonete!G$14&amp;$A18,'Livro Diário'!$N:$N,0),0),"")</f>
        <v/>
      </c>
      <c r="H18" s="7" t="str">
        <f ca="1">_xlfn.IFNA(INDEX('Livro Diário'!$F:$F,MATCH(Razonete!G$14&amp;$A18,'Livro Diário'!$O:$O,0),0),"")</f>
        <v/>
      </c>
      <c r="I18" s="78" t="str">
        <f ca="1">IF(H18&lt;&gt;"",INDEX('Livro Diário'!$B:$B,MATCH(Razonete!G$2&amp;$A18,'Livro Diário'!$O:$O,0),1),"")</f>
        <v/>
      </c>
      <c r="J18" s="85" t="str">
        <f ca="1">IF(K18&lt;&gt;"",INDEX('Livro Diário'!$B:$B,MATCH(Razonete!K$14&amp;$A18,'Livro Diário'!$N:$N,0),1),"")</f>
        <v/>
      </c>
      <c r="K18" t="str">
        <f ca="1">_xlfn.IFNA(INDEX('Livro Diário'!$F:$F,MATCH(Razonete!K$14&amp;$A18,'Livro Diário'!$N:$N,0),0),"")</f>
        <v/>
      </c>
      <c r="L18" s="7" t="str">
        <f ca="1">_xlfn.IFNA(INDEX('Livro Diário'!$F:$F,MATCH(Razonete!K$14&amp;$A18,'Livro Diário'!$O:$O,0),0),"")</f>
        <v/>
      </c>
      <c r="M18" s="78" t="str">
        <f ca="1">IF(L18&lt;&gt;"",INDEX('Livro Diário'!$B:$B,MATCH(Razonete!K$2&amp;$A18,'Livro Diário'!$O:$O,0),1),"")</f>
        <v/>
      </c>
      <c r="N18" s="85" t="str">
        <f ca="1">IF(O18&lt;&gt;"",INDEX('Livro Diário'!$B:$B,MATCH(Razonete!O$14&amp;$A18,'Livro Diário'!$N:$N,0),1),"")</f>
        <v/>
      </c>
      <c r="O18" t="str">
        <f ca="1">_xlfn.IFNA(INDEX('Livro Diário'!$F:$F,MATCH(Razonete!O$14&amp;$A18,'Livro Diário'!$N:$N,0),0),"")</f>
        <v/>
      </c>
      <c r="P18" s="7" t="str">
        <f ca="1">_xlfn.IFNA(INDEX('Livro Diário'!$F:$F,MATCH(Razonete!O$14&amp;$A18,'Livro Diário'!$O:$O,0),0),"")</f>
        <v/>
      </c>
      <c r="Q18" s="78" t="str">
        <f ca="1">IF(P18&lt;&gt;"",INDEX('Livro Diário'!$B:$B,MATCH(Razonete!O$2&amp;$A18,'Livro Diário'!$O:$O,0),1),"")</f>
        <v/>
      </c>
      <c r="R18" s="85" t="str">
        <f ca="1">IF(S18&lt;&gt;"",INDEX('Livro Diário'!$B:$B,MATCH(Razonete!S$14&amp;$A18,'Livro Diário'!$N:$N,0),1),"")</f>
        <v/>
      </c>
      <c r="S18" t="str">
        <f ca="1">_xlfn.IFNA(INDEX('Livro Diário'!$F:$F,MATCH(Razonete!S$14&amp;$A18,'Livro Diário'!$N:$N,0),0),"")</f>
        <v/>
      </c>
      <c r="T18" s="7" t="str">
        <f ca="1">_xlfn.IFNA(INDEX('Livro Diário'!$F:$F,MATCH(Razonete!S$14&amp;$A18,'Livro Diário'!$O:$O,0),0),"")</f>
        <v/>
      </c>
      <c r="U18" s="78" t="str">
        <f ca="1">IF(T18&lt;&gt;"",INDEX('Livro Diário'!$B:$B,MATCH(Razonete!S$2&amp;$A18,'Livro Diário'!$O:$O,0),1),"")</f>
        <v/>
      </c>
    </row>
    <row r="19" spans="1:21" x14ac:dyDescent="0.25">
      <c r="A19">
        <v>4</v>
      </c>
      <c r="B19" s="85" t="str">
        <f ca="1">IF(C19&lt;&gt;"",INDEX('Livro Diário'!$B:$B,MATCH(Razonete!C$14&amp;$A19,'Livro Diário'!$N:$N,0),1),"")</f>
        <v/>
      </c>
      <c r="C19" t="str">
        <f ca="1">_xlfn.IFNA(INDEX('Livro Diário'!$F:$F,MATCH(Razonete!C$14&amp;$A19,'Livro Diário'!$N:$N,0),0),"")</f>
        <v/>
      </c>
      <c r="D19" s="7" t="str">
        <f ca="1">_xlfn.IFNA(INDEX('Livro Diário'!$F:$F,MATCH(Razonete!C$14&amp;$A19,'Livro Diário'!$O:$O,0),0),"")</f>
        <v/>
      </c>
      <c r="E19" s="78" t="str">
        <f ca="1">IF(D19&lt;&gt;"",INDEX('Livro Diário'!$B:$B,MATCH(Razonete!C$14&amp;$A19,'Livro Diário'!$O:$O,0),1),"")</f>
        <v/>
      </c>
      <c r="F19" s="85" t="str">
        <f ca="1">IF(G19&lt;&gt;"",INDEX('Livro Diário'!$B:$B,MATCH(Razonete!G$14&amp;$A19,'Livro Diário'!$N:$N,0),1),"")</f>
        <v/>
      </c>
      <c r="G19" t="str">
        <f ca="1">_xlfn.IFNA(INDEX('Livro Diário'!$F:$F,MATCH(Razonete!G$14&amp;$A19,'Livro Diário'!$N:$N,0),0),"")</f>
        <v/>
      </c>
      <c r="H19" s="7" t="str">
        <f ca="1">_xlfn.IFNA(INDEX('Livro Diário'!$F:$F,MATCH(Razonete!G$14&amp;$A19,'Livro Diário'!$O:$O,0),0),"")</f>
        <v/>
      </c>
      <c r="I19" s="78" t="str">
        <f ca="1">IF(H19&lt;&gt;"",INDEX('Livro Diário'!$B:$B,MATCH(Razonete!G$2&amp;$A19,'Livro Diário'!$O:$O,0),1),"")</f>
        <v/>
      </c>
      <c r="J19" s="85" t="str">
        <f ca="1">IF(K19&lt;&gt;"",INDEX('Livro Diário'!$B:$B,MATCH(Razonete!K$14&amp;$A19,'Livro Diário'!$N:$N,0),1),"")</f>
        <v/>
      </c>
      <c r="K19" t="str">
        <f ca="1">_xlfn.IFNA(INDEX('Livro Diário'!$F:$F,MATCH(Razonete!K$14&amp;$A19,'Livro Diário'!$N:$N,0),0),"")</f>
        <v/>
      </c>
      <c r="L19" s="7" t="str">
        <f ca="1">_xlfn.IFNA(INDEX('Livro Diário'!$F:$F,MATCH(Razonete!K$14&amp;$A19,'Livro Diário'!$O:$O,0),0),"")</f>
        <v/>
      </c>
      <c r="M19" s="78" t="str">
        <f ca="1">IF(L19&lt;&gt;"",INDEX('Livro Diário'!$B:$B,MATCH(Razonete!K$2&amp;$A19,'Livro Diário'!$O:$O,0),1),"")</f>
        <v/>
      </c>
      <c r="N19" s="85" t="str">
        <f ca="1">IF(O19&lt;&gt;"",INDEX('Livro Diário'!$B:$B,MATCH(Razonete!O$14&amp;$A19,'Livro Diário'!$N:$N,0),1),"")</f>
        <v/>
      </c>
      <c r="O19" t="str">
        <f ca="1">_xlfn.IFNA(INDEX('Livro Diário'!$F:$F,MATCH(Razonete!O$14&amp;$A19,'Livro Diário'!$N:$N,0),0),"")</f>
        <v/>
      </c>
      <c r="P19" s="7" t="str">
        <f ca="1">_xlfn.IFNA(INDEX('Livro Diário'!$F:$F,MATCH(Razonete!O$14&amp;$A19,'Livro Diário'!$O:$O,0),0),"")</f>
        <v/>
      </c>
      <c r="Q19" s="78" t="str">
        <f ca="1">IF(P19&lt;&gt;"",INDEX('Livro Diário'!$B:$B,MATCH(Razonete!O$2&amp;$A19,'Livro Diário'!$O:$O,0),1),"")</f>
        <v/>
      </c>
      <c r="R19" s="85" t="str">
        <f ca="1">IF(S19&lt;&gt;"",INDEX('Livro Diário'!$B:$B,MATCH(Razonete!S$14&amp;$A19,'Livro Diário'!$N:$N,0),1),"")</f>
        <v/>
      </c>
      <c r="S19" t="str">
        <f ca="1">_xlfn.IFNA(INDEX('Livro Diário'!$F:$F,MATCH(Razonete!S$14&amp;$A19,'Livro Diário'!$N:$N,0),0),"")</f>
        <v/>
      </c>
      <c r="T19" s="7" t="str">
        <f ca="1">_xlfn.IFNA(INDEX('Livro Diário'!$F:$F,MATCH(Razonete!S$14&amp;$A19,'Livro Diário'!$O:$O,0),0),"")</f>
        <v/>
      </c>
      <c r="U19" s="78" t="str">
        <f ca="1">IF(T19&lt;&gt;"",INDEX('Livro Diário'!$B:$B,MATCH(Razonete!S$2&amp;$A19,'Livro Diário'!$O:$O,0),1),"")</f>
        <v/>
      </c>
    </row>
    <row r="20" spans="1:21" x14ac:dyDescent="0.25">
      <c r="A20">
        <v>5</v>
      </c>
      <c r="B20" s="85" t="str">
        <f ca="1">IF(C20&lt;&gt;"",INDEX('Livro Diário'!$B:$B,MATCH(Razonete!C$14&amp;$A20,'Livro Diário'!$N:$N,0),1),"")</f>
        <v/>
      </c>
      <c r="C20" t="str">
        <f ca="1">_xlfn.IFNA(INDEX('Livro Diário'!$F:$F,MATCH(Razonete!C$14&amp;$A20,'Livro Diário'!$N:$N,0),0),"")</f>
        <v/>
      </c>
      <c r="D20" s="7" t="str">
        <f ca="1">_xlfn.IFNA(INDEX('Livro Diário'!$F:$F,MATCH(Razonete!C$14&amp;$A20,'Livro Diário'!$O:$O,0),0),"")</f>
        <v/>
      </c>
      <c r="E20" s="78" t="str">
        <f ca="1">IF(D20&lt;&gt;"",INDEX('Livro Diário'!$B:$B,MATCH(Razonete!C$14&amp;$A20,'Livro Diário'!$O:$O,0),1),"")</f>
        <v/>
      </c>
      <c r="F20" s="85" t="str">
        <f ca="1">IF(G20&lt;&gt;"",INDEX('Livro Diário'!$B:$B,MATCH(Razonete!G$14&amp;$A20,'Livro Diário'!$N:$N,0),1),"")</f>
        <v/>
      </c>
      <c r="G20" t="str">
        <f ca="1">_xlfn.IFNA(INDEX('Livro Diário'!$F:$F,MATCH(Razonete!G$14&amp;$A20,'Livro Diário'!$N:$N,0),0),"")</f>
        <v/>
      </c>
      <c r="H20" s="7" t="str">
        <f ca="1">_xlfn.IFNA(INDEX('Livro Diário'!$F:$F,MATCH(Razonete!G$14&amp;$A20,'Livro Diário'!$O:$O,0),0),"")</f>
        <v/>
      </c>
      <c r="I20" s="78" t="str">
        <f ca="1">IF(H20&lt;&gt;"",INDEX('Livro Diário'!$B:$B,MATCH(Razonete!G$2&amp;$A20,'Livro Diário'!$O:$O,0),1),"")</f>
        <v/>
      </c>
      <c r="J20" s="85" t="str">
        <f ca="1">IF(K20&lt;&gt;"",INDEX('Livro Diário'!$B:$B,MATCH(Razonete!K$14&amp;$A20,'Livro Diário'!$N:$N,0),1),"")</f>
        <v/>
      </c>
      <c r="K20" t="str">
        <f ca="1">_xlfn.IFNA(INDEX('Livro Diário'!$F:$F,MATCH(Razonete!K$14&amp;$A20,'Livro Diário'!$N:$N,0),0),"")</f>
        <v/>
      </c>
      <c r="L20" s="7" t="str">
        <f ca="1">_xlfn.IFNA(INDEX('Livro Diário'!$F:$F,MATCH(Razonete!K$14&amp;$A20,'Livro Diário'!$O:$O,0),0),"")</f>
        <v/>
      </c>
      <c r="M20" s="78" t="str">
        <f ca="1">IF(L20&lt;&gt;"",INDEX('Livro Diário'!$B:$B,MATCH(Razonete!K$2&amp;$A20,'Livro Diário'!$O:$O,0),1),"")</f>
        <v/>
      </c>
      <c r="N20" s="85" t="str">
        <f ca="1">IF(O20&lt;&gt;"",INDEX('Livro Diário'!$B:$B,MATCH(Razonete!O$14&amp;$A20,'Livro Diário'!$N:$N,0),1),"")</f>
        <v/>
      </c>
      <c r="O20" t="str">
        <f ca="1">_xlfn.IFNA(INDEX('Livro Diário'!$F:$F,MATCH(Razonete!O$14&amp;$A20,'Livro Diário'!$N:$N,0),0),"")</f>
        <v/>
      </c>
      <c r="P20" s="7" t="str">
        <f ca="1">_xlfn.IFNA(INDEX('Livro Diário'!$F:$F,MATCH(Razonete!O$14&amp;$A20,'Livro Diário'!$O:$O,0),0),"")</f>
        <v/>
      </c>
      <c r="Q20" s="78" t="str">
        <f ca="1">IF(P20&lt;&gt;"",INDEX('Livro Diário'!$B:$B,MATCH(Razonete!O$2&amp;$A20,'Livro Diário'!$O:$O,0),1),"")</f>
        <v/>
      </c>
      <c r="R20" s="85" t="str">
        <f ca="1">IF(S20&lt;&gt;"",INDEX('Livro Diário'!$B:$B,MATCH(Razonete!S$14&amp;$A20,'Livro Diário'!$N:$N,0),1),"")</f>
        <v/>
      </c>
      <c r="S20" t="str">
        <f ca="1">_xlfn.IFNA(INDEX('Livro Diário'!$F:$F,MATCH(Razonete!S$14&amp;$A20,'Livro Diário'!$N:$N,0),0),"")</f>
        <v/>
      </c>
      <c r="T20" s="7" t="str">
        <f ca="1">_xlfn.IFNA(INDEX('Livro Diário'!$F:$F,MATCH(Razonete!S$14&amp;$A20,'Livro Diário'!$O:$O,0),0),"")</f>
        <v/>
      </c>
      <c r="U20" s="78" t="str">
        <f ca="1">IF(T20&lt;&gt;"",INDEX('Livro Diário'!$B:$B,MATCH(Razonete!S$2&amp;$A20,'Livro Diário'!$O:$O,0),1),"")</f>
        <v/>
      </c>
    </row>
    <row r="21" spans="1:21" x14ac:dyDescent="0.25">
      <c r="A21">
        <v>6</v>
      </c>
      <c r="B21" s="85" t="str">
        <f ca="1">IF(C21&lt;&gt;"",INDEX('Livro Diário'!$B:$B,MATCH(Razonete!C$14&amp;$A21,'Livro Diário'!$N:$N,0),1),"")</f>
        <v/>
      </c>
      <c r="C21" t="str">
        <f ca="1">_xlfn.IFNA(INDEX('Livro Diário'!$F:$F,MATCH(Razonete!C$14&amp;$A21,'Livro Diário'!$N:$N,0),0),"")</f>
        <v/>
      </c>
      <c r="D21" s="7" t="str">
        <f ca="1">_xlfn.IFNA(INDEX('Livro Diário'!$F:$F,MATCH(Razonete!C$14&amp;$A21,'Livro Diário'!$O:$O,0),0),"")</f>
        <v/>
      </c>
      <c r="E21" s="78" t="str">
        <f ca="1">IF(D21&lt;&gt;"",INDEX('Livro Diário'!$B:$B,MATCH(Razonete!C$14&amp;$A21,'Livro Diário'!$O:$O,0),1),"")</f>
        <v/>
      </c>
      <c r="F21" s="85" t="str">
        <f ca="1">IF(G21&lt;&gt;"",INDEX('Livro Diário'!$B:$B,MATCH(Razonete!G$14&amp;$A21,'Livro Diário'!$N:$N,0),1),"")</f>
        <v/>
      </c>
      <c r="G21" t="str">
        <f ca="1">_xlfn.IFNA(INDEX('Livro Diário'!$F:$F,MATCH(Razonete!G$14&amp;$A21,'Livro Diário'!$N:$N,0),0),"")</f>
        <v/>
      </c>
      <c r="H21" s="7" t="str">
        <f ca="1">_xlfn.IFNA(INDEX('Livro Diário'!$F:$F,MATCH(Razonete!G$14&amp;$A21,'Livro Diário'!$O:$O,0),0),"")</f>
        <v/>
      </c>
      <c r="I21" s="78" t="str">
        <f ca="1">IF(H21&lt;&gt;"",INDEX('Livro Diário'!$B:$B,MATCH(Razonete!G$2&amp;$A21,'Livro Diário'!$O:$O,0),1),"")</f>
        <v/>
      </c>
      <c r="J21" s="85" t="str">
        <f ca="1">IF(K21&lt;&gt;"",INDEX('Livro Diário'!$B:$B,MATCH(Razonete!K$14&amp;$A21,'Livro Diário'!$N:$N,0),1),"")</f>
        <v/>
      </c>
      <c r="K21" t="str">
        <f ca="1">_xlfn.IFNA(INDEX('Livro Diário'!$F:$F,MATCH(Razonete!K$14&amp;$A21,'Livro Diário'!$N:$N,0),0),"")</f>
        <v/>
      </c>
      <c r="L21" s="7" t="str">
        <f ca="1">_xlfn.IFNA(INDEX('Livro Diário'!$F:$F,MATCH(Razonete!K$14&amp;$A21,'Livro Diário'!$O:$O,0),0),"")</f>
        <v/>
      </c>
      <c r="M21" s="78" t="str">
        <f ca="1">IF(L21&lt;&gt;"",INDEX('Livro Diário'!$B:$B,MATCH(Razonete!K$2&amp;$A21,'Livro Diário'!$O:$O,0),1),"")</f>
        <v/>
      </c>
      <c r="N21" s="85" t="str">
        <f ca="1">IF(O21&lt;&gt;"",INDEX('Livro Diário'!$B:$B,MATCH(Razonete!O$14&amp;$A21,'Livro Diário'!$N:$N,0),1),"")</f>
        <v/>
      </c>
      <c r="O21" t="str">
        <f ca="1">_xlfn.IFNA(INDEX('Livro Diário'!$F:$F,MATCH(Razonete!O$14&amp;$A21,'Livro Diário'!$N:$N,0),0),"")</f>
        <v/>
      </c>
      <c r="P21" s="7" t="str">
        <f ca="1">_xlfn.IFNA(INDEX('Livro Diário'!$F:$F,MATCH(Razonete!O$14&amp;$A21,'Livro Diário'!$O:$O,0),0),"")</f>
        <v/>
      </c>
      <c r="Q21" s="78" t="str">
        <f ca="1">IF(P21&lt;&gt;"",INDEX('Livro Diário'!$B:$B,MATCH(Razonete!O$2&amp;$A21,'Livro Diário'!$O:$O,0),1),"")</f>
        <v/>
      </c>
      <c r="R21" s="85" t="str">
        <f ca="1">IF(S21&lt;&gt;"",INDEX('Livro Diário'!$B:$B,MATCH(Razonete!S$14&amp;$A21,'Livro Diário'!$N:$N,0),1),"")</f>
        <v/>
      </c>
      <c r="S21" t="str">
        <f ca="1">_xlfn.IFNA(INDEX('Livro Diário'!$F:$F,MATCH(Razonete!S$14&amp;$A21,'Livro Diário'!$N:$N,0),0),"")</f>
        <v/>
      </c>
      <c r="T21" s="7" t="str">
        <f ca="1">_xlfn.IFNA(INDEX('Livro Diário'!$F:$F,MATCH(Razonete!S$14&amp;$A21,'Livro Diário'!$O:$O,0),0),"")</f>
        <v/>
      </c>
      <c r="U21" s="78" t="str">
        <f ca="1">IF(T21&lt;&gt;"",INDEX('Livro Diário'!$B:$B,MATCH(Razonete!S$2&amp;$A21,'Livro Diário'!$O:$O,0),1),"")</f>
        <v/>
      </c>
    </row>
    <row r="22" spans="1:21" ht="15.75" thickBot="1" x14ac:dyDescent="0.3">
      <c r="A22">
        <v>7</v>
      </c>
      <c r="B22" s="85" t="str">
        <f ca="1">IF(C22&lt;&gt;"",INDEX('Livro Diário'!$B:$B,MATCH(Razonete!C$14&amp;$A22,'Livro Diário'!$N:$N,0),1),"")</f>
        <v/>
      </c>
      <c r="C22" t="str">
        <f ca="1">_xlfn.IFNA(INDEX('Livro Diário'!$F:$F,MATCH(Razonete!C$14&amp;$A22,'Livro Diário'!$N:$N,0),0),"")</f>
        <v/>
      </c>
      <c r="D22" s="7" t="str">
        <f ca="1">_xlfn.IFNA(INDEX('Livro Diário'!$F:$F,MATCH(Razonete!C$14&amp;$A22,'Livro Diário'!$O:$O,0),0),"")</f>
        <v/>
      </c>
      <c r="E22" s="78" t="str">
        <f ca="1">IF(D22&lt;&gt;"",INDEX('Livro Diário'!$B:$B,MATCH(Razonete!C$14&amp;$A22,'Livro Diário'!$O:$O,0),1),"")</f>
        <v/>
      </c>
      <c r="F22" s="85" t="str">
        <f ca="1">IF(G22&lt;&gt;"",INDEX('Livro Diário'!$B:$B,MATCH(Razonete!G$14&amp;$A22,'Livro Diário'!$N:$N,0),1),"")</f>
        <v/>
      </c>
      <c r="G22" t="str">
        <f ca="1">_xlfn.IFNA(INDEX('Livro Diário'!$F:$F,MATCH(Razonete!G$14&amp;$A22,'Livro Diário'!$N:$N,0),0),"")</f>
        <v/>
      </c>
      <c r="H22" s="7" t="str">
        <f ca="1">_xlfn.IFNA(INDEX('Livro Diário'!$F:$F,MATCH(Razonete!G$14&amp;$A22,'Livro Diário'!$O:$O,0),0),"")</f>
        <v/>
      </c>
      <c r="I22" s="78" t="str">
        <f ca="1">IF(H22&lt;&gt;"",INDEX('Livro Diário'!$B:$B,MATCH(Razonete!G$2&amp;$A22,'Livro Diário'!$O:$O,0),1),"")</f>
        <v/>
      </c>
      <c r="J22" s="85" t="str">
        <f ca="1">IF(K22&lt;&gt;"",INDEX('Livro Diário'!$B:$B,MATCH(Razonete!K$14&amp;$A22,'Livro Diário'!$N:$N,0),1),"")</f>
        <v/>
      </c>
      <c r="K22" t="str">
        <f ca="1">_xlfn.IFNA(INDEX('Livro Diário'!$F:$F,MATCH(Razonete!K$14&amp;$A22,'Livro Diário'!$N:$N,0),0),"")</f>
        <v/>
      </c>
      <c r="L22" s="7" t="str">
        <f ca="1">_xlfn.IFNA(INDEX('Livro Diário'!$F:$F,MATCH(Razonete!K$14&amp;$A22,'Livro Diário'!$O:$O,0),0),"")</f>
        <v/>
      </c>
      <c r="M22" s="78" t="str">
        <f ca="1">IF(L22&lt;&gt;"",INDEX('Livro Diário'!$B:$B,MATCH(Razonete!K$2&amp;$A22,'Livro Diário'!$O:$O,0),1),"")</f>
        <v/>
      </c>
      <c r="N22" s="85" t="str">
        <f ca="1">IF(O22&lt;&gt;"",INDEX('Livro Diário'!$B:$B,MATCH(Razonete!O$14&amp;$A22,'Livro Diário'!$N:$N,0),1),"")</f>
        <v/>
      </c>
      <c r="O22" t="str">
        <f ca="1">_xlfn.IFNA(INDEX('Livro Diário'!$F:$F,MATCH(Razonete!O$14&amp;$A22,'Livro Diário'!$N:$N,0),0),"")</f>
        <v/>
      </c>
      <c r="P22" s="7" t="str">
        <f ca="1">_xlfn.IFNA(INDEX('Livro Diário'!$F:$F,MATCH(Razonete!O$14&amp;$A22,'Livro Diário'!$O:$O,0),0),"")</f>
        <v/>
      </c>
      <c r="Q22" s="78" t="str">
        <f ca="1">IF(P22&lt;&gt;"",INDEX('Livro Diário'!$B:$B,MATCH(Razonete!O$2&amp;$A22,'Livro Diário'!$O:$O,0),1),"")</f>
        <v/>
      </c>
      <c r="R22" s="85" t="str">
        <f ca="1">IF(S22&lt;&gt;"",INDEX('Livro Diário'!$B:$B,MATCH(Razonete!S$14&amp;$A22,'Livro Diário'!$N:$N,0),1),"")</f>
        <v/>
      </c>
      <c r="S22" t="str">
        <f ca="1">_xlfn.IFNA(INDEX('Livro Diário'!$F:$F,MATCH(Razonete!S$14&amp;$A22,'Livro Diário'!$N:$N,0),0),"")</f>
        <v/>
      </c>
      <c r="T22" s="7" t="str">
        <f ca="1">_xlfn.IFNA(INDEX('Livro Diário'!$F:$F,MATCH(Razonete!S$14&amp;$A22,'Livro Diário'!$O:$O,0),0),"")</f>
        <v/>
      </c>
      <c r="U22" s="78" t="str">
        <f ca="1">IF(T22&lt;&gt;"",INDEX('Livro Diário'!$B:$B,MATCH(Razonete!S$2&amp;$A22,'Livro Diário'!$O:$O,0),1),"")</f>
        <v/>
      </c>
    </row>
    <row r="23" spans="1:21" ht="16.5" thickTop="1" thickBot="1" x14ac:dyDescent="0.3">
      <c r="C23" s="83">
        <f ca="1">SUM(C15:C22)</f>
        <v>0</v>
      </c>
      <c r="D23" s="84">
        <f ca="1">SUM(D15:D22)</f>
        <v>0</v>
      </c>
      <c r="F23" s="85"/>
      <c r="G23" s="83">
        <f ca="1">SUM(G15:G22)</f>
        <v>0</v>
      </c>
      <c r="H23" s="84">
        <f ca="1">SUM(H15:H22)</f>
        <v>0</v>
      </c>
      <c r="J23" s="85"/>
      <c r="K23" s="83">
        <f ca="1">SUM(K15:K22)</f>
        <v>0</v>
      </c>
      <c r="L23" s="84">
        <f ca="1">SUM(L15:L22)</f>
        <v>0</v>
      </c>
      <c r="M23" s="78"/>
      <c r="N23" s="85"/>
      <c r="O23" s="83">
        <f ca="1">SUM(O15:O22)</f>
        <v>0</v>
      </c>
      <c r="P23" s="84">
        <f ca="1">SUM(P15:P22)</f>
        <v>0</v>
      </c>
      <c r="Q23" s="78"/>
      <c r="R23" s="85"/>
      <c r="S23" s="83">
        <f ca="1">SUM(S15:S22)</f>
        <v>0</v>
      </c>
      <c r="T23" s="84">
        <f ca="1">SUM(T15:T22)</f>
        <v>0</v>
      </c>
      <c r="U23" s="78"/>
    </row>
    <row r="24" spans="1:21" ht="15.75" thickTop="1" x14ac:dyDescent="0.25">
      <c r="C24" t="str">
        <f ca="1">IF(C23&gt;D23,C23-D23,"")</f>
        <v/>
      </c>
      <c r="D24" t="str">
        <f ca="1">IF(D23&gt;C23,D23-C23,"")</f>
        <v/>
      </c>
      <c r="F24" s="85"/>
      <c r="G24" t="str">
        <f ca="1">IF(G23&gt;H23,G23-H23,"")</f>
        <v/>
      </c>
      <c r="H24" t="str">
        <f ca="1">IF(H23&gt;G23,H23-G23,"")</f>
        <v/>
      </c>
      <c r="J24" s="85"/>
      <c r="K24" t="str">
        <f ca="1">IF(K23&gt;L23,K23-L23,"")</f>
        <v/>
      </c>
      <c r="L24" t="str">
        <f ca="1">IF(L23&gt;K23,L23-K23,"")</f>
        <v/>
      </c>
      <c r="M24" s="78"/>
      <c r="N24" s="85"/>
      <c r="O24" t="str">
        <f ca="1">IF(O23&gt;P23,O23-P23,"")</f>
        <v/>
      </c>
      <c r="P24" t="str">
        <f ca="1">IF(P23&gt;O23,P23-O23,"")</f>
        <v/>
      </c>
      <c r="Q24" s="78"/>
      <c r="R24" s="85"/>
      <c r="S24" t="str">
        <f ca="1">IF(S23&gt;T23,S23-T23,"")</f>
        <v/>
      </c>
      <c r="T24" t="str">
        <f ca="1">IF(T23&gt;S23,T23-S23,"")</f>
        <v/>
      </c>
      <c r="U24" s="78"/>
    </row>
    <row r="25" spans="1:21" x14ac:dyDescent="0.25">
      <c r="C25">
        <f>C13+5</f>
        <v>13</v>
      </c>
      <c r="G25">
        <f>G13+5</f>
        <v>14</v>
      </c>
      <c r="K25">
        <f>K13+5</f>
        <v>15</v>
      </c>
      <c r="O25">
        <f>O13+5</f>
        <v>16</v>
      </c>
      <c r="S25">
        <f>S13+5</f>
        <v>17</v>
      </c>
    </row>
    <row r="26" spans="1:21" s="76" customFormat="1" ht="29.25" customHeight="1" x14ac:dyDescent="0.25">
      <c r="B26" s="87"/>
      <c r="C26" s="139" t="str">
        <f ca="1">INDIRECT("Balancete!C"&amp;C25)</f>
        <v>Obra de Arte</v>
      </c>
      <c r="D26" s="139"/>
      <c r="E26" s="77"/>
      <c r="F26" s="88"/>
      <c r="G26" s="139" t="str">
        <f ca="1">INDIRECT("Balancete!C"&amp;G25)</f>
        <v>Móveis e Utensílios</v>
      </c>
      <c r="H26" s="139"/>
      <c r="I26" s="77"/>
      <c r="K26" s="139" t="str">
        <f ca="1">INDIRECT("Balancete!C"&amp;K25)</f>
        <v>Máquinas e Equipamentos</v>
      </c>
      <c r="L26" s="139"/>
      <c r="O26" s="139" t="str">
        <f ca="1">INDIRECT("Balancete!C"&amp;O25)</f>
        <v>Imóveis</v>
      </c>
      <c r="P26" s="139"/>
      <c r="S26" s="139" t="str">
        <f ca="1">INDIRECT("Balancete!C"&amp;S25)</f>
        <v>Veículos</v>
      </c>
      <c r="T26" s="139"/>
    </row>
    <row r="27" spans="1:21" x14ac:dyDescent="0.25">
      <c r="A27">
        <v>26</v>
      </c>
      <c r="B27" s="85" t="s">
        <v>165</v>
      </c>
      <c r="C27" s="81" t="str">
        <f ca="1">IF(VLOOKUP(C26,Balancete!$C:$F,4,0)&gt;0,VLOOKUP(C26,Balancete!$C:$F,4,0),"")</f>
        <v/>
      </c>
      <c r="D27" s="82" t="str">
        <f ca="1">IF(VLOOKUP(C26,Balancete!$C:$G,5,0)&gt;0,VLOOKUP(C26,Balancete!$C:$G,5,0),"")</f>
        <v/>
      </c>
      <c r="F27" s="85" t="s">
        <v>165</v>
      </c>
      <c r="G27" s="81" t="str">
        <f ca="1">IF(VLOOKUP(G26,Balancete!$C:$F,4,0)&gt;0,VLOOKUP(G26,Balancete!$C:$F,4,0),"")</f>
        <v/>
      </c>
      <c r="H27" s="82" t="str">
        <f ca="1">IF(VLOOKUP(G26,Balancete!$C:$G,5,0)&gt;0,VLOOKUP(G26,Balancete!$C:$G,5,0),"")</f>
        <v/>
      </c>
      <c r="J27" s="85" t="s">
        <v>165</v>
      </c>
      <c r="K27" s="81" t="str">
        <f ca="1">IF(VLOOKUP(K26,Balancete!$C:$F,4,0)&gt;0,VLOOKUP(K26,Balancete!$C:$F,4,0),"")</f>
        <v/>
      </c>
      <c r="L27" s="82" t="str">
        <f ca="1">IF(VLOOKUP(K26,Balancete!$C:$G,5,0)&gt;0,VLOOKUP(K26,Balancete!$C:$G,5,0),"")</f>
        <v/>
      </c>
      <c r="M27" s="78"/>
      <c r="N27" s="85" t="s">
        <v>165</v>
      </c>
      <c r="O27" s="81" t="str">
        <f ca="1">IF(VLOOKUP(O26,Balancete!$C:$F,4,0)&gt;0,VLOOKUP(O26,Balancete!$C:$F,4,0),"")</f>
        <v/>
      </c>
      <c r="P27" s="82" t="str">
        <f ca="1">IF(VLOOKUP(O26,Balancete!$C:$G,5,0)&gt;0,VLOOKUP(O26,Balancete!$C:$G,5,0),"")</f>
        <v/>
      </c>
      <c r="Q27" s="78"/>
      <c r="R27" s="85" t="s">
        <v>165</v>
      </c>
      <c r="S27" s="81" t="str">
        <f ca="1">IF(VLOOKUP(S26,Balancete!$C:$F,4,0)&gt;0,VLOOKUP(S26,Balancete!$C:$F,4,0),"")</f>
        <v/>
      </c>
      <c r="T27" s="82" t="str">
        <f ca="1">IF(VLOOKUP(S26,Balancete!$C:$G,5,0)&gt;0,VLOOKUP(S26,Balancete!$C:$G,5,0),"")</f>
        <v/>
      </c>
      <c r="U27" s="78"/>
    </row>
    <row r="28" spans="1:21" x14ac:dyDescent="0.25">
      <c r="A28">
        <v>1</v>
      </c>
      <c r="B28" s="85" t="str">
        <f ca="1">IF(C28&lt;&gt;"",INDEX('Livro Diário'!$B:$B,MATCH(Razonete!C$26&amp;$A28,'Livro Diário'!$N:$N,0),1),"")</f>
        <v/>
      </c>
      <c r="C28" t="str">
        <f ca="1">_xlfn.IFNA(INDEX('Livro Diário'!$F:$F,MATCH(Razonete!C$26&amp;$A28,'Livro Diário'!$N:$N,0),0),"")</f>
        <v/>
      </c>
      <c r="D28" s="7" t="str">
        <f ca="1">_xlfn.IFNA(INDEX('Livro Diário'!$F:$F,MATCH(Razonete!C$26&amp;$A28,'Livro Diário'!$O:$O,0),0),"")</f>
        <v/>
      </c>
      <c r="E28" s="78" t="str">
        <f ca="1">IF(D28&lt;&gt;"",INDEX('Livro Diário'!$B:$B,MATCH(Razonete!C$26&amp;$A28,'Livro Diário'!$O:$O,0),1),"")</f>
        <v/>
      </c>
      <c r="F28" s="85" t="str">
        <f ca="1">IF(G28&lt;&gt;"",INDEX('Livro Diário'!$B:$B,MATCH(Razonete!G$26&amp;$A28,'Livro Diário'!$N:$N,0),1),"")</f>
        <v/>
      </c>
      <c r="G28" t="str">
        <f ca="1">_xlfn.IFNA(INDEX('Livro Diário'!$F:$F,MATCH(Razonete!G$26&amp;$A28,'Livro Diário'!$N:$N,0),0),"")</f>
        <v/>
      </c>
      <c r="H28" s="7" t="str">
        <f ca="1">_xlfn.IFNA(INDEX('Livro Diário'!$F:$F,MATCH(Razonete!G$26&amp;$A28,'Livro Diário'!$O:$O,0),0),"")</f>
        <v/>
      </c>
      <c r="I28" s="78" t="str">
        <f ca="1">IF(H28&lt;&gt;"",INDEX('Livro Diário'!$B:$B,MATCH(Razonete!G$26&amp;$A28,'Livro Diário'!$O:$O,0),1),"")</f>
        <v/>
      </c>
      <c r="J28" s="85" t="str">
        <f ca="1">IF(K28&lt;&gt;"",INDEX('Livro Diário'!$B:$B,MATCH(Razonete!K$26&amp;$A28,'Livro Diário'!$N:$N,0),1),"")</f>
        <v/>
      </c>
      <c r="K28" t="str">
        <f ca="1">_xlfn.IFNA(INDEX('Livro Diário'!$F:$F,MATCH(Razonete!K$26&amp;$A28,'Livro Diário'!$N:$N,0),0),"")</f>
        <v/>
      </c>
      <c r="L28" s="7" t="str">
        <f ca="1">_xlfn.IFNA(INDEX('Livro Diário'!$F:$F,MATCH(Razonete!K$26&amp;$A28,'Livro Diário'!$O:$O,0),0),"")</f>
        <v/>
      </c>
      <c r="M28" s="78" t="str">
        <f ca="1">IF(L28&lt;&gt;"",INDEX('Livro Diário'!$B:$B,MATCH(Razonete!K$26&amp;$A28,'Livro Diário'!$O:$O,0),1),"")</f>
        <v/>
      </c>
      <c r="N28" s="85" t="str">
        <f ca="1">IF(O28&lt;&gt;"",INDEX('Livro Diário'!$B:$B,MATCH(Razonete!O$26&amp;$A28,'Livro Diário'!$N:$N,0),1),"")</f>
        <v/>
      </c>
      <c r="O28" t="str">
        <f ca="1">_xlfn.IFNA(INDEX('Livro Diário'!$F:$F,MATCH(Razonete!O$26&amp;$A28,'Livro Diário'!$N:$N,0),0),"")</f>
        <v/>
      </c>
      <c r="P28" s="7" t="str">
        <f ca="1">_xlfn.IFNA(INDEX('Livro Diário'!$F:$F,MATCH(Razonete!O$26&amp;$A28,'Livro Diário'!$O:$O,0),0),"")</f>
        <v/>
      </c>
      <c r="Q28" s="78" t="str">
        <f ca="1">IF(P28&lt;&gt;"",INDEX('Livro Diário'!$B:$B,MATCH(Razonete!O$26&amp;$A28,'Livro Diário'!$O:$O,0),1),"")</f>
        <v/>
      </c>
      <c r="R28" s="85" t="str">
        <f ca="1">IF(S28&lt;&gt;"",INDEX('Livro Diário'!$B:$B,MATCH(Razonete!S$26&amp;$A28,'Livro Diário'!$N:$N,0),1),"")</f>
        <v/>
      </c>
      <c r="S28" t="str">
        <f ca="1">_xlfn.IFNA(INDEX('Livro Diário'!$F:$F,MATCH(Razonete!S$26&amp;$A28,'Livro Diário'!$N:$N,0),0),"")</f>
        <v/>
      </c>
      <c r="T28" s="7" t="str">
        <f ca="1">_xlfn.IFNA(INDEX('Livro Diário'!$F:$F,MATCH(Razonete!S$26&amp;$A28,'Livro Diário'!$O:$O,0),0),"")</f>
        <v/>
      </c>
      <c r="U28" s="78" t="str">
        <f ca="1">IF(T28&lt;&gt;"",INDEX('Livro Diário'!$B:$B,MATCH(Razonete!S$26&amp;$A28,'Livro Diário'!$O:$O,0),1),"")</f>
        <v/>
      </c>
    </row>
    <row r="29" spans="1:21" x14ac:dyDescent="0.25">
      <c r="A29">
        <v>2</v>
      </c>
      <c r="B29" s="85" t="str">
        <f ca="1">IF(C29&lt;&gt;"",INDEX('Livro Diário'!$B:$B,MATCH(Razonete!C$26&amp;$A29,'Livro Diário'!$N:$N,0),1),"")</f>
        <v/>
      </c>
      <c r="C29" t="str">
        <f ca="1">_xlfn.IFNA(INDEX('Livro Diário'!$F:$F,MATCH(Razonete!C$26&amp;$A29,'Livro Diário'!$N:$N,0),0),"")</f>
        <v/>
      </c>
      <c r="D29" s="7" t="str">
        <f ca="1">_xlfn.IFNA(INDEX('Livro Diário'!$F:$F,MATCH(Razonete!C$26&amp;$A29,'Livro Diário'!$O:$O,0),0),"")</f>
        <v/>
      </c>
      <c r="E29" s="78" t="str">
        <f ca="1">IF(D29&lt;&gt;"",INDEX('Livro Diário'!$B:$B,MATCH(Razonete!C$26&amp;$A29,'Livro Diário'!$O:$O,0),1),"")</f>
        <v/>
      </c>
      <c r="F29" s="85" t="str">
        <f ca="1">IF(G29&lt;&gt;"",INDEX('Livro Diário'!$B:$B,MATCH(Razonete!G$26&amp;$A29,'Livro Diário'!$N:$N,0),1),"")</f>
        <v/>
      </c>
      <c r="G29" t="str">
        <f ca="1">_xlfn.IFNA(INDEX('Livro Diário'!$F:$F,MATCH(Razonete!G$26&amp;$A29,'Livro Diário'!$N:$N,0),0),"")</f>
        <v/>
      </c>
      <c r="H29" s="7" t="str">
        <f ca="1">_xlfn.IFNA(INDEX('Livro Diário'!$F:$F,MATCH(Razonete!G$26&amp;$A29,'Livro Diário'!$O:$O,0),0),"")</f>
        <v/>
      </c>
      <c r="I29" s="78" t="str">
        <f ca="1">IF(H29&lt;&gt;"",INDEX('Livro Diário'!$B:$B,MATCH(Razonete!G$26&amp;$A29,'Livro Diário'!$O:$O,0),1),"")</f>
        <v/>
      </c>
      <c r="J29" s="85" t="str">
        <f ca="1">IF(K29&lt;&gt;"",INDEX('Livro Diário'!$B:$B,MATCH(Razonete!K$26&amp;$A29,'Livro Diário'!$N:$N,0),1),"")</f>
        <v/>
      </c>
      <c r="K29" t="str">
        <f ca="1">_xlfn.IFNA(INDEX('Livro Diário'!$F:$F,MATCH(Razonete!K$26&amp;$A29,'Livro Diário'!$N:$N,0),0),"")</f>
        <v/>
      </c>
      <c r="L29" s="7" t="str">
        <f ca="1">_xlfn.IFNA(INDEX('Livro Diário'!$F:$F,MATCH(Razonete!K$26&amp;$A29,'Livro Diário'!$O:$O,0),0),"")</f>
        <v/>
      </c>
      <c r="M29" s="78" t="str">
        <f ca="1">IF(L29&lt;&gt;"",INDEX('Livro Diário'!$B:$B,MATCH(Razonete!K$26&amp;$A29,'Livro Diário'!$O:$O,0),1),"")</f>
        <v/>
      </c>
      <c r="N29" s="85" t="str">
        <f ca="1">IF(O29&lt;&gt;"",INDEX('Livro Diário'!$B:$B,MATCH(Razonete!O$26&amp;$A29,'Livro Diário'!$N:$N,0),1),"")</f>
        <v/>
      </c>
      <c r="O29" t="str">
        <f ca="1">_xlfn.IFNA(INDEX('Livro Diário'!$F:$F,MATCH(Razonete!O$26&amp;$A29,'Livro Diário'!$N:$N,0),0),"")</f>
        <v/>
      </c>
      <c r="P29" s="7" t="str">
        <f ca="1">_xlfn.IFNA(INDEX('Livro Diário'!$F:$F,MATCH(Razonete!O$26&amp;$A29,'Livro Diário'!$O:$O,0),0),"")</f>
        <v/>
      </c>
      <c r="Q29" s="78" t="str">
        <f ca="1">IF(P29&lt;&gt;"",INDEX('Livro Diário'!$B:$B,MATCH(Razonete!O$26&amp;$A29,'Livro Diário'!$O:$O,0),1),"")</f>
        <v/>
      </c>
      <c r="R29" s="85" t="str">
        <f ca="1">IF(S29&lt;&gt;"",INDEX('Livro Diário'!$B:$B,MATCH(Razonete!S$26&amp;$A29,'Livro Diário'!$N:$N,0),1),"")</f>
        <v/>
      </c>
      <c r="S29" t="str">
        <f ca="1">_xlfn.IFNA(INDEX('Livro Diário'!$F:$F,MATCH(Razonete!S$26&amp;$A29,'Livro Diário'!$N:$N,0),0),"")</f>
        <v/>
      </c>
      <c r="T29" s="7" t="str">
        <f ca="1">_xlfn.IFNA(INDEX('Livro Diário'!$F:$F,MATCH(Razonete!S$26&amp;$A29,'Livro Diário'!$O:$O,0),0),"")</f>
        <v/>
      </c>
      <c r="U29" s="78" t="str">
        <f ca="1">IF(T29&lt;&gt;"",INDEX('Livro Diário'!$B:$B,MATCH(Razonete!S$26&amp;$A29,'Livro Diário'!$O:$O,0),1),"")</f>
        <v/>
      </c>
    </row>
    <row r="30" spans="1:21" x14ac:dyDescent="0.25">
      <c r="A30">
        <v>3</v>
      </c>
      <c r="B30" s="85" t="str">
        <f ca="1">IF(C30&lt;&gt;"",INDEX('Livro Diário'!$B:$B,MATCH(Razonete!C$26&amp;$A30,'Livro Diário'!$N:$N,0),1),"")</f>
        <v/>
      </c>
      <c r="C30" t="str">
        <f ca="1">_xlfn.IFNA(INDEX('Livro Diário'!$F:$F,MATCH(Razonete!C$26&amp;$A30,'Livro Diário'!$N:$N,0),0),"")</f>
        <v/>
      </c>
      <c r="D30" s="7" t="str">
        <f ca="1">_xlfn.IFNA(INDEX('Livro Diário'!$F:$F,MATCH(Razonete!C$26&amp;$A30,'Livro Diário'!$O:$O,0),0),"")</f>
        <v/>
      </c>
      <c r="E30" s="78" t="str">
        <f ca="1">IF(D30&lt;&gt;"",INDEX('Livro Diário'!$B:$B,MATCH(Razonete!C$26&amp;$A30,'Livro Diário'!$O:$O,0),1),"")</f>
        <v/>
      </c>
      <c r="F30" s="85" t="str">
        <f ca="1">IF(G30&lt;&gt;"",INDEX('Livro Diário'!$B:$B,MATCH(Razonete!G$26&amp;$A30,'Livro Diário'!$N:$N,0),1),"")</f>
        <v/>
      </c>
      <c r="G30" t="str">
        <f ca="1">_xlfn.IFNA(INDEX('Livro Diário'!$F:$F,MATCH(Razonete!G$26&amp;$A30,'Livro Diário'!$N:$N,0),0),"")</f>
        <v/>
      </c>
      <c r="H30" s="7" t="str">
        <f ca="1">_xlfn.IFNA(INDEX('Livro Diário'!$F:$F,MATCH(Razonete!G$26&amp;$A30,'Livro Diário'!$O:$O,0),0),"")</f>
        <v/>
      </c>
      <c r="I30" s="78" t="str">
        <f ca="1">IF(H30&lt;&gt;"",INDEX('Livro Diário'!$B:$B,MATCH(Razonete!G$26&amp;$A30,'Livro Diário'!$O:$O,0),1),"")</f>
        <v/>
      </c>
      <c r="J30" s="85" t="str">
        <f ca="1">IF(K30&lt;&gt;"",INDEX('Livro Diário'!$B:$B,MATCH(Razonete!K$26&amp;$A30,'Livro Diário'!$N:$N,0),1),"")</f>
        <v/>
      </c>
      <c r="K30" t="str">
        <f ca="1">_xlfn.IFNA(INDEX('Livro Diário'!$F:$F,MATCH(Razonete!K$26&amp;$A30,'Livro Diário'!$N:$N,0),0),"")</f>
        <v/>
      </c>
      <c r="L30" s="7" t="str">
        <f ca="1">_xlfn.IFNA(INDEX('Livro Diário'!$F:$F,MATCH(Razonete!K$26&amp;$A30,'Livro Diário'!$O:$O,0),0),"")</f>
        <v/>
      </c>
      <c r="M30" s="78" t="str">
        <f ca="1">IF(L30&lt;&gt;"",INDEX('Livro Diário'!$B:$B,MATCH(Razonete!K$26&amp;$A30,'Livro Diário'!$O:$O,0),1),"")</f>
        <v/>
      </c>
      <c r="N30" s="85" t="str">
        <f ca="1">IF(O30&lt;&gt;"",INDEX('Livro Diário'!$B:$B,MATCH(Razonete!O$26&amp;$A30,'Livro Diário'!$N:$N,0),1),"")</f>
        <v/>
      </c>
      <c r="O30" t="str">
        <f ca="1">_xlfn.IFNA(INDEX('Livro Diário'!$F:$F,MATCH(Razonete!O$26&amp;$A30,'Livro Diário'!$N:$N,0),0),"")</f>
        <v/>
      </c>
      <c r="P30" s="7" t="str">
        <f ca="1">_xlfn.IFNA(INDEX('Livro Diário'!$F:$F,MATCH(Razonete!O$26&amp;$A30,'Livro Diário'!$O:$O,0),0),"")</f>
        <v/>
      </c>
      <c r="Q30" s="78" t="str">
        <f ca="1">IF(P30&lt;&gt;"",INDEX('Livro Diário'!$B:$B,MATCH(Razonete!O$26&amp;$A30,'Livro Diário'!$O:$O,0),1),"")</f>
        <v/>
      </c>
      <c r="R30" s="85" t="str">
        <f ca="1">IF(S30&lt;&gt;"",INDEX('Livro Diário'!$B:$B,MATCH(Razonete!S$26&amp;$A30,'Livro Diário'!$N:$N,0),1),"")</f>
        <v/>
      </c>
      <c r="S30" t="str">
        <f ca="1">_xlfn.IFNA(INDEX('Livro Diário'!$F:$F,MATCH(Razonete!S$26&amp;$A30,'Livro Diário'!$N:$N,0),0),"")</f>
        <v/>
      </c>
      <c r="T30" s="7" t="str">
        <f ca="1">_xlfn.IFNA(INDEX('Livro Diário'!$F:$F,MATCH(Razonete!S$26&amp;$A30,'Livro Diário'!$O:$O,0),0),"")</f>
        <v/>
      </c>
      <c r="U30" s="78" t="str">
        <f ca="1">IF(T30&lt;&gt;"",INDEX('Livro Diário'!$B:$B,MATCH(Razonete!S$26&amp;$A30,'Livro Diário'!$O:$O,0),1),"")</f>
        <v/>
      </c>
    </row>
    <row r="31" spans="1:21" x14ac:dyDescent="0.25">
      <c r="A31">
        <v>4</v>
      </c>
      <c r="B31" s="85" t="str">
        <f ca="1">IF(C31&lt;&gt;"",INDEX('Livro Diário'!$B:$B,MATCH(Razonete!C$26&amp;$A31,'Livro Diário'!$N:$N,0),1),"")</f>
        <v/>
      </c>
      <c r="C31" t="str">
        <f ca="1">_xlfn.IFNA(INDEX('Livro Diário'!$F:$F,MATCH(Razonete!C$26&amp;$A31,'Livro Diário'!$N:$N,0),0),"")</f>
        <v/>
      </c>
      <c r="D31" s="7" t="str">
        <f ca="1">_xlfn.IFNA(INDEX('Livro Diário'!$F:$F,MATCH(Razonete!C$26&amp;$A31,'Livro Diário'!$O:$O,0),0),"")</f>
        <v/>
      </c>
      <c r="E31" s="78" t="str">
        <f ca="1">IF(D31&lt;&gt;"",INDEX('Livro Diário'!$B:$B,MATCH(Razonete!C$26&amp;$A31,'Livro Diário'!$O:$O,0),1),"")</f>
        <v/>
      </c>
      <c r="F31" s="85" t="str">
        <f ca="1">IF(G31&lt;&gt;"",INDEX('Livro Diário'!$B:$B,MATCH(Razonete!G$26&amp;$A31,'Livro Diário'!$N:$N,0),1),"")</f>
        <v/>
      </c>
      <c r="G31" t="str">
        <f ca="1">_xlfn.IFNA(INDEX('Livro Diário'!$F:$F,MATCH(Razonete!G$26&amp;$A31,'Livro Diário'!$N:$N,0),0),"")</f>
        <v/>
      </c>
      <c r="H31" s="7" t="str">
        <f ca="1">_xlfn.IFNA(INDEX('Livro Diário'!$F:$F,MATCH(Razonete!G$26&amp;$A31,'Livro Diário'!$O:$O,0),0),"")</f>
        <v/>
      </c>
      <c r="I31" s="78" t="str">
        <f ca="1">IF(H31&lt;&gt;"",INDEX('Livro Diário'!$B:$B,MATCH(Razonete!G$26&amp;$A31,'Livro Diário'!$O:$O,0),1),"")</f>
        <v/>
      </c>
      <c r="J31" s="85" t="str">
        <f ca="1">IF(K31&lt;&gt;"",INDEX('Livro Diário'!$B:$B,MATCH(Razonete!K$26&amp;$A31,'Livro Diário'!$N:$N,0),1),"")</f>
        <v/>
      </c>
      <c r="K31" t="str">
        <f ca="1">_xlfn.IFNA(INDEX('Livro Diário'!$F:$F,MATCH(Razonete!K$26&amp;$A31,'Livro Diário'!$N:$N,0),0),"")</f>
        <v/>
      </c>
      <c r="L31" s="7" t="str">
        <f ca="1">_xlfn.IFNA(INDEX('Livro Diário'!$F:$F,MATCH(Razonete!K$26&amp;$A31,'Livro Diário'!$O:$O,0),0),"")</f>
        <v/>
      </c>
      <c r="M31" s="78" t="str">
        <f ca="1">IF(L31&lt;&gt;"",INDEX('Livro Diário'!$B:$B,MATCH(Razonete!K$26&amp;$A31,'Livro Diário'!$O:$O,0),1),"")</f>
        <v/>
      </c>
      <c r="N31" s="85" t="str">
        <f ca="1">IF(O31&lt;&gt;"",INDEX('Livro Diário'!$B:$B,MATCH(Razonete!O$26&amp;$A31,'Livro Diário'!$N:$N,0),1),"")</f>
        <v/>
      </c>
      <c r="O31" t="str">
        <f ca="1">_xlfn.IFNA(INDEX('Livro Diário'!$F:$F,MATCH(Razonete!O$26&amp;$A31,'Livro Diário'!$N:$N,0),0),"")</f>
        <v/>
      </c>
      <c r="P31" s="7" t="str">
        <f ca="1">_xlfn.IFNA(INDEX('Livro Diário'!$F:$F,MATCH(Razonete!O$26&amp;$A31,'Livro Diário'!$O:$O,0),0),"")</f>
        <v/>
      </c>
      <c r="Q31" s="78" t="str">
        <f ca="1">IF(P31&lt;&gt;"",INDEX('Livro Diário'!$B:$B,MATCH(Razonete!O$26&amp;$A31,'Livro Diário'!$O:$O,0),1),"")</f>
        <v/>
      </c>
      <c r="R31" s="85" t="str">
        <f ca="1">IF(S31&lt;&gt;"",INDEX('Livro Diário'!$B:$B,MATCH(Razonete!S$26&amp;$A31,'Livro Diário'!$N:$N,0),1),"")</f>
        <v/>
      </c>
      <c r="S31" t="str">
        <f ca="1">_xlfn.IFNA(INDEX('Livro Diário'!$F:$F,MATCH(Razonete!S$26&amp;$A31,'Livro Diário'!$N:$N,0),0),"")</f>
        <v/>
      </c>
      <c r="T31" s="7" t="str">
        <f ca="1">_xlfn.IFNA(INDEX('Livro Diário'!$F:$F,MATCH(Razonete!S$26&amp;$A31,'Livro Diário'!$O:$O,0),0),"")</f>
        <v/>
      </c>
      <c r="U31" s="78" t="str">
        <f ca="1">IF(T31&lt;&gt;"",INDEX('Livro Diário'!$B:$B,MATCH(Razonete!S$26&amp;$A31,'Livro Diário'!$O:$O,0),1),"")</f>
        <v/>
      </c>
    </row>
    <row r="32" spans="1:21" x14ac:dyDescent="0.25">
      <c r="A32">
        <v>5</v>
      </c>
      <c r="B32" s="85" t="str">
        <f ca="1">IF(C32&lt;&gt;"",INDEX('Livro Diário'!$B:$B,MATCH(Razonete!C$26&amp;$A32,'Livro Diário'!$N:$N,0),1),"")</f>
        <v/>
      </c>
      <c r="C32" t="str">
        <f ca="1">_xlfn.IFNA(INDEX('Livro Diário'!$F:$F,MATCH(Razonete!C$26&amp;$A32,'Livro Diário'!$N:$N,0),0),"")</f>
        <v/>
      </c>
      <c r="D32" s="7" t="str">
        <f ca="1">_xlfn.IFNA(INDEX('Livro Diário'!$F:$F,MATCH(Razonete!C$26&amp;$A32,'Livro Diário'!$O:$O,0),0),"")</f>
        <v/>
      </c>
      <c r="E32" s="78" t="str">
        <f ca="1">IF(D32&lt;&gt;"",INDEX('Livro Diário'!$B:$B,MATCH(Razonete!C$26&amp;$A32,'Livro Diário'!$O:$O,0),1),"")</f>
        <v/>
      </c>
      <c r="F32" s="85" t="str">
        <f ca="1">IF(G32&lt;&gt;"",INDEX('Livro Diário'!$B:$B,MATCH(Razonete!G$26&amp;$A32,'Livro Diário'!$N:$N,0),1),"")</f>
        <v/>
      </c>
      <c r="G32" t="str">
        <f ca="1">_xlfn.IFNA(INDEX('Livro Diário'!$F:$F,MATCH(Razonete!G$26&amp;$A32,'Livro Diário'!$N:$N,0),0),"")</f>
        <v/>
      </c>
      <c r="H32" s="7" t="str">
        <f ca="1">_xlfn.IFNA(INDEX('Livro Diário'!$F:$F,MATCH(Razonete!G$26&amp;$A32,'Livro Diário'!$O:$O,0),0),"")</f>
        <v/>
      </c>
      <c r="I32" s="78" t="str">
        <f ca="1">IF(H32&lt;&gt;"",INDEX('Livro Diário'!$B:$B,MATCH(Razonete!G$26&amp;$A32,'Livro Diário'!$O:$O,0),1),"")</f>
        <v/>
      </c>
      <c r="J32" s="85" t="str">
        <f ca="1">IF(K32&lt;&gt;"",INDEX('Livro Diário'!$B:$B,MATCH(Razonete!K$26&amp;$A32,'Livro Diário'!$N:$N,0),1),"")</f>
        <v/>
      </c>
      <c r="K32" t="str">
        <f ca="1">_xlfn.IFNA(INDEX('Livro Diário'!$F:$F,MATCH(Razonete!K$26&amp;$A32,'Livro Diário'!$N:$N,0),0),"")</f>
        <v/>
      </c>
      <c r="L32" s="7" t="str">
        <f ca="1">_xlfn.IFNA(INDEX('Livro Diário'!$F:$F,MATCH(Razonete!K$26&amp;$A32,'Livro Diário'!$O:$O,0),0),"")</f>
        <v/>
      </c>
      <c r="M32" s="78" t="str">
        <f ca="1">IF(L32&lt;&gt;"",INDEX('Livro Diário'!$B:$B,MATCH(Razonete!K$26&amp;$A32,'Livro Diário'!$O:$O,0),1),"")</f>
        <v/>
      </c>
      <c r="N32" s="85" t="str">
        <f ca="1">IF(O32&lt;&gt;"",INDEX('Livro Diário'!$B:$B,MATCH(Razonete!O$26&amp;$A32,'Livro Diário'!$N:$N,0),1),"")</f>
        <v/>
      </c>
      <c r="O32" t="str">
        <f ca="1">_xlfn.IFNA(INDEX('Livro Diário'!$F:$F,MATCH(Razonete!O$26&amp;$A32,'Livro Diário'!$N:$N,0),0),"")</f>
        <v/>
      </c>
      <c r="P32" s="7" t="str">
        <f ca="1">_xlfn.IFNA(INDEX('Livro Diário'!$F:$F,MATCH(Razonete!O$26&amp;$A32,'Livro Diário'!$O:$O,0),0),"")</f>
        <v/>
      </c>
      <c r="Q32" s="78" t="str">
        <f ca="1">IF(P32&lt;&gt;"",INDEX('Livro Diário'!$B:$B,MATCH(Razonete!O$26&amp;$A32,'Livro Diário'!$O:$O,0),1),"")</f>
        <v/>
      </c>
      <c r="R32" s="85" t="str">
        <f ca="1">IF(S32&lt;&gt;"",INDEX('Livro Diário'!$B:$B,MATCH(Razonete!S$26&amp;$A32,'Livro Diário'!$N:$N,0),1),"")</f>
        <v/>
      </c>
      <c r="S32" t="str">
        <f ca="1">_xlfn.IFNA(INDEX('Livro Diário'!$F:$F,MATCH(Razonete!S$26&amp;$A32,'Livro Diário'!$N:$N,0),0),"")</f>
        <v/>
      </c>
      <c r="T32" s="7" t="str">
        <f ca="1">_xlfn.IFNA(INDEX('Livro Diário'!$F:$F,MATCH(Razonete!S$26&amp;$A32,'Livro Diário'!$O:$O,0),0),"")</f>
        <v/>
      </c>
      <c r="U32" s="78" t="str">
        <f ca="1">IF(T32&lt;&gt;"",INDEX('Livro Diário'!$B:$B,MATCH(Razonete!S$26&amp;$A32,'Livro Diário'!$O:$O,0),1),"")</f>
        <v/>
      </c>
    </row>
    <row r="33" spans="1:21" x14ac:dyDescent="0.25">
      <c r="A33">
        <v>6</v>
      </c>
      <c r="B33" s="85" t="str">
        <f ca="1">IF(C33&lt;&gt;"",INDEX('Livro Diário'!$B:$B,MATCH(Razonete!C$26&amp;$A33,'Livro Diário'!$N:$N,0),1),"")</f>
        <v/>
      </c>
      <c r="C33" t="str">
        <f ca="1">_xlfn.IFNA(INDEX('Livro Diário'!$F:$F,MATCH(Razonete!C$26&amp;$A33,'Livro Diário'!$N:$N,0),0),"")</f>
        <v/>
      </c>
      <c r="D33" s="7" t="str">
        <f ca="1">_xlfn.IFNA(INDEX('Livro Diário'!$F:$F,MATCH(Razonete!C$26&amp;$A33,'Livro Diário'!$O:$O,0),0),"")</f>
        <v/>
      </c>
      <c r="E33" s="78" t="str">
        <f ca="1">IF(D33&lt;&gt;"",INDEX('Livro Diário'!$B:$B,MATCH(Razonete!C$26&amp;$A33,'Livro Diário'!$O:$O,0),1),"")</f>
        <v/>
      </c>
      <c r="F33" s="85" t="str">
        <f ca="1">IF(G33&lt;&gt;"",INDEX('Livro Diário'!$B:$B,MATCH(Razonete!G$26&amp;$A33,'Livro Diário'!$N:$N,0),1),"")</f>
        <v/>
      </c>
      <c r="G33" t="str">
        <f ca="1">_xlfn.IFNA(INDEX('Livro Diário'!$F:$F,MATCH(Razonete!G$26&amp;$A33,'Livro Diário'!$N:$N,0),0),"")</f>
        <v/>
      </c>
      <c r="H33" s="7" t="str">
        <f ca="1">_xlfn.IFNA(INDEX('Livro Diário'!$F:$F,MATCH(Razonete!G$26&amp;$A33,'Livro Diário'!$O:$O,0),0),"")</f>
        <v/>
      </c>
      <c r="I33" s="78" t="str">
        <f ca="1">IF(H33&lt;&gt;"",INDEX('Livro Diário'!$B:$B,MATCH(Razonete!G$26&amp;$A33,'Livro Diário'!$O:$O,0),1),"")</f>
        <v/>
      </c>
      <c r="J33" s="85" t="str">
        <f ca="1">IF(K33&lt;&gt;"",INDEX('Livro Diário'!$B:$B,MATCH(Razonete!K$26&amp;$A33,'Livro Diário'!$N:$N,0),1),"")</f>
        <v/>
      </c>
      <c r="K33" t="str">
        <f ca="1">_xlfn.IFNA(INDEX('Livro Diário'!$F:$F,MATCH(Razonete!K$26&amp;$A33,'Livro Diário'!$N:$N,0),0),"")</f>
        <v/>
      </c>
      <c r="L33" s="7" t="str">
        <f ca="1">_xlfn.IFNA(INDEX('Livro Diário'!$F:$F,MATCH(Razonete!K$26&amp;$A33,'Livro Diário'!$O:$O,0),0),"")</f>
        <v/>
      </c>
      <c r="M33" s="78" t="str">
        <f ca="1">IF(L33&lt;&gt;"",INDEX('Livro Diário'!$B:$B,MATCH(Razonete!K$26&amp;$A33,'Livro Diário'!$O:$O,0),1),"")</f>
        <v/>
      </c>
      <c r="N33" s="85" t="str">
        <f ca="1">IF(O33&lt;&gt;"",INDEX('Livro Diário'!$B:$B,MATCH(Razonete!O$26&amp;$A33,'Livro Diário'!$N:$N,0),1),"")</f>
        <v/>
      </c>
      <c r="O33" t="str">
        <f ca="1">_xlfn.IFNA(INDEX('Livro Diário'!$F:$F,MATCH(Razonete!O$26&amp;$A33,'Livro Diário'!$N:$N,0),0),"")</f>
        <v/>
      </c>
      <c r="P33" s="7" t="str">
        <f ca="1">_xlfn.IFNA(INDEX('Livro Diário'!$F:$F,MATCH(Razonete!O$26&amp;$A33,'Livro Diário'!$O:$O,0),0),"")</f>
        <v/>
      </c>
      <c r="Q33" s="78" t="str">
        <f ca="1">IF(P33&lt;&gt;"",INDEX('Livro Diário'!$B:$B,MATCH(Razonete!O$26&amp;$A33,'Livro Diário'!$O:$O,0),1),"")</f>
        <v/>
      </c>
      <c r="R33" s="85" t="str">
        <f ca="1">IF(S33&lt;&gt;"",INDEX('Livro Diário'!$B:$B,MATCH(Razonete!S$26&amp;$A33,'Livro Diário'!$N:$N,0),1),"")</f>
        <v/>
      </c>
      <c r="S33" t="str">
        <f ca="1">_xlfn.IFNA(INDEX('Livro Diário'!$F:$F,MATCH(Razonete!S$26&amp;$A33,'Livro Diário'!$N:$N,0),0),"")</f>
        <v/>
      </c>
      <c r="T33" s="7" t="str">
        <f ca="1">_xlfn.IFNA(INDEX('Livro Diário'!$F:$F,MATCH(Razonete!S$26&amp;$A33,'Livro Diário'!$O:$O,0),0),"")</f>
        <v/>
      </c>
      <c r="U33" s="78" t="str">
        <f ca="1">IF(T33&lt;&gt;"",INDEX('Livro Diário'!$B:$B,MATCH(Razonete!S$26&amp;$A33,'Livro Diário'!$O:$O,0),1),"")</f>
        <v/>
      </c>
    </row>
    <row r="34" spans="1:21" ht="15.75" thickBot="1" x14ac:dyDescent="0.3">
      <c r="A34">
        <v>7</v>
      </c>
      <c r="B34" s="85" t="str">
        <f ca="1">IF(C34&lt;&gt;"",INDEX('Livro Diário'!$B:$B,MATCH(Razonete!C$26&amp;$A34,'Livro Diário'!$N:$N,0),1),"")</f>
        <v/>
      </c>
      <c r="C34" t="str">
        <f ca="1">_xlfn.IFNA(INDEX('Livro Diário'!$F:$F,MATCH(Razonete!C$26&amp;$A34,'Livro Diário'!$N:$N,0),0),"")</f>
        <v/>
      </c>
      <c r="D34" s="7" t="str">
        <f ca="1">_xlfn.IFNA(INDEX('Livro Diário'!$F:$F,MATCH(Razonete!C$26&amp;$A34,'Livro Diário'!$O:$O,0),0),"")</f>
        <v/>
      </c>
      <c r="E34" s="78" t="str">
        <f ca="1">IF(D34&lt;&gt;"",INDEX('Livro Diário'!$B:$B,MATCH(Razonete!C$26&amp;$A34,'Livro Diário'!$O:$O,0),1),"")</f>
        <v/>
      </c>
      <c r="F34" s="85" t="str">
        <f ca="1">IF(G34&lt;&gt;"",INDEX('Livro Diário'!$B:$B,MATCH(Razonete!G$26&amp;$A34,'Livro Diário'!$N:$N,0),1),"")</f>
        <v/>
      </c>
      <c r="G34" t="str">
        <f ca="1">_xlfn.IFNA(INDEX('Livro Diário'!$F:$F,MATCH(Razonete!G$26&amp;$A34,'Livro Diário'!$N:$N,0),0),"")</f>
        <v/>
      </c>
      <c r="H34" s="7" t="str">
        <f ca="1">_xlfn.IFNA(INDEX('Livro Diário'!$F:$F,MATCH(Razonete!G$26&amp;$A34,'Livro Diário'!$O:$O,0),0),"")</f>
        <v/>
      </c>
      <c r="I34" s="78" t="str">
        <f ca="1">IF(H34&lt;&gt;"",INDEX('Livro Diário'!$B:$B,MATCH(Razonete!G$26&amp;$A34,'Livro Diário'!$O:$O,0),1),"")</f>
        <v/>
      </c>
      <c r="J34" s="85" t="str">
        <f ca="1">IF(K34&lt;&gt;"",INDEX('Livro Diário'!$B:$B,MATCH(Razonete!K$26&amp;$A34,'Livro Diário'!$N:$N,0),1),"")</f>
        <v/>
      </c>
      <c r="K34" t="str">
        <f ca="1">_xlfn.IFNA(INDEX('Livro Diário'!$F:$F,MATCH(Razonete!K$26&amp;$A34,'Livro Diário'!$N:$N,0),0),"")</f>
        <v/>
      </c>
      <c r="L34" s="7" t="str">
        <f ca="1">_xlfn.IFNA(INDEX('Livro Diário'!$F:$F,MATCH(Razonete!K$26&amp;$A34,'Livro Diário'!$O:$O,0),0),"")</f>
        <v/>
      </c>
      <c r="M34" s="78" t="str">
        <f ca="1">IF(L34&lt;&gt;"",INDEX('Livro Diário'!$B:$B,MATCH(Razonete!K$26&amp;$A34,'Livro Diário'!$O:$O,0),1),"")</f>
        <v/>
      </c>
      <c r="N34" s="85" t="str">
        <f ca="1">IF(O34&lt;&gt;"",INDEX('Livro Diário'!$B:$B,MATCH(Razonete!O$26&amp;$A34,'Livro Diário'!$N:$N,0),1),"")</f>
        <v/>
      </c>
      <c r="O34" t="str">
        <f ca="1">_xlfn.IFNA(INDEX('Livro Diário'!$F:$F,MATCH(Razonete!O$26&amp;$A34,'Livro Diário'!$N:$N,0),0),"")</f>
        <v/>
      </c>
      <c r="P34" s="7" t="str">
        <f ca="1">_xlfn.IFNA(INDEX('Livro Diário'!$F:$F,MATCH(Razonete!O$26&amp;$A34,'Livro Diário'!$O:$O,0),0),"")</f>
        <v/>
      </c>
      <c r="Q34" s="78" t="str">
        <f ca="1">IF(P34&lt;&gt;"",INDEX('Livro Diário'!$B:$B,MATCH(Razonete!O$26&amp;$A34,'Livro Diário'!$O:$O,0),1),"")</f>
        <v/>
      </c>
      <c r="R34" s="85" t="str">
        <f ca="1">IF(S34&lt;&gt;"",INDEX('Livro Diário'!$B:$B,MATCH(Razonete!S$26&amp;$A34,'Livro Diário'!$N:$N,0),1),"")</f>
        <v/>
      </c>
      <c r="S34" t="str">
        <f ca="1">_xlfn.IFNA(INDEX('Livro Diário'!$F:$F,MATCH(Razonete!S$26&amp;$A34,'Livro Diário'!$N:$N,0),0),"")</f>
        <v/>
      </c>
      <c r="T34" s="7" t="str">
        <f ca="1">_xlfn.IFNA(INDEX('Livro Diário'!$F:$F,MATCH(Razonete!S$26&amp;$A34,'Livro Diário'!$O:$O,0),0),"")</f>
        <v/>
      </c>
      <c r="U34" s="78" t="str">
        <f ca="1">IF(T34&lt;&gt;"",INDEX('Livro Diário'!$B:$B,MATCH(Razonete!S$26&amp;$A34,'Livro Diário'!$O:$O,0),1),"")</f>
        <v/>
      </c>
    </row>
    <row r="35" spans="1:21" ht="16.5" thickTop="1" thickBot="1" x14ac:dyDescent="0.3">
      <c r="C35" s="83">
        <f ca="1">SUM(C27:C34)</f>
        <v>0</v>
      </c>
      <c r="D35" s="84">
        <f ca="1">SUM(D27:D34)</f>
        <v>0</v>
      </c>
      <c r="F35" s="85"/>
      <c r="G35" s="83">
        <f ca="1">SUM(G27:G34)</f>
        <v>0</v>
      </c>
      <c r="H35" s="84">
        <f ca="1">SUM(H27:H34)</f>
        <v>0</v>
      </c>
      <c r="J35" s="85"/>
      <c r="K35" s="83">
        <f ca="1">SUM(K27:K34)</f>
        <v>0</v>
      </c>
      <c r="L35" s="84">
        <f ca="1">SUM(L27:L34)</f>
        <v>0</v>
      </c>
      <c r="M35" s="78"/>
      <c r="N35" s="85"/>
      <c r="O35" s="83">
        <f ca="1">SUM(O27:O34)</f>
        <v>0</v>
      </c>
      <c r="P35" s="84">
        <f ca="1">SUM(P27:P34)</f>
        <v>0</v>
      </c>
      <c r="Q35" s="78"/>
      <c r="R35" s="85"/>
      <c r="S35" s="83">
        <f ca="1">SUM(S27:S34)</f>
        <v>0</v>
      </c>
      <c r="T35" s="84">
        <f ca="1">SUM(T27:T34)</f>
        <v>0</v>
      </c>
      <c r="U35" s="78"/>
    </row>
    <row r="36" spans="1:21" ht="15.75" thickTop="1" x14ac:dyDescent="0.25">
      <c r="C36" t="str">
        <f ca="1">IF(C35&gt;D35,C35-D35,"")</f>
        <v/>
      </c>
      <c r="D36" t="str">
        <f ca="1">IF(D35&gt;C35,D35-C35,"")</f>
        <v/>
      </c>
      <c r="F36" s="85"/>
      <c r="G36" t="str">
        <f ca="1">IF(G35&gt;H35,G35-H35,"")</f>
        <v/>
      </c>
      <c r="H36" t="str">
        <f ca="1">IF(H35&gt;G35,H35-G35,"")</f>
        <v/>
      </c>
      <c r="J36" s="85"/>
      <c r="K36" t="str">
        <f ca="1">IF(K35&gt;L35,K35-L35,"")</f>
        <v/>
      </c>
      <c r="L36" t="str">
        <f ca="1">IF(L35&gt;K35,L35-K35,"")</f>
        <v/>
      </c>
      <c r="M36" s="78"/>
      <c r="N36" s="85"/>
      <c r="O36" t="str">
        <f ca="1">IF(O35&gt;P35,O35-P35,"")</f>
        <v/>
      </c>
      <c r="P36" t="str">
        <f ca="1">IF(P35&gt;O35,P35-O35,"")</f>
        <v/>
      </c>
      <c r="Q36" s="78"/>
      <c r="R36" s="85"/>
      <c r="S36" t="str">
        <f ca="1">IF(S35&gt;T35,S35-T35,"")</f>
        <v/>
      </c>
      <c r="T36" t="str">
        <f ca="1">IF(T35&gt;S35,T35-S35,"")</f>
        <v/>
      </c>
      <c r="U36" s="78"/>
    </row>
    <row r="37" spans="1:21" x14ac:dyDescent="0.25">
      <c r="C37">
        <f>C25+5</f>
        <v>18</v>
      </c>
      <c r="G37">
        <f>G25+5</f>
        <v>19</v>
      </c>
      <c r="K37">
        <f>K25+5</f>
        <v>20</v>
      </c>
      <c r="O37">
        <f>O25+5</f>
        <v>21</v>
      </c>
      <c r="S37">
        <f>S25+5</f>
        <v>22</v>
      </c>
    </row>
    <row r="38" spans="1:21" x14ac:dyDescent="0.25">
      <c r="C38" s="138" t="str">
        <f ca="1">INDIRECT("Balancete!C"&amp;C37)</f>
        <v>Terrenos - Imobilizado</v>
      </c>
      <c r="D38" s="138"/>
      <c r="G38" s="138" t="str">
        <f ca="1">INDIRECT("Balancete!C"&amp;G37)</f>
        <v>Depreciação Acumulada</v>
      </c>
      <c r="H38" s="138"/>
      <c r="K38" s="138" t="str">
        <f ca="1">INDIRECT("Balancete!C"&amp;K37)</f>
        <v>Marcas e Patentes</v>
      </c>
      <c r="L38" s="138"/>
      <c r="O38" s="138" t="str">
        <f ca="1">INDIRECT("Balancete!C"&amp;O37)</f>
        <v>Software</v>
      </c>
      <c r="P38" s="138"/>
      <c r="S38" s="138" t="str">
        <f ca="1">INDIRECT("Balancete!C"&amp;S37)</f>
        <v>Amortizacão</v>
      </c>
      <c r="T38" s="138"/>
    </row>
    <row r="39" spans="1:21" x14ac:dyDescent="0.25">
      <c r="A39">
        <v>38</v>
      </c>
      <c r="B39" s="85" t="s">
        <v>165</v>
      </c>
      <c r="C39" s="81" t="str">
        <f ca="1">IF(VLOOKUP(C38,Balancete!$C:$F,4,0)&gt;0,VLOOKUP(C38,Balancete!$C:$F,4,0),"")</f>
        <v/>
      </c>
      <c r="D39" s="82" t="str">
        <f ca="1">IF(VLOOKUP(C38,Balancete!$C:$G,5,0)&gt;0,VLOOKUP(C38,Balancete!$C:$G,5,0),"")</f>
        <v/>
      </c>
      <c r="F39" s="85" t="s">
        <v>165</v>
      </c>
      <c r="G39" s="81" t="str">
        <f ca="1">IF(VLOOKUP(G38,Balancete!$C:$F,4,0)&gt;0,VLOOKUP(G38,Balancete!$C:$F,4,0),"")</f>
        <v/>
      </c>
      <c r="H39" s="82" t="str">
        <f ca="1">IF(VLOOKUP(G38,Balancete!$C:$G,5,0)&gt;0,VLOOKUP(G38,Balancete!$C:$G,5,0),"")</f>
        <v/>
      </c>
      <c r="J39" s="85" t="s">
        <v>165</v>
      </c>
      <c r="K39" s="81" t="str">
        <f ca="1">IF(VLOOKUP(K38,Balancete!$C:$F,4,0)&gt;0,VLOOKUP(K38,Balancete!$C:$F,4,0),"")</f>
        <v/>
      </c>
      <c r="L39" s="82" t="str">
        <f ca="1">IF(VLOOKUP(K38,Balancete!$C:$G,5,0)&gt;0,VLOOKUP(K38,Balancete!$C:$G,5,0),"")</f>
        <v/>
      </c>
      <c r="M39" s="78"/>
      <c r="N39" s="85" t="s">
        <v>165</v>
      </c>
      <c r="O39" s="81" t="str">
        <f ca="1">IF(VLOOKUP(O38,Balancete!$C:$F,4,0)&gt;0,VLOOKUP(O38,Balancete!$C:$F,4,0),"")</f>
        <v/>
      </c>
      <c r="P39" s="82" t="str">
        <f ca="1">IF(VLOOKUP(O38,Balancete!$C:$G,5,0)&gt;0,VLOOKUP(O38,Balancete!$C:$G,5,0),"")</f>
        <v/>
      </c>
      <c r="Q39" s="78"/>
      <c r="R39" s="85" t="s">
        <v>165</v>
      </c>
      <c r="S39" s="81" t="str">
        <f ca="1">IF(VLOOKUP(S38,Balancete!$C:$F,4,0)&gt;0,VLOOKUP(S38,Balancete!$C:$F,4,0),"")</f>
        <v/>
      </c>
      <c r="T39" s="82" t="str">
        <f ca="1">IF(VLOOKUP(S38,Balancete!$C:$G,5,0)&gt;0,VLOOKUP(S38,Balancete!$C:$G,5,0),"")</f>
        <v/>
      </c>
      <c r="U39" s="78"/>
    </row>
    <row r="40" spans="1:21" x14ac:dyDescent="0.25">
      <c r="A40">
        <v>1</v>
      </c>
      <c r="B40" s="85" t="str">
        <f ca="1">IF(C40&lt;&gt;"",INDEX('Livro Diário'!$B:$B,MATCH(Razonete!C$38&amp;$A40,'Livro Diário'!$N:$N,0),1),"")</f>
        <v/>
      </c>
      <c r="C40" t="str">
        <f ca="1">_xlfn.IFNA(INDEX('Livro Diário'!$F:$F,MATCH(Razonete!C$38&amp;$A40,'Livro Diário'!$N:$N,0),0),"")</f>
        <v/>
      </c>
      <c r="D40" s="7" t="str">
        <f ca="1">_xlfn.IFNA(INDEX('Livro Diário'!$F:$F,MATCH(Razonete!C$38&amp;$A40,'Livro Diário'!$O:$O,0),0),"")</f>
        <v/>
      </c>
      <c r="E40" s="78" t="str">
        <f ca="1">IF(D40&lt;&gt;"",INDEX('Livro Diário'!$B:$B,MATCH(Razonete!C$38&amp;$A40,'Livro Diário'!$O:$O,0),1),"")</f>
        <v/>
      </c>
      <c r="F40" s="85" t="str">
        <f ca="1">IF(G40&lt;&gt;"",INDEX('Livro Diário'!$B:$B,MATCH(Razonete!G$38&amp;$A40,'Livro Diário'!$N:$N,0),1),"")</f>
        <v/>
      </c>
      <c r="G40" t="str">
        <f ca="1">_xlfn.IFNA(INDEX('Livro Diário'!$F:$F,MATCH(Razonete!G$38&amp;$A40,'Livro Diário'!$N:$N,0),0),"")</f>
        <v/>
      </c>
      <c r="H40" s="7" t="str">
        <f ca="1">_xlfn.IFNA(INDEX('Livro Diário'!$F:$F,MATCH(Razonete!G$38&amp;$A40,'Livro Diário'!$O:$O,0),0),"")</f>
        <v/>
      </c>
      <c r="I40" s="78" t="str">
        <f ca="1">IF(H40&lt;&gt;"",INDEX('Livro Diário'!$B:$B,MATCH(Razonete!G$38&amp;$A40,'Livro Diário'!$O:$O,0),1),"")</f>
        <v/>
      </c>
      <c r="J40" s="85" t="str">
        <f ca="1">IF(K40&lt;&gt;"",INDEX('Livro Diário'!$B:$B,MATCH(Razonete!K$38&amp;$A40,'Livro Diário'!$N:$N,0),1),"")</f>
        <v/>
      </c>
      <c r="K40" t="str">
        <f ca="1">_xlfn.IFNA(INDEX('Livro Diário'!$F:$F,MATCH(Razonete!K$38&amp;$A40,'Livro Diário'!$N:$N,0),0),"")</f>
        <v/>
      </c>
      <c r="L40" s="7" t="str">
        <f ca="1">_xlfn.IFNA(INDEX('Livro Diário'!$F:$F,MATCH(Razonete!K$38&amp;$A40,'Livro Diário'!$O:$O,0),0),"")</f>
        <v/>
      </c>
      <c r="M40" s="78" t="str">
        <f ca="1">IF(L40&lt;&gt;"",INDEX('Livro Diário'!$B:$B,MATCH(Razonete!K$38&amp;$A40,'Livro Diário'!$O:$O,0),1),"")</f>
        <v/>
      </c>
      <c r="N40" s="85" t="str">
        <f ca="1">IF(O40&lt;&gt;"",INDEX('Livro Diário'!$B:$B,MATCH(Razonete!O$38&amp;$A40,'Livro Diário'!$N:$N,0),1),"")</f>
        <v/>
      </c>
      <c r="O40" t="str">
        <f ca="1">_xlfn.IFNA(INDEX('Livro Diário'!$F:$F,MATCH(Razonete!O$38&amp;$A40,'Livro Diário'!$N:$N,0),0),"")</f>
        <v/>
      </c>
      <c r="P40" s="7" t="str">
        <f ca="1">_xlfn.IFNA(INDEX('Livro Diário'!$F:$F,MATCH(Razonete!O$38&amp;$A40,'Livro Diário'!$O:$O,0),0),"")</f>
        <v/>
      </c>
      <c r="Q40" s="78" t="str">
        <f ca="1">IF(P40&lt;&gt;"",INDEX('Livro Diário'!$B:$B,MATCH(Razonete!O$38&amp;$A40,'Livro Diário'!$O:$O,0),1),"")</f>
        <v/>
      </c>
      <c r="R40" s="85" t="str">
        <f ca="1">IF(S40&lt;&gt;"",INDEX('Livro Diário'!$B:$B,MATCH(Razonete!S$38&amp;$A40,'Livro Diário'!$N:$N,0),1),"")</f>
        <v/>
      </c>
      <c r="S40" t="str">
        <f ca="1">_xlfn.IFNA(INDEX('Livro Diário'!$F:$F,MATCH(Razonete!S$38&amp;$A40,'Livro Diário'!$N:$N,0),0),"")</f>
        <v/>
      </c>
      <c r="T40" s="7" t="str">
        <f ca="1">_xlfn.IFNA(INDEX('Livro Diário'!$F:$F,MATCH(Razonete!S$38&amp;$A40,'Livro Diário'!$O:$O,0),0),"")</f>
        <v/>
      </c>
      <c r="U40" s="78" t="str">
        <f ca="1">IF(T40&lt;&gt;"",INDEX('Livro Diário'!$B:$B,MATCH(Razonete!S$38&amp;$A40,'Livro Diário'!$O:$O,0),1),"")</f>
        <v/>
      </c>
    </row>
    <row r="41" spans="1:21" x14ac:dyDescent="0.25">
      <c r="A41">
        <v>2</v>
      </c>
      <c r="B41" s="85" t="str">
        <f ca="1">IF(C41&lt;&gt;"",INDEX('Livro Diário'!$B:$B,MATCH(Razonete!C$38&amp;$A41,'Livro Diário'!$N:$N,0),1),"")</f>
        <v/>
      </c>
      <c r="C41" t="str">
        <f ca="1">_xlfn.IFNA(INDEX('Livro Diário'!$F:$F,MATCH(Razonete!C$38&amp;$A41,'Livro Diário'!$N:$N,0),0),"")</f>
        <v/>
      </c>
      <c r="D41" s="7" t="str">
        <f ca="1">_xlfn.IFNA(INDEX('Livro Diário'!$F:$F,MATCH(Razonete!C$38&amp;$A41,'Livro Diário'!$O:$O,0),0),"")</f>
        <v/>
      </c>
      <c r="E41" s="78" t="str">
        <f ca="1">IF(D41&lt;&gt;"",INDEX('Livro Diário'!$B:$B,MATCH(Razonete!C$38&amp;$A41,'Livro Diário'!$O:$O,0),1),"")</f>
        <v/>
      </c>
      <c r="F41" s="85" t="str">
        <f ca="1">IF(G41&lt;&gt;"",INDEX('Livro Diário'!$B:$B,MATCH(Razonete!G$38&amp;$A41,'Livro Diário'!$N:$N,0),1),"")</f>
        <v/>
      </c>
      <c r="G41" t="str">
        <f ca="1">_xlfn.IFNA(INDEX('Livro Diário'!$F:$F,MATCH(Razonete!G$38&amp;$A41,'Livro Diário'!$N:$N,0),0),"")</f>
        <v/>
      </c>
      <c r="H41" s="7" t="str">
        <f ca="1">_xlfn.IFNA(INDEX('Livro Diário'!$F:$F,MATCH(Razonete!G$38&amp;$A41,'Livro Diário'!$O:$O,0),0),"")</f>
        <v/>
      </c>
      <c r="I41" s="78" t="str">
        <f ca="1">IF(H41&lt;&gt;"",INDEX('Livro Diário'!$B:$B,MATCH(Razonete!G$38&amp;$A41,'Livro Diário'!$O:$O,0),1),"")</f>
        <v/>
      </c>
      <c r="J41" s="85" t="str">
        <f ca="1">IF(K41&lt;&gt;"",INDEX('Livro Diário'!$B:$B,MATCH(Razonete!K$38&amp;$A41,'Livro Diário'!$N:$N,0),1),"")</f>
        <v/>
      </c>
      <c r="K41" t="str">
        <f ca="1">_xlfn.IFNA(INDEX('Livro Diário'!$F:$F,MATCH(Razonete!K$38&amp;$A41,'Livro Diário'!$N:$N,0),0),"")</f>
        <v/>
      </c>
      <c r="L41" s="7" t="str">
        <f ca="1">_xlfn.IFNA(INDEX('Livro Diário'!$F:$F,MATCH(Razonete!K$38&amp;$A41,'Livro Diário'!$O:$O,0),0),"")</f>
        <v/>
      </c>
      <c r="M41" s="78" t="str">
        <f ca="1">IF(L41&lt;&gt;"",INDEX('Livro Diário'!$B:$B,MATCH(Razonete!K$38&amp;$A41,'Livro Diário'!$O:$O,0),1),"")</f>
        <v/>
      </c>
      <c r="N41" s="85" t="str">
        <f ca="1">IF(O41&lt;&gt;"",INDEX('Livro Diário'!$B:$B,MATCH(Razonete!O$38&amp;$A41,'Livro Diário'!$N:$N,0),1),"")</f>
        <v/>
      </c>
      <c r="O41" t="str">
        <f ca="1">_xlfn.IFNA(INDEX('Livro Diário'!$F:$F,MATCH(Razonete!O$38&amp;$A41,'Livro Diário'!$N:$N,0),0),"")</f>
        <v/>
      </c>
      <c r="P41" s="7" t="str">
        <f ca="1">_xlfn.IFNA(INDEX('Livro Diário'!$F:$F,MATCH(Razonete!O$38&amp;$A41,'Livro Diário'!$O:$O,0),0),"")</f>
        <v/>
      </c>
      <c r="Q41" s="78" t="str">
        <f ca="1">IF(P41&lt;&gt;"",INDEX('Livro Diário'!$B:$B,MATCH(Razonete!O$38&amp;$A41,'Livro Diário'!$O:$O,0),1),"")</f>
        <v/>
      </c>
      <c r="R41" s="85" t="str">
        <f ca="1">IF(S41&lt;&gt;"",INDEX('Livro Diário'!$B:$B,MATCH(Razonete!S$38&amp;$A41,'Livro Diário'!$N:$N,0),1),"")</f>
        <v/>
      </c>
      <c r="S41" t="str">
        <f ca="1">_xlfn.IFNA(INDEX('Livro Diário'!$F:$F,MATCH(Razonete!S$38&amp;$A41,'Livro Diário'!$N:$N,0),0),"")</f>
        <v/>
      </c>
      <c r="T41" s="7" t="str">
        <f ca="1">_xlfn.IFNA(INDEX('Livro Diário'!$F:$F,MATCH(Razonete!S$38&amp;$A41,'Livro Diário'!$O:$O,0),0),"")</f>
        <v/>
      </c>
      <c r="U41" s="78" t="str">
        <f ca="1">IF(T41&lt;&gt;"",INDEX('Livro Diário'!$B:$B,MATCH(Razonete!S$38&amp;$A41,'Livro Diário'!$O:$O,0),1),"")</f>
        <v/>
      </c>
    </row>
    <row r="42" spans="1:21" x14ac:dyDescent="0.25">
      <c r="A42">
        <v>3</v>
      </c>
      <c r="B42" s="85" t="str">
        <f ca="1">IF(C42&lt;&gt;"",INDEX('Livro Diário'!$B:$B,MATCH(Razonete!C$38&amp;$A42,'Livro Diário'!$N:$N,0),1),"")</f>
        <v/>
      </c>
      <c r="C42" t="str">
        <f ca="1">_xlfn.IFNA(INDEX('Livro Diário'!$F:$F,MATCH(Razonete!C$38&amp;$A42,'Livro Diário'!$N:$N,0),0),"")</f>
        <v/>
      </c>
      <c r="D42" s="7" t="str">
        <f ca="1">_xlfn.IFNA(INDEX('Livro Diário'!$F:$F,MATCH(Razonete!C$38&amp;$A42,'Livro Diário'!$O:$O,0),0),"")</f>
        <v/>
      </c>
      <c r="E42" s="78" t="str">
        <f ca="1">IF(D42&lt;&gt;"",INDEX('Livro Diário'!$B:$B,MATCH(Razonete!C$38&amp;$A42,'Livro Diário'!$O:$O,0),1),"")</f>
        <v/>
      </c>
      <c r="F42" s="85" t="str">
        <f ca="1">IF(G42&lt;&gt;"",INDEX('Livro Diário'!$B:$B,MATCH(Razonete!G$38&amp;$A42,'Livro Diário'!$N:$N,0),1),"")</f>
        <v/>
      </c>
      <c r="G42" t="str">
        <f ca="1">_xlfn.IFNA(INDEX('Livro Diário'!$F:$F,MATCH(Razonete!G$38&amp;$A42,'Livro Diário'!$N:$N,0),0),"")</f>
        <v/>
      </c>
      <c r="H42" s="7" t="str">
        <f ca="1">_xlfn.IFNA(INDEX('Livro Diário'!$F:$F,MATCH(Razonete!G$38&amp;$A42,'Livro Diário'!$O:$O,0),0),"")</f>
        <v/>
      </c>
      <c r="I42" s="78" t="str">
        <f ca="1">IF(H42&lt;&gt;"",INDEX('Livro Diário'!$B:$B,MATCH(Razonete!G$38&amp;$A42,'Livro Diário'!$O:$O,0),1),"")</f>
        <v/>
      </c>
      <c r="J42" s="85" t="str">
        <f ca="1">IF(K42&lt;&gt;"",INDEX('Livro Diário'!$B:$B,MATCH(Razonete!K$38&amp;$A42,'Livro Diário'!$N:$N,0),1),"")</f>
        <v/>
      </c>
      <c r="K42" t="str">
        <f ca="1">_xlfn.IFNA(INDEX('Livro Diário'!$F:$F,MATCH(Razonete!K$38&amp;$A42,'Livro Diário'!$N:$N,0),0),"")</f>
        <v/>
      </c>
      <c r="L42" s="7" t="str">
        <f ca="1">_xlfn.IFNA(INDEX('Livro Diário'!$F:$F,MATCH(Razonete!K$38&amp;$A42,'Livro Diário'!$O:$O,0),0),"")</f>
        <v/>
      </c>
      <c r="M42" s="78" t="str">
        <f ca="1">IF(L42&lt;&gt;"",INDEX('Livro Diário'!$B:$B,MATCH(Razonete!K$38&amp;$A42,'Livro Diário'!$O:$O,0),1),"")</f>
        <v/>
      </c>
      <c r="N42" s="85" t="str">
        <f ca="1">IF(O42&lt;&gt;"",INDEX('Livro Diário'!$B:$B,MATCH(Razonete!O$38&amp;$A42,'Livro Diário'!$N:$N,0),1),"")</f>
        <v/>
      </c>
      <c r="O42" t="str">
        <f ca="1">_xlfn.IFNA(INDEX('Livro Diário'!$F:$F,MATCH(Razonete!O$38&amp;$A42,'Livro Diário'!$N:$N,0),0),"")</f>
        <v/>
      </c>
      <c r="P42" s="7" t="str">
        <f ca="1">_xlfn.IFNA(INDEX('Livro Diário'!$F:$F,MATCH(Razonete!O$38&amp;$A42,'Livro Diário'!$O:$O,0),0),"")</f>
        <v/>
      </c>
      <c r="Q42" s="78" t="str">
        <f ca="1">IF(P42&lt;&gt;"",INDEX('Livro Diário'!$B:$B,MATCH(Razonete!O$38&amp;$A42,'Livro Diário'!$O:$O,0),1),"")</f>
        <v/>
      </c>
      <c r="R42" s="85" t="str">
        <f ca="1">IF(S42&lt;&gt;"",INDEX('Livro Diário'!$B:$B,MATCH(Razonete!S$38&amp;$A42,'Livro Diário'!$N:$N,0),1),"")</f>
        <v/>
      </c>
      <c r="S42" t="str">
        <f ca="1">_xlfn.IFNA(INDEX('Livro Diário'!$F:$F,MATCH(Razonete!S$38&amp;$A42,'Livro Diário'!$N:$N,0),0),"")</f>
        <v/>
      </c>
      <c r="T42" s="7" t="str">
        <f ca="1">_xlfn.IFNA(INDEX('Livro Diário'!$F:$F,MATCH(Razonete!S$38&amp;$A42,'Livro Diário'!$O:$O,0),0),"")</f>
        <v/>
      </c>
      <c r="U42" s="78" t="str">
        <f ca="1">IF(T42&lt;&gt;"",INDEX('Livro Diário'!$B:$B,MATCH(Razonete!S$38&amp;$A42,'Livro Diário'!$O:$O,0),1),"")</f>
        <v/>
      </c>
    </row>
    <row r="43" spans="1:21" x14ac:dyDescent="0.25">
      <c r="A43">
        <v>4</v>
      </c>
      <c r="B43" s="85" t="str">
        <f ca="1">IF(C43&lt;&gt;"",INDEX('Livro Diário'!$B:$B,MATCH(Razonete!C$38&amp;$A43,'Livro Diário'!$N:$N,0),1),"")</f>
        <v/>
      </c>
      <c r="C43" t="str">
        <f ca="1">_xlfn.IFNA(INDEX('Livro Diário'!$F:$F,MATCH(Razonete!C$38&amp;$A43,'Livro Diário'!$N:$N,0),0),"")</f>
        <v/>
      </c>
      <c r="D43" s="7" t="str">
        <f ca="1">_xlfn.IFNA(INDEX('Livro Diário'!$F:$F,MATCH(Razonete!C$38&amp;$A43,'Livro Diário'!$O:$O,0),0),"")</f>
        <v/>
      </c>
      <c r="E43" s="78" t="str">
        <f ca="1">IF(D43&lt;&gt;"",INDEX('Livro Diário'!$B:$B,MATCH(Razonete!C$38&amp;$A43,'Livro Diário'!$O:$O,0),1),"")</f>
        <v/>
      </c>
      <c r="F43" s="85" t="str">
        <f ca="1">IF(G43&lt;&gt;"",INDEX('Livro Diário'!$B:$B,MATCH(Razonete!G$38&amp;$A43,'Livro Diário'!$N:$N,0),1),"")</f>
        <v/>
      </c>
      <c r="G43" t="str">
        <f ca="1">_xlfn.IFNA(INDEX('Livro Diário'!$F:$F,MATCH(Razonete!G$38&amp;$A43,'Livro Diário'!$N:$N,0),0),"")</f>
        <v/>
      </c>
      <c r="H43" s="7" t="str">
        <f ca="1">_xlfn.IFNA(INDEX('Livro Diário'!$F:$F,MATCH(Razonete!G$38&amp;$A43,'Livro Diário'!$O:$O,0),0),"")</f>
        <v/>
      </c>
      <c r="I43" s="78" t="str">
        <f ca="1">IF(H43&lt;&gt;"",INDEX('Livro Diário'!$B:$B,MATCH(Razonete!G$38&amp;$A43,'Livro Diário'!$O:$O,0),1),"")</f>
        <v/>
      </c>
      <c r="J43" s="85" t="str">
        <f ca="1">IF(K43&lt;&gt;"",INDEX('Livro Diário'!$B:$B,MATCH(Razonete!K$38&amp;$A43,'Livro Diário'!$N:$N,0),1),"")</f>
        <v/>
      </c>
      <c r="K43" t="str">
        <f ca="1">_xlfn.IFNA(INDEX('Livro Diário'!$F:$F,MATCH(Razonete!K$38&amp;$A43,'Livro Diário'!$N:$N,0),0),"")</f>
        <v/>
      </c>
      <c r="L43" s="7" t="str">
        <f ca="1">_xlfn.IFNA(INDEX('Livro Diário'!$F:$F,MATCH(Razonete!K$38&amp;$A43,'Livro Diário'!$O:$O,0),0),"")</f>
        <v/>
      </c>
      <c r="M43" s="78" t="str">
        <f ca="1">IF(L43&lt;&gt;"",INDEX('Livro Diário'!$B:$B,MATCH(Razonete!K$38&amp;$A43,'Livro Diário'!$O:$O,0),1),"")</f>
        <v/>
      </c>
      <c r="N43" s="85" t="str">
        <f ca="1">IF(O43&lt;&gt;"",INDEX('Livro Diário'!$B:$B,MATCH(Razonete!O$38&amp;$A43,'Livro Diário'!$N:$N,0),1),"")</f>
        <v/>
      </c>
      <c r="O43" t="str">
        <f ca="1">_xlfn.IFNA(INDEX('Livro Diário'!$F:$F,MATCH(Razonete!O$38&amp;$A43,'Livro Diário'!$N:$N,0),0),"")</f>
        <v/>
      </c>
      <c r="P43" s="7" t="str">
        <f ca="1">_xlfn.IFNA(INDEX('Livro Diário'!$F:$F,MATCH(Razonete!O$38&amp;$A43,'Livro Diário'!$O:$O,0),0),"")</f>
        <v/>
      </c>
      <c r="Q43" s="78" t="str">
        <f ca="1">IF(P43&lt;&gt;"",INDEX('Livro Diário'!$B:$B,MATCH(Razonete!O$38&amp;$A43,'Livro Diário'!$O:$O,0),1),"")</f>
        <v/>
      </c>
      <c r="R43" s="85" t="str">
        <f ca="1">IF(S43&lt;&gt;"",INDEX('Livro Diário'!$B:$B,MATCH(Razonete!S$38&amp;$A43,'Livro Diário'!$N:$N,0),1),"")</f>
        <v/>
      </c>
      <c r="S43" t="str">
        <f ca="1">_xlfn.IFNA(INDEX('Livro Diário'!$F:$F,MATCH(Razonete!S$38&amp;$A43,'Livro Diário'!$N:$N,0),0),"")</f>
        <v/>
      </c>
      <c r="T43" s="7" t="str">
        <f ca="1">_xlfn.IFNA(INDEX('Livro Diário'!$F:$F,MATCH(Razonete!S$38&amp;$A43,'Livro Diário'!$O:$O,0),0),"")</f>
        <v/>
      </c>
      <c r="U43" s="78" t="str">
        <f ca="1">IF(T43&lt;&gt;"",INDEX('Livro Diário'!$B:$B,MATCH(Razonete!S$38&amp;$A43,'Livro Diário'!$O:$O,0),1),"")</f>
        <v/>
      </c>
    </row>
    <row r="44" spans="1:21" x14ac:dyDescent="0.25">
      <c r="A44">
        <v>5</v>
      </c>
      <c r="B44" s="85" t="str">
        <f ca="1">IF(C44&lt;&gt;"",INDEX('Livro Diário'!$B:$B,MATCH(Razonete!C$38&amp;$A44,'Livro Diário'!$N:$N,0),1),"")</f>
        <v/>
      </c>
      <c r="C44" t="str">
        <f ca="1">_xlfn.IFNA(INDEX('Livro Diário'!$F:$F,MATCH(Razonete!C$38&amp;$A44,'Livro Diário'!$N:$N,0),0),"")</f>
        <v/>
      </c>
      <c r="D44" s="7" t="str">
        <f ca="1">_xlfn.IFNA(INDEX('Livro Diário'!$F:$F,MATCH(Razonete!C$38&amp;$A44,'Livro Diário'!$O:$O,0),0),"")</f>
        <v/>
      </c>
      <c r="E44" s="78" t="str">
        <f ca="1">IF(D44&lt;&gt;"",INDEX('Livro Diário'!$B:$B,MATCH(Razonete!C$38&amp;$A44,'Livro Diário'!$O:$O,0),1),"")</f>
        <v/>
      </c>
      <c r="F44" s="85" t="str">
        <f ca="1">IF(G44&lt;&gt;"",INDEX('Livro Diário'!$B:$B,MATCH(Razonete!G$38&amp;$A44,'Livro Diário'!$N:$N,0),1),"")</f>
        <v/>
      </c>
      <c r="G44" t="str">
        <f ca="1">_xlfn.IFNA(INDEX('Livro Diário'!$F:$F,MATCH(Razonete!G$38&amp;$A44,'Livro Diário'!$N:$N,0),0),"")</f>
        <v/>
      </c>
      <c r="H44" s="7" t="str">
        <f ca="1">_xlfn.IFNA(INDEX('Livro Diário'!$F:$F,MATCH(Razonete!G$38&amp;$A44,'Livro Diário'!$O:$O,0),0),"")</f>
        <v/>
      </c>
      <c r="I44" s="78" t="str">
        <f ca="1">IF(H44&lt;&gt;"",INDEX('Livro Diário'!$B:$B,MATCH(Razonete!G$38&amp;$A44,'Livro Diário'!$O:$O,0),1),"")</f>
        <v/>
      </c>
      <c r="J44" s="85" t="str">
        <f ca="1">IF(K44&lt;&gt;"",INDEX('Livro Diário'!$B:$B,MATCH(Razonete!K$38&amp;$A44,'Livro Diário'!$N:$N,0),1),"")</f>
        <v/>
      </c>
      <c r="K44" t="str">
        <f ca="1">_xlfn.IFNA(INDEX('Livro Diário'!$F:$F,MATCH(Razonete!K$38&amp;$A44,'Livro Diário'!$N:$N,0),0),"")</f>
        <v/>
      </c>
      <c r="L44" s="7" t="str">
        <f ca="1">_xlfn.IFNA(INDEX('Livro Diário'!$F:$F,MATCH(Razonete!K$38&amp;$A44,'Livro Diário'!$O:$O,0),0),"")</f>
        <v/>
      </c>
      <c r="M44" s="78" t="str">
        <f ca="1">IF(L44&lt;&gt;"",INDEX('Livro Diário'!$B:$B,MATCH(Razonete!K$38&amp;$A44,'Livro Diário'!$O:$O,0),1),"")</f>
        <v/>
      </c>
      <c r="N44" s="85" t="str">
        <f ca="1">IF(O44&lt;&gt;"",INDEX('Livro Diário'!$B:$B,MATCH(Razonete!O$38&amp;$A44,'Livro Diário'!$N:$N,0),1),"")</f>
        <v/>
      </c>
      <c r="O44" t="str">
        <f ca="1">_xlfn.IFNA(INDEX('Livro Diário'!$F:$F,MATCH(Razonete!O$38&amp;$A44,'Livro Diário'!$N:$N,0),0),"")</f>
        <v/>
      </c>
      <c r="P44" s="7" t="str">
        <f ca="1">_xlfn.IFNA(INDEX('Livro Diário'!$F:$F,MATCH(Razonete!O$38&amp;$A44,'Livro Diário'!$O:$O,0),0),"")</f>
        <v/>
      </c>
      <c r="Q44" s="78" t="str">
        <f ca="1">IF(P44&lt;&gt;"",INDEX('Livro Diário'!$B:$B,MATCH(Razonete!O$38&amp;$A44,'Livro Diário'!$O:$O,0),1),"")</f>
        <v/>
      </c>
      <c r="R44" s="85" t="str">
        <f ca="1">IF(S44&lt;&gt;"",INDEX('Livro Diário'!$B:$B,MATCH(Razonete!S$38&amp;$A44,'Livro Diário'!$N:$N,0),1),"")</f>
        <v/>
      </c>
      <c r="S44" t="str">
        <f ca="1">_xlfn.IFNA(INDEX('Livro Diário'!$F:$F,MATCH(Razonete!S$38&amp;$A44,'Livro Diário'!$N:$N,0),0),"")</f>
        <v/>
      </c>
      <c r="T44" s="7" t="str">
        <f ca="1">_xlfn.IFNA(INDEX('Livro Diário'!$F:$F,MATCH(Razonete!S$38&amp;$A44,'Livro Diário'!$O:$O,0),0),"")</f>
        <v/>
      </c>
      <c r="U44" s="78" t="str">
        <f ca="1">IF(T44&lt;&gt;"",INDEX('Livro Diário'!$B:$B,MATCH(Razonete!S$38&amp;$A44,'Livro Diário'!$O:$O,0),1),"")</f>
        <v/>
      </c>
    </row>
    <row r="45" spans="1:21" x14ac:dyDescent="0.25">
      <c r="A45">
        <v>6</v>
      </c>
      <c r="B45" s="85" t="str">
        <f ca="1">IF(C45&lt;&gt;"",INDEX('Livro Diário'!$B:$B,MATCH(Razonete!C$38&amp;$A45,'Livro Diário'!$N:$N,0),1),"")</f>
        <v/>
      </c>
      <c r="C45" t="str">
        <f ca="1">_xlfn.IFNA(INDEX('Livro Diário'!$F:$F,MATCH(Razonete!C$38&amp;$A45,'Livro Diário'!$N:$N,0),0),"")</f>
        <v/>
      </c>
      <c r="D45" s="7" t="str">
        <f ca="1">_xlfn.IFNA(INDEX('Livro Diário'!$F:$F,MATCH(Razonete!C$38&amp;$A45,'Livro Diário'!$O:$O,0),0),"")</f>
        <v/>
      </c>
      <c r="E45" s="78" t="str">
        <f ca="1">IF(D45&lt;&gt;"",INDEX('Livro Diário'!$B:$B,MATCH(Razonete!C$38&amp;$A45,'Livro Diário'!$O:$O,0),1),"")</f>
        <v/>
      </c>
      <c r="F45" s="85" t="str">
        <f ca="1">IF(G45&lt;&gt;"",INDEX('Livro Diário'!$B:$B,MATCH(Razonete!G$38&amp;$A45,'Livro Diário'!$N:$N,0),1),"")</f>
        <v/>
      </c>
      <c r="G45" t="str">
        <f ca="1">_xlfn.IFNA(INDEX('Livro Diário'!$F:$F,MATCH(Razonete!G$38&amp;$A45,'Livro Diário'!$N:$N,0),0),"")</f>
        <v/>
      </c>
      <c r="H45" s="7" t="str">
        <f ca="1">_xlfn.IFNA(INDEX('Livro Diário'!$F:$F,MATCH(Razonete!G$38&amp;$A45,'Livro Diário'!$O:$O,0),0),"")</f>
        <v/>
      </c>
      <c r="I45" s="78" t="str">
        <f ca="1">IF(H45&lt;&gt;"",INDEX('Livro Diário'!$B:$B,MATCH(Razonete!G$38&amp;$A45,'Livro Diário'!$O:$O,0),1),"")</f>
        <v/>
      </c>
      <c r="J45" s="85" t="str">
        <f ca="1">IF(K45&lt;&gt;"",INDEX('Livro Diário'!$B:$B,MATCH(Razonete!K$38&amp;$A45,'Livro Diário'!$N:$N,0),1),"")</f>
        <v/>
      </c>
      <c r="K45" t="str">
        <f ca="1">_xlfn.IFNA(INDEX('Livro Diário'!$F:$F,MATCH(Razonete!K$38&amp;$A45,'Livro Diário'!$N:$N,0),0),"")</f>
        <v/>
      </c>
      <c r="L45" s="7" t="str">
        <f ca="1">_xlfn.IFNA(INDEX('Livro Diário'!$F:$F,MATCH(Razonete!K$38&amp;$A45,'Livro Diário'!$O:$O,0),0),"")</f>
        <v/>
      </c>
      <c r="M45" s="78" t="str">
        <f ca="1">IF(L45&lt;&gt;"",INDEX('Livro Diário'!$B:$B,MATCH(Razonete!K$38&amp;$A45,'Livro Diário'!$O:$O,0),1),"")</f>
        <v/>
      </c>
      <c r="N45" s="85" t="str">
        <f ca="1">IF(O45&lt;&gt;"",INDEX('Livro Diário'!$B:$B,MATCH(Razonete!O$38&amp;$A45,'Livro Diário'!$N:$N,0),1),"")</f>
        <v/>
      </c>
      <c r="O45" t="str">
        <f ca="1">_xlfn.IFNA(INDEX('Livro Diário'!$F:$F,MATCH(Razonete!O$38&amp;$A45,'Livro Diário'!$N:$N,0),0),"")</f>
        <v/>
      </c>
      <c r="P45" s="7" t="str">
        <f ca="1">_xlfn.IFNA(INDEX('Livro Diário'!$F:$F,MATCH(Razonete!O$38&amp;$A45,'Livro Diário'!$O:$O,0),0),"")</f>
        <v/>
      </c>
      <c r="Q45" s="78" t="str">
        <f ca="1">IF(P45&lt;&gt;"",INDEX('Livro Diário'!$B:$B,MATCH(Razonete!O$38&amp;$A45,'Livro Diário'!$O:$O,0),1),"")</f>
        <v/>
      </c>
      <c r="R45" s="85" t="str">
        <f ca="1">IF(S45&lt;&gt;"",INDEX('Livro Diário'!$B:$B,MATCH(Razonete!S$38&amp;$A45,'Livro Diário'!$N:$N,0),1),"")</f>
        <v/>
      </c>
      <c r="S45" t="str">
        <f ca="1">_xlfn.IFNA(INDEX('Livro Diário'!$F:$F,MATCH(Razonete!S$38&amp;$A45,'Livro Diário'!$N:$N,0),0),"")</f>
        <v/>
      </c>
      <c r="T45" s="7" t="str">
        <f ca="1">_xlfn.IFNA(INDEX('Livro Diário'!$F:$F,MATCH(Razonete!S$38&amp;$A45,'Livro Diário'!$O:$O,0),0),"")</f>
        <v/>
      </c>
      <c r="U45" s="78" t="str">
        <f ca="1">IF(T45&lt;&gt;"",INDEX('Livro Diário'!$B:$B,MATCH(Razonete!S$38&amp;$A45,'Livro Diário'!$O:$O,0),1),"")</f>
        <v/>
      </c>
    </row>
    <row r="46" spans="1:21" ht="15.75" thickBot="1" x14ac:dyDescent="0.3">
      <c r="A46">
        <v>7</v>
      </c>
      <c r="B46" s="85" t="str">
        <f ca="1">IF(C46&lt;&gt;"",INDEX('Livro Diário'!$B:$B,MATCH(Razonete!C$38&amp;$A46,'Livro Diário'!$N:$N,0),1),"")</f>
        <v/>
      </c>
      <c r="C46" t="str">
        <f ca="1">_xlfn.IFNA(INDEX('Livro Diário'!$F:$F,MATCH(Razonete!C$38&amp;$A46,'Livro Diário'!$N:$N,0),0),"")</f>
        <v/>
      </c>
      <c r="D46" s="7" t="str">
        <f ca="1">_xlfn.IFNA(INDEX('Livro Diário'!$F:$F,MATCH(Razonete!C$38&amp;$A46,'Livro Diário'!$O:$O,0),0),"")</f>
        <v/>
      </c>
      <c r="E46" s="78" t="str">
        <f ca="1">IF(D46&lt;&gt;"",INDEX('Livro Diário'!$B:$B,MATCH(Razonete!C$38&amp;$A46,'Livro Diário'!$O:$O,0),1),"")</f>
        <v/>
      </c>
      <c r="F46" s="85" t="str">
        <f ca="1">IF(G46&lt;&gt;"",INDEX('Livro Diário'!$B:$B,MATCH(Razonete!G$38&amp;$A46,'Livro Diário'!$N:$N,0),1),"")</f>
        <v/>
      </c>
      <c r="G46" t="str">
        <f ca="1">_xlfn.IFNA(INDEX('Livro Diário'!$F:$F,MATCH(Razonete!G$38&amp;$A46,'Livro Diário'!$N:$N,0),0),"")</f>
        <v/>
      </c>
      <c r="H46" s="7" t="str">
        <f ca="1">_xlfn.IFNA(INDEX('Livro Diário'!$F:$F,MATCH(Razonete!G$38&amp;$A46,'Livro Diário'!$O:$O,0),0),"")</f>
        <v/>
      </c>
      <c r="I46" s="78" t="str">
        <f ca="1">IF(H46&lt;&gt;"",INDEX('Livro Diário'!$B:$B,MATCH(Razonete!G$38&amp;$A46,'Livro Diário'!$O:$O,0),1),"")</f>
        <v/>
      </c>
      <c r="J46" s="85" t="str">
        <f ca="1">IF(K46&lt;&gt;"",INDEX('Livro Diário'!$B:$B,MATCH(Razonete!K$38&amp;$A46,'Livro Diário'!$N:$N,0),1),"")</f>
        <v/>
      </c>
      <c r="K46" t="str">
        <f ca="1">_xlfn.IFNA(INDEX('Livro Diário'!$F:$F,MATCH(Razonete!K$38&amp;$A46,'Livro Diário'!$N:$N,0),0),"")</f>
        <v/>
      </c>
      <c r="L46" s="7" t="str">
        <f ca="1">_xlfn.IFNA(INDEX('Livro Diário'!$F:$F,MATCH(Razonete!K$38&amp;$A46,'Livro Diário'!$O:$O,0),0),"")</f>
        <v/>
      </c>
      <c r="M46" s="78" t="str">
        <f ca="1">IF(L46&lt;&gt;"",INDEX('Livro Diário'!$B:$B,MATCH(Razonete!K$38&amp;$A46,'Livro Diário'!$O:$O,0),1),"")</f>
        <v/>
      </c>
      <c r="N46" s="85" t="str">
        <f ca="1">IF(O46&lt;&gt;"",INDEX('Livro Diário'!$B:$B,MATCH(Razonete!O$38&amp;$A46,'Livro Diário'!$N:$N,0),1),"")</f>
        <v/>
      </c>
      <c r="O46" t="str">
        <f ca="1">_xlfn.IFNA(INDEX('Livro Diário'!$F:$F,MATCH(Razonete!O$38&amp;$A46,'Livro Diário'!$N:$N,0),0),"")</f>
        <v/>
      </c>
      <c r="P46" s="7" t="str">
        <f ca="1">_xlfn.IFNA(INDEX('Livro Diário'!$F:$F,MATCH(Razonete!O$38&amp;$A46,'Livro Diário'!$O:$O,0),0),"")</f>
        <v/>
      </c>
      <c r="Q46" s="78" t="str">
        <f ca="1">IF(P46&lt;&gt;"",INDEX('Livro Diário'!$B:$B,MATCH(Razonete!O$38&amp;$A46,'Livro Diário'!$O:$O,0),1),"")</f>
        <v/>
      </c>
      <c r="R46" s="85" t="str">
        <f ca="1">IF(S46&lt;&gt;"",INDEX('Livro Diário'!$B:$B,MATCH(Razonete!S$38&amp;$A46,'Livro Diário'!$N:$N,0),1),"")</f>
        <v/>
      </c>
      <c r="S46" t="str">
        <f ca="1">_xlfn.IFNA(INDEX('Livro Diário'!$F:$F,MATCH(Razonete!S$38&amp;$A46,'Livro Diário'!$N:$N,0),0),"")</f>
        <v/>
      </c>
      <c r="T46" s="7" t="str">
        <f ca="1">_xlfn.IFNA(INDEX('Livro Diário'!$F:$F,MATCH(Razonete!S$38&amp;$A46,'Livro Diário'!$O:$O,0),0),"")</f>
        <v/>
      </c>
      <c r="U46" s="78" t="str">
        <f ca="1">IF(T46&lt;&gt;"",INDEX('Livro Diário'!$B:$B,MATCH(Razonete!S$38&amp;$A46,'Livro Diário'!$O:$O,0),1),"")</f>
        <v/>
      </c>
    </row>
    <row r="47" spans="1:21" ht="16.5" thickTop="1" thickBot="1" x14ac:dyDescent="0.3">
      <c r="C47" s="83">
        <f ca="1">SUM(C39:C46)</f>
        <v>0</v>
      </c>
      <c r="D47" s="84">
        <f ca="1">SUM(D39:D46)</f>
        <v>0</v>
      </c>
      <c r="F47" s="85"/>
      <c r="G47" s="83">
        <f ca="1">SUM(G39:G46)</f>
        <v>0</v>
      </c>
      <c r="H47" s="84">
        <f ca="1">SUM(H39:H46)</f>
        <v>0</v>
      </c>
      <c r="J47" s="85"/>
      <c r="K47" s="83">
        <f ca="1">SUM(K39:K46)</f>
        <v>0</v>
      </c>
      <c r="L47" s="84">
        <f ca="1">SUM(L39:L46)</f>
        <v>0</v>
      </c>
      <c r="M47" s="78"/>
      <c r="N47" s="85"/>
      <c r="O47" s="83">
        <f ca="1">SUM(O39:O46)</f>
        <v>0</v>
      </c>
      <c r="P47" s="84">
        <f ca="1">SUM(P39:P46)</f>
        <v>0</v>
      </c>
      <c r="Q47" s="78"/>
      <c r="R47" s="85"/>
      <c r="S47" s="83">
        <f ca="1">SUM(S39:S46)</f>
        <v>0</v>
      </c>
      <c r="T47" s="84">
        <f ca="1">SUM(T39:T46)</f>
        <v>0</v>
      </c>
      <c r="U47" s="78"/>
    </row>
    <row r="48" spans="1:21" ht="15.75" thickTop="1" x14ac:dyDescent="0.25">
      <c r="C48" t="str">
        <f ca="1">IF(C47&gt;D47,C47-D47,"")</f>
        <v/>
      </c>
      <c r="D48" t="str">
        <f ca="1">IF(D47&gt;C47,D47-C47,"")</f>
        <v/>
      </c>
      <c r="F48" s="85"/>
      <c r="G48" t="str">
        <f ca="1">IF(G47&gt;H47,G47-H47,"")</f>
        <v/>
      </c>
      <c r="H48" t="str">
        <f ca="1">IF(H47&gt;G47,H47-G47,"")</f>
        <v/>
      </c>
      <c r="J48" s="85"/>
      <c r="K48" t="str">
        <f ca="1">IF(K47&gt;L47,K47-L47,"")</f>
        <v/>
      </c>
      <c r="L48" t="str">
        <f ca="1">IF(L47&gt;K47,L47-K47,"")</f>
        <v/>
      </c>
      <c r="M48" s="78"/>
      <c r="N48" s="85"/>
      <c r="O48" t="str">
        <f ca="1">IF(O47&gt;P47,O47-P47,"")</f>
        <v/>
      </c>
      <c r="P48" t="str">
        <f ca="1">IF(P47&gt;O47,P47-O47,"")</f>
        <v/>
      </c>
      <c r="Q48" s="78"/>
      <c r="R48" s="85"/>
      <c r="S48" t="str">
        <f ca="1">IF(S47&gt;T47,S47-T47,"")</f>
        <v/>
      </c>
      <c r="T48" t="str">
        <f ca="1">IF(T47&gt;S47,T47-S47,"")</f>
        <v/>
      </c>
      <c r="U48" s="78"/>
    </row>
    <row r="49" spans="1:21" x14ac:dyDescent="0.25">
      <c r="C49">
        <f>C37+5</f>
        <v>23</v>
      </c>
      <c r="G49">
        <f>G37+5</f>
        <v>24</v>
      </c>
      <c r="K49">
        <f>K37+5</f>
        <v>25</v>
      </c>
      <c r="O49">
        <f>O37+5</f>
        <v>26</v>
      </c>
      <c r="S49">
        <f>S37+5</f>
        <v>27</v>
      </c>
    </row>
    <row r="50" spans="1:21" s="76" customFormat="1" ht="30.75" customHeight="1" x14ac:dyDescent="0.25">
      <c r="B50" s="87"/>
      <c r="C50" s="139" t="str">
        <f ca="1">INDIRECT("Balancete!C"&amp;C49)</f>
        <v>Contas a Pagar</v>
      </c>
      <c r="D50" s="139"/>
      <c r="E50" s="77"/>
      <c r="F50" s="88"/>
      <c r="G50" s="139" t="str">
        <f ca="1">INDIRECT("Balancete!C"&amp;G49)</f>
        <v>Fornecedores</v>
      </c>
      <c r="H50" s="139"/>
      <c r="I50" s="77"/>
      <c r="K50" s="139" t="str">
        <f ca="1">INDIRECT("Balancete!C"&amp;K49)</f>
        <v>Empréstimo a Pagar</v>
      </c>
      <c r="L50" s="139"/>
      <c r="O50" s="139" t="str">
        <f ca="1">INDIRECT("Balancete!C"&amp;O49)</f>
        <v>Impostos a recolher</v>
      </c>
      <c r="P50" s="139"/>
      <c r="S50" s="139" t="str">
        <f ca="1">INDIRECT("Balancete!C"&amp;S49)</f>
        <v>Salários a pagar</v>
      </c>
      <c r="T50" s="139"/>
    </row>
    <row r="51" spans="1:21" x14ac:dyDescent="0.25">
      <c r="A51">
        <v>50</v>
      </c>
      <c r="B51" s="85" t="s">
        <v>165</v>
      </c>
      <c r="C51" s="81" t="str">
        <f ca="1">IF(VLOOKUP(C50,Balancete!$C:$F,4,0)&gt;0,VLOOKUP(C50,Balancete!$C:$F,4,0),"")</f>
        <v/>
      </c>
      <c r="D51" s="82" t="str">
        <f ca="1">IF(VLOOKUP(C50,Balancete!$C:$G,5,0)&gt;0,VLOOKUP(C50,Balancete!$C:$G,5,0),"")</f>
        <v/>
      </c>
      <c r="F51" s="85" t="s">
        <v>165</v>
      </c>
      <c r="G51" s="81" t="str">
        <f ca="1">IF(VLOOKUP(G50,Balancete!$C:$F,4,0)&gt;0,VLOOKUP(G50,Balancete!$C:$F,4,0),"")</f>
        <v/>
      </c>
      <c r="H51" s="82" t="str">
        <f ca="1">IF(VLOOKUP(G50,Balancete!$C:$G,5,0)&gt;0,VLOOKUP(G50,Balancete!$C:$G,5,0),"")</f>
        <v/>
      </c>
      <c r="J51" s="85" t="s">
        <v>165</v>
      </c>
      <c r="K51" s="81" t="str">
        <f ca="1">IF(VLOOKUP(K50,Balancete!$C:$F,4,0)&gt;0,VLOOKUP(K50,Balancete!$C:$F,4,0),"")</f>
        <v/>
      </c>
      <c r="L51" s="82" t="str">
        <f ca="1">IF(VLOOKUP(K50,Balancete!$C:$G,5,0)&gt;0,VLOOKUP(K50,Balancete!$C:$G,5,0),"")</f>
        <v/>
      </c>
      <c r="M51" s="78"/>
      <c r="N51" s="85" t="s">
        <v>165</v>
      </c>
      <c r="O51" s="81" t="str">
        <f ca="1">IF(VLOOKUP(O50,Balancete!$C:$F,4,0)&gt;0,VLOOKUP(O50,Balancete!$C:$F,4,0),"")</f>
        <v/>
      </c>
      <c r="P51" s="82" t="str">
        <f ca="1">IF(VLOOKUP(O50,Balancete!$C:$G,5,0)&gt;0,VLOOKUP(O50,Balancete!$C:$G,5,0),"")</f>
        <v/>
      </c>
      <c r="Q51" s="78"/>
      <c r="R51" s="85" t="s">
        <v>165</v>
      </c>
      <c r="S51" s="81" t="str">
        <f ca="1">IF(VLOOKUP(S50,Balancete!$C:$F,4,0)&gt;0,VLOOKUP(S50,Balancete!$C:$F,4,0),"")</f>
        <v/>
      </c>
      <c r="T51" s="82" t="str">
        <f ca="1">IF(VLOOKUP(S50,Balancete!$C:$G,5,0)&gt;0,VLOOKUP(S50,Balancete!$C:$G,5,0),"")</f>
        <v/>
      </c>
      <c r="U51" s="78"/>
    </row>
    <row r="52" spans="1:21" x14ac:dyDescent="0.25">
      <c r="A52">
        <v>1</v>
      </c>
      <c r="B52" s="85" t="str">
        <f ca="1">IF(C52&lt;&gt;"",INDEX('Livro Diário'!$B:$B,MATCH(Razonete!C$50&amp;$A52,'Livro Diário'!$N:$N,0),1),"")</f>
        <v/>
      </c>
      <c r="C52" t="str">
        <f ca="1">_xlfn.IFNA(INDEX('Livro Diário'!$F:$F,MATCH(Razonete!C$50&amp;$A52,'Livro Diário'!$N:$N,0),0),"")</f>
        <v/>
      </c>
      <c r="D52" s="7" t="str">
        <f ca="1">_xlfn.IFNA(INDEX('Livro Diário'!$F:$F,MATCH(Razonete!C$50&amp;$A52,'Livro Diário'!$O:$O,0),0),"")</f>
        <v/>
      </c>
      <c r="E52" s="78" t="str">
        <f ca="1">IF(D52&lt;&gt;"",INDEX('Livro Diário'!$B:$B,MATCH(Razonete!C$50&amp;$A52,'Livro Diário'!$O:$O,0),1),"")</f>
        <v/>
      </c>
      <c r="F52" s="85" t="str">
        <f ca="1">IF(G52&lt;&gt;"",INDEX('Livro Diário'!$B:$B,MATCH(Razonete!G$50&amp;$A52,'Livro Diário'!$N:$N,0),1),"")</f>
        <v/>
      </c>
      <c r="G52" t="str">
        <f ca="1">_xlfn.IFNA(INDEX('Livro Diário'!$F:$F,MATCH(Razonete!G$50&amp;$A52,'Livro Diário'!$N:$N,0),0),"")</f>
        <v/>
      </c>
      <c r="H52" s="7" t="str">
        <f ca="1">_xlfn.IFNA(INDEX('Livro Diário'!$F:$F,MATCH(Razonete!G$50&amp;$A52,'Livro Diário'!$O:$O,0),0),"")</f>
        <v/>
      </c>
      <c r="I52" s="78" t="str">
        <f ca="1">IF(H52&lt;&gt;"",INDEX('Livro Diário'!$B:$B,MATCH(Razonete!G$50&amp;$A52,'Livro Diário'!$O:$O,0),1),"")</f>
        <v/>
      </c>
      <c r="J52" s="85" t="str">
        <f ca="1">IF(K52&lt;&gt;"",INDEX('Livro Diário'!$B:$B,MATCH(Razonete!K$50&amp;$A52,'Livro Diário'!$N:$N,0),1),"")</f>
        <v/>
      </c>
      <c r="K52" t="str">
        <f ca="1">_xlfn.IFNA(INDEX('Livro Diário'!$F:$F,MATCH(Razonete!K$50&amp;$A52,'Livro Diário'!$N:$N,0),0),"")</f>
        <v/>
      </c>
      <c r="L52" s="7">
        <f ca="1">_xlfn.IFNA(INDEX('Livro Diário'!$F:$F,MATCH(Razonete!K$50&amp;$A52,'Livro Diário'!$O:$O,0),0),"")</f>
        <v>1.29</v>
      </c>
      <c r="M52" s="78">
        <f ca="1">IF(L52&lt;&gt;"",INDEX('Livro Diário'!$B:$B,MATCH(Razonete!K$50&amp;$A52,'Livro Diário'!$O:$O,0),1),"")</f>
        <v>44564</v>
      </c>
      <c r="N52" s="85" t="str">
        <f ca="1">IF(O52&lt;&gt;"",INDEX('Livro Diário'!$B:$B,MATCH(Razonete!O$50&amp;$A52,'Livro Diário'!$N:$N,0),1),"")</f>
        <v/>
      </c>
      <c r="O52" t="str">
        <f ca="1">_xlfn.IFNA(INDEX('Livro Diário'!$F:$F,MATCH(Razonete!O$50&amp;$A52,'Livro Diário'!$N:$N,0),0),"")</f>
        <v/>
      </c>
      <c r="P52" s="7" t="str">
        <f ca="1">_xlfn.IFNA(INDEX('Livro Diário'!$F:$F,MATCH(Razonete!O$50&amp;$A52,'Livro Diário'!$O:$O,0),0),"")</f>
        <v/>
      </c>
      <c r="Q52" s="78" t="str">
        <f ca="1">IF(P52&lt;&gt;"",INDEX('Livro Diário'!$B:$B,MATCH(Razonete!O$50&amp;$A52,'Livro Diário'!$O:$O,0),1),"")</f>
        <v/>
      </c>
      <c r="R52" s="85" t="str">
        <f ca="1">IF(S52&lt;&gt;"",INDEX('Livro Diário'!$B:$B,MATCH(Razonete!S$50&amp;$A52,'Livro Diário'!$N:$N,0),1),"")</f>
        <v/>
      </c>
      <c r="S52" t="str">
        <f ca="1">_xlfn.IFNA(INDEX('Livro Diário'!$F:$F,MATCH(Razonete!S$50&amp;$A52,'Livro Diário'!$N:$N,0),0),"")</f>
        <v/>
      </c>
      <c r="T52" s="7" t="str">
        <f ca="1">_xlfn.IFNA(INDEX('Livro Diário'!$F:$F,MATCH(Razonete!S$50&amp;$A52,'Livro Diário'!$O:$O,0),0),"")</f>
        <v/>
      </c>
      <c r="U52" s="78" t="str">
        <f ca="1">IF(T52&lt;&gt;"",INDEX('Livro Diário'!$B:$B,MATCH(Razonete!S$50&amp;$A52,'Livro Diário'!$O:$O,0),1),"")</f>
        <v/>
      </c>
    </row>
    <row r="53" spans="1:21" x14ac:dyDescent="0.25">
      <c r="A53">
        <v>2</v>
      </c>
      <c r="B53" s="85" t="str">
        <f ca="1">IF(C53&lt;&gt;"",INDEX('Livro Diário'!$B:$B,MATCH(Razonete!C$50&amp;$A53,'Livro Diário'!$N:$N,0),1),"")</f>
        <v/>
      </c>
      <c r="C53" t="str">
        <f ca="1">_xlfn.IFNA(INDEX('Livro Diário'!$F:$F,MATCH(Razonete!C$50&amp;$A53,'Livro Diário'!$N:$N,0),0),"")</f>
        <v/>
      </c>
      <c r="D53" s="7" t="str">
        <f ca="1">_xlfn.IFNA(INDEX('Livro Diário'!$F:$F,MATCH(Razonete!C$50&amp;$A53,'Livro Diário'!$O:$O,0),0),"")</f>
        <v/>
      </c>
      <c r="E53" s="78" t="str">
        <f ca="1">IF(D53&lt;&gt;"",INDEX('Livro Diário'!$B:$B,MATCH(Razonete!C$50&amp;$A53,'Livro Diário'!$O:$O,0),1),"")</f>
        <v/>
      </c>
      <c r="F53" s="85" t="str">
        <f ca="1">IF(G53&lt;&gt;"",INDEX('Livro Diário'!$B:$B,MATCH(Razonete!G$50&amp;$A53,'Livro Diário'!$N:$N,0),1),"")</f>
        <v/>
      </c>
      <c r="G53" t="str">
        <f ca="1">_xlfn.IFNA(INDEX('Livro Diário'!$F:$F,MATCH(Razonete!G$50&amp;$A53,'Livro Diário'!$N:$N,0),0),"")</f>
        <v/>
      </c>
      <c r="H53" s="7" t="str">
        <f ca="1">_xlfn.IFNA(INDEX('Livro Diário'!$F:$F,MATCH(Razonete!G$50&amp;$A53,'Livro Diário'!$O:$O,0),0),"")</f>
        <v/>
      </c>
      <c r="I53" s="78" t="str">
        <f ca="1">IF(H53&lt;&gt;"",INDEX('Livro Diário'!$B:$B,MATCH(Razonete!G$50&amp;$A53,'Livro Diário'!$O:$O,0),1),"")</f>
        <v/>
      </c>
      <c r="J53" s="85" t="str">
        <f ca="1">IF(K53&lt;&gt;"",INDEX('Livro Diário'!$B:$B,MATCH(Razonete!K$50&amp;$A53,'Livro Diário'!$N:$N,0),1),"")</f>
        <v/>
      </c>
      <c r="K53" t="str">
        <f ca="1">_xlfn.IFNA(INDEX('Livro Diário'!$F:$F,MATCH(Razonete!K$50&amp;$A53,'Livro Diário'!$N:$N,0),0),"")</f>
        <v/>
      </c>
      <c r="L53" s="7">
        <f ca="1">_xlfn.IFNA(INDEX('Livro Diário'!$F:$F,MATCH(Razonete!K$50&amp;$A53,'Livro Diário'!$O:$O,0),0),"")</f>
        <v>11.17</v>
      </c>
      <c r="M53" s="78">
        <f ca="1">IF(L53&lt;&gt;"",INDEX('Livro Diário'!$B:$B,MATCH(Razonete!K$50&amp;$A53,'Livro Diário'!$O:$O,0),1),"")</f>
        <v>44564</v>
      </c>
      <c r="N53" s="85" t="str">
        <f ca="1">IF(O53&lt;&gt;"",INDEX('Livro Diário'!$B:$B,MATCH(Razonete!O$50&amp;$A53,'Livro Diário'!$N:$N,0),1),"")</f>
        <v/>
      </c>
      <c r="O53" t="str">
        <f ca="1">_xlfn.IFNA(INDEX('Livro Diário'!$F:$F,MATCH(Razonete!O$50&amp;$A53,'Livro Diário'!$N:$N,0),0),"")</f>
        <v/>
      </c>
      <c r="P53" s="7" t="str">
        <f ca="1">_xlfn.IFNA(INDEX('Livro Diário'!$F:$F,MATCH(Razonete!O$50&amp;$A53,'Livro Diário'!$O:$O,0),0),"")</f>
        <v/>
      </c>
      <c r="Q53" s="78" t="str">
        <f ca="1">IF(P53&lt;&gt;"",INDEX('Livro Diário'!$B:$B,MATCH(Razonete!O$50&amp;$A53,'Livro Diário'!$O:$O,0),1),"")</f>
        <v/>
      </c>
      <c r="R53" s="85" t="str">
        <f ca="1">IF(S53&lt;&gt;"",INDEX('Livro Diário'!$B:$B,MATCH(Razonete!S$50&amp;$A53,'Livro Diário'!$N:$N,0),1),"")</f>
        <v/>
      </c>
      <c r="S53" t="str">
        <f ca="1">_xlfn.IFNA(INDEX('Livro Diário'!$F:$F,MATCH(Razonete!S$50&amp;$A53,'Livro Diário'!$N:$N,0),0),"")</f>
        <v/>
      </c>
      <c r="T53" s="7" t="str">
        <f ca="1">_xlfn.IFNA(INDEX('Livro Diário'!$F:$F,MATCH(Razonete!S$50&amp;$A53,'Livro Diário'!$O:$O,0),0),"")</f>
        <v/>
      </c>
      <c r="U53" s="78" t="str">
        <f ca="1">IF(T53&lt;&gt;"",INDEX('Livro Diário'!$B:$B,MATCH(Razonete!S$50&amp;$A53,'Livro Diário'!$O:$O,0),1),"")</f>
        <v/>
      </c>
    </row>
    <row r="54" spans="1:21" x14ac:dyDescent="0.25">
      <c r="A54">
        <v>3</v>
      </c>
      <c r="B54" s="85" t="str">
        <f ca="1">IF(C54&lt;&gt;"",INDEX('Livro Diário'!$B:$B,MATCH(Razonete!C$50&amp;$A54,'Livro Diário'!$N:$N,0),1),"")</f>
        <v/>
      </c>
      <c r="C54" t="str">
        <f ca="1">_xlfn.IFNA(INDEX('Livro Diário'!$F:$F,MATCH(Razonete!C$50&amp;$A54,'Livro Diário'!$N:$N,0),0),"")</f>
        <v/>
      </c>
      <c r="D54" s="7" t="str">
        <f ca="1">_xlfn.IFNA(INDEX('Livro Diário'!$F:$F,MATCH(Razonete!C$50&amp;$A54,'Livro Diário'!$O:$O,0),0),"")</f>
        <v/>
      </c>
      <c r="E54" s="78" t="str">
        <f ca="1">IF(D54&lt;&gt;"",INDEX('Livro Diário'!$B:$B,MATCH(Razonete!C$50&amp;$A54,'Livro Diário'!$O:$O,0),1),"")</f>
        <v/>
      </c>
      <c r="F54" s="85" t="str">
        <f ca="1">IF(G54&lt;&gt;"",INDEX('Livro Diário'!$B:$B,MATCH(Razonete!G$50&amp;$A54,'Livro Diário'!$N:$N,0),1),"")</f>
        <v/>
      </c>
      <c r="G54" t="str">
        <f ca="1">_xlfn.IFNA(INDEX('Livro Diário'!$F:$F,MATCH(Razonete!G$50&amp;$A54,'Livro Diário'!$N:$N,0),0),"")</f>
        <v/>
      </c>
      <c r="H54" s="7" t="str">
        <f ca="1">_xlfn.IFNA(INDEX('Livro Diário'!$F:$F,MATCH(Razonete!G$50&amp;$A54,'Livro Diário'!$O:$O,0),0),"")</f>
        <v/>
      </c>
      <c r="I54" s="78" t="str">
        <f ca="1">IF(H54&lt;&gt;"",INDEX('Livro Diário'!$B:$B,MATCH(Razonete!G$50&amp;$A54,'Livro Diário'!$O:$O,0),1),"")</f>
        <v/>
      </c>
      <c r="J54" s="85" t="str">
        <f ca="1">IF(K54&lt;&gt;"",INDEX('Livro Diário'!$B:$B,MATCH(Razonete!K$50&amp;$A54,'Livro Diário'!$N:$N,0),1),"")</f>
        <v/>
      </c>
      <c r="K54" t="str">
        <f ca="1">_xlfn.IFNA(INDEX('Livro Diário'!$F:$F,MATCH(Razonete!K$50&amp;$A54,'Livro Diário'!$N:$N,0),0),"")</f>
        <v/>
      </c>
      <c r="L54" s="7">
        <f ca="1">_xlfn.IFNA(INDEX('Livro Diário'!$F:$F,MATCH(Razonete!K$50&amp;$A54,'Livro Diário'!$O:$O,0),0),"")</f>
        <v>0.38</v>
      </c>
      <c r="M54" s="78">
        <f ca="1">IF(L54&lt;&gt;"",INDEX('Livro Diário'!$B:$B,MATCH(Razonete!K$50&amp;$A54,'Livro Diário'!$O:$O,0),1),"")</f>
        <v>44565</v>
      </c>
      <c r="N54" s="85" t="str">
        <f ca="1">IF(O54&lt;&gt;"",INDEX('Livro Diário'!$B:$B,MATCH(Razonete!O$50&amp;$A54,'Livro Diário'!$N:$N,0),1),"")</f>
        <v/>
      </c>
      <c r="O54" t="str">
        <f ca="1">_xlfn.IFNA(INDEX('Livro Diário'!$F:$F,MATCH(Razonete!O$50&amp;$A54,'Livro Diário'!$N:$N,0),0),"")</f>
        <v/>
      </c>
      <c r="P54" s="7" t="str">
        <f ca="1">_xlfn.IFNA(INDEX('Livro Diário'!$F:$F,MATCH(Razonete!O$50&amp;$A54,'Livro Diário'!$O:$O,0),0),"")</f>
        <v/>
      </c>
      <c r="Q54" s="78" t="str">
        <f ca="1">IF(P54&lt;&gt;"",INDEX('Livro Diário'!$B:$B,MATCH(Razonete!O$50&amp;$A54,'Livro Diário'!$O:$O,0),1),"")</f>
        <v/>
      </c>
      <c r="R54" s="85" t="str">
        <f ca="1">IF(S54&lt;&gt;"",INDEX('Livro Diário'!$B:$B,MATCH(Razonete!S$50&amp;$A54,'Livro Diário'!$N:$N,0),1),"")</f>
        <v/>
      </c>
      <c r="S54" t="str">
        <f ca="1">_xlfn.IFNA(INDEX('Livro Diário'!$F:$F,MATCH(Razonete!S$50&amp;$A54,'Livro Diário'!$N:$N,0),0),"")</f>
        <v/>
      </c>
      <c r="T54" s="7" t="str">
        <f ca="1">_xlfn.IFNA(INDEX('Livro Diário'!$F:$F,MATCH(Razonete!S$50&amp;$A54,'Livro Diário'!$O:$O,0),0),"")</f>
        <v/>
      </c>
      <c r="U54" s="78" t="str">
        <f ca="1">IF(T54&lt;&gt;"",INDEX('Livro Diário'!$B:$B,MATCH(Razonete!S$50&amp;$A54,'Livro Diário'!$O:$O,0),1),"")</f>
        <v/>
      </c>
    </row>
    <row r="55" spans="1:21" x14ac:dyDescent="0.25">
      <c r="A55">
        <v>4</v>
      </c>
      <c r="B55" s="85" t="str">
        <f ca="1">IF(C55&lt;&gt;"",INDEX('Livro Diário'!$B:$B,MATCH(Razonete!C$50&amp;$A55,'Livro Diário'!$N:$N,0),1),"")</f>
        <v/>
      </c>
      <c r="C55" t="str">
        <f ca="1">_xlfn.IFNA(INDEX('Livro Diário'!$F:$F,MATCH(Razonete!C$50&amp;$A55,'Livro Diário'!$N:$N,0),0),"")</f>
        <v/>
      </c>
      <c r="D55" s="7" t="str">
        <f ca="1">_xlfn.IFNA(INDEX('Livro Diário'!$F:$F,MATCH(Razonete!C$50&amp;$A55,'Livro Diário'!$O:$O,0),0),"")</f>
        <v/>
      </c>
      <c r="E55" s="78" t="str">
        <f ca="1">IF(D55&lt;&gt;"",INDEX('Livro Diário'!$B:$B,MATCH(Razonete!C$50&amp;$A55,'Livro Diário'!$O:$O,0),1),"")</f>
        <v/>
      </c>
      <c r="F55" s="85" t="str">
        <f ca="1">IF(G55&lt;&gt;"",INDEX('Livro Diário'!$B:$B,MATCH(Razonete!G$50&amp;$A55,'Livro Diário'!$N:$N,0),1),"")</f>
        <v/>
      </c>
      <c r="G55" t="str">
        <f ca="1">_xlfn.IFNA(INDEX('Livro Diário'!$F:$F,MATCH(Razonete!G$50&amp;$A55,'Livro Diário'!$N:$N,0),0),"")</f>
        <v/>
      </c>
      <c r="H55" s="7" t="str">
        <f ca="1">_xlfn.IFNA(INDEX('Livro Diário'!$F:$F,MATCH(Razonete!G$50&amp;$A55,'Livro Diário'!$O:$O,0),0),"")</f>
        <v/>
      </c>
      <c r="I55" s="78" t="str">
        <f ca="1">IF(H55&lt;&gt;"",INDEX('Livro Diário'!$B:$B,MATCH(Razonete!G$50&amp;$A55,'Livro Diário'!$O:$O,0),1),"")</f>
        <v/>
      </c>
      <c r="J55" s="85" t="str">
        <f ca="1">IF(K55&lt;&gt;"",INDEX('Livro Diário'!$B:$B,MATCH(Razonete!K$50&amp;$A55,'Livro Diário'!$N:$N,0),1),"")</f>
        <v/>
      </c>
      <c r="K55" t="str">
        <f ca="1">_xlfn.IFNA(INDEX('Livro Diário'!$F:$F,MATCH(Razonete!K$50&amp;$A55,'Livro Diário'!$N:$N,0),0),"")</f>
        <v/>
      </c>
      <c r="L55" s="7" t="str">
        <f ca="1">_xlfn.IFNA(INDEX('Livro Diário'!$F:$F,MATCH(Razonete!K$50&amp;$A55,'Livro Diário'!$O:$O,0),0),"")</f>
        <v/>
      </c>
      <c r="M55" s="78" t="str">
        <f ca="1">IF(L55&lt;&gt;"",INDEX('Livro Diário'!$B:$B,MATCH(Razonete!K$50&amp;$A55,'Livro Diário'!$O:$O,0),1),"")</f>
        <v/>
      </c>
      <c r="N55" s="85" t="str">
        <f ca="1">IF(O55&lt;&gt;"",INDEX('Livro Diário'!$B:$B,MATCH(Razonete!O$50&amp;$A55,'Livro Diário'!$N:$N,0),1),"")</f>
        <v/>
      </c>
      <c r="O55" t="str">
        <f ca="1">_xlfn.IFNA(INDEX('Livro Diário'!$F:$F,MATCH(Razonete!O$50&amp;$A55,'Livro Diário'!$N:$N,0),0),"")</f>
        <v/>
      </c>
      <c r="P55" s="7" t="str">
        <f ca="1">_xlfn.IFNA(INDEX('Livro Diário'!$F:$F,MATCH(Razonete!O$50&amp;$A55,'Livro Diário'!$O:$O,0),0),"")</f>
        <v/>
      </c>
      <c r="Q55" s="78" t="str">
        <f ca="1">IF(P55&lt;&gt;"",INDEX('Livro Diário'!$B:$B,MATCH(Razonete!O$50&amp;$A55,'Livro Diário'!$O:$O,0),1),"")</f>
        <v/>
      </c>
      <c r="R55" s="85" t="str">
        <f ca="1">IF(S55&lt;&gt;"",INDEX('Livro Diário'!$B:$B,MATCH(Razonete!S$50&amp;$A55,'Livro Diário'!$N:$N,0),1),"")</f>
        <v/>
      </c>
      <c r="S55" t="str">
        <f ca="1">_xlfn.IFNA(INDEX('Livro Diário'!$F:$F,MATCH(Razonete!S$50&amp;$A55,'Livro Diário'!$N:$N,0),0),"")</f>
        <v/>
      </c>
      <c r="T55" s="7" t="str">
        <f ca="1">_xlfn.IFNA(INDEX('Livro Diário'!$F:$F,MATCH(Razonete!S$50&amp;$A55,'Livro Diário'!$O:$O,0),0),"")</f>
        <v/>
      </c>
      <c r="U55" s="78" t="str">
        <f ca="1">IF(T55&lt;&gt;"",INDEX('Livro Diário'!$B:$B,MATCH(Razonete!S$50&amp;$A55,'Livro Diário'!$O:$O,0),1),"")</f>
        <v/>
      </c>
    </row>
    <row r="56" spans="1:21" x14ac:dyDescent="0.25">
      <c r="A56">
        <v>5</v>
      </c>
      <c r="B56" s="85" t="str">
        <f ca="1">IF(C56&lt;&gt;"",INDEX('Livro Diário'!$B:$B,MATCH(Razonete!C$50&amp;$A56,'Livro Diário'!$N:$N,0),1),"")</f>
        <v/>
      </c>
      <c r="C56" t="str">
        <f ca="1">_xlfn.IFNA(INDEX('Livro Diário'!$F:$F,MATCH(Razonete!C$50&amp;$A56,'Livro Diário'!$N:$N,0),0),"")</f>
        <v/>
      </c>
      <c r="D56" s="7" t="str">
        <f ca="1">_xlfn.IFNA(INDEX('Livro Diário'!$F:$F,MATCH(Razonete!C$50&amp;$A56,'Livro Diário'!$O:$O,0),0),"")</f>
        <v/>
      </c>
      <c r="E56" s="78" t="str">
        <f ca="1">IF(D56&lt;&gt;"",INDEX('Livro Diário'!$B:$B,MATCH(Razonete!C$50&amp;$A56,'Livro Diário'!$O:$O,0),1),"")</f>
        <v/>
      </c>
      <c r="F56" s="85" t="str">
        <f ca="1">IF(G56&lt;&gt;"",INDEX('Livro Diário'!$B:$B,MATCH(Razonete!G$50&amp;$A56,'Livro Diário'!$N:$N,0),1),"")</f>
        <v/>
      </c>
      <c r="G56" t="str">
        <f ca="1">_xlfn.IFNA(INDEX('Livro Diário'!$F:$F,MATCH(Razonete!G$50&amp;$A56,'Livro Diário'!$N:$N,0),0),"")</f>
        <v/>
      </c>
      <c r="H56" s="7" t="str">
        <f ca="1">_xlfn.IFNA(INDEX('Livro Diário'!$F:$F,MATCH(Razonete!G$50&amp;$A56,'Livro Diário'!$O:$O,0),0),"")</f>
        <v/>
      </c>
      <c r="I56" s="78" t="str">
        <f ca="1">IF(H56&lt;&gt;"",INDEX('Livro Diário'!$B:$B,MATCH(Razonete!G$50&amp;$A56,'Livro Diário'!$O:$O,0),1),"")</f>
        <v/>
      </c>
      <c r="J56" s="85" t="str">
        <f ca="1">IF(K56&lt;&gt;"",INDEX('Livro Diário'!$B:$B,MATCH(Razonete!K$50&amp;$A56,'Livro Diário'!$N:$N,0),1),"")</f>
        <v/>
      </c>
      <c r="K56" t="str">
        <f ca="1">_xlfn.IFNA(INDEX('Livro Diário'!$F:$F,MATCH(Razonete!K$50&amp;$A56,'Livro Diário'!$N:$N,0),0),"")</f>
        <v/>
      </c>
      <c r="L56" s="7" t="str">
        <f ca="1">_xlfn.IFNA(INDEX('Livro Diário'!$F:$F,MATCH(Razonete!K$50&amp;$A56,'Livro Diário'!$O:$O,0),0),"")</f>
        <v/>
      </c>
      <c r="M56" s="78" t="str">
        <f ca="1">IF(L56&lt;&gt;"",INDEX('Livro Diário'!$B:$B,MATCH(Razonete!K$50&amp;$A56,'Livro Diário'!$O:$O,0),1),"")</f>
        <v/>
      </c>
      <c r="N56" s="85" t="str">
        <f ca="1">IF(O56&lt;&gt;"",INDEX('Livro Diário'!$B:$B,MATCH(Razonete!O$50&amp;$A56,'Livro Diário'!$N:$N,0),1),"")</f>
        <v/>
      </c>
      <c r="O56" t="str">
        <f ca="1">_xlfn.IFNA(INDEX('Livro Diário'!$F:$F,MATCH(Razonete!O$50&amp;$A56,'Livro Diário'!$N:$N,0),0),"")</f>
        <v/>
      </c>
      <c r="P56" s="7" t="str">
        <f ca="1">_xlfn.IFNA(INDEX('Livro Diário'!$F:$F,MATCH(Razonete!O$50&amp;$A56,'Livro Diário'!$O:$O,0),0),"")</f>
        <v/>
      </c>
      <c r="Q56" s="78" t="str">
        <f ca="1">IF(P56&lt;&gt;"",INDEX('Livro Diário'!$B:$B,MATCH(Razonete!O$50&amp;$A56,'Livro Diário'!$O:$O,0),1),"")</f>
        <v/>
      </c>
      <c r="R56" s="85" t="str">
        <f ca="1">IF(S56&lt;&gt;"",INDEX('Livro Diário'!$B:$B,MATCH(Razonete!S$50&amp;$A56,'Livro Diário'!$N:$N,0),1),"")</f>
        <v/>
      </c>
      <c r="S56" t="str">
        <f ca="1">_xlfn.IFNA(INDEX('Livro Diário'!$F:$F,MATCH(Razonete!S$50&amp;$A56,'Livro Diário'!$N:$N,0),0),"")</f>
        <v/>
      </c>
      <c r="T56" s="7" t="str">
        <f ca="1">_xlfn.IFNA(INDEX('Livro Diário'!$F:$F,MATCH(Razonete!S$50&amp;$A56,'Livro Diário'!$O:$O,0),0),"")</f>
        <v/>
      </c>
      <c r="U56" s="78" t="str">
        <f ca="1">IF(T56&lt;&gt;"",INDEX('Livro Diário'!$B:$B,MATCH(Razonete!S$50&amp;$A56,'Livro Diário'!$O:$O,0),1),"")</f>
        <v/>
      </c>
    </row>
    <row r="57" spans="1:21" x14ac:dyDescent="0.25">
      <c r="A57">
        <v>6</v>
      </c>
      <c r="B57" s="85" t="str">
        <f ca="1">IF(C57&lt;&gt;"",INDEX('Livro Diário'!$B:$B,MATCH(Razonete!C$50&amp;$A57,'Livro Diário'!$N:$N,0),1),"")</f>
        <v/>
      </c>
      <c r="C57" t="str">
        <f ca="1">_xlfn.IFNA(INDEX('Livro Diário'!$F:$F,MATCH(Razonete!C$50&amp;$A57,'Livro Diário'!$N:$N,0),0),"")</f>
        <v/>
      </c>
      <c r="D57" s="7" t="str">
        <f ca="1">_xlfn.IFNA(INDEX('Livro Diário'!$F:$F,MATCH(Razonete!C$50&amp;$A57,'Livro Diário'!$O:$O,0),0),"")</f>
        <v/>
      </c>
      <c r="E57" s="78" t="str">
        <f ca="1">IF(D57&lt;&gt;"",INDEX('Livro Diário'!$B:$B,MATCH(Razonete!C$50&amp;$A57,'Livro Diário'!$O:$O,0),1),"")</f>
        <v/>
      </c>
      <c r="F57" s="85" t="str">
        <f ca="1">IF(G57&lt;&gt;"",INDEX('Livro Diário'!$B:$B,MATCH(Razonete!G$50&amp;$A57,'Livro Diário'!$N:$N,0),1),"")</f>
        <v/>
      </c>
      <c r="G57" t="str">
        <f ca="1">_xlfn.IFNA(INDEX('Livro Diário'!$F:$F,MATCH(Razonete!G$50&amp;$A57,'Livro Diário'!$N:$N,0),0),"")</f>
        <v/>
      </c>
      <c r="H57" s="7" t="str">
        <f ca="1">_xlfn.IFNA(INDEX('Livro Diário'!$F:$F,MATCH(Razonete!G$50&amp;$A57,'Livro Diário'!$O:$O,0),0),"")</f>
        <v/>
      </c>
      <c r="I57" s="78" t="str">
        <f ca="1">IF(H57&lt;&gt;"",INDEX('Livro Diário'!$B:$B,MATCH(Razonete!G$50&amp;$A57,'Livro Diário'!$O:$O,0),1),"")</f>
        <v/>
      </c>
      <c r="J57" s="85" t="str">
        <f ca="1">IF(K57&lt;&gt;"",INDEX('Livro Diário'!$B:$B,MATCH(Razonete!K$50&amp;$A57,'Livro Diário'!$N:$N,0),1),"")</f>
        <v/>
      </c>
      <c r="K57" t="str">
        <f ca="1">_xlfn.IFNA(INDEX('Livro Diário'!$F:$F,MATCH(Razonete!K$50&amp;$A57,'Livro Diário'!$N:$N,0),0),"")</f>
        <v/>
      </c>
      <c r="L57" s="7" t="str">
        <f ca="1">_xlfn.IFNA(INDEX('Livro Diário'!$F:$F,MATCH(Razonete!K$50&amp;$A57,'Livro Diário'!$O:$O,0),0),"")</f>
        <v/>
      </c>
      <c r="M57" s="78" t="str">
        <f ca="1">IF(L57&lt;&gt;"",INDEX('Livro Diário'!$B:$B,MATCH(Razonete!K$50&amp;$A57,'Livro Diário'!$O:$O,0),1),"")</f>
        <v/>
      </c>
      <c r="N57" s="85" t="str">
        <f ca="1">IF(O57&lt;&gt;"",INDEX('Livro Diário'!$B:$B,MATCH(Razonete!O$50&amp;$A57,'Livro Diário'!$N:$N,0),1),"")</f>
        <v/>
      </c>
      <c r="O57" t="str">
        <f ca="1">_xlfn.IFNA(INDEX('Livro Diário'!$F:$F,MATCH(Razonete!O$50&amp;$A57,'Livro Diário'!$N:$N,0),0),"")</f>
        <v/>
      </c>
      <c r="P57" s="7" t="str">
        <f ca="1">_xlfn.IFNA(INDEX('Livro Diário'!$F:$F,MATCH(Razonete!O$50&amp;$A57,'Livro Diário'!$O:$O,0),0),"")</f>
        <v/>
      </c>
      <c r="Q57" s="78" t="str">
        <f ca="1">IF(P57&lt;&gt;"",INDEX('Livro Diário'!$B:$B,MATCH(Razonete!O$50&amp;$A57,'Livro Diário'!$O:$O,0),1),"")</f>
        <v/>
      </c>
      <c r="R57" s="85" t="str">
        <f ca="1">IF(S57&lt;&gt;"",INDEX('Livro Diário'!$B:$B,MATCH(Razonete!S$50&amp;$A57,'Livro Diário'!$N:$N,0),1),"")</f>
        <v/>
      </c>
      <c r="S57" t="str">
        <f ca="1">_xlfn.IFNA(INDEX('Livro Diário'!$F:$F,MATCH(Razonete!S$50&amp;$A57,'Livro Diário'!$N:$N,0),0),"")</f>
        <v/>
      </c>
      <c r="T57" s="7" t="str">
        <f ca="1">_xlfn.IFNA(INDEX('Livro Diário'!$F:$F,MATCH(Razonete!S$50&amp;$A57,'Livro Diário'!$O:$O,0),0),"")</f>
        <v/>
      </c>
      <c r="U57" s="78" t="str">
        <f ca="1">IF(T57&lt;&gt;"",INDEX('Livro Diário'!$B:$B,MATCH(Razonete!S$50&amp;$A57,'Livro Diário'!$O:$O,0),1),"")</f>
        <v/>
      </c>
    </row>
    <row r="58" spans="1:21" ht="15.75" thickBot="1" x14ac:dyDescent="0.3">
      <c r="A58">
        <v>7</v>
      </c>
      <c r="B58" s="85" t="str">
        <f ca="1">IF(C58&lt;&gt;"",INDEX('Livro Diário'!$B:$B,MATCH(Razonete!C$50&amp;$A58,'Livro Diário'!$N:$N,0),1),"")</f>
        <v/>
      </c>
      <c r="C58" t="str">
        <f ca="1">_xlfn.IFNA(INDEX('Livro Diário'!$F:$F,MATCH(Razonete!C$50&amp;$A58,'Livro Diário'!$N:$N,0),0),"")</f>
        <v/>
      </c>
      <c r="D58" s="7" t="str">
        <f ca="1">_xlfn.IFNA(INDEX('Livro Diário'!$F:$F,MATCH(Razonete!C$50&amp;$A58,'Livro Diário'!$O:$O,0),0),"")</f>
        <v/>
      </c>
      <c r="E58" s="78" t="str">
        <f ca="1">IF(D58&lt;&gt;"",INDEX('Livro Diário'!$B:$B,MATCH(Razonete!C$50&amp;$A58,'Livro Diário'!$O:$O,0),1),"")</f>
        <v/>
      </c>
      <c r="F58" s="85" t="str">
        <f ca="1">IF(G58&lt;&gt;"",INDEX('Livro Diário'!$B:$B,MATCH(Razonete!G$50&amp;$A58,'Livro Diário'!$N:$N,0),1),"")</f>
        <v/>
      </c>
      <c r="G58" t="str">
        <f ca="1">_xlfn.IFNA(INDEX('Livro Diário'!$F:$F,MATCH(Razonete!G$50&amp;$A58,'Livro Diário'!$N:$N,0),0),"")</f>
        <v/>
      </c>
      <c r="H58" s="7" t="str">
        <f ca="1">_xlfn.IFNA(INDEX('Livro Diário'!$F:$F,MATCH(Razonete!G$50&amp;$A58,'Livro Diário'!$O:$O,0),0),"")</f>
        <v/>
      </c>
      <c r="I58" s="78" t="str">
        <f ca="1">IF(H58&lt;&gt;"",INDEX('Livro Diário'!$B:$B,MATCH(Razonete!G$50&amp;$A58,'Livro Diário'!$O:$O,0),1),"")</f>
        <v/>
      </c>
      <c r="J58" s="85" t="str">
        <f ca="1">IF(K58&lt;&gt;"",INDEX('Livro Diário'!$B:$B,MATCH(Razonete!K$50&amp;$A58,'Livro Diário'!$N:$N,0),1),"")</f>
        <v/>
      </c>
      <c r="K58" t="str">
        <f ca="1">_xlfn.IFNA(INDEX('Livro Diário'!$F:$F,MATCH(Razonete!K$50&amp;$A58,'Livro Diário'!$N:$N,0),0),"")</f>
        <v/>
      </c>
      <c r="L58" s="7" t="str">
        <f ca="1">_xlfn.IFNA(INDEX('Livro Diário'!$F:$F,MATCH(Razonete!K$50&amp;$A58,'Livro Diário'!$O:$O,0),0),"")</f>
        <v/>
      </c>
      <c r="M58" s="78" t="str">
        <f ca="1">IF(L58&lt;&gt;"",INDEX('Livro Diário'!$B:$B,MATCH(Razonete!K$50&amp;$A58,'Livro Diário'!$O:$O,0),1),"")</f>
        <v/>
      </c>
      <c r="N58" s="85" t="str">
        <f ca="1">IF(O58&lt;&gt;"",INDEX('Livro Diário'!$B:$B,MATCH(Razonete!O$50&amp;$A58,'Livro Diário'!$N:$N,0),1),"")</f>
        <v/>
      </c>
      <c r="O58" t="str">
        <f ca="1">_xlfn.IFNA(INDEX('Livro Diário'!$F:$F,MATCH(Razonete!O$50&amp;$A58,'Livro Diário'!$N:$N,0),0),"")</f>
        <v/>
      </c>
      <c r="P58" s="7" t="str">
        <f ca="1">_xlfn.IFNA(INDEX('Livro Diário'!$F:$F,MATCH(Razonete!O$50&amp;$A58,'Livro Diário'!$O:$O,0),0),"")</f>
        <v/>
      </c>
      <c r="Q58" s="78" t="str">
        <f ca="1">IF(P58&lt;&gt;"",INDEX('Livro Diário'!$B:$B,MATCH(Razonete!O$50&amp;$A58,'Livro Diário'!$O:$O,0),1),"")</f>
        <v/>
      </c>
      <c r="R58" s="85" t="str">
        <f ca="1">IF(S58&lt;&gt;"",INDEX('Livro Diário'!$B:$B,MATCH(Razonete!S$50&amp;$A58,'Livro Diário'!$N:$N,0),1),"")</f>
        <v/>
      </c>
      <c r="S58" t="str">
        <f ca="1">_xlfn.IFNA(INDEX('Livro Diário'!$F:$F,MATCH(Razonete!S$50&amp;$A58,'Livro Diário'!$N:$N,0),0),"")</f>
        <v/>
      </c>
      <c r="T58" s="7" t="str">
        <f ca="1">_xlfn.IFNA(INDEX('Livro Diário'!$F:$F,MATCH(Razonete!S$50&amp;$A58,'Livro Diário'!$O:$O,0),0),"")</f>
        <v/>
      </c>
      <c r="U58" s="78" t="str">
        <f ca="1">IF(T58&lt;&gt;"",INDEX('Livro Diário'!$B:$B,MATCH(Razonete!S$50&amp;$A58,'Livro Diário'!$O:$O,0),1),"")</f>
        <v/>
      </c>
    </row>
    <row r="59" spans="1:21" ht="16.5" thickTop="1" thickBot="1" x14ac:dyDescent="0.3">
      <c r="C59" s="83">
        <f ca="1">SUM(C51:C58)</f>
        <v>0</v>
      </c>
      <c r="D59" s="84">
        <f ca="1">SUM(D51:D58)</f>
        <v>0</v>
      </c>
      <c r="F59" s="85"/>
      <c r="G59" s="83">
        <f ca="1">SUM(G51:G58)</f>
        <v>0</v>
      </c>
      <c r="H59" s="84">
        <f ca="1">SUM(H51:H58)</f>
        <v>0</v>
      </c>
      <c r="J59" s="85"/>
      <c r="K59" s="83">
        <f ca="1">SUM(K51:K58)</f>
        <v>0</v>
      </c>
      <c r="L59" s="84">
        <f ca="1">SUM(L51:L58)</f>
        <v>12.840000000000002</v>
      </c>
      <c r="M59" s="78"/>
      <c r="N59" s="85"/>
      <c r="O59" s="83">
        <f ca="1">SUM(O51:O58)</f>
        <v>0</v>
      </c>
      <c r="P59" s="84">
        <f ca="1">SUM(P51:P58)</f>
        <v>0</v>
      </c>
      <c r="Q59" s="78"/>
      <c r="R59" s="85"/>
      <c r="S59" s="83">
        <f ca="1">SUM(S51:S58)</f>
        <v>0</v>
      </c>
      <c r="T59" s="84">
        <f ca="1">SUM(T51:T58)</f>
        <v>0</v>
      </c>
      <c r="U59" s="78"/>
    </row>
    <row r="60" spans="1:21" ht="15.75" thickTop="1" x14ac:dyDescent="0.25">
      <c r="C60" t="str">
        <f ca="1">IF(C59&gt;D59,C59-D59,"")</f>
        <v/>
      </c>
      <c r="D60" t="str">
        <f ca="1">IF(D59&gt;C59,D59-C59,"")</f>
        <v/>
      </c>
      <c r="F60" s="85"/>
      <c r="G60" t="str">
        <f ca="1">IF(G59&gt;H59,G59-H59,"")</f>
        <v/>
      </c>
      <c r="H60" t="str">
        <f ca="1">IF(H59&gt;G59,H59-G59,"")</f>
        <v/>
      </c>
      <c r="J60" s="85"/>
      <c r="K60" t="str">
        <f ca="1">IF(K59&gt;L59,K59-L59,"")</f>
        <v/>
      </c>
      <c r="L60">
        <f ca="1">IF(L59&gt;K59,L59-K59,"")</f>
        <v>12.840000000000002</v>
      </c>
      <c r="M60" s="78"/>
      <c r="N60" s="85"/>
      <c r="O60" t="str">
        <f ca="1">IF(O59&gt;P59,O59-P59,"")</f>
        <v/>
      </c>
      <c r="P60" t="str">
        <f ca="1">IF(P59&gt;O59,P59-O59,"")</f>
        <v/>
      </c>
      <c r="Q60" s="78"/>
      <c r="R60" s="85"/>
      <c r="S60" t="str">
        <f ca="1">IF(S59&gt;T59,S59-T59,"")</f>
        <v/>
      </c>
      <c r="T60" t="str">
        <f ca="1">IF(T59&gt;S59,T59-S59,"")</f>
        <v/>
      </c>
      <c r="U60" s="78"/>
    </row>
    <row r="61" spans="1:21" x14ac:dyDescent="0.25">
      <c r="C61">
        <f>C49+5</f>
        <v>28</v>
      </c>
      <c r="G61">
        <f>G49+5</f>
        <v>29</v>
      </c>
      <c r="K61">
        <f>K49+5</f>
        <v>30</v>
      </c>
      <c r="O61">
        <f>O49+5</f>
        <v>31</v>
      </c>
      <c r="S61">
        <f>S49+5</f>
        <v>32</v>
      </c>
    </row>
    <row r="62" spans="1:21" s="76" customFormat="1" ht="24" customHeight="1" x14ac:dyDescent="0.25">
      <c r="B62" s="87"/>
      <c r="C62" s="139" t="str">
        <f ca="1">INDIRECT("Balancete!C"&amp;C61)</f>
        <v>Receitas Antecipadas</v>
      </c>
      <c r="D62" s="139"/>
      <c r="E62" s="77"/>
      <c r="F62" s="88"/>
      <c r="G62" s="139" t="str">
        <f ca="1">INDIRECT("Balancete!C"&amp;G61)</f>
        <v>Dividendos a Pagar</v>
      </c>
      <c r="H62" s="139"/>
      <c r="I62" s="77"/>
      <c r="K62" s="139" t="str">
        <f ca="1">INDIRECT("Balancete!C"&amp;K61)</f>
        <v>Contas a Pagar a Longo Prazo</v>
      </c>
      <c r="L62" s="139"/>
      <c r="O62" s="139" t="str">
        <f ca="1">INDIRECT("Balancete!C"&amp;O61)</f>
        <v>Fornecedores a Pagar a Longo Prazo</v>
      </c>
      <c r="P62" s="139"/>
      <c r="S62" s="139" t="str">
        <f ca="1">INDIRECT("Balancete!C"&amp;S61)</f>
        <v>Empréstimo a logo prazo</v>
      </c>
      <c r="T62" s="139"/>
    </row>
    <row r="63" spans="1:21" x14ac:dyDescent="0.25">
      <c r="A63">
        <v>62</v>
      </c>
      <c r="B63" s="85" t="s">
        <v>165</v>
      </c>
      <c r="C63" s="81" t="str">
        <f ca="1">IF(VLOOKUP(C62,Balancete!$C:$F,4,0)&gt;0,VLOOKUP(C62,Balancete!$C:$F,4,0),"")</f>
        <v/>
      </c>
      <c r="D63" s="82" t="str">
        <f ca="1">IF(VLOOKUP(C62,Balancete!$C:$G,5,0)&gt;0,VLOOKUP(C62,Balancete!$C:$G,5,0),"")</f>
        <v/>
      </c>
      <c r="F63" s="85" t="s">
        <v>165</v>
      </c>
      <c r="G63" s="81" t="str">
        <f ca="1">IF(VLOOKUP(G62,Balancete!$C:$F,4,0)&gt;0,VLOOKUP(G62,Balancete!$C:$F,4,0),"")</f>
        <v/>
      </c>
      <c r="H63" s="82" t="str">
        <f ca="1">IF(VLOOKUP(G62,Balancete!$C:$G,5,0)&gt;0,VLOOKUP(G62,Balancete!$C:$G,5,0),"")</f>
        <v/>
      </c>
      <c r="J63" s="85" t="s">
        <v>165</v>
      </c>
      <c r="K63" s="81" t="str">
        <f ca="1">IF(VLOOKUP(K62,Balancete!$C:$F,4,0)&gt;0,VLOOKUP(K62,Balancete!$C:$F,4,0),"")</f>
        <v/>
      </c>
      <c r="L63" s="82" t="str">
        <f ca="1">IF(VLOOKUP(K62,Balancete!$C:$G,5,0)&gt;0,VLOOKUP(K62,Balancete!$C:$G,5,0),"")</f>
        <v/>
      </c>
      <c r="M63" s="78"/>
      <c r="N63" s="85" t="s">
        <v>165</v>
      </c>
      <c r="O63" s="81" t="str">
        <f ca="1">IF(VLOOKUP(O62,Balancete!$C:$F,4,0)&gt;0,VLOOKUP(O62,Balancete!$C:$F,4,0),"")</f>
        <v/>
      </c>
      <c r="P63" s="82" t="str">
        <f ca="1">IF(VLOOKUP(O62,Balancete!$C:$G,5,0)&gt;0,VLOOKUP(O62,Balancete!$C:$G,5,0),"")</f>
        <v/>
      </c>
      <c r="Q63" s="78"/>
      <c r="R63" s="85" t="s">
        <v>165</v>
      </c>
      <c r="S63" s="81" t="str">
        <f ca="1">IF(VLOOKUP(S62,Balancete!$C:$F,4,0)&gt;0,VLOOKUP(S62,Balancete!$C:$F,4,0),"")</f>
        <v/>
      </c>
      <c r="T63" s="82" t="str">
        <f ca="1">IF(VLOOKUP(S62,Balancete!$C:$G,5,0)&gt;0,VLOOKUP(S62,Balancete!$C:$G,5,0),"")</f>
        <v/>
      </c>
      <c r="U63" s="78"/>
    </row>
    <row r="64" spans="1:21" x14ac:dyDescent="0.25">
      <c r="A64">
        <v>1</v>
      </c>
      <c r="B64" s="85" t="str">
        <f ca="1">IF(C64&lt;&gt;"",INDEX('Livro Diário'!$B:$B,MATCH(Razonete!C$62&amp;$A64,'Livro Diário'!$N:$N,0),1),"")</f>
        <v/>
      </c>
      <c r="C64" t="str">
        <f ca="1">_xlfn.IFNA(INDEX('Livro Diário'!$F:$F,MATCH(Razonete!C$62&amp;$A64,'Livro Diário'!$N:$N,0),0),"")</f>
        <v/>
      </c>
      <c r="D64" s="7" t="str">
        <f ca="1">_xlfn.IFNA(INDEX('Livro Diário'!$F:$F,MATCH(Razonete!C$62&amp;$A64,'Livro Diário'!$O:$O,0),0),"")</f>
        <v/>
      </c>
      <c r="E64" s="78" t="str">
        <f ca="1">IF(D64&lt;&gt;"",INDEX('Livro Diário'!$B:$B,MATCH(Razonete!C$62&amp;$A64,'Livro Diário'!$O:$O,0),1),"")</f>
        <v/>
      </c>
      <c r="F64" s="85" t="str">
        <f ca="1">IF(G64&lt;&gt;"",INDEX('Livro Diário'!$B:$B,MATCH(Razonete!G$62&amp;$A64,'Livro Diário'!$N:$N,0),1),"")</f>
        <v/>
      </c>
      <c r="G64" t="str">
        <f ca="1">_xlfn.IFNA(INDEX('Livro Diário'!$F:$F,MATCH(Razonete!G$62&amp;$A64,'Livro Diário'!$N:$N,0),0),"")</f>
        <v/>
      </c>
      <c r="H64" s="7" t="str">
        <f ca="1">_xlfn.IFNA(INDEX('Livro Diário'!$F:$F,MATCH(Razonete!G$62&amp;$A64,'Livro Diário'!$O:$O,0),0),"")</f>
        <v/>
      </c>
      <c r="I64" s="78" t="str">
        <f ca="1">IF(H64&lt;&gt;"",INDEX('Livro Diário'!$B:$B,MATCH(Razonete!G$62&amp;$A64,'Livro Diário'!$O:$O,0),1),"")</f>
        <v/>
      </c>
      <c r="J64" s="85" t="str">
        <f ca="1">IF(K64&lt;&gt;"",INDEX('Livro Diário'!$B:$B,MATCH(Razonete!K$62&amp;$A64,'Livro Diário'!$N:$N,0),1),"")</f>
        <v/>
      </c>
      <c r="K64" t="str">
        <f ca="1">_xlfn.IFNA(INDEX('Livro Diário'!$F:$F,MATCH(Razonete!K$62&amp;$A64,'Livro Diário'!$N:$N,0),0),"")</f>
        <v/>
      </c>
      <c r="L64" s="7" t="str">
        <f ca="1">_xlfn.IFNA(INDEX('Livro Diário'!$F:$F,MATCH(Razonete!K$62&amp;$A64,'Livro Diário'!$O:$O,0),0),"")</f>
        <v/>
      </c>
      <c r="M64" s="78" t="str">
        <f ca="1">IF(L64&lt;&gt;"",INDEX('Livro Diário'!$B:$B,MATCH(Razonete!K$62&amp;$A64,'Livro Diário'!$O:$O,0),1),"")</f>
        <v/>
      </c>
      <c r="N64" s="85" t="str">
        <f ca="1">IF(O64&lt;&gt;"",INDEX('Livro Diário'!$B:$B,MATCH(Razonete!O$62&amp;$A64,'Livro Diário'!$N:$N,0),1),"")</f>
        <v/>
      </c>
      <c r="O64" t="str">
        <f ca="1">_xlfn.IFNA(INDEX('Livro Diário'!$F:$F,MATCH(Razonete!O$62&amp;$A64,'Livro Diário'!$N:$N,0),0),"")</f>
        <v/>
      </c>
      <c r="P64" s="7" t="str">
        <f ca="1">_xlfn.IFNA(INDEX('Livro Diário'!$F:$F,MATCH(Razonete!O$62&amp;$A64,'Livro Diário'!$O:$O,0),0),"")</f>
        <v/>
      </c>
      <c r="Q64" s="78" t="str">
        <f ca="1">IF(P64&lt;&gt;"",INDEX('Livro Diário'!$B:$B,MATCH(Razonete!O$62&amp;$A64,'Livro Diário'!$O:$O,0),1),"")</f>
        <v/>
      </c>
      <c r="R64" s="85" t="str">
        <f ca="1">IF(S64&lt;&gt;"",INDEX('Livro Diário'!$B:$B,MATCH(Razonete!S$62&amp;$A64,'Livro Diário'!$N:$N,0),1),"")</f>
        <v/>
      </c>
      <c r="S64" t="str">
        <f ca="1">_xlfn.IFNA(INDEX('Livro Diário'!$F:$F,MATCH(Razonete!S$62&amp;$A64,'Livro Diário'!$N:$N,0),0),"")</f>
        <v/>
      </c>
      <c r="T64" s="7" t="str">
        <f ca="1">_xlfn.IFNA(INDEX('Livro Diário'!$F:$F,MATCH(Razonete!S$62&amp;$A64,'Livro Diário'!$O:$O,0),0),"")</f>
        <v/>
      </c>
      <c r="U64" s="78" t="str">
        <f ca="1">IF(T64&lt;&gt;"",INDEX('Livro Diário'!$B:$B,MATCH(Razonete!S$62&amp;$A64,'Livro Diário'!$O:$O,0),1),"")</f>
        <v/>
      </c>
    </row>
    <row r="65" spans="1:21" x14ac:dyDescent="0.25">
      <c r="A65">
        <v>2</v>
      </c>
      <c r="B65" s="85" t="str">
        <f ca="1">IF(C65&lt;&gt;"",INDEX('Livro Diário'!$B:$B,MATCH(Razonete!C$62&amp;$A65,'Livro Diário'!$N:$N,0),1),"")</f>
        <v/>
      </c>
      <c r="C65" t="str">
        <f ca="1">_xlfn.IFNA(INDEX('Livro Diário'!$F:$F,MATCH(Razonete!C$62&amp;$A65,'Livro Diário'!$N:$N,0),0),"")</f>
        <v/>
      </c>
      <c r="D65" s="7" t="str">
        <f ca="1">_xlfn.IFNA(INDEX('Livro Diário'!$F:$F,MATCH(Razonete!C$62&amp;$A65,'Livro Diário'!$O:$O,0),0),"")</f>
        <v/>
      </c>
      <c r="E65" s="78" t="str">
        <f ca="1">IF(D65&lt;&gt;"",INDEX('Livro Diário'!$B:$B,MATCH(Razonete!C$62&amp;$A65,'Livro Diário'!$O:$O,0),1),"")</f>
        <v/>
      </c>
      <c r="F65" s="85" t="str">
        <f ca="1">IF(G65&lt;&gt;"",INDEX('Livro Diário'!$B:$B,MATCH(Razonete!G$62&amp;$A65,'Livro Diário'!$N:$N,0),1),"")</f>
        <v/>
      </c>
      <c r="G65" t="str">
        <f ca="1">_xlfn.IFNA(INDEX('Livro Diário'!$F:$F,MATCH(Razonete!G$62&amp;$A65,'Livro Diário'!$N:$N,0),0),"")</f>
        <v/>
      </c>
      <c r="H65" s="7" t="str">
        <f ca="1">_xlfn.IFNA(INDEX('Livro Diário'!$F:$F,MATCH(Razonete!G$62&amp;$A65,'Livro Diário'!$O:$O,0),0),"")</f>
        <v/>
      </c>
      <c r="I65" s="78" t="str">
        <f ca="1">IF(H65&lt;&gt;"",INDEX('Livro Diário'!$B:$B,MATCH(Razonete!G$62&amp;$A65,'Livro Diário'!$O:$O,0),1),"")</f>
        <v/>
      </c>
      <c r="J65" s="85" t="str">
        <f ca="1">IF(K65&lt;&gt;"",INDEX('Livro Diário'!$B:$B,MATCH(Razonete!K$62&amp;$A65,'Livro Diário'!$N:$N,0),1),"")</f>
        <v/>
      </c>
      <c r="K65" t="str">
        <f ca="1">_xlfn.IFNA(INDEX('Livro Diário'!$F:$F,MATCH(Razonete!K$62&amp;$A65,'Livro Diário'!$N:$N,0),0),"")</f>
        <v/>
      </c>
      <c r="L65" s="7" t="str">
        <f ca="1">_xlfn.IFNA(INDEX('Livro Diário'!$F:$F,MATCH(Razonete!K$62&amp;$A65,'Livro Diário'!$O:$O,0),0),"")</f>
        <v/>
      </c>
      <c r="M65" s="78" t="str">
        <f ca="1">IF(L65&lt;&gt;"",INDEX('Livro Diário'!$B:$B,MATCH(Razonete!K$62&amp;$A65,'Livro Diário'!$O:$O,0),1),"")</f>
        <v/>
      </c>
      <c r="N65" s="85" t="str">
        <f ca="1">IF(O65&lt;&gt;"",INDEX('Livro Diário'!$B:$B,MATCH(Razonete!O$62&amp;$A65,'Livro Diário'!$N:$N,0),1),"")</f>
        <v/>
      </c>
      <c r="O65" t="str">
        <f ca="1">_xlfn.IFNA(INDEX('Livro Diário'!$F:$F,MATCH(Razonete!O$62&amp;$A65,'Livro Diário'!$N:$N,0),0),"")</f>
        <v/>
      </c>
      <c r="P65" s="7" t="str">
        <f ca="1">_xlfn.IFNA(INDEX('Livro Diário'!$F:$F,MATCH(Razonete!O$62&amp;$A65,'Livro Diário'!$O:$O,0),0),"")</f>
        <v/>
      </c>
      <c r="Q65" s="78" t="str">
        <f ca="1">IF(P65&lt;&gt;"",INDEX('Livro Diário'!$B:$B,MATCH(Razonete!O$62&amp;$A65,'Livro Diário'!$O:$O,0),1),"")</f>
        <v/>
      </c>
      <c r="R65" s="85" t="str">
        <f ca="1">IF(S65&lt;&gt;"",INDEX('Livro Diário'!$B:$B,MATCH(Razonete!S$62&amp;$A65,'Livro Diário'!$N:$N,0),1),"")</f>
        <v/>
      </c>
      <c r="S65" t="str">
        <f ca="1">_xlfn.IFNA(INDEX('Livro Diário'!$F:$F,MATCH(Razonete!S$62&amp;$A65,'Livro Diário'!$N:$N,0),0),"")</f>
        <v/>
      </c>
      <c r="T65" s="7" t="str">
        <f ca="1">_xlfn.IFNA(INDEX('Livro Diário'!$F:$F,MATCH(Razonete!S$62&amp;$A65,'Livro Diário'!$O:$O,0),0),"")</f>
        <v/>
      </c>
      <c r="U65" s="78" t="str">
        <f ca="1">IF(T65&lt;&gt;"",INDEX('Livro Diário'!$B:$B,MATCH(Razonete!S$62&amp;$A65,'Livro Diário'!$O:$O,0),1),"")</f>
        <v/>
      </c>
    </row>
    <row r="66" spans="1:21" x14ac:dyDescent="0.25">
      <c r="A66">
        <v>3</v>
      </c>
      <c r="B66" s="85" t="str">
        <f ca="1">IF(C66&lt;&gt;"",INDEX('Livro Diário'!$B:$B,MATCH(Razonete!C$62&amp;$A66,'Livro Diário'!$N:$N,0),1),"")</f>
        <v/>
      </c>
      <c r="C66" t="str">
        <f ca="1">_xlfn.IFNA(INDEX('Livro Diário'!$F:$F,MATCH(Razonete!C$62&amp;$A66,'Livro Diário'!$N:$N,0),0),"")</f>
        <v/>
      </c>
      <c r="D66" s="7" t="str">
        <f ca="1">_xlfn.IFNA(INDEX('Livro Diário'!$F:$F,MATCH(Razonete!C$62&amp;$A66,'Livro Diário'!$O:$O,0),0),"")</f>
        <v/>
      </c>
      <c r="E66" s="78" t="str">
        <f ca="1">IF(D66&lt;&gt;"",INDEX('Livro Diário'!$B:$B,MATCH(Razonete!C$62&amp;$A66,'Livro Diário'!$O:$O,0),1),"")</f>
        <v/>
      </c>
      <c r="F66" s="85" t="str">
        <f ca="1">IF(G66&lt;&gt;"",INDEX('Livro Diário'!$B:$B,MATCH(Razonete!G$62&amp;$A66,'Livro Diário'!$N:$N,0),1),"")</f>
        <v/>
      </c>
      <c r="G66" t="str">
        <f ca="1">_xlfn.IFNA(INDEX('Livro Diário'!$F:$F,MATCH(Razonete!G$62&amp;$A66,'Livro Diário'!$N:$N,0),0),"")</f>
        <v/>
      </c>
      <c r="H66" s="7" t="str">
        <f ca="1">_xlfn.IFNA(INDEX('Livro Diário'!$F:$F,MATCH(Razonete!G$62&amp;$A66,'Livro Diário'!$O:$O,0),0),"")</f>
        <v/>
      </c>
      <c r="I66" s="78" t="str">
        <f ca="1">IF(H66&lt;&gt;"",INDEX('Livro Diário'!$B:$B,MATCH(Razonete!G$62&amp;$A66,'Livro Diário'!$O:$O,0),1),"")</f>
        <v/>
      </c>
      <c r="J66" s="85" t="str">
        <f ca="1">IF(K66&lt;&gt;"",INDEX('Livro Diário'!$B:$B,MATCH(Razonete!K$62&amp;$A66,'Livro Diário'!$N:$N,0),1),"")</f>
        <v/>
      </c>
      <c r="K66" t="str">
        <f ca="1">_xlfn.IFNA(INDEX('Livro Diário'!$F:$F,MATCH(Razonete!K$62&amp;$A66,'Livro Diário'!$N:$N,0),0),"")</f>
        <v/>
      </c>
      <c r="L66" s="7" t="str">
        <f ca="1">_xlfn.IFNA(INDEX('Livro Diário'!$F:$F,MATCH(Razonete!K$62&amp;$A66,'Livro Diário'!$O:$O,0),0),"")</f>
        <v/>
      </c>
      <c r="M66" s="78" t="str">
        <f ca="1">IF(L66&lt;&gt;"",INDEX('Livro Diário'!$B:$B,MATCH(Razonete!K$62&amp;$A66,'Livro Diário'!$O:$O,0),1),"")</f>
        <v/>
      </c>
      <c r="N66" s="85" t="str">
        <f ca="1">IF(O66&lt;&gt;"",INDEX('Livro Diário'!$B:$B,MATCH(Razonete!O$62&amp;$A66,'Livro Diário'!$N:$N,0),1),"")</f>
        <v/>
      </c>
      <c r="O66" t="str">
        <f ca="1">_xlfn.IFNA(INDEX('Livro Diário'!$F:$F,MATCH(Razonete!O$62&amp;$A66,'Livro Diário'!$N:$N,0),0),"")</f>
        <v/>
      </c>
      <c r="P66" s="7" t="str">
        <f ca="1">_xlfn.IFNA(INDEX('Livro Diário'!$F:$F,MATCH(Razonete!O$62&amp;$A66,'Livro Diário'!$O:$O,0),0),"")</f>
        <v/>
      </c>
      <c r="Q66" s="78" t="str">
        <f ca="1">IF(P66&lt;&gt;"",INDEX('Livro Diário'!$B:$B,MATCH(Razonete!O$62&amp;$A66,'Livro Diário'!$O:$O,0),1),"")</f>
        <v/>
      </c>
      <c r="R66" s="85" t="str">
        <f ca="1">IF(S66&lt;&gt;"",INDEX('Livro Diário'!$B:$B,MATCH(Razonete!S$62&amp;$A66,'Livro Diário'!$N:$N,0),1),"")</f>
        <v/>
      </c>
      <c r="S66" t="str">
        <f ca="1">_xlfn.IFNA(INDEX('Livro Diário'!$F:$F,MATCH(Razonete!S$62&amp;$A66,'Livro Diário'!$N:$N,0),0),"")</f>
        <v/>
      </c>
      <c r="T66" s="7" t="str">
        <f ca="1">_xlfn.IFNA(INDEX('Livro Diário'!$F:$F,MATCH(Razonete!S$62&amp;$A66,'Livro Diário'!$O:$O,0),0),"")</f>
        <v/>
      </c>
      <c r="U66" s="78" t="str">
        <f ca="1">IF(T66&lt;&gt;"",INDEX('Livro Diário'!$B:$B,MATCH(Razonete!S$62&amp;$A66,'Livro Diário'!$O:$O,0),1),"")</f>
        <v/>
      </c>
    </row>
    <row r="67" spans="1:21" x14ac:dyDescent="0.25">
      <c r="A67">
        <v>4</v>
      </c>
      <c r="B67" s="85" t="str">
        <f ca="1">IF(C67&lt;&gt;"",INDEX('Livro Diário'!$B:$B,MATCH(Razonete!C$62&amp;$A67,'Livro Diário'!$N:$N,0),1),"")</f>
        <v/>
      </c>
      <c r="C67" t="str">
        <f ca="1">_xlfn.IFNA(INDEX('Livro Diário'!$F:$F,MATCH(Razonete!C$62&amp;$A67,'Livro Diário'!$N:$N,0),0),"")</f>
        <v/>
      </c>
      <c r="D67" s="7" t="str">
        <f ca="1">_xlfn.IFNA(INDEX('Livro Diário'!$F:$F,MATCH(Razonete!C$62&amp;$A67,'Livro Diário'!$O:$O,0),0),"")</f>
        <v/>
      </c>
      <c r="E67" s="78" t="str">
        <f ca="1">IF(D67&lt;&gt;"",INDEX('Livro Diário'!$B:$B,MATCH(Razonete!C$62&amp;$A67,'Livro Diário'!$O:$O,0),1),"")</f>
        <v/>
      </c>
      <c r="F67" s="85" t="str">
        <f ca="1">IF(G67&lt;&gt;"",INDEX('Livro Diário'!$B:$B,MATCH(Razonete!G$62&amp;$A67,'Livro Diário'!$N:$N,0),1),"")</f>
        <v/>
      </c>
      <c r="G67" t="str">
        <f ca="1">_xlfn.IFNA(INDEX('Livro Diário'!$F:$F,MATCH(Razonete!G$62&amp;$A67,'Livro Diário'!$N:$N,0),0),"")</f>
        <v/>
      </c>
      <c r="H67" s="7" t="str">
        <f ca="1">_xlfn.IFNA(INDEX('Livro Diário'!$F:$F,MATCH(Razonete!G$62&amp;$A67,'Livro Diário'!$O:$O,0),0),"")</f>
        <v/>
      </c>
      <c r="I67" s="78" t="str">
        <f ca="1">IF(H67&lt;&gt;"",INDEX('Livro Diário'!$B:$B,MATCH(Razonete!G$62&amp;$A67,'Livro Diário'!$O:$O,0),1),"")</f>
        <v/>
      </c>
      <c r="J67" s="85" t="str">
        <f ca="1">IF(K67&lt;&gt;"",INDEX('Livro Diário'!$B:$B,MATCH(Razonete!K$62&amp;$A67,'Livro Diário'!$N:$N,0),1),"")</f>
        <v/>
      </c>
      <c r="K67" t="str">
        <f ca="1">_xlfn.IFNA(INDEX('Livro Diário'!$F:$F,MATCH(Razonete!K$62&amp;$A67,'Livro Diário'!$N:$N,0),0),"")</f>
        <v/>
      </c>
      <c r="L67" s="7" t="str">
        <f ca="1">_xlfn.IFNA(INDEX('Livro Diário'!$F:$F,MATCH(Razonete!K$62&amp;$A67,'Livro Diário'!$O:$O,0),0),"")</f>
        <v/>
      </c>
      <c r="M67" s="78" t="str">
        <f ca="1">IF(L67&lt;&gt;"",INDEX('Livro Diário'!$B:$B,MATCH(Razonete!K$62&amp;$A67,'Livro Diário'!$O:$O,0),1),"")</f>
        <v/>
      </c>
      <c r="N67" s="85" t="str">
        <f ca="1">IF(O67&lt;&gt;"",INDEX('Livro Diário'!$B:$B,MATCH(Razonete!O$62&amp;$A67,'Livro Diário'!$N:$N,0),1),"")</f>
        <v/>
      </c>
      <c r="O67" t="str">
        <f ca="1">_xlfn.IFNA(INDEX('Livro Diário'!$F:$F,MATCH(Razonete!O$62&amp;$A67,'Livro Diário'!$N:$N,0),0),"")</f>
        <v/>
      </c>
      <c r="P67" s="7" t="str">
        <f ca="1">_xlfn.IFNA(INDEX('Livro Diário'!$F:$F,MATCH(Razonete!O$62&amp;$A67,'Livro Diário'!$O:$O,0),0),"")</f>
        <v/>
      </c>
      <c r="Q67" s="78" t="str">
        <f ca="1">IF(P67&lt;&gt;"",INDEX('Livro Diário'!$B:$B,MATCH(Razonete!O$62&amp;$A67,'Livro Diário'!$O:$O,0),1),"")</f>
        <v/>
      </c>
      <c r="R67" s="85" t="str">
        <f ca="1">IF(S67&lt;&gt;"",INDEX('Livro Diário'!$B:$B,MATCH(Razonete!S$62&amp;$A67,'Livro Diário'!$N:$N,0),1),"")</f>
        <v/>
      </c>
      <c r="S67" t="str">
        <f ca="1">_xlfn.IFNA(INDEX('Livro Diário'!$F:$F,MATCH(Razonete!S$62&amp;$A67,'Livro Diário'!$N:$N,0),0),"")</f>
        <v/>
      </c>
      <c r="T67" s="7" t="str">
        <f ca="1">_xlfn.IFNA(INDEX('Livro Diário'!$F:$F,MATCH(Razonete!S$62&amp;$A67,'Livro Diário'!$O:$O,0),0),"")</f>
        <v/>
      </c>
      <c r="U67" s="78" t="str">
        <f ca="1">IF(T67&lt;&gt;"",INDEX('Livro Diário'!$B:$B,MATCH(Razonete!S$62&amp;$A67,'Livro Diário'!$O:$O,0),1),"")</f>
        <v/>
      </c>
    </row>
    <row r="68" spans="1:21" x14ac:dyDescent="0.25">
      <c r="A68">
        <v>5</v>
      </c>
      <c r="B68" s="85" t="str">
        <f ca="1">IF(C68&lt;&gt;"",INDEX('Livro Diário'!$B:$B,MATCH(Razonete!C$62&amp;$A68,'Livro Diário'!$N:$N,0),1),"")</f>
        <v/>
      </c>
      <c r="C68" t="str">
        <f ca="1">_xlfn.IFNA(INDEX('Livro Diário'!$F:$F,MATCH(Razonete!C$62&amp;$A68,'Livro Diário'!$N:$N,0),0),"")</f>
        <v/>
      </c>
      <c r="D68" s="7" t="str">
        <f ca="1">_xlfn.IFNA(INDEX('Livro Diário'!$F:$F,MATCH(Razonete!C$62&amp;$A68,'Livro Diário'!$O:$O,0),0),"")</f>
        <v/>
      </c>
      <c r="E68" s="78" t="str">
        <f ca="1">IF(D68&lt;&gt;"",INDEX('Livro Diário'!$B:$B,MATCH(Razonete!C$62&amp;$A68,'Livro Diário'!$O:$O,0),1),"")</f>
        <v/>
      </c>
      <c r="F68" s="85" t="str">
        <f ca="1">IF(G68&lt;&gt;"",INDEX('Livro Diário'!$B:$B,MATCH(Razonete!G$62&amp;$A68,'Livro Diário'!$N:$N,0),1),"")</f>
        <v/>
      </c>
      <c r="G68" t="str">
        <f ca="1">_xlfn.IFNA(INDEX('Livro Diário'!$F:$F,MATCH(Razonete!G$62&amp;$A68,'Livro Diário'!$N:$N,0),0),"")</f>
        <v/>
      </c>
      <c r="H68" s="7" t="str">
        <f ca="1">_xlfn.IFNA(INDEX('Livro Diário'!$F:$F,MATCH(Razonete!G$62&amp;$A68,'Livro Diário'!$O:$O,0),0),"")</f>
        <v/>
      </c>
      <c r="I68" s="78" t="str">
        <f ca="1">IF(H68&lt;&gt;"",INDEX('Livro Diário'!$B:$B,MATCH(Razonete!G$62&amp;$A68,'Livro Diário'!$O:$O,0),1),"")</f>
        <v/>
      </c>
      <c r="J68" s="85" t="str">
        <f ca="1">IF(K68&lt;&gt;"",INDEX('Livro Diário'!$B:$B,MATCH(Razonete!K$62&amp;$A68,'Livro Diário'!$N:$N,0),1),"")</f>
        <v/>
      </c>
      <c r="K68" t="str">
        <f ca="1">_xlfn.IFNA(INDEX('Livro Diário'!$F:$F,MATCH(Razonete!K$62&amp;$A68,'Livro Diário'!$N:$N,0),0),"")</f>
        <v/>
      </c>
      <c r="L68" s="7" t="str">
        <f ca="1">_xlfn.IFNA(INDEX('Livro Diário'!$F:$F,MATCH(Razonete!K$62&amp;$A68,'Livro Diário'!$O:$O,0),0),"")</f>
        <v/>
      </c>
      <c r="M68" s="78" t="str">
        <f ca="1">IF(L68&lt;&gt;"",INDEX('Livro Diário'!$B:$B,MATCH(Razonete!K$62&amp;$A68,'Livro Diário'!$O:$O,0),1),"")</f>
        <v/>
      </c>
      <c r="N68" s="85" t="str">
        <f ca="1">IF(O68&lt;&gt;"",INDEX('Livro Diário'!$B:$B,MATCH(Razonete!O$62&amp;$A68,'Livro Diário'!$N:$N,0),1),"")</f>
        <v/>
      </c>
      <c r="O68" t="str">
        <f ca="1">_xlfn.IFNA(INDEX('Livro Diário'!$F:$F,MATCH(Razonete!O$62&amp;$A68,'Livro Diário'!$N:$N,0),0),"")</f>
        <v/>
      </c>
      <c r="P68" s="7" t="str">
        <f ca="1">_xlfn.IFNA(INDEX('Livro Diário'!$F:$F,MATCH(Razonete!O$62&amp;$A68,'Livro Diário'!$O:$O,0),0),"")</f>
        <v/>
      </c>
      <c r="Q68" s="78" t="str">
        <f ca="1">IF(P68&lt;&gt;"",INDEX('Livro Diário'!$B:$B,MATCH(Razonete!O$62&amp;$A68,'Livro Diário'!$O:$O,0),1),"")</f>
        <v/>
      </c>
      <c r="R68" s="85" t="str">
        <f ca="1">IF(S68&lt;&gt;"",INDEX('Livro Diário'!$B:$B,MATCH(Razonete!S$62&amp;$A68,'Livro Diário'!$N:$N,0),1),"")</f>
        <v/>
      </c>
      <c r="S68" t="str">
        <f ca="1">_xlfn.IFNA(INDEX('Livro Diário'!$F:$F,MATCH(Razonete!S$62&amp;$A68,'Livro Diário'!$N:$N,0),0),"")</f>
        <v/>
      </c>
      <c r="T68" s="7" t="str">
        <f ca="1">_xlfn.IFNA(INDEX('Livro Diário'!$F:$F,MATCH(Razonete!S$62&amp;$A68,'Livro Diário'!$O:$O,0),0),"")</f>
        <v/>
      </c>
      <c r="U68" s="78" t="str">
        <f ca="1">IF(T68&lt;&gt;"",INDEX('Livro Diário'!$B:$B,MATCH(Razonete!S$62&amp;$A68,'Livro Diário'!$O:$O,0),1),"")</f>
        <v/>
      </c>
    </row>
    <row r="69" spans="1:21" x14ac:dyDescent="0.25">
      <c r="A69">
        <v>6</v>
      </c>
      <c r="B69" s="85" t="str">
        <f ca="1">IF(C69&lt;&gt;"",INDEX('Livro Diário'!$B:$B,MATCH(Razonete!C$62&amp;$A69,'Livro Diário'!$N:$N,0),1),"")</f>
        <v/>
      </c>
      <c r="C69" t="str">
        <f ca="1">_xlfn.IFNA(INDEX('Livro Diário'!$F:$F,MATCH(Razonete!C$62&amp;$A69,'Livro Diário'!$N:$N,0),0),"")</f>
        <v/>
      </c>
      <c r="D69" s="7" t="str">
        <f ca="1">_xlfn.IFNA(INDEX('Livro Diário'!$F:$F,MATCH(Razonete!C$62&amp;$A69,'Livro Diário'!$O:$O,0),0),"")</f>
        <v/>
      </c>
      <c r="E69" s="78" t="str">
        <f ca="1">IF(D69&lt;&gt;"",INDEX('Livro Diário'!$B:$B,MATCH(Razonete!C$62&amp;$A69,'Livro Diário'!$O:$O,0),1),"")</f>
        <v/>
      </c>
      <c r="F69" s="85" t="str">
        <f ca="1">IF(G69&lt;&gt;"",INDEX('Livro Diário'!$B:$B,MATCH(Razonete!G$62&amp;$A69,'Livro Diário'!$N:$N,0),1),"")</f>
        <v/>
      </c>
      <c r="G69" t="str">
        <f ca="1">_xlfn.IFNA(INDEX('Livro Diário'!$F:$F,MATCH(Razonete!G$62&amp;$A69,'Livro Diário'!$N:$N,0),0),"")</f>
        <v/>
      </c>
      <c r="H69" s="7" t="str">
        <f ca="1">_xlfn.IFNA(INDEX('Livro Diário'!$F:$F,MATCH(Razonete!G$62&amp;$A69,'Livro Diário'!$O:$O,0),0),"")</f>
        <v/>
      </c>
      <c r="I69" s="78" t="str">
        <f ca="1">IF(H69&lt;&gt;"",INDEX('Livro Diário'!$B:$B,MATCH(Razonete!G$62&amp;$A69,'Livro Diário'!$O:$O,0),1),"")</f>
        <v/>
      </c>
      <c r="J69" s="85" t="str">
        <f ca="1">IF(K69&lt;&gt;"",INDEX('Livro Diário'!$B:$B,MATCH(Razonete!K$62&amp;$A69,'Livro Diário'!$N:$N,0),1),"")</f>
        <v/>
      </c>
      <c r="K69" t="str">
        <f ca="1">_xlfn.IFNA(INDEX('Livro Diário'!$F:$F,MATCH(Razonete!K$62&amp;$A69,'Livro Diário'!$N:$N,0),0),"")</f>
        <v/>
      </c>
      <c r="L69" s="7" t="str">
        <f ca="1">_xlfn.IFNA(INDEX('Livro Diário'!$F:$F,MATCH(Razonete!K$62&amp;$A69,'Livro Diário'!$O:$O,0),0),"")</f>
        <v/>
      </c>
      <c r="M69" s="78" t="str">
        <f ca="1">IF(L69&lt;&gt;"",INDEX('Livro Diário'!$B:$B,MATCH(Razonete!K$62&amp;$A69,'Livro Diário'!$O:$O,0),1),"")</f>
        <v/>
      </c>
      <c r="N69" s="85" t="str">
        <f ca="1">IF(O69&lt;&gt;"",INDEX('Livro Diário'!$B:$B,MATCH(Razonete!O$62&amp;$A69,'Livro Diário'!$N:$N,0),1),"")</f>
        <v/>
      </c>
      <c r="O69" t="str">
        <f ca="1">_xlfn.IFNA(INDEX('Livro Diário'!$F:$F,MATCH(Razonete!O$62&amp;$A69,'Livro Diário'!$N:$N,0),0),"")</f>
        <v/>
      </c>
      <c r="P69" s="7" t="str">
        <f ca="1">_xlfn.IFNA(INDEX('Livro Diário'!$F:$F,MATCH(Razonete!O$62&amp;$A69,'Livro Diário'!$O:$O,0),0),"")</f>
        <v/>
      </c>
      <c r="Q69" s="78" t="str">
        <f ca="1">IF(P69&lt;&gt;"",INDEX('Livro Diário'!$B:$B,MATCH(Razonete!O$62&amp;$A69,'Livro Diário'!$O:$O,0),1),"")</f>
        <v/>
      </c>
      <c r="R69" s="85" t="str">
        <f ca="1">IF(S69&lt;&gt;"",INDEX('Livro Diário'!$B:$B,MATCH(Razonete!S$62&amp;$A69,'Livro Diário'!$N:$N,0),1),"")</f>
        <v/>
      </c>
      <c r="S69" t="str">
        <f ca="1">_xlfn.IFNA(INDEX('Livro Diário'!$F:$F,MATCH(Razonete!S$62&amp;$A69,'Livro Diário'!$N:$N,0),0),"")</f>
        <v/>
      </c>
      <c r="T69" s="7" t="str">
        <f ca="1">_xlfn.IFNA(INDEX('Livro Diário'!$F:$F,MATCH(Razonete!S$62&amp;$A69,'Livro Diário'!$O:$O,0),0),"")</f>
        <v/>
      </c>
      <c r="U69" s="78" t="str">
        <f ca="1">IF(T69&lt;&gt;"",INDEX('Livro Diário'!$B:$B,MATCH(Razonete!S$62&amp;$A69,'Livro Diário'!$O:$O,0),1),"")</f>
        <v/>
      </c>
    </row>
    <row r="70" spans="1:21" ht="15.75" thickBot="1" x14ac:dyDescent="0.3">
      <c r="A70">
        <v>7</v>
      </c>
      <c r="B70" s="85" t="str">
        <f ca="1">IF(C70&lt;&gt;"",INDEX('Livro Diário'!$B:$B,MATCH(Razonete!C$62&amp;$A70,'Livro Diário'!$N:$N,0),1),"")</f>
        <v/>
      </c>
      <c r="C70" t="str">
        <f ca="1">_xlfn.IFNA(INDEX('Livro Diário'!$F:$F,MATCH(Razonete!C$62&amp;$A70,'Livro Diário'!$N:$N,0),0),"")</f>
        <v/>
      </c>
      <c r="D70" s="7" t="str">
        <f ca="1">_xlfn.IFNA(INDEX('Livro Diário'!$F:$F,MATCH(Razonete!C$62&amp;$A70,'Livro Diário'!$O:$O,0),0),"")</f>
        <v/>
      </c>
      <c r="E70" s="78" t="str">
        <f ca="1">IF(D70&lt;&gt;"",INDEX('Livro Diário'!$B:$B,MATCH(Razonete!C$62&amp;$A70,'Livro Diário'!$O:$O,0),1),"")</f>
        <v/>
      </c>
      <c r="F70" s="85" t="str">
        <f ca="1">IF(G70&lt;&gt;"",INDEX('Livro Diário'!$B:$B,MATCH(Razonete!G$62&amp;$A70,'Livro Diário'!$N:$N,0),1),"")</f>
        <v/>
      </c>
      <c r="G70" t="str">
        <f ca="1">_xlfn.IFNA(INDEX('Livro Diário'!$F:$F,MATCH(Razonete!G$62&amp;$A70,'Livro Diário'!$N:$N,0),0),"")</f>
        <v/>
      </c>
      <c r="H70" s="7" t="str">
        <f ca="1">_xlfn.IFNA(INDEX('Livro Diário'!$F:$F,MATCH(Razonete!G$62&amp;$A70,'Livro Diário'!$O:$O,0),0),"")</f>
        <v/>
      </c>
      <c r="I70" s="78" t="str">
        <f ca="1">IF(H70&lt;&gt;"",INDEX('Livro Diário'!$B:$B,MATCH(Razonete!G$62&amp;$A70,'Livro Diário'!$O:$O,0),1),"")</f>
        <v/>
      </c>
      <c r="J70" s="85" t="str">
        <f ca="1">IF(K70&lt;&gt;"",INDEX('Livro Diário'!$B:$B,MATCH(Razonete!K$62&amp;$A70,'Livro Diário'!$N:$N,0),1),"")</f>
        <v/>
      </c>
      <c r="K70" t="str">
        <f ca="1">_xlfn.IFNA(INDEX('Livro Diário'!$F:$F,MATCH(Razonete!K$62&amp;$A70,'Livro Diário'!$N:$N,0),0),"")</f>
        <v/>
      </c>
      <c r="L70" s="7" t="str">
        <f ca="1">_xlfn.IFNA(INDEX('Livro Diário'!$F:$F,MATCH(Razonete!K$62&amp;$A70,'Livro Diário'!$O:$O,0),0),"")</f>
        <v/>
      </c>
      <c r="M70" s="78" t="str">
        <f ca="1">IF(L70&lt;&gt;"",INDEX('Livro Diário'!$B:$B,MATCH(Razonete!K$62&amp;$A70,'Livro Diário'!$O:$O,0),1),"")</f>
        <v/>
      </c>
      <c r="N70" s="85" t="str">
        <f ca="1">IF(O70&lt;&gt;"",INDEX('Livro Diário'!$B:$B,MATCH(Razonete!O$62&amp;$A70,'Livro Diário'!$N:$N,0),1),"")</f>
        <v/>
      </c>
      <c r="O70" t="str">
        <f ca="1">_xlfn.IFNA(INDEX('Livro Diário'!$F:$F,MATCH(Razonete!O$62&amp;$A70,'Livro Diário'!$N:$N,0),0),"")</f>
        <v/>
      </c>
      <c r="P70" s="7" t="str">
        <f ca="1">_xlfn.IFNA(INDEX('Livro Diário'!$F:$F,MATCH(Razonete!O$62&amp;$A70,'Livro Diário'!$O:$O,0),0),"")</f>
        <v/>
      </c>
      <c r="Q70" s="78" t="str">
        <f ca="1">IF(P70&lt;&gt;"",INDEX('Livro Diário'!$B:$B,MATCH(Razonete!O$62&amp;$A70,'Livro Diário'!$O:$O,0),1),"")</f>
        <v/>
      </c>
      <c r="R70" s="85" t="str">
        <f ca="1">IF(S70&lt;&gt;"",INDEX('Livro Diário'!$B:$B,MATCH(Razonete!S$62&amp;$A70,'Livro Diário'!$N:$N,0),1),"")</f>
        <v/>
      </c>
      <c r="S70" t="str">
        <f ca="1">_xlfn.IFNA(INDEX('Livro Diário'!$F:$F,MATCH(Razonete!S$62&amp;$A70,'Livro Diário'!$N:$N,0),0),"")</f>
        <v/>
      </c>
      <c r="T70" s="7" t="str">
        <f ca="1">_xlfn.IFNA(INDEX('Livro Diário'!$F:$F,MATCH(Razonete!S$62&amp;$A70,'Livro Diário'!$O:$O,0),0),"")</f>
        <v/>
      </c>
      <c r="U70" s="78" t="str">
        <f ca="1">IF(T70&lt;&gt;"",INDEX('Livro Diário'!$B:$B,MATCH(Razonete!S$62&amp;$A70,'Livro Diário'!$O:$O,0),1),"")</f>
        <v/>
      </c>
    </row>
    <row r="71" spans="1:21" ht="16.5" thickTop="1" thickBot="1" x14ac:dyDescent="0.3">
      <c r="C71" s="83">
        <f ca="1">SUM(C63:C70)</f>
        <v>0</v>
      </c>
      <c r="D71" s="84">
        <f ca="1">SUM(D63:D70)</f>
        <v>0</v>
      </c>
      <c r="F71" s="85"/>
      <c r="G71" s="83">
        <f ca="1">SUM(G63:G70)</f>
        <v>0</v>
      </c>
      <c r="H71" s="84">
        <f ca="1">SUM(H63:H70)</f>
        <v>0</v>
      </c>
      <c r="J71" s="85"/>
      <c r="K71" s="83">
        <f ca="1">SUM(K63:K70)</f>
        <v>0</v>
      </c>
      <c r="L71" s="84">
        <f ca="1">SUM(L63:L70)</f>
        <v>0</v>
      </c>
      <c r="M71" s="78"/>
      <c r="N71" s="85"/>
      <c r="O71" s="83">
        <f ca="1">SUM(O63:O70)</f>
        <v>0</v>
      </c>
      <c r="P71" s="84">
        <f ca="1">SUM(P63:P70)</f>
        <v>0</v>
      </c>
      <c r="Q71" s="78"/>
      <c r="R71" s="85"/>
      <c r="S71" s="83">
        <f ca="1">SUM(S63:S70)</f>
        <v>0</v>
      </c>
      <c r="T71" s="84">
        <f ca="1">SUM(T63:T70)</f>
        <v>0</v>
      </c>
      <c r="U71" s="78"/>
    </row>
    <row r="72" spans="1:21" ht="15.75" thickTop="1" x14ac:dyDescent="0.25">
      <c r="C72" t="str">
        <f ca="1">IF(C71&gt;D71,C71-D71,"")</f>
        <v/>
      </c>
      <c r="D72" t="str">
        <f ca="1">IF(D71&gt;C71,D71-C71,"")</f>
        <v/>
      </c>
      <c r="F72" s="85"/>
      <c r="G72" t="str">
        <f ca="1">IF(G71&gt;H71,G71-H71,"")</f>
        <v/>
      </c>
      <c r="H72" t="str">
        <f ca="1">IF(H71&gt;G71,H71-G71,"")</f>
        <v/>
      </c>
      <c r="J72" s="85"/>
      <c r="K72" t="str">
        <f ca="1">IF(K71&gt;L71,K71-L71,"")</f>
        <v/>
      </c>
      <c r="L72" t="str">
        <f ca="1">IF(L71&gt;K71,L71-K71,"")</f>
        <v/>
      </c>
      <c r="M72" s="78"/>
      <c r="N72" s="85"/>
      <c r="O72" t="str">
        <f ca="1">IF(O71&gt;P71,O71-P71,"")</f>
        <v/>
      </c>
      <c r="P72" t="str">
        <f ca="1">IF(P71&gt;O71,P71-O71,"")</f>
        <v/>
      </c>
      <c r="Q72" s="78"/>
      <c r="R72" s="85"/>
      <c r="S72" t="str">
        <f ca="1">IF(S71&gt;T71,S71-T71,"")</f>
        <v/>
      </c>
      <c r="T72" t="str">
        <f ca="1">IF(T71&gt;S71,T71-S71,"")</f>
        <v/>
      </c>
      <c r="U72" s="78"/>
    </row>
    <row r="73" spans="1:21" x14ac:dyDescent="0.25">
      <c r="C73">
        <f>C61+5</f>
        <v>33</v>
      </c>
      <c r="G73">
        <f>G61+5</f>
        <v>34</v>
      </c>
      <c r="K73">
        <f>K61+5</f>
        <v>35</v>
      </c>
      <c r="O73">
        <f>O61+5</f>
        <v>36</v>
      </c>
      <c r="S73">
        <f>S61+5</f>
        <v>37</v>
      </c>
    </row>
    <row r="74" spans="1:21" s="76" customFormat="1" ht="34.5" customHeight="1" x14ac:dyDescent="0.25">
      <c r="B74" s="87"/>
      <c r="C74" s="139" t="str">
        <f ca="1">INDIRECT("Balancete!C"&amp;C73)</f>
        <v>Capital Social</v>
      </c>
      <c r="D74" s="139"/>
      <c r="E74" s="77"/>
      <c r="F74" s="88"/>
      <c r="G74" s="139" t="str">
        <f ca="1">INDIRECT("Balancete!C"&amp;G73)</f>
        <v>Lucros Acumulados</v>
      </c>
      <c r="H74" s="139"/>
      <c r="I74" s="77"/>
      <c r="K74" s="139" t="str">
        <f ca="1">INDIRECT("Balancete!C"&amp;K73)</f>
        <v>Prejuízos Acumulados</v>
      </c>
      <c r="L74" s="139"/>
      <c r="O74" s="139" t="str">
        <f ca="1">INDIRECT("Balancete!C"&amp;O73)</f>
        <v>Reserva de Lucros</v>
      </c>
      <c r="P74" s="139"/>
      <c r="S74" s="139" t="str">
        <f ca="1">INDIRECT("Balancete!C"&amp;S73)</f>
        <v>Água/Luz</v>
      </c>
      <c r="T74" s="139"/>
    </row>
    <row r="75" spans="1:21" x14ac:dyDescent="0.25">
      <c r="A75">
        <v>74</v>
      </c>
      <c r="B75" s="85" t="s">
        <v>165</v>
      </c>
      <c r="C75" s="81" t="str">
        <f ca="1">IF(VLOOKUP(C74,Balancete!$C:$F,4,0)&gt;0,VLOOKUP(C74,Balancete!$C:$F,4,0),"")</f>
        <v/>
      </c>
      <c r="D75" s="82" t="str">
        <f ca="1">IF(VLOOKUP(C74,Balancete!$C:$G,5,0)&gt;0,VLOOKUP(C74,Balancete!$C:$G,5,0),"")</f>
        <v/>
      </c>
      <c r="F75" s="85" t="s">
        <v>165</v>
      </c>
      <c r="G75" s="81" t="str">
        <f ca="1">IF(VLOOKUP(G74,Balancete!$C:$F,4,0)&gt;0,VLOOKUP(G74,Balancete!$C:$F,4,0),"")</f>
        <v/>
      </c>
      <c r="H75" s="82" t="str">
        <f ca="1">IF(VLOOKUP(G74,Balancete!$C:$G,5,0)&gt;0,VLOOKUP(G74,Balancete!$C:$G,5,0),"")</f>
        <v/>
      </c>
      <c r="J75" s="85" t="s">
        <v>165</v>
      </c>
      <c r="K75" s="81" t="str">
        <f ca="1">IF(VLOOKUP(K74,Balancete!$C:$F,4,0)&gt;0,VLOOKUP(K74,Balancete!$C:$F,4,0),"")</f>
        <v/>
      </c>
      <c r="L75" s="82" t="str">
        <f ca="1">IF(VLOOKUP(K74,Balancete!$C:$G,5,0)&gt;0,VLOOKUP(K74,Balancete!$C:$G,5,0),"")</f>
        <v/>
      </c>
      <c r="M75" s="78"/>
      <c r="N75" s="85" t="s">
        <v>165</v>
      </c>
      <c r="O75" s="81" t="str">
        <f ca="1">IF(VLOOKUP(O74,Balancete!$C:$F,4,0)&gt;0,VLOOKUP(O74,Balancete!$C:$F,4,0),"")</f>
        <v/>
      </c>
      <c r="P75" s="82" t="str">
        <f ca="1">IF(VLOOKUP(O74,Balancete!$C:$G,5,0)&gt;0,VLOOKUP(O74,Balancete!$C:$G,5,0),"")</f>
        <v/>
      </c>
      <c r="Q75" s="78"/>
      <c r="R75" s="85" t="s">
        <v>165</v>
      </c>
      <c r="S75" s="81" t="str">
        <f ca="1">IF(VLOOKUP(S74,Balancete!$C:$F,4,0)&gt;0,VLOOKUP(S74,Balancete!$C:$F,4,0),"")</f>
        <v/>
      </c>
      <c r="T75" s="82" t="str">
        <f ca="1">IF(VLOOKUP(S74,Balancete!$C:$G,5,0)&gt;0,VLOOKUP(S74,Balancete!$C:$G,5,0),"")</f>
        <v/>
      </c>
      <c r="U75" s="78"/>
    </row>
    <row r="76" spans="1:21" x14ac:dyDescent="0.25">
      <c r="A76">
        <v>1</v>
      </c>
      <c r="B76" s="85" t="str">
        <f ca="1">IF(C76&lt;&gt;"",INDEX('Livro Diário'!$B:$B,MATCH(Razonete!C$74&amp;$A76,'Livro Diário'!$N:$N,0),1),"")</f>
        <v/>
      </c>
      <c r="C76" t="str">
        <f ca="1">_xlfn.IFNA(INDEX('Livro Diário'!$F:$F,MATCH(Razonete!C$74&amp;$A76,'Livro Diário'!$N:$N,0),0),"")</f>
        <v/>
      </c>
      <c r="D76" s="7" t="str">
        <f ca="1">_xlfn.IFNA(INDEX('Livro Diário'!$F:$F,MATCH(Razonete!C$74&amp;$A76,'Livro Diário'!$O:$O,0),0),"")</f>
        <v/>
      </c>
      <c r="E76" s="78" t="str">
        <f ca="1">IF(D76&lt;&gt;"",INDEX('Livro Diário'!$B:$B,MATCH(Razonete!C$74&amp;$A76,'Livro Diário'!$O:$O,0),1),"")</f>
        <v/>
      </c>
      <c r="F76" s="85" t="str">
        <f ca="1">IF(G76&lt;&gt;"",INDEX('Livro Diário'!$B:$B,MATCH(Razonete!G$74&amp;$A76,'Livro Diário'!$N:$N,0),1),"")</f>
        <v/>
      </c>
      <c r="G76" t="str">
        <f ca="1">_xlfn.IFNA(INDEX('Livro Diário'!$F:$F,MATCH(Razonete!G$74&amp;$A76,'Livro Diário'!$N:$N,0),0),"")</f>
        <v/>
      </c>
      <c r="H76" s="7" t="str">
        <f ca="1">_xlfn.IFNA(INDEX('Livro Diário'!$F:$F,MATCH(Razonete!G$74&amp;$A76,'Livro Diário'!$O:$O,0),0),"")</f>
        <v/>
      </c>
      <c r="I76" s="78" t="str">
        <f ca="1">IF(H76&lt;&gt;"",INDEX('Livro Diário'!$B:$B,MATCH(Razonete!G$74&amp;$A76,'Livro Diário'!$O:$O,0),1),"")</f>
        <v/>
      </c>
      <c r="J76" s="85" t="str">
        <f ca="1">IF(K76&lt;&gt;"",INDEX('Livro Diário'!$B:$B,MATCH(Razonete!K$74&amp;$A76,'Livro Diário'!$N:$N,0),1),"")</f>
        <v/>
      </c>
      <c r="K76" t="str">
        <f ca="1">_xlfn.IFNA(INDEX('Livro Diário'!$F:$F,MATCH(Razonete!K$74&amp;$A76,'Livro Diário'!$N:$N,0),0),"")</f>
        <v/>
      </c>
      <c r="L76" s="7" t="str">
        <f ca="1">_xlfn.IFNA(INDEX('Livro Diário'!$F:$F,MATCH(Razonete!K$74&amp;$A76,'Livro Diário'!$O:$O,0),0),"")</f>
        <v/>
      </c>
      <c r="M76" s="78" t="str">
        <f ca="1">IF(L76&lt;&gt;"",INDEX('Livro Diário'!$B:$B,MATCH(Razonete!K$74&amp;$A76,'Livro Diário'!$O:$O,0),1),"")</f>
        <v/>
      </c>
      <c r="N76" s="85" t="str">
        <f ca="1">IF(O76&lt;&gt;"",INDEX('Livro Diário'!$B:$B,MATCH(Razonete!O$74&amp;$A76,'Livro Diário'!$N:$N,0),1),"")</f>
        <v/>
      </c>
      <c r="O76" t="str">
        <f ca="1">_xlfn.IFNA(INDEX('Livro Diário'!$F:$F,MATCH(Razonete!O$74&amp;$A76,'Livro Diário'!$N:$N,0),0),"")</f>
        <v/>
      </c>
      <c r="P76" s="7" t="str">
        <f ca="1">_xlfn.IFNA(INDEX('Livro Diário'!$F:$F,MATCH(Razonete!O$74&amp;$A76,'Livro Diário'!$O:$O,0),0),"")</f>
        <v/>
      </c>
      <c r="Q76" s="78" t="str">
        <f ca="1">IF(P76&lt;&gt;"",INDEX('Livro Diário'!$B:$B,MATCH(Razonete!O$74&amp;$A76,'Livro Diário'!$O:$O,0),1),"")</f>
        <v/>
      </c>
      <c r="R76" s="85" t="str">
        <f ca="1">IF(S76&lt;&gt;"",INDEX('Livro Diário'!$B:$B,MATCH(Razonete!S$74&amp;$A76,'Livro Diário'!$N:$N,0),1),"")</f>
        <v/>
      </c>
      <c r="S76" t="str">
        <f ca="1">_xlfn.IFNA(INDEX('Livro Diário'!$F:$F,MATCH(Razonete!S$74&amp;$A76,'Livro Diário'!$N:$N,0),0),"")</f>
        <v/>
      </c>
      <c r="T76" s="7" t="str">
        <f ca="1">_xlfn.IFNA(INDEX('Livro Diário'!$F:$F,MATCH(Razonete!S$74&amp;$A76,'Livro Diário'!$O:$O,0),0),"")</f>
        <v/>
      </c>
      <c r="U76" s="78" t="str">
        <f ca="1">IF(T76&lt;&gt;"",INDEX('Livro Diário'!$B:$B,MATCH(Razonete!S$74&amp;$A76,'Livro Diário'!$O:$O,0),1),"")</f>
        <v/>
      </c>
    </row>
    <row r="77" spans="1:21" x14ac:dyDescent="0.25">
      <c r="A77">
        <v>2</v>
      </c>
      <c r="B77" s="85" t="str">
        <f ca="1">IF(C77&lt;&gt;"",INDEX('Livro Diário'!$B:$B,MATCH(Razonete!C$74&amp;$A77,'Livro Diário'!$N:$N,0),1),"")</f>
        <v/>
      </c>
      <c r="C77" t="str">
        <f ca="1">_xlfn.IFNA(INDEX('Livro Diário'!$F:$F,MATCH(Razonete!C$74&amp;$A77,'Livro Diário'!$N:$N,0),0),"")</f>
        <v/>
      </c>
      <c r="D77" s="7" t="str">
        <f ca="1">_xlfn.IFNA(INDEX('Livro Diário'!$F:$F,MATCH(Razonete!C$74&amp;$A77,'Livro Diário'!$O:$O,0),0),"")</f>
        <v/>
      </c>
      <c r="E77" s="78" t="str">
        <f ca="1">IF(D77&lt;&gt;"",INDEX('Livro Diário'!$B:$B,MATCH(Razonete!C$74&amp;$A77,'Livro Diário'!$O:$O,0),1),"")</f>
        <v/>
      </c>
      <c r="F77" s="85" t="str">
        <f ca="1">IF(G77&lt;&gt;"",INDEX('Livro Diário'!$B:$B,MATCH(Razonete!G$74&amp;$A77,'Livro Diário'!$N:$N,0),1),"")</f>
        <v/>
      </c>
      <c r="G77" t="str">
        <f ca="1">_xlfn.IFNA(INDEX('Livro Diário'!$F:$F,MATCH(Razonete!G$74&amp;$A77,'Livro Diário'!$N:$N,0),0),"")</f>
        <v/>
      </c>
      <c r="H77" s="7" t="str">
        <f ca="1">_xlfn.IFNA(INDEX('Livro Diário'!$F:$F,MATCH(Razonete!G$74&amp;$A77,'Livro Diário'!$O:$O,0),0),"")</f>
        <v/>
      </c>
      <c r="I77" s="78" t="str">
        <f ca="1">IF(H77&lt;&gt;"",INDEX('Livro Diário'!$B:$B,MATCH(Razonete!G$74&amp;$A77,'Livro Diário'!$O:$O,0),1),"")</f>
        <v/>
      </c>
      <c r="J77" s="85" t="str">
        <f ca="1">IF(K77&lt;&gt;"",INDEX('Livro Diário'!$B:$B,MATCH(Razonete!K$74&amp;$A77,'Livro Diário'!$N:$N,0),1),"")</f>
        <v/>
      </c>
      <c r="K77" t="str">
        <f ca="1">_xlfn.IFNA(INDEX('Livro Diário'!$F:$F,MATCH(Razonete!K$74&amp;$A77,'Livro Diário'!$N:$N,0),0),"")</f>
        <v/>
      </c>
      <c r="L77" s="7" t="str">
        <f ca="1">_xlfn.IFNA(INDEX('Livro Diário'!$F:$F,MATCH(Razonete!K$74&amp;$A77,'Livro Diário'!$O:$O,0),0),"")</f>
        <v/>
      </c>
      <c r="M77" s="78" t="str">
        <f ca="1">IF(L77&lt;&gt;"",INDEX('Livro Diário'!$B:$B,MATCH(Razonete!K$74&amp;$A77,'Livro Diário'!$O:$O,0),1),"")</f>
        <v/>
      </c>
      <c r="N77" s="85" t="str">
        <f ca="1">IF(O77&lt;&gt;"",INDEX('Livro Diário'!$B:$B,MATCH(Razonete!O$74&amp;$A77,'Livro Diário'!$N:$N,0),1),"")</f>
        <v/>
      </c>
      <c r="O77" t="str">
        <f ca="1">_xlfn.IFNA(INDEX('Livro Diário'!$F:$F,MATCH(Razonete!O$74&amp;$A77,'Livro Diário'!$N:$N,0),0),"")</f>
        <v/>
      </c>
      <c r="P77" s="7" t="str">
        <f ca="1">_xlfn.IFNA(INDEX('Livro Diário'!$F:$F,MATCH(Razonete!O$74&amp;$A77,'Livro Diário'!$O:$O,0),0),"")</f>
        <v/>
      </c>
      <c r="Q77" s="78" t="str">
        <f ca="1">IF(P77&lt;&gt;"",INDEX('Livro Diário'!$B:$B,MATCH(Razonete!O$74&amp;$A77,'Livro Diário'!$O:$O,0),1),"")</f>
        <v/>
      </c>
      <c r="R77" s="85" t="str">
        <f ca="1">IF(S77&lt;&gt;"",INDEX('Livro Diário'!$B:$B,MATCH(Razonete!S$74&amp;$A77,'Livro Diário'!$N:$N,0),1),"")</f>
        <v/>
      </c>
      <c r="S77" t="str">
        <f ca="1">_xlfn.IFNA(INDEX('Livro Diário'!$F:$F,MATCH(Razonete!S$74&amp;$A77,'Livro Diário'!$N:$N,0),0),"")</f>
        <v/>
      </c>
      <c r="T77" s="7" t="str">
        <f ca="1">_xlfn.IFNA(INDEX('Livro Diário'!$F:$F,MATCH(Razonete!S$74&amp;$A77,'Livro Diário'!$O:$O,0),0),"")</f>
        <v/>
      </c>
      <c r="U77" s="78" t="str">
        <f ca="1">IF(T77&lt;&gt;"",INDEX('Livro Diário'!$B:$B,MATCH(Razonete!S$74&amp;$A77,'Livro Diário'!$O:$O,0),1),"")</f>
        <v/>
      </c>
    </row>
    <row r="78" spans="1:21" x14ac:dyDescent="0.25">
      <c r="A78">
        <v>3</v>
      </c>
      <c r="B78" s="85" t="str">
        <f ca="1">IF(C78&lt;&gt;"",INDEX('Livro Diário'!$B:$B,MATCH(Razonete!C$74&amp;$A78,'Livro Diário'!$N:$N,0),1),"")</f>
        <v/>
      </c>
      <c r="C78" t="str">
        <f ca="1">_xlfn.IFNA(INDEX('Livro Diário'!$F:$F,MATCH(Razonete!C$74&amp;$A78,'Livro Diário'!$N:$N,0),0),"")</f>
        <v/>
      </c>
      <c r="D78" s="7" t="str">
        <f ca="1">_xlfn.IFNA(INDEX('Livro Diário'!$F:$F,MATCH(Razonete!C$74&amp;$A78,'Livro Diário'!$O:$O,0),0),"")</f>
        <v/>
      </c>
      <c r="E78" s="78" t="str">
        <f ca="1">IF(D78&lt;&gt;"",INDEX('Livro Diário'!$B:$B,MATCH(Razonete!C$74&amp;$A78,'Livro Diário'!$O:$O,0),1),"")</f>
        <v/>
      </c>
      <c r="F78" s="85" t="str">
        <f ca="1">IF(G78&lt;&gt;"",INDEX('Livro Diário'!$B:$B,MATCH(Razonete!G$74&amp;$A78,'Livro Diário'!$N:$N,0),1),"")</f>
        <v/>
      </c>
      <c r="G78" t="str">
        <f ca="1">_xlfn.IFNA(INDEX('Livro Diário'!$F:$F,MATCH(Razonete!G$74&amp;$A78,'Livro Diário'!$N:$N,0),0),"")</f>
        <v/>
      </c>
      <c r="H78" s="7" t="str">
        <f ca="1">_xlfn.IFNA(INDEX('Livro Diário'!$F:$F,MATCH(Razonete!G$74&amp;$A78,'Livro Diário'!$O:$O,0),0),"")</f>
        <v/>
      </c>
      <c r="I78" s="78" t="str">
        <f ca="1">IF(H78&lt;&gt;"",INDEX('Livro Diário'!$B:$B,MATCH(Razonete!G$74&amp;$A78,'Livro Diário'!$O:$O,0),1),"")</f>
        <v/>
      </c>
      <c r="J78" s="85" t="str">
        <f ca="1">IF(K78&lt;&gt;"",INDEX('Livro Diário'!$B:$B,MATCH(Razonete!K$74&amp;$A78,'Livro Diário'!$N:$N,0),1),"")</f>
        <v/>
      </c>
      <c r="K78" t="str">
        <f ca="1">_xlfn.IFNA(INDEX('Livro Diário'!$F:$F,MATCH(Razonete!K$74&amp;$A78,'Livro Diário'!$N:$N,0),0),"")</f>
        <v/>
      </c>
      <c r="L78" s="7" t="str">
        <f ca="1">_xlfn.IFNA(INDEX('Livro Diário'!$F:$F,MATCH(Razonete!K$74&amp;$A78,'Livro Diário'!$O:$O,0),0),"")</f>
        <v/>
      </c>
      <c r="M78" s="78" t="str">
        <f ca="1">IF(L78&lt;&gt;"",INDEX('Livro Diário'!$B:$B,MATCH(Razonete!K$74&amp;$A78,'Livro Diário'!$O:$O,0),1),"")</f>
        <v/>
      </c>
      <c r="N78" s="85" t="str">
        <f ca="1">IF(O78&lt;&gt;"",INDEX('Livro Diário'!$B:$B,MATCH(Razonete!O$74&amp;$A78,'Livro Diário'!$N:$N,0),1),"")</f>
        <v/>
      </c>
      <c r="O78" t="str">
        <f ca="1">_xlfn.IFNA(INDEX('Livro Diário'!$F:$F,MATCH(Razonete!O$74&amp;$A78,'Livro Diário'!$N:$N,0),0),"")</f>
        <v/>
      </c>
      <c r="P78" s="7" t="str">
        <f ca="1">_xlfn.IFNA(INDEX('Livro Diário'!$F:$F,MATCH(Razonete!O$74&amp;$A78,'Livro Diário'!$O:$O,0),0),"")</f>
        <v/>
      </c>
      <c r="Q78" s="78" t="str">
        <f ca="1">IF(P78&lt;&gt;"",INDEX('Livro Diário'!$B:$B,MATCH(Razonete!O$74&amp;$A78,'Livro Diário'!$O:$O,0),1),"")</f>
        <v/>
      </c>
      <c r="R78" s="85" t="str">
        <f ca="1">IF(S78&lt;&gt;"",INDEX('Livro Diário'!$B:$B,MATCH(Razonete!S$74&amp;$A78,'Livro Diário'!$N:$N,0),1),"")</f>
        <v/>
      </c>
      <c r="S78" t="str">
        <f ca="1">_xlfn.IFNA(INDEX('Livro Diário'!$F:$F,MATCH(Razonete!S$74&amp;$A78,'Livro Diário'!$N:$N,0),0),"")</f>
        <v/>
      </c>
      <c r="T78" s="7" t="str">
        <f ca="1">_xlfn.IFNA(INDEX('Livro Diário'!$F:$F,MATCH(Razonete!S$74&amp;$A78,'Livro Diário'!$O:$O,0),0),"")</f>
        <v/>
      </c>
      <c r="U78" s="78" t="str">
        <f ca="1">IF(T78&lt;&gt;"",INDEX('Livro Diário'!$B:$B,MATCH(Razonete!S$74&amp;$A78,'Livro Diário'!$O:$O,0),1),"")</f>
        <v/>
      </c>
    </row>
    <row r="79" spans="1:21" x14ac:dyDescent="0.25">
      <c r="A79">
        <v>4</v>
      </c>
      <c r="B79" s="85" t="str">
        <f ca="1">IF(C79&lt;&gt;"",INDEX('Livro Diário'!$B:$B,MATCH(Razonete!C$74&amp;$A79,'Livro Diário'!$N:$N,0),1),"")</f>
        <v/>
      </c>
      <c r="C79" t="str">
        <f ca="1">_xlfn.IFNA(INDEX('Livro Diário'!$F:$F,MATCH(Razonete!C$74&amp;$A79,'Livro Diário'!$N:$N,0),0),"")</f>
        <v/>
      </c>
      <c r="D79" s="7" t="str">
        <f ca="1">_xlfn.IFNA(INDEX('Livro Diário'!$F:$F,MATCH(Razonete!C$74&amp;$A79,'Livro Diário'!$O:$O,0),0),"")</f>
        <v/>
      </c>
      <c r="E79" s="78" t="str">
        <f ca="1">IF(D79&lt;&gt;"",INDEX('Livro Diário'!$B:$B,MATCH(Razonete!C$74&amp;$A79,'Livro Diário'!$O:$O,0),1),"")</f>
        <v/>
      </c>
      <c r="F79" s="85" t="str">
        <f ca="1">IF(G79&lt;&gt;"",INDEX('Livro Diário'!$B:$B,MATCH(Razonete!G$74&amp;$A79,'Livro Diário'!$N:$N,0),1),"")</f>
        <v/>
      </c>
      <c r="G79" t="str">
        <f ca="1">_xlfn.IFNA(INDEX('Livro Diário'!$F:$F,MATCH(Razonete!G$74&amp;$A79,'Livro Diário'!$N:$N,0),0),"")</f>
        <v/>
      </c>
      <c r="H79" s="7" t="str">
        <f ca="1">_xlfn.IFNA(INDEX('Livro Diário'!$F:$F,MATCH(Razonete!G$74&amp;$A79,'Livro Diário'!$O:$O,0),0),"")</f>
        <v/>
      </c>
      <c r="I79" s="78" t="str">
        <f ca="1">IF(H79&lt;&gt;"",INDEX('Livro Diário'!$B:$B,MATCH(Razonete!G$74&amp;$A79,'Livro Diário'!$O:$O,0),1),"")</f>
        <v/>
      </c>
      <c r="J79" s="85" t="str">
        <f ca="1">IF(K79&lt;&gt;"",INDEX('Livro Diário'!$B:$B,MATCH(Razonete!K$74&amp;$A79,'Livro Diário'!$N:$N,0),1),"")</f>
        <v/>
      </c>
      <c r="K79" t="str">
        <f ca="1">_xlfn.IFNA(INDEX('Livro Diário'!$F:$F,MATCH(Razonete!K$74&amp;$A79,'Livro Diário'!$N:$N,0),0),"")</f>
        <v/>
      </c>
      <c r="L79" s="7" t="str">
        <f ca="1">_xlfn.IFNA(INDEX('Livro Diário'!$F:$F,MATCH(Razonete!K$74&amp;$A79,'Livro Diário'!$O:$O,0),0),"")</f>
        <v/>
      </c>
      <c r="M79" s="78" t="str">
        <f ca="1">IF(L79&lt;&gt;"",INDEX('Livro Diário'!$B:$B,MATCH(Razonete!K$74&amp;$A79,'Livro Diário'!$O:$O,0),1),"")</f>
        <v/>
      </c>
      <c r="N79" s="85" t="str">
        <f ca="1">IF(O79&lt;&gt;"",INDEX('Livro Diário'!$B:$B,MATCH(Razonete!O$74&amp;$A79,'Livro Diário'!$N:$N,0),1),"")</f>
        <v/>
      </c>
      <c r="O79" t="str">
        <f ca="1">_xlfn.IFNA(INDEX('Livro Diário'!$F:$F,MATCH(Razonete!O$74&amp;$A79,'Livro Diário'!$N:$N,0),0),"")</f>
        <v/>
      </c>
      <c r="P79" s="7" t="str">
        <f ca="1">_xlfn.IFNA(INDEX('Livro Diário'!$F:$F,MATCH(Razonete!O$74&amp;$A79,'Livro Diário'!$O:$O,0),0),"")</f>
        <v/>
      </c>
      <c r="Q79" s="78" t="str">
        <f ca="1">IF(P79&lt;&gt;"",INDEX('Livro Diário'!$B:$B,MATCH(Razonete!O$74&amp;$A79,'Livro Diário'!$O:$O,0),1),"")</f>
        <v/>
      </c>
      <c r="R79" s="85" t="str">
        <f ca="1">IF(S79&lt;&gt;"",INDEX('Livro Diário'!$B:$B,MATCH(Razonete!S$74&amp;$A79,'Livro Diário'!$N:$N,0),1),"")</f>
        <v/>
      </c>
      <c r="S79" t="str">
        <f ca="1">_xlfn.IFNA(INDEX('Livro Diário'!$F:$F,MATCH(Razonete!S$74&amp;$A79,'Livro Diário'!$N:$N,0),0),"")</f>
        <v/>
      </c>
      <c r="T79" s="7" t="str">
        <f ca="1">_xlfn.IFNA(INDEX('Livro Diário'!$F:$F,MATCH(Razonete!S$74&amp;$A79,'Livro Diário'!$O:$O,0),0),"")</f>
        <v/>
      </c>
      <c r="U79" s="78" t="str">
        <f ca="1">IF(T79&lt;&gt;"",INDEX('Livro Diário'!$B:$B,MATCH(Razonete!S$74&amp;$A79,'Livro Diário'!$O:$O,0),1),"")</f>
        <v/>
      </c>
    </row>
    <row r="80" spans="1:21" x14ac:dyDescent="0.25">
      <c r="A80">
        <v>5</v>
      </c>
      <c r="B80" s="85" t="str">
        <f ca="1">IF(C80&lt;&gt;"",INDEX('Livro Diário'!$B:$B,MATCH(Razonete!C$74&amp;$A80,'Livro Diário'!$N:$N,0),1),"")</f>
        <v/>
      </c>
      <c r="C80" t="str">
        <f ca="1">_xlfn.IFNA(INDEX('Livro Diário'!$F:$F,MATCH(Razonete!C$74&amp;$A80,'Livro Diário'!$N:$N,0),0),"")</f>
        <v/>
      </c>
      <c r="D80" s="7" t="str">
        <f ca="1">_xlfn.IFNA(INDEX('Livro Diário'!$F:$F,MATCH(Razonete!C$74&amp;$A80,'Livro Diário'!$O:$O,0),0),"")</f>
        <v/>
      </c>
      <c r="E80" s="78" t="str">
        <f ca="1">IF(D80&lt;&gt;"",INDEX('Livro Diário'!$B:$B,MATCH(Razonete!C$74&amp;$A80,'Livro Diário'!$O:$O,0),1),"")</f>
        <v/>
      </c>
      <c r="F80" s="85" t="str">
        <f ca="1">IF(G80&lt;&gt;"",INDEX('Livro Diário'!$B:$B,MATCH(Razonete!G$74&amp;$A80,'Livro Diário'!$N:$N,0),1),"")</f>
        <v/>
      </c>
      <c r="G80" t="str">
        <f ca="1">_xlfn.IFNA(INDEX('Livro Diário'!$F:$F,MATCH(Razonete!G$74&amp;$A80,'Livro Diário'!$N:$N,0),0),"")</f>
        <v/>
      </c>
      <c r="H80" s="7" t="str">
        <f ca="1">_xlfn.IFNA(INDEX('Livro Diário'!$F:$F,MATCH(Razonete!G$74&amp;$A80,'Livro Diário'!$O:$O,0),0),"")</f>
        <v/>
      </c>
      <c r="I80" s="78" t="str">
        <f ca="1">IF(H80&lt;&gt;"",INDEX('Livro Diário'!$B:$B,MATCH(Razonete!G$74&amp;$A80,'Livro Diário'!$O:$O,0),1),"")</f>
        <v/>
      </c>
      <c r="J80" s="85" t="str">
        <f ca="1">IF(K80&lt;&gt;"",INDEX('Livro Diário'!$B:$B,MATCH(Razonete!K$74&amp;$A80,'Livro Diário'!$N:$N,0),1),"")</f>
        <v/>
      </c>
      <c r="K80" t="str">
        <f ca="1">_xlfn.IFNA(INDEX('Livro Diário'!$F:$F,MATCH(Razonete!K$74&amp;$A80,'Livro Diário'!$N:$N,0),0),"")</f>
        <v/>
      </c>
      <c r="L80" s="7" t="str">
        <f ca="1">_xlfn.IFNA(INDEX('Livro Diário'!$F:$F,MATCH(Razonete!K$74&amp;$A80,'Livro Diário'!$O:$O,0),0),"")</f>
        <v/>
      </c>
      <c r="M80" s="78" t="str">
        <f ca="1">IF(L80&lt;&gt;"",INDEX('Livro Diário'!$B:$B,MATCH(Razonete!K$74&amp;$A80,'Livro Diário'!$O:$O,0),1),"")</f>
        <v/>
      </c>
      <c r="N80" s="85" t="str">
        <f ca="1">IF(O80&lt;&gt;"",INDEX('Livro Diário'!$B:$B,MATCH(Razonete!O$74&amp;$A80,'Livro Diário'!$N:$N,0),1),"")</f>
        <v/>
      </c>
      <c r="O80" t="str">
        <f ca="1">_xlfn.IFNA(INDEX('Livro Diário'!$F:$F,MATCH(Razonete!O$74&amp;$A80,'Livro Diário'!$N:$N,0),0),"")</f>
        <v/>
      </c>
      <c r="P80" s="7" t="str">
        <f ca="1">_xlfn.IFNA(INDEX('Livro Diário'!$F:$F,MATCH(Razonete!O$74&amp;$A80,'Livro Diário'!$O:$O,0),0),"")</f>
        <v/>
      </c>
      <c r="Q80" s="78" t="str">
        <f ca="1">IF(P80&lt;&gt;"",INDEX('Livro Diário'!$B:$B,MATCH(Razonete!O$74&amp;$A80,'Livro Diário'!$O:$O,0),1),"")</f>
        <v/>
      </c>
      <c r="R80" s="85" t="str">
        <f ca="1">IF(S80&lt;&gt;"",INDEX('Livro Diário'!$B:$B,MATCH(Razonete!S$74&amp;$A80,'Livro Diário'!$N:$N,0),1),"")</f>
        <v/>
      </c>
      <c r="S80" t="str">
        <f ca="1">_xlfn.IFNA(INDEX('Livro Diário'!$F:$F,MATCH(Razonete!S$74&amp;$A80,'Livro Diário'!$N:$N,0),0),"")</f>
        <v/>
      </c>
      <c r="T80" s="7" t="str">
        <f ca="1">_xlfn.IFNA(INDEX('Livro Diário'!$F:$F,MATCH(Razonete!S$74&amp;$A80,'Livro Diário'!$O:$O,0),0),"")</f>
        <v/>
      </c>
      <c r="U80" s="78" t="str">
        <f ca="1">IF(T80&lt;&gt;"",INDEX('Livro Diário'!$B:$B,MATCH(Razonete!S$74&amp;$A80,'Livro Diário'!$O:$O,0),1),"")</f>
        <v/>
      </c>
    </row>
    <row r="81" spans="1:21" x14ac:dyDescent="0.25">
      <c r="A81">
        <v>6</v>
      </c>
      <c r="B81" s="85" t="str">
        <f ca="1">IF(C81&lt;&gt;"",INDEX('Livro Diário'!$B:$B,MATCH(Razonete!C$74&amp;$A81,'Livro Diário'!$N:$N,0),1),"")</f>
        <v/>
      </c>
      <c r="C81" t="str">
        <f ca="1">_xlfn.IFNA(INDEX('Livro Diário'!$F:$F,MATCH(Razonete!C$74&amp;$A81,'Livro Diário'!$N:$N,0),0),"")</f>
        <v/>
      </c>
      <c r="D81" s="7" t="str">
        <f ca="1">_xlfn.IFNA(INDEX('Livro Diário'!$F:$F,MATCH(Razonete!C$74&amp;$A81,'Livro Diário'!$O:$O,0),0),"")</f>
        <v/>
      </c>
      <c r="E81" s="78" t="str">
        <f ca="1">IF(D81&lt;&gt;"",INDEX('Livro Diário'!$B:$B,MATCH(Razonete!C$74&amp;$A81,'Livro Diário'!$O:$O,0),1),"")</f>
        <v/>
      </c>
      <c r="F81" s="85" t="str">
        <f ca="1">IF(G81&lt;&gt;"",INDEX('Livro Diário'!$B:$B,MATCH(Razonete!G$74&amp;$A81,'Livro Diário'!$N:$N,0),1),"")</f>
        <v/>
      </c>
      <c r="G81" t="str">
        <f ca="1">_xlfn.IFNA(INDEX('Livro Diário'!$F:$F,MATCH(Razonete!G$74&amp;$A81,'Livro Diário'!$N:$N,0),0),"")</f>
        <v/>
      </c>
      <c r="H81" s="7" t="str">
        <f ca="1">_xlfn.IFNA(INDEX('Livro Diário'!$F:$F,MATCH(Razonete!G$74&amp;$A81,'Livro Diário'!$O:$O,0),0),"")</f>
        <v/>
      </c>
      <c r="I81" s="78" t="str">
        <f ca="1">IF(H81&lt;&gt;"",INDEX('Livro Diário'!$B:$B,MATCH(Razonete!G$74&amp;$A81,'Livro Diário'!$O:$O,0),1),"")</f>
        <v/>
      </c>
      <c r="J81" s="85" t="str">
        <f ca="1">IF(K81&lt;&gt;"",INDEX('Livro Diário'!$B:$B,MATCH(Razonete!K$74&amp;$A81,'Livro Diário'!$N:$N,0),1),"")</f>
        <v/>
      </c>
      <c r="K81" t="str">
        <f ca="1">_xlfn.IFNA(INDEX('Livro Diário'!$F:$F,MATCH(Razonete!K$74&amp;$A81,'Livro Diário'!$N:$N,0),0),"")</f>
        <v/>
      </c>
      <c r="L81" s="7" t="str">
        <f ca="1">_xlfn.IFNA(INDEX('Livro Diário'!$F:$F,MATCH(Razonete!K$74&amp;$A81,'Livro Diário'!$O:$O,0),0),"")</f>
        <v/>
      </c>
      <c r="M81" s="78" t="str">
        <f ca="1">IF(L81&lt;&gt;"",INDEX('Livro Diário'!$B:$B,MATCH(Razonete!K$74&amp;$A81,'Livro Diário'!$O:$O,0),1),"")</f>
        <v/>
      </c>
      <c r="N81" s="85" t="str">
        <f ca="1">IF(O81&lt;&gt;"",INDEX('Livro Diário'!$B:$B,MATCH(Razonete!O$74&amp;$A81,'Livro Diário'!$N:$N,0),1),"")</f>
        <v/>
      </c>
      <c r="O81" t="str">
        <f ca="1">_xlfn.IFNA(INDEX('Livro Diário'!$F:$F,MATCH(Razonete!O$74&amp;$A81,'Livro Diário'!$N:$N,0),0),"")</f>
        <v/>
      </c>
      <c r="P81" s="7" t="str">
        <f ca="1">_xlfn.IFNA(INDEX('Livro Diário'!$F:$F,MATCH(Razonete!O$74&amp;$A81,'Livro Diário'!$O:$O,0),0),"")</f>
        <v/>
      </c>
      <c r="Q81" s="78" t="str">
        <f ca="1">IF(P81&lt;&gt;"",INDEX('Livro Diário'!$B:$B,MATCH(Razonete!O$74&amp;$A81,'Livro Diário'!$O:$O,0),1),"")</f>
        <v/>
      </c>
      <c r="R81" s="85" t="str">
        <f ca="1">IF(S81&lt;&gt;"",INDEX('Livro Diário'!$B:$B,MATCH(Razonete!S$74&amp;$A81,'Livro Diário'!$N:$N,0),1),"")</f>
        <v/>
      </c>
      <c r="S81" t="str">
        <f ca="1">_xlfn.IFNA(INDEX('Livro Diário'!$F:$F,MATCH(Razonete!S$74&amp;$A81,'Livro Diário'!$N:$N,0),0),"")</f>
        <v/>
      </c>
      <c r="T81" s="7" t="str">
        <f ca="1">_xlfn.IFNA(INDEX('Livro Diário'!$F:$F,MATCH(Razonete!S$74&amp;$A81,'Livro Diário'!$O:$O,0),0),"")</f>
        <v/>
      </c>
      <c r="U81" s="78" t="str">
        <f ca="1">IF(T81&lt;&gt;"",INDEX('Livro Diário'!$B:$B,MATCH(Razonete!S$74&amp;$A81,'Livro Diário'!$O:$O,0),1),"")</f>
        <v/>
      </c>
    </row>
    <row r="82" spans="1:21" ht="15.75" thickBot="1" x14ac:dyDescent="0.3">
      <c r="A82">
        <v>7</v>
      </c>
      <c r="B82" s="85" t="str">
        <f ca="1">IF(C82&lt;&gt;"",INDEX('Livro Diário'!$B:$B,MATCH(Razonete!C$74&amp;$A82,'Livro Diário'!$N:$N,0),1),"")</f>
        <v/>
      </c>
      <c r="C82" t="str">
        <f ca="1">_xlfn.IFNA(INDEX('Livro Diário'!$F:$F,MATCH(Razonete!C$74&amp;$A82,'Livro Diário'!$N:$N,0),0),"")</f>
        <v/>
      </c>
      <c r="D82" s="7" t="str">
        <f ca="1">_xlfn.IFNA(INDEX('Livro Diário'!$F:$F,MATCH(Razonete!C$74&amp;$A82,'Livro Diário'!$O:$O,0),0),"")</f>
        <v/>
      </c>
      <c r="E82" s="78" t="str">
        <f ca="1">IF(D82&lt;&gt;"",INDEX('Livro Diário'!$B:$B,MATCH(Razonete!C$74&amp;$A82,'Livro Diário'!$O:$O,0),1),"")</f>
        <v/>
      </c>
      <c r="F82" s="85" t="str">
        <f ca="1">IF(G82&lt;&gt;"",INDEX('Livro Diário'!$B:$B,MATCH(Razonete!G$74&amp;$A82,'Livro Diário'!$N:$N,0),1),"")</f>
        <v/>
      </c>
      <c r="G82" t="str">
        <f ca="1">_xlfn.IFNA(INDEX('Livro Diário'!$F:$F,MATCH(Razonete!G$74&amp;$A82,'Livro Diário'!$N:$N,0),0),"")</f>
        <v/>
      </c>
      <c r="H82" s="7" t="str">
        <f ca="1">_xlfn.IFNA(INDEX('Livro Diário'!$F:$F,MATCH(Razonete!G$74&amp;$A82,'Livro Diário'!$O:$O,0),0),"")</f>
        <v/>
      </c>
      <c r="I82" s="78" t="str">
        <f ca="1">IF(H82&lt;&gt;"",INDEX('Livro Diário'!$B:$B,MATCH(Razonete!G$74&amp;$A82,'Livro Diário'!$O:$O,0),1),"")</f>
        <v/>
      </c>
      <c r="J82" s="85" t="str">
        <f ca="1">IF(K82&lt;&gt;"",INDEX('Livro Diário'!$B:$B,MATCH(Razonete!K$74&amp;$A82,'Livro Diário'!$N:$N,0),1),"")</f>
        <v/>
      </c>
      <c r="K82" t="str">
        <f ca="1">_xlfn.IFNA(INDEX('Livro Diário'!$F:$F,MATCH(Razonete!K$74&amp;$A82,'Livro Diário'!$N:$N,0),0),"")</f>
        <v/>
      </c>
      <c r="L82" s="7" t="str">
        <f ca="1">_xlfn.IFNA(INDEX('Livro Diário'!$F:$F,MATCH(Razonete!K$74&amp;$A82,'Livro Diário'!$O:$O,0),0),"")</f>
        <v/>
      </c>
      <c r="M82" s="78" t="str">
        <f ca="1">IF(L82&lt;&gt;"",INDEX('Livro Diário'!$B:$B,MATCH(Razonete!K$74&amp;$A82,'Livro Diário'!$O:$O,0),1),"")</f>
        <v/>
      </c>
      <c r="N82" s="85" t="str">
        <f ca="1">IF(O82&lt;&gt;"",INDEX('Livro Diário'!$B:$B,MATCH(Razonete!O$74&amp;$A82,'Livro Diário'!$N:$N,0),1),"")</f>
        <v/>
      </c>
      <c r="O82" t="str">
        <f ca="1">_xlfn.IFNA(INDEX('Livro Diário'!$F:$F,MATCH(Razonete!O$74&amp;$A82,'Livro Diário'!$N:$N,0),0),"")</f>
        <v/>
      </c>
      <c r="P82" s="7" t="str">
        <f ca="1">_xlfn.IFNA(INDEX('Livro Diário'!$F:$F,MATCH(Razonete!O$74&amp;$A82,'Livro Diário'!$O:$O,0),0),"")</f>
        <v/>
      </c>
      <c r="Q82" s="78" t="str">
        <f ca="1">IF(P82&lt;&gt;"",INDEX('Livro Diário'!$B:$B,MATCH(Razonete!O$74&amp;$A82,'Livro Diário'!$O:$O,0),1),"")</f>
        <v/>
      </c>
      <c r="R82" s="85" t="str">
        <f ca="1">IF(S82&lt;&gt;"",INDEX('Livro Diário'!$B:$B,MATCH(Razonete!S$74&amp;$A82,'Livro Diário'!$N:$N,0),1),"")</f>
        <v/>
      </c>
      <c r="S82" t="str">
        <f ca="1">_xlfn.IFNA(INDEX('Livro Diário'!$F:$F,MATCH(Razonete!S$74&amp;$A82,'Livro Diário'!$N:$N,0),0),"")</f>
        <v/>
      </c>
      <c r="T82" s="7" t="str">
        <f ca="1">_xlfn.IFNA(INDEX('Livro Diário'!$F:$F,MATCH(Razonete!S$74&amp;$A82,'Livro Diário'!$O:$O,0),0),"")</f>
        <v/>
      </c>
      <c r="U82" s="78" t="str">
        <f ca="1">IF(T82&lt;&gt;"",INDEX('Livro Diário'!$B:$B,MATCH(Razonete!S$74&amp;$A82,'Livro Diário'!$O:$O,0),1),"")</f>
        <v/>
      </c>
    </row>
    <row r="83" spans="1:21" ht="16.5" thickTop="1" thickBot="1" x14ac:dyDescent="0.3">
      <c r="C83" s="83">
        <f ca="1">SUM(C75:C82)</f>
        <v>0</v>
      </c>
      <c r="D83" s="84">
        <f ca="1">SUM(D75:D82)</f>
        <v>0</v>
      </c>
      <c r="F83" s="85"/>
      <c r="G83" s="83">
        <f ca="1">SUM(G75:G82)</f>
        <v>0</v>
      </c>
      <c r="H83" s="84">
        <f ca="1">SUM(H75:H82)</f>
        <v>0</v>
      </c>
      <c r="J83" s="85"/>
      <c r="K83" s="83">
        <f ca="1">SUM(K75:K82)</f>
        <v>0</v>
      </c>
      <c r="L83" s="84">
        <f ca="1">SUM(L75:L82)</f>
        <v>0</v>
      </c>
      <c r="M83" s="78"/>
      <c r="N83" s="85"/>
      <c r="O83" s="83">
        <f ca="1">SUM(O75:O82)</f>
        <v>0</v>
      </c>
      <c r="P83" s="84">
        <f ca="1">SUM(P75:P82)</f>
        <v>0</v>
      </c>
      <c r="Q83" s="78"/>
      <c r="R83" s="85"/>
      <c r="S83" s="83">
        <f ca="1">SUM(S75:S82)</f>
        <v>0</v>
      </c>
      <c r="T83" s="84">
        <f ca="1">SUM(T75:T82)</f>
        <v>0</v>
      </c>
      <c r="U83" s="78"/>
    </row>
    <row r="84" spans="1:21" ht="15.75" thickTop="1" x14ac:dyDescent="0.25">
      <c r="C84" t="str">
        <f ca="1">IF(C83&gt;D83,C83-D83,"")</f>
        <v/>
      </c>
      <c r="D84" t="str">
        <f ca="1">IF(D83&gt;C83,D83-C83,"")</f>
        <v/>
      </c>
      <c r="F84" s="85"/>
      <c r="G84" t="str">
        <f ca="1">IF(G83&gt;H83,G83-H83,"")</f>
        <v/>
      </c>
      <c r="H84" t="str">
        <f ca="1">IF(H83&gt;G83,H83-G83,"")</f>
        <v/>
      </c>
      <c r="J84" s="85"/>
      <c r="K84" t="str">
        <f ca="1">IF(K83&gt;L83,K83-L83,"")</f>
        <v/>
      </c>
      <c r="L84" t="str">
        <f ca="1">IF(L83&gt;K83,L83-K83,"")</f>
        <v/>
      </c>
      <c r="M84" s="78"/>
      <c r="N84" s="85"/>
      <c r="O84" t="str">
        <f ca="1">IF(O83&gt;P83,O83-P83,"")</f>
        <v/>
      </c>
      <c r="P84" t="str">
        <f ca="1">IF(P83&gt;O83,P83-O83,"")</f>
        <v/>
      </c>
      <c r="Q84" s="78"/>
      <c r="R84" s="85"/>
      <c r="S84" t="str">
        <f ca="1">IF(S83&gt;T83,S83-T83,"")</f>
        <v/>
      </c>
      <c r="T84" t="str">
        <f ca="1">IF(T83&gt;S83,T83-S83,"")</f>
        <v/>
      </c>
      <c r="U84" s="78"/>
    </row>
    <row r="85" spans="1:21" x14ac:dyDescent="0.25">
      <c r="C85">
        <f>C73+5</f>
        <v>38</v>
      </c>
      <c r="G85">
        <f>G73+5</f>
        <v>39</v>
      </c>
      <c r="K85">
        <f>K73+5</f>
        <v>40</v>
      </c>
      <c r="O85">
        <f>O73+5</f>
        <v>41</v>
      </c>
      <c r="S85">
        <f>S73+5</f>
        <v>42</v>
      </c>
    </row>
    <row r="86" spans="1:21" s="76" customFormat="1" ht="34.5" customHeight="1" x14ac:dyDescent="0.25">
      <c r="B86" s="87"/>
      <c r="C86" s="139" t="str">
        <f ca="1">INDIRECT("Balancete!C"&amp;C85)</f>
        <v>Salários</v>
      </c>
      <c r="D86" s="139"/>
      <c r="E86" s="77"/>
      <c r="F86" s="88"/>
      <c r="G86" s="139" t="str">
        <f ca="1">INDIRECT("Balancete!C"&amp;G85)</f>
        <v>Aluguel</v>
      </c>
      <c r="H86" s="139"/>
      <c r="I86" s="77"/>
      <c r="K86" s="139" t="str">
        <f ca="1">INDIRECT("Balancete!C"&amp;K85)</f>
        <v>Pro labore</v>
      </c>
      <c r="L86" s="139"/>
      <c r="O86" s="139" t="str">
        <f ca="1">INDIRECT("Balancete!C"&amp;O85)</f>
        <v>CMV</v>
      </c>
      <c r="P86" s="139"/>
      <c r="S86" s="139" t="str">
        <f ca="1">INDIRECT("Balancete!C"&amp;S85)</f>
        <v>CPV</v>
      </c>
      <c r="T86" s="139"/>
    </row>
    <row r="87" spans="1:21" x14ac:dyDescent="0.25">
      <c r="A87">
        <v>86</v>
      </c>
      <c r="B87" s="85" t="s">
        <v>165</v>
      </c>
      <c r="C87" s="81" t="str">
        <f ca="1">IF(VLOOKUP(C86,Balancete!$C:$F,4,0)&gt;0,VLOOKUP(C86,Balancete!$C:$F,4,0),"")</f>
        <v/>
      </c>
      <c r="D87" s="82" t="str">
        <f ca="1">IF(VLOOKUP(C86,Balancete!$C:$G,5,0)&gt;0,VLOOKUP(C86,Balancete!$C:$G,5,0),"")</f>
        <v/>
      </c>
      <c r="F87" s="85" t="s">
        <v>165</v>
      </c>
      <c r="G87" s="81" t="str">
        <f ca="1">IF(VLOOKUP(G86,Balancete!$C:$F,4,0)&gt;0,VLOOKUP(G86,Balancete!$C:$F,4,0),"")</f>
        <v/>
      </c>
      <c r="H87" s="82" t="str">
        <f ca="1">IF(VLOOKUP(G86,Balancete!$C:$G,5,0)&gt;0,VLOOKUP(G86,Balancete!$C:$G,5,0),"")</f>
        <v/>
      </c>
      <c r="J87" s="85" t="s">
        <v>165</v>
      </c>
      <c r="K87" s="81" t="str">
        <f ca="1">IF(VLOOKUP(K86,Balancete!$C:$F,4,0)&gt;0,VLOOKUP(K86,Balancete!$C:$F,4,0),"")</f>
        <v/>
      </c>
      <c r="L87" s="82" t="str">
        <f ca="1">IF(VLOOKUP(K86,Balancete!$C:$G,5,0)&gt;0,VLOOKUP(K86,Balancete!$C:$G,5,0),"")</f>
        <v/>
      </c>
      <c r="M87" s="78"/>
      <c r="N87" s="85" t="s">
        <v>165</v>
      </c>
      <c r="O87" s="81" t="str">
        <f ca="1">IF(VLOOKUP(O86,Balancete!$C:$F,4,0)&gt;0,VLOOKUP(O86,Balancete!$C:$F,4,0),"")</f>
        <v/>
      </c>
      <c r="P87" s="82" t="str">
        <f ca="1">IF(VLOOKUP(O86,Balancete!$C:$G,5,0)&gt;0,VLOOKUP(O86,Balancete!$C:$G,5,0),"")</f>
        <v/>
      </c>
      <c r="Q87" s="78"/>
      <c r="R87" s="85" t="s">
        <v>165</v>
      </c>
      <c r="S87" s="81" t="str">
        <f ca="1">IF(VLOOKUP(S86,Balancete!$C:$F,4,0)&gt;0,VLOOKUP(S86,Balancete!$C:$F,4,0),"")</f>
        <v/>
      </c>
      <c r="T87" s="82" t="str">
        <f ca="1">IF(VLOOKUP(S86,Balancete!$C:$G,5,0)&gt;0,VLOOKUP(S86,Balancete!$C:$G,5,0),"")</f>
        <v/>
      </c>
      <c r="U87" s="78"/>
    </row>
    <row r="88" spans="1:21" x14ac:dyDescent="0.25">
      <c r="A88">
        <v>1</v>
      </c>
      <c r="B88" s="85" t="str">
        <f ca="1">IF(C88&lt;&gt;"",INDEX('Livro Diário'!$B:$B,MATCH(Razonete!C$86&amp;$A88,'Livro Diário'!$N:$N,0),1),"")</f>
        <v/>
      </c>
      <c r="C88" t="str">
        <f ca="1">_xlfn.IFNA(INDEX('Livro Diário'!$F:$F,MATCH(Razonete!C$86&amp;$A88,'Livro Diário'!$N:$N,0),0),"")</f>
        <v/>
      </c>
      <c r="D88" s="7" t="str">
        <f ca="1">_xlfn.IFNA(INDEX('Livro Diário'!$F:$F,MATCH(Razonete!C$86&amp;$A88,'Livro Diário'!$O:$O,0),0),"")</f>
        <v/>
      </c>
      <c r="E88" s="78" t="str">
        <f ca="1">IF(D88&lt;&gt;"",INDEX('Livro Diário'!$B:$B,MATCH(Razonete!C$86&amp;$A88,'Livro Diário'!$O:$O,0),1),"")</f>
        <v/>
      </c>
      <c r="F88" s="85">
        <f ca="1">IF(G88&lt;&gt;"",INDEX('Livro Diário'!$B:$B,MATCH(Razonete!G$86&amp;$A88,'Livro Diário'!$N:$N,0),1),"")</f>
        <v>44565</v>
      </c>
      <c r="G88">
        <f ca="1">_xlfn.IFNA(INDEX('Livro Diário'!$F:$F,MATCH(Razonete!G$86&amp;$A88,'Livro Diário'!$N:$N,0),0),"")</f>
        <v>450</v>
      </c>
      <c r="H88" s="7" t="str">
        <f ca="1">_xlfn.IFNA(INDEX('Livro Diário'!$F:$F,MATCH(Razonete!G$86&amp;$A88,'Livro Diário'!$O:$O,0),0),"")</f>
        <v/>
      </c>
      <c r="I88" s="78" t="str">
        <f ca="1">IF(H88&lt;&gt;"",INDEX('Livro Diário'!$B:$B,MATCH(Razonete!G$86&amp;$A88,'Livro Diário'!$O:$O,0),1),"")</f>
        <v/>
      </c>
      <c r="J88" s="85">
        <f ca="1">IF(K88&lt;&gt;"",INDEX('Livro Diário'!$B:$B,MATCH(Razonete!K$86&amp;$A88,'Livro Diário'!$N:$N,0),1),"")</f>
        <v>44565</v>
      </c>
      <c r="K88">
        <f ca="1">_xlfn.IFNA(INDEX('Livro Diário'!$F:$F,MATCH(Razonete!K$86&amp;$A88,'Livro Diário'!$N:$N,0),0),"")</f>
        <v>102</v>
      </c>
      <c r="L88" s="7" t="str">
        <f ca="1">_xlfn.IFNA(INDEX('Livro Diário'!$F:$F,MATCH(Razonete!K$86&amp;$A88,'Livro Diário'!$O:$O,0),0),"")</f>
        <v/>
      </c>
      <c r="M88" s="78" t="str">
        <f ca="1">IF(L88&lt;&gt;"",INDEX('Livro Diário'!$B:$B,MATCH(Razonete!K$86&amp;$A88,'Livro Diário'!$O:$O,0),1),"")</f>
        <v/>
      </c>
      <c r="N88" s="85" t="str">
        <f ca="1">IF(O88&lt;&gt;"",INDEX('Livro Diário'!$B:$B,MATCH(Razonete!O$86&amp;$A88,'Livro Diário'!$N:$N,0),1),"")</f>
        <v/>
      </c>
      <c r="O88" t="str">
        <f ca="1">_xlfn.IFNA(INDEX('Livro Diário'!$F:$F,MATCH(Razonete!O$86&amp;$A88,'Livro Diário'!$N:$N,0),0),"")</f>
        <v/>
      </c>
      <c r="P88" s="7" t="str">
        <f ca="1">_xlfn.IFNA(INDEX('Livro Diário'!$F:$F,MATCH(Razonete!O$86&amp;$A88,'Livro Diário'!$O:$O,0),0),"")</f>
        <v/>
      </c>
      <c r="Q88" s="78" t="str">
        <f ca="1">IF(P88&lt;&gt;"",INDEX('Livro Diário'!$B:$B,MATCH(Razonete!O$86&amp;$A88,'Livro Diário'!$O:$O,0),1),"")</f>
        <v/>
      </c>
      <c r="R88" s="85" t="str">
        <f ca="1">IF(S88&lt;&gt;"",INDEX('Livro Diário'!$B:$B,MATCH(Razonete!S$86&amp;$A88,'Livro Diário'!$N:$N,0),1),"")</f>
        <v/>
      </c>
      <c r="S88" t="str">
        <f ca="1">_xlfn.IFNA(INDEX('Livro Diário'!$F:$F,MATCH(Razonete!S$86&amp;$A88,'Livro Diário'!$N:$N,0),0),"")</f>
        <v/>
      </c>
      <c r="T88" s="7" t="str">
        <f ca="1">_xlfn.IFNA(INDEX('Livro Diário'!$F:$F,MATCH(Razonete!S$86&amp;$A88,'Livro Diário'!$O:$O,0),0),"")</f>
        <v/>
      </c>
      <c r="U88" s="78" t="str">
        <f ca="1">IF(T88&lt;&gt;"",INDEX('Livro Diário'!$B:$B,MATCH(Razonete!S$86&amp;$A88,'Livro Diário'!$O:$O,0),1),"")</f>
        <v/>
      </c>
    </row>
    <row r="89" spans="1:21" x14ac:dyDescent="0.25">
      <c r="A89">
        <v>2</v>
      </c>
      <c r="B89" s="85" t="str">
        <f ca="1">IF(C89&lt;&gt;"",INDEX('Livro Diário'!$B:$B,MATCH(Razonete!C$86&amp;$A89,'Livro Diário'!$N:$N,0),1),"")</f>
        <v/>
      </c>
      <c r="C89" t="str">
        <f ca="1">_xlfn.IFNA(INDEX('Livro Diário'!$F:$F,MATCH(Razonete!C$86&amp;$A89,'Livro Diário'!$N:$N,0),0),"")</f>
        <v/>
      </c>
      <c r="D89" s="7" t="str">
        <f ca="1">_xlfn.IFNA(INDEX('Livro Diário'!$F:$F,MATCH(Razonete!C$86&amp;$A89,'Livro Diário'!$O:$O,0),0),"")</f>
        <v/>
      </c>
      <c r="E89" s="78" t="str">
        <f ca="1">IF(D89&lt;&gt;"",INDEX('Livro Diário'!$B:$B,MATCH(Razonete!C$86&amp;$A89,'Livro Diário'!$O:$O,0),1),"")</f>
        <v/>
      </c>
      <c r="F89" s="85" t="str">
        <f ca="1">IF(G89&lt;&gt;"",INDEX('Livro Diário'!$B:$B,MATCH(Razonete!G$86&amp;$A89,'Livro Diário'!$N:$N,0),1),"")</f>
        <v/>
      </c>
      <c r="G89" t="str">
        <f ca="1">_xlfn.IFNA(INDEX('Livro Diário'!$F:$F,MATCH(Razonete!G$86&amp;$A89,'Livro Diário'!$N:$N,0),0),"")</f>
        <v/>
      </c>
      <c r="H89" s="7" t="str">
        <f ca="1">_xlfn.IFNA(INDEX('Livro Diário'!$F:$F,MATCH(Razonete!G$86&amp;$A89,'Livro Diário'!$O:$O,0),0),"")</f>
        <v/>
      </c>
      <c r="I89" s="78" t="str">
        <f ca="1">IF(H89&lt;&gt;"",INDEX('Livro Diário'!$B:$B,MATCH(Razonete!G$86&amp;$A89,'Livro Diário'!$O:$O,0),1),"")</f>
        <v/>
      </c>
      <c r="J89" s="85" t="str">
        <f ca="1">IF(K89&lt;&gt;"",INDEX('Livro Diário'!$B:$B,MATCH(Razonete!K$86&amp;$A89,'Livro Diário'!$N:$N,0),1),"")</f>
        <v/>
      </c>
      <c r="K89" t="str">
        <f ca="1">_xlfn.IFNA(INDEX('Livro Diário'!$F:$F,MATCH(Razonete!K$86&amp;$A89,'Livro Diário'!$N:$N,0),0),"")</f>
        <v/>
      </c>
      <c r="L89" s="7" t="str">
        <f ca="1">_xlfn.IFNA(INDEX('Livro Diário'!$F:$F,MATCH(Razonete!K$86&amp;$A89,'Livro Diário'!$O:$O,0),0),"")</f>
        <v/>
      </c>
      <c r="M89" s="78" t="str">
        <f ca="1">IF(L89&lt;&gt;"",INDEX('Livro Diário'!$B:$B,MATCH(Razonete!K$86&amp;$A89,'Livro Diário'!$O:$O,0),1),"")</f>
        <v/>
      </c>
      <c r="N89" s="85" t="str">
        <f ca="1">IF(O89&lt;&gt;"",INDEX('Livro Diário'!$B:$B,MATCH(Razonete!O$86&amp;$A89,'Livro Diário'!$N:$N,0),1),"")</f>
        <v/>
      </c>
      <c r="O89" t="str">
        <f ca="1">_xlfn.IFNA(INDEX('Livro Diário'!$F:$F,MATCH(Razonete!O$86&amp;$A89,'Livro Diário'!$N:$N,0),0),"")</f>
        <v/>
      </c>
      <c r="P89" s="7" t="str">
        <f ca="1">_xlfn.IFNA(INDEX('Livro Diário'!$F:$F,MATCH(Razonete!O$86&amp;$A89,'Livro Diário'!$O:$O,0),0),"")</f>
        <v/>
      </c>
      <c r="Q89" s="78" t="str">
        <f ca="1">IF(P89&lt;&gt;"",INDEX('Livro Diário'!$B:$B,MATCH(Razonete!O$86&amp;$A89,'Livro Diário'!$O:$O,0),1),"")</f>
        <v/>
      </c>
      <c r="R89" s="85" t="str">
        <f ca="1">IF(S89&lt;&gt;"",INDEX('Livro Diário'!$B:$B,MATCH(Razonete!S$86&amp;$A89,'Livro Diário'!$N:$N,0),1),"")</f>
        <v/>
      </c>
      <c r="S89" t="str">
        <f ca="1">_xlfn.IFNA(INDEX('Livro Diário'!$F:$F,MATCH(Razonete!S$86&amp;$A89,'Livro Diário'!$N:$N,0),0),"")</f>
        <v/>
      </c>
      <c r="T89" s="7" t="str">
        <f ca="1">_xlfn.IFNA(INDEX('Livro Diário'!$F:$F,MATCH(Razonete!S$86&amp;$A89,'Livro Diário'!$O:$O,0),0),"")</f>
        <v/>
      </c>
      <c r="U89" s="78" t="str">
        <f ca="1">IF(T89&lt;&gt;"",INDEX('Livro Diário'!$B:$B,MATCH(Razonete!S$86&amp;$A89,'Livro Diário'!$O:$O,0),1),"")</f>
        <v/>
      </c>
    </row>
    <row r="90" spans="1:21" x14ac:dyDescent="0.25">
      <c r="A90">
        <v>3</v>
      </c>
      <c r="B90" s="85" t="str">
        <f ca="1">IF(C90&lt;&gt;"",INDEX('Livro Diário'!$B:$B,MATCH(Razonete!C$86&amp;$A90,'Livro Diário'!$N:$N,0),1),"")</f>
        <v/>
      </c>
      <c r="C90" t="str">
        <f ca="1">_xlfn.IFNA(INDEX('Livro Diário'!$F:$F,MATCH(Razonete!C$86&amp;$A90,'Livro Diário'!$N:$N,0),0),"")</f>
        <v/>
      </c>
      <c r="D90" s="7" t="str">
        <f ca="1">_xlfn.IFNA(INDEX('Livro Diário'!$F:$F,MATCH(Razonete!C$86&amp;$A90,'Livro Diário'!$O:$O,0),0),"")</f>
        <v/>
      </c>
      <c r="E90" s="78" t="str">
        <f ca="1">IF(D90&lt;&gt;"",INDEX('Livro Diário'!$B:$B,MATCH(Razonete!C$86&amp;$A90,'Livro Diário'!$O:$O,0),1),"")</f>
        <v/>
      </c>
      <c r="F90" s="85" t="str">
        <f ca="1">IF(G90&lt;&gt;"",INDEX('Livro Diário'!$B:$B,MATCH(Razonete!G$86&amp;$A90,'Livro Diário'!$N:$N,0),1),"")</f>
        <v/>
      </c>
      <c r="G90" t="str">
        <f ca="1">_xlfn.IFNA(INDEX('Livro Diário'!$F:$F,MATCH(Razonete!G$86&amp;$A90,'Livro Diário'!$N:$N,0),0),"")</f>
        <v/>
      </c>
      <c r="H90" s="7" t="str">
        <f ca="1">_xlfn.IFNA(INDEX('Livro Diário'!$F:$F,MATCH(Razonete!G$86&amp;$A90,'Livro Diário'!$O:$O,0),0),"")</f>
        <v/>
      </c>
      <c r="I90" s="78" t="str">
        <f ca="1">IF(H90&lt;&gt;"",INDEX('Livro Diário'!$B:$B,MATCH(Razonete!G$86&amp;$A90,'Livro Diário'!$O:$O,0),1),"")</f>
        <v/>
      </c>
      <c r="J90" s="85" t="str">
        <f ca="1">IF(K90&lt;&gt;"",INDEX('Livro Diário'!$B:$B,MATCH(Razonete!K$86&amp;$A90,'Livro Diário'!$N:$N,0),1),"")</f>
        <v/>
      </c>
      <c r="K90" t="str">
        <f ca="1">_xlfn.IFNA(INDEX('Livro Diário'!$F:$F,MATCH(Razonete!K$86&amp;$A90,'Livro Diário'!$N:$N,0),0),"")</f>
        <v/>
      </c>
      <c r="L90" s="7" t="str">
        <f ca="1">_xlfn.IFNA(INDEX('Livro Diário'!$F:$F,MATCH(Razonete!K$86&amp;$A90,'Livro Diário'!$O:$O,0),0),"")</f>
        <v/>
      </c>
      <c r="M90" s="78" t="str">
        <f ca="1">IF(L90&lt;&gt;"",INDEX('Livro Diário'!$B:$B,MATCH(Razonete!K$86&amp;$A90,'Livro Diário'!$O:$O,0),1),"")</f>
        <v/>
      </c>
      <c r="N90" s="85" t="str">
        <f ca="1">IF(O90&lt;&gt;"",INDEX('Livro Diário'!$B:$B,MATCH(Razonete!O$86&amp;$A90,'Livro Diário'!$N:$N,0),1),"")</f>
        <v/>
      </c>
      <c r="O90" t="str">
        <f ca="1">_xlfn.IFNA(INDEX('Livro Diário'!$F:$F,MATCH(Razonete!O$86&amp;$A90,'Livro Diário'!$N:$N,0),0),"")</f>
        <v/>
      </c>
      <c r="P90" s="7" t="str">
        <f ca="1">_xlfn.IFNA(INDEX('Livro Diário'!$F:$F,MATCH(Razonete!O$86&amp;$A90,'Livro Diário'!$O:$O,0),0),"")</f>
        <v/>
      </c>
      <c r="Q90" s="78" t="str">
        <f ca="1">IF(P90&lt;&gt;"",INDEX('Livro Diário'!$B:$B,MATCH(Razonete!O$86&amp;$A90,'Livro Diário'!$O:$O,0),1),"")</f>
        <v/>
      </c>
      <c r="R90" s="85" t="str">
        <f ca="1">IF(S90&lt;&gt;"",INDEX('Livro Diário'!$B:$B,MATCH(Razonete!S$86&amp;$A90,'Livro Diário'!$N:$N,0),1),"")</f>
        <v/>
      </c>
      <c r="S90" t="str">
        <f ca="1">_xlfn.IFNA(INDEX('Livro Diário'!$F:$F,MATCH(Razonete!S$86&amp;$A90,'Livro Diário'!$N:$N,0),0),"")</f>
        <v/>
      </c>
      <c r="T90" s="7" t="str">
        <f ca="1">_xlfn.IFNA(INDEX('Livro Diário'!$F:$F,MATCH(Razonete!S$86&amp;$A90,'Livro Diário'!$O:$O,0),0),"")</f>
        <v/>
      </c>
      <c r="U90" s="78" t="str">
        <f ca="1">IF(T90&lt;&gt;"",INDEX('Livro Diário'!$B:$B,MATCH(Razonete!S$86&amp;$A90,'Livro Diário'!$O:$O,0),1),"")</f>
        <v/>
      </c>
    </row>
    <row r="91" spans="1:21" x14ac:dyDescent="0.25">
      <c r="A91">
        <v>4</v>
      </c>
      <c r="B91" s="85" t="str">
        <f ca="1">IF(C91&lt;&gt;"",INDEX('Livro Diário'!$B:$B,MATCH(Razonete!C$86&amp;$A91,'Livro Diário'!$N:$N,0),1),"")</f>
        <v/>
      </c>
      <c r="C91" t="str">
        <f ca="1">_xlfn.IFNA(INDEX('Livro Diário'!$F:$F,MATCH(Razonete!C$86&amp;$A91,'Livro Diário'!$N:$N,0),0),"")</f>
        <v/>
      </c>
      <c r="D91" s="7" t="str">
        <f ca="1">_xlfn.IFNA(INDEX('Livro Diário'!$F:$F,MATCH(Razonete!C$86&amp;$A91,'Livro Diário'!$O:$O,0),0),"")</f>
        <v/>
      </c>
      <c r="E91" s="78" t="str">
        <f ca="1">IF(D91&lt;&gt;"",INDEX('Livro Diário'!$B:$B,MATCH(Razonete!C$86&amp;$A91,'Livro Diário'!$O:$O,0),1),"")</f>
        <v/>
      </c>
      <c r="F91" s="85" t="str">
        <f ca="1">IF(G91&lt;&gt;"",INDEX('Livro Diário'!$B:$B,MATCH(Razonete!G$86&amp;$A91,'Livro Diário'!$N:$N,0),1),"")</f>
        <v/>
      </c>
      <c r="G91" t="str">
        <f ca="1">_xlfn.IFNA(INDEX('Livro Diário'!$F:$F,MATCH(Razonete!G$86&amp;$A91,'Livro Diário'!$N:$N,0),0),"")</f>
        <v/>
      </c>
      <c r="H91" s="7" t="str">
        <f ca="1">_xlfn.IFNA(INDEX('Livro Diário'!$F:$F,MATCH(Razonete!G$86&amp;$A91,'Livro Diário'!$O:$O,0),0),"")</f>
        <v/>
      </c>
      <c r="I91" s="78" t="str">
        <f ca="1">IF(H91&lt;&gt;"",INDEX('Livro Diário'!$B:$B,MATCH(Razonete!G$86&amp;$A91,'Livro Diário'!$O:$O,0),1),"")</f>
        <v/>
      </c>
      <c r="J91" s="85" t="str">
        <f ca="1">IF(K91&lt;&gt;"",INDEX('Livro Diário'!$B:$B,MATCH(Razonete!K$86&amp;$A91,'Livro Diário'!$N:$N,0),1),"")</f>
        <v/>
      </c>
      <c r="K91" t="str">
        <f ca="1">_xlfn.IFNA(INDEX('Livro Diário'!$F:$F,MATCH(Razonete!K$86&amp;$A91,'Livro Diário'!$N:$N,0),0),"")</f>
        <v/>
      </c>
      <c r="L91" s="7" t="str">
        <f ca="1">_xlfn.IFNA(INDEX('Livro Diário'!$F:$F,MATCH(Razonete!K$86&amp;$A91,'Livro Diário'!$O:$O,0),0),"")</f>
        <v/>
      </c>
      <c r="M91" s="78" t="str">
        <f ca="1">IF(L91&lt;&gt;"",INDEX('Livro Diário'!$B:$B,MATCH(Razonete!K$86&amp;$A91,'Livro Diário'!$O:$O,0),1),"")</f>
        <v/>
      </c>
      <c r="N91" s="85" t="str">
        <f ca="1">IF(O91&lt;&gt;"",INDEX('Livro Diário'!$B:$B,MATCH(Razonete!O$86&amp;$A91,'Livro Diário'!$N:$N,0),1),"")</f>
        <v/>
      </c>
      <c r="O91" t="str">
        <f ca="1">_xlfn.IFNA(INDEX('Livro Diário'!$F:$F,MATCH(Razonete!O$86&amp;$A91,'Livro Diário'!$N:$N,0),0),"")</f>
        <v/>
      </c>
      <c r="P91" s="7" t="str">
        <f ca="1">_xlfn.IFNA(INDEX('Livro Diário'!$F:$F,MATCH(Razonete!O$86&amp;$A91,'Livro Diário'!$O:$O,0),0),"")</f>
        <v/>
      </c>
      <c r="Q91" s="78" t="str">
        <f ca="1">IF(P91&lt;&gt;"",INDEX('Livro Diário'!$B:$B,MATCH(Razonete!O$86&amp;$A91,'Livro Diário'!$O:$O,0),1),"")</f>
        <v/>
      </c>
      <c r="R91" s="85" t="str">
        <f ca="1">IF(S91&lt;&gt;"",INDEX('Livro Diário'!$B:$B,MATCH(Razonete!S$86&amp;$A91,'Livro Diário'!$N:$N,0),1),"")</f>
        <v/>
      </c>
      <c r="S91" t="str">
        <f ca="1">_xlfn.IFNA(INDEX('Livro Diário'!$F:$F,MATCH(Razonete!S$86&amp;$A91,'Livro Diário'!$N:$N,0),0),"")</f>
        <v/>
      </c>
      <c r="T91" s="7" t="str">
        <f ca="1">_xlfn.IFNA(INDEX('Livro Diário'!$F:$F,MATCH(Razonete!S$86&amp;$A91,'Livro Diário'!$O:$O,0),0),"")</f>
        <v/>
      </c>
      <c r="U91" s="78" t="str">
        <f ca="1">IF(T91&lt;&gt;"",INDEX('Livro Diário'!$B:$B,MATCH(Razonete!S$86&amp;$A91,'Livro Diário'!$O:$O,0),1),"")</f>
        <v/>
      </c>
    </row>
    <row r="92" spans="1:21" x14ac:dyDescent="0.25">
      <c r="A92">
        <v>5</v>
      </c>
      <c r="B92" s="85" t="str">
        <f ca="1">IF(C92&lt;&gt;"",INDEX('Livro Diário'!$B:$B,MATCH(Razonete!C$86&amp;$A92,'Livro Diário'!$N:$N,0),1),"")</f>
        <v/>
      </c>
      <c r="C92" t="str">
        <f ca="1">_xlfn.IFNA(INDEX('Livro Diário'!$F:$F,MATCH(Razonete!C$86&amp;$A92,'Livro Diário'!$N:$N,0),0),"")</f>
        <v/>
      </c>
      <c r="D92" s="7" t="str">
        <f ca="1">_xlfn.IFNA(INDEX('Livro Diário'!$F:$F,MATCH(Razonete!C$86&amp;$A92,'Livro Diário'!$O:$O,0),0),"")</f>
        <v/>
      </c>
      <c r="E92" s="78" t="str">
        <f ca="1">IF(D92&lt;&gt;"",INDEX('Livro Diário'!$B:$B,MATCH(Razonete!C$86&amp;$A92,'Livro Diário'!$O:$O,0),1),"")</f>
        <v/>
      </c>
      <c r="F92" s="85" t="str">
        <f ca="1">IF(G92&lt;&gt;"",INDEX('Livro Diário'!$B:$B,MATCH(Razonete!G$86&amp;$A92,'Livro Diário'!$N:$N,0),1),"")</f>
        <v/>
      </c>
      <c r="G92" t="str">
        <f ca="1">_xlfn.IFNA(INDEX('Livro Diário'!$F:$F,MATCH(Razonete!G$86&amp;$A92,'Livro Diário'!$N:$N,0),0),"")</f>
        <v/>
      </c>
      <c r="H92" s="7" t="str">
        <f ca="1">_xlfn.IFNA(INDEX('Livro Diário'!$F:$F,MATCH(Razonete!G$86&amp;$A92,'Livro Diário'!$O:$O,0),0),"")</f>
        <v/>
      </c>
      <c r="I92" s="78" t="str">
        <f ca="1">IF(H92&lt;&gt;"",INDEX('Livro Diário'!$B:$B,MATCH(Razonete!G$86&amp;$A92,'Livro Diário'!$O:$O,0),1),"")</f>
        <v/>
      </c>
      <c r="J92" s="85" t="str">
        <f ca="1">IF(K92&lt;&gt;"",INDEX('Livro Diário'!$B:$B,MATCH(Razonete!K$86&amp;$A92,'Livro Diário'!$N:$N,0),1),"")</f>
        <v/>
      </c>
      <c r="K92" t="str">
        <f ca="1">_xlfn.IFNA(INDEX('Livro Diário'!$F:$F,MATCH(Razonete!K$86&amp;$A92,'Livro Diário'!$N:$N,0),0),"")</f>
        <v/>
      </c>
      <c r="L92" s="7" t="str">
        <f ca="1">_xlfn.IFNA(INDEX('Livro Diário'!$F:$F,MATCH(Razonete!K$86&amp;$A92,'Livro Diário'!$O:$O,0),0),"")</f>
        <v/>
      </c>
      <c r="M92" s="78" t="str">
        <f ca="1">IF(L92&lt;&gt;"",INDEX('Livro Diário'!$B:$B,MATCH(Razonete!K$86&amp;$A92,'Livro Diário'!$O:$O,0),1),"")</f>
        <v/>
      </c>
      <c r="N92" s="85" t="str">
        <f ca="1">IF(O92&lt;&gt;"",INDEX('Livro Diário'!$B:$B,MATCH(Razonete!O$86&amp;$A92,'Livro Diário'!$N:$N,0),1),"")</f>
        <v/>
      </c>
      <c r="O92" t="str">
        <f ca="1">_xlfn.IFNA(INDEX('Livro Diário'!$F:$F,MATCH(Razonete!O$86&amp;$A92,'Livro Diário'!$N:$N,0),0),"")</f>
        <v/>
      </c>
      <c r="P92" s="7" t="str">
        <f ca="1">_xlfn.IFNA(INDEX('Livro Diário'!$F:$F,MATCH(Razonete!O$86&amp;$A92,'Livro Diário'!$O:$O,0),0),"")</f>
        <v/>
      </c>
      <c r="Q92" s="78" t="str">
        <f ca="1">IF(P92&lt;&gt;"",INDEX('Livro Diário'!$B:$B,MATCH(Razonete!O$86&amp;$A92,'Livro Diário'!$O:$O,0),1),"")</f>
        <v/>
      </c>
      <c r="R92" s="85" t="str">
        <f ca="1">IF(S92&lt;&gt;"",INDEX('Livro Diário'!$B:$B,MATCH(Razonete!S$86&amp;$A92,'Livro Diário'!$N:$N,0),1),"")</f>
        <v/>
      </c>
      <c r="S92" t="str">
        <f ca="1">_xlfn.IFNA(INDEX('Livro Diário'!$F:$F,MATCH(Razonete!S$86&amp;$A92,'Livro Diário'!$N:$N,0),0),"")</f>
        <v/>
      </c>
      <c r="T92" s="7" t="str">
        <f ca="1">_xlfn.IFNA(INDEX('Livro Diário'!$F:$F,MATCH(Razonete!S$86&amp;$A92,'Livro Diário'!$O:$O,0),0),"")</f>
        <v/>
      </c>
      <c r="U92" s="78" t="str">
        <f ca="1">IF(T92&lt;&gt;"",INDEX('Livro Diário'!$B:$B,MATCH(Razonete!S$86&amp;$A92,'Livro Diário'!$O:$O,0),1),"")</f>
        <v/>
      </c>
    </row>
    <row r="93" spans="1:21" x14ac:dyDescent="0.25">
      <c r="A93">
        <v>6</v>
      </c>
      <c r="B93" s="85" t="str">
        <f ca="1">IF(C93&lt;&gt;"",INDEX('Livro Diário'!$B:$B,MATCH(Razonete!C$86&amp;$A93,'Livro Diário'!$N:$N,0),1),"")</f>
        <v/>
      </c>
      <c r="C93" t="str">
        <f ca="1">_xlfn.IFNA(INDEX('Livro Diário'!$F:$F,MATCH(Razonete!C$86&amp;$A93,'Livro Diário'!$N:$N,0),0),"")</f>
        <v/>
      </c>
      <c r="D93" s="7" t="str">
        <f ca="1">_xlfn.IFNA(INDEX('Livro Diário'!$F:$F,MATCH(Razonete!C$86&amp;$A93,'Livro Diário'!$O:$O,0),0),"")</f>
        <v/>
      </c>
      <c r="E93" s="78" t="str">
        <f ca="1">IF(D93&lt;&gt;"",INDEX('Livro Diário'!$B:$B,MATCH(Razonete!C$86&amp;$A93,'Livro Diário'!$O:$O,0),1),"")</f>
        <v/>
      </c>
      <c r="F93" s="85" t="str">
        <f ca="1">IF(G93&lt;&gt;"",INDEX('Livro Diário'!$B:$B,MATCH(Razonete!G$86&amp;$A93,'Livro Diário'!$N:$N,0),1),"")</f>
        <v/>
      </c>
      <c r="G93" t="str">
        <f ca="1">_xlfn.IFNA(INDEX('Livro Diário'!$F:$F,MATCH(Razonete!G$86&amp;$A93,'Livro Diário'!$N:$N,0),0),"")</f>
        <v/>
      </c>
      <c r="H93" s="7" t="str">
        <f ca="1">_xlfn.IFNA(INDEX('Livro Diário'!$F:$F,MATCH(Razonete!G$86&amp;$A93,'Livro Diário'!$O:$O,0),0),"")</f>
        <v/>
      </c>
      <c r="I93" s="78" t="str">
        <f ca="1">IF(H93&lt;&gt;"",INDEX('Livro Diário'!$B:$B,MATCH(Razonete!G$86&amp;$A93,'Livro Diário'!$O:$O,0),1),"")</f>
        <v/>
      </c>
      <c r="J93" s="85" t="str">
        <f ca="1">IF(K93&lt;&gt;"",INDEX('Livro Diário'!$B:$B,MATCH(Razonete!K$86&amp;$A93,'Livro Diário'!$N:$N,0),1),"")</f>
        <v/>
      </c>
      <c r="K93" t="str">
        <f ca="1">_xlfn.IFNA(INDEX('Livro Diário'!$F:$F,MATCH(Razonete!K$86&amp;$A93,'Livro Diário'!$N:$N,0),0),"")</f>
        <v/>
      </c>
      <c r="L93" s="7" t="str">
        <f ca="1">_xlfn.IFNA(INDEX('Livro Diário'!$F:$F,MATCH(Razonete!K$86&amp;$A93,'Livro Diário'!$O:$O,0),0),"")</f>
        <v/>
      </c>
      <c r="M93" s="78" t="str">
        <f ca="1">IF(L93&lt;&gt;"",INDEX('Livro Diário'!$B:$B,MATCH(Razonete!K$86&amp;$A93,'Livro Diário'!$O:$O,0),1),"")</f>
        <v/>
      </c>
      <c r="N93" s="85" t="str">
        <f ca="1">IF(O93&lt;&gt;"",INDEX('Livro Diário'!$B:$B,MATCH(Razonete!O$86&amp;$A93,'Livro Diário'!$N:$N,0),1),"")</f>
        <v/>
      </c>
      <c r="O93" t="str">
        <f ca="1">_xlfn.IFNA(INDEX('Livro Diário'!$F:$F,MATCH(Razonete!O$86&amp;$A93,'Livro Diário'!$N:$N,0),0),"")</f>
        <v/>
      </c>
      <c r="P93" s="7" t="str">
        <f ca="1">_xlfn.IFNA(INDEX('Livro Diário'!$F:$F,MATCH(Razonete!O$86&amp;$A93,'Livro Diário'!$O:$O,0),0),"")</f>
        <v/>
      </c>
      <c r="Q93" s="78" t="str">
        <f ca="1">IF(P93&lt;&gt;"",INDEX('Livro Diário'!$B:$B,MATCH(Razonete!O$86&amp;$A93,'Livro Diário'!$O:$O,0),1),"")</f>
        <v/>
      </c>
      <c r="R93" s="85" t="str">
        <f ca="1">IF(S93&lt;&gt;"",INDEX('Livro Diário'!$B:$B,MATCH(Razonete!S$86&amp;$A93,'Livro Diário'!$N:$N,0),1),"")</f>
        <v/>
      </c>
      <c r="S93" t="str">
        <f ca="1">_xlfn.IFNA(INDEX('Livro Diário'!$F:$F,MATCH(Razonete!S$86&amp;$A93,'Livro Diário'!$N:$N,0),0),"")</f>
        <v/>
      </c>
      <c r="T93" s="7" t="str">
        <f ca="1">_xlfn.IFNA(INDEX('Livro Diário'!$F:$F,MATCH(Razonete!S$86&amp;$A93,'Livro Diário'!$O:$O,0),0),"")</f>
        <v/>
      </c>
      <c r="U93" s="78" t="str">
        <f ca="1">IF(T93&lt;&gt;"",INDEX('Livro Diário'!$B:$B,MATCH(Razonete!S$86&amp;$A93,'Livro Diário'!$O:$O,0),1),"")</f>
        <v/>
      </c>
    </row>
    <row r="94" spans="1:21" ht="15.75" thickBot="1" x14ac:dyDescent="0.3">
      <c r="A94">
        <v>7</v>
      </c>
      <c r="B94" s="85" t="str">
        <f ca="1">IF(C94&lt;&gt;"",INDEX('Livro Diário'!$B:$B,MATCH(Razonete!C$86&amp;$A94,'Livro Diário'!$N:$N,0),1),"")</f>
        <v/>
      </c>
      <c r="C94" t="str">
        <f ca="1">_xlfn.IFNA(INDEX('Livro Diário'!$F:$F,MATCH(Razonete!C$86&amp;$A94,'Livro Diário'!$N:$N,0),0),"")</f>
        <v/>
      </c>
      <c r="D94" s="7" t="str">
        <f ca="1">_xlfn.IFNA(INDEX('Livro Diário'!$F:$F,MATCH(Razonete!C$86&amp;$A94,'Livro Diário'!$O:$O,0),0),"")</f>
        <v/>
      </c>
      <c r="E94" s="78" t="str">
        <f ca="1">IF(D94&lt;&gt;"",INDEX('Livro Diário'!$B:$B,MATCH(Razonete!C$86&amp;$A94,'Livro Diário'!$O:$O,0),1),"")</f>
        <v/>
      </c>
      <c r="F94" s="85" t="str">
        <f ca="1">IF(G94&lt;&gt;"",INDEX('Livro Diário'!$B:$B,MATCH(Razonete!G$86&amp;$A94,'Livro Diário'!$N:$N,0),1),"")</f>
        <v/>
      </c>
      <c r="G94" t="str">
        <f ca="1">_xlfn.IFNA(INDEX('Livro Diário'!$F:$F,MATCH(Razonete!G$86&amp;$A94,'Livro Diário'!$N:$N,0),0),"")</f>
        <v/>
      </c>
      <c r="H94" s="7" t="str">
        <f ca="1">_xlfn.IFNA(INDEX('Livro Diário'!$F:$F,MATCH(Razonete!G$86&amp;$A94,'Livro Diário'!$O:$O,0),0),"")</f>
        <v/>
      </c>
      <c r="I94" s="78" t="str">
        <f ca="1">IF(H94&lt;&gt;"",INDEX('Livro Diário'!$B:$B,MATCH(Razonete!G$86&amp;$A94,'Livro Diário'!$O:$O,0),1),"")</f>
        <v/>
      </c>
      <c r="J94" s="85" t="str">
        <f ca="1">IF(K94&lt;&gt;"",INDEX('Livro Diário'!$B:$B,MATCH(Razonete!K$86&amp;$A94,'Livro Diário'!$N:$N,0),1),"")</f>
        <v/>
      </c>
      <c r="K94" t="str">
        <f ca="1">_xlfn.IFNA(INDEX('Livro Diário'!$F:$F,MATCH(Razonete!K$86&amp;$A94,'Livro Diário'!$N:$N,0),0),"")</f>
        <v/>
      </c>
      <c r="L94" s="7" t="str">
        <f ca="1">_xlfn.IFNA(INDEX('Livro Diário'!$F:$F,MATCH(Razonete!K$86&amp;$A94,'Livro Diário'!$O:$O,0),0),"")</f>
        <v/>
      </c>
      <c r="M94" s="78" t="str">
        <f ca="1">IF(L94&lt;&gt;"",INDEX('Livro Diário'!$B:$B,MATCH(Razonete!K$86&amp;$A94,'Livro Diário'!$O:$O,0),1),"")</f>
        <v/>
      </c>
      <c r="N94" s="85" t="str">
        <f ca="1">IF(O94&lt;&gt;"",INDEX('Livro Diário'!$B:$B,MATCH(Razonete!O$86&amp;$A94,'Livro Diário'!$N:$N,0),1),"")</f>
        <v/>
      </c>
      <c r="O94" t="str">
        <f ca="1">_xlfn.IFNA(INDEX('Livro Diário'!$F:$F,MATCH(Razonete!O$86&amp;$A94,'Livro Diário'!$N:$N,0),0),"")</f>
        <v/>
      </c>
      <c r="P94" s="7" t="str">
        <f ca="1">_xlfn.IFNA(INDEX('Livro Diário'!$F:$F,MATCH(Razonete!O$86&amp;$A94,'Livro Diário'!$O:$O,0),0),"")</f>
        <v/>
      </c>
      <c r="Q94" s="78" t="str">
        <f ca="1">IF(P94&lt;&gt;"",INDEX('Livro Diário'!$B:$B,MATCH(Razonete!O$86&amp;$A94,'Livro Diário'!$O:$O,0),1),"")</f>
        <v/>
      </c>
      <c r="R94" s="85" t="str">
        <f ca="1">IF(S94&lt;&gt;"",INDEX('Livro Diário'!$B:$B,MATCH(Razonete!S$86&amp;$A94,'Livro Diário'!$N:$N,0),1),"")</f>
        <v/>
      </c>
      <c r="S94" t="str">
        <f ca="1">_xlfn.IFNA(INDEX('Livro Diário'!$F:$F,MATCH(Razonete!S$86&amp;$A94,'Livro Diário'!$N:$N,0),0),"")</f>
        <v/>
      </c>
      <c r="T94" s="7" t="str">
        <f ca="1">_xlfn.IFNA(INDEX('Livro Diário'!$F:$F,MATCH(Razonete!S$86&amp;$A94,'Livro Diário'!$O:$O,0),0),"")</f>
        <v/>
      </c>
      <c r="U94" s="78" t="str">
        <f ca="1">IF(T94&lt;&gt;"",INDEX('Livro Diário'!$B:$B,MATCH(Razonete!S$86&amp;$A94,'Livro Diário'!$O:$O,0),1),"")</f>
        <v/>
      </c>
    </row>
    <row r="95" spans="1:21" ht="16.5" thickTop="1" thickBot="1" x14ac:dyDescent="0.3">
      <c r="C95" s="83">
        <f ca="1">SUM(C87:C94)</f>
        <v>0</v>
      </c>
      <c r="D95" s="84">
        <f ca="1">SUM(D87:D94)</f>
        <v>0</v>
      </c>
      <c r="F95" s="85"/>
      <c r="G95" s="83">
        <f ca="1">SUM(G87:G94)</f>
        <v>450</v>
      </c>
      <c r="H95" s="84">
        <f ca="1">SUM(H87:H94)</f>
        <v>0</v>
      </c>
      <c r="J95" s="85"/>
      <c r="K95" s="83">
        <f ca="1">SUM(K87:K94)</f>
        <v>102</v>
      </c>
      <c r="L95" s="84">
        <f ca="1">SUM(L87:L94)</f>
        <v>0</v>
      </c>
      <c r="M95" s="78"/>
      <c r="N95" s="85"/>
      <c r="O95" s="83">
        <f ca="1">SUM(O87:O94)</f>
        <v>0</v>
      </c>
      <c r="P95" s="84">
        <f ca="1">SUM(P87:P94)</f>
        <v>0</v>
      </c>
      <c r="Q95" s="78"/>
      <c r="R95" s="85"/>
      <c r="S95" s="83">
        <f ca="1">SUM(S87:S94)</f>
        <v>0</v>
      </c>
      <c r="T95" s="84">
        <f ca="1">SUM(T87:T94)</f>
        <v>0</v>
      </c>
      <c r="U95" s="78"/>
    </row>
    <row r="96" spans="1:21" ht="15.75" thickTop="1" x14ac:dyDescent="0.25">
      <c r="C96" t="str">
        <f ca="1">IF(C95&gt;D95,C95-D95,"")</f>
        <v/>
      </c>
      <c r="D96" t="str">
        <f ca="1">IF(D95&gt;C95,D95-C95,"")</f>
        <v/>
      </c>
      <c r="F96" s="85"/>
      <c r="G96">
        <f ca="1">IF(G95&gt;H95,G95-H95,"")</f>
        <v>450</v>
      </c>
      <c r="H96" t="str">
        <f ca="1">IF(H95&gt;G95,H95-G95,"")</f>
        <v/>
      </c>
      <c r="J96" s="85"/>
      <c r="K96">
        <f ca="1">IF(K95&gt;L95,K95-L95,"")</f>
        <v>102</v>
      </c>
      <c r="L96" t="str">
        <f ca="1">IF(L95&gt;K95,L95-K95,"")</f>
        <v/>
      </c>
      <c r="M96" s="78"/>
      <c r="N96" s="85"/>
      <c r="O96" t="str">
        <f ca="1">IF(O95&gt;P95,O95-P95,"")</f>
        <v/>
      </c>
      <c r="P96" t="str">
        <f ca="1">IF(P95&gt;O95,P95-O95,"")</f>
        <v/>
      </c>
      <c r="Q96" s="78"/>
      <c r="R96" s="85"/>
      <c r="S96" t="str">
        <f ca="1">IF(S95&gt;T95,S95-T95,"")</f>
        <v/>
      </c>
      <c r="T96" t="str">
        <f ca="1">IF(T95&gt;S95,T95-S95,"")</f>
        <v/>
      </c>
      <c r="U96" s="78"/>
    </row>
    <row r="97" spans="1:21" x14ac:dyDescent="0.25">
      <c r="C97">
        <f>C85+5</f>
        <v>43</v>
      </c>
      <c r="G97">
        <f>G85+5</f>
        <v>44</v>
      </c>
      <c r="K97">
        <f>K85+5</f>
        <v>45</v>
      </c>
      <c r="O97">
        <f>O85+5</f>
        <v>46</v>
      </c>
      <c r="S97">
        <f>S85+5</f>
        <v>47</v>
      </c>
    </row>
    <row r="98" spans="1:21" x14ac:dyDescent="0.25">
      <c r="C98" s="138" t="str">
        <f ca="1">INDIRECT("Balancete!C"&amp;C97)</f>
        <v>CSP</v>
      </c>
      <c r="D98" s="138"/>
      <c r="G98" s="138" t="str">
        <f ca="1">INDIRECT("Balancete!C"&amp;G97)</f>
        <v>Despesa com Depreciação</v>
      </c>
      <c r="H98" s="138"/>
      <c r="K98" s="138" t="str">
        <f ca="1">INDIRECT("Balancete!C"&amp;K97)</f>
        <v>Despesa com PECLD</v>
      </c>
      <c r="L98" s="138"/>
      <c r="O98" s="138" t="str">
        <f ca="1">INDIRECT("Balancete!C"&amp;O97)</f>
        <v>Despesa Financeira</v>
      </c>
      <c r="P98" s="138"/>
      <c r="S98" s="138" t="str">
        <f ca="1">INDIRECT("Balancete!C"&amp;S97)</f>
        <v>IRPJ/CSLL</v>
      </c>
      <c r="T98" s="138"/>
    </row>
    <row r="99" spans="1:21" x14ac:dyDescent="0.25">
      <c r="A99">
        <v>98</v>
      </c>
      <c r="B99" s="85" t="s">
        <v>165</v>
      </c>
      <c r="C99" s="81" t="str">
        <f ca="1">IF(VLOOKUP(C98,Balancete!$C:$F,4,0)&gt;0,VLOOKUP(C98,Balancete!$C:$F,4,0),"")</f>
        <v/>
      </c>
      <c r="D99" s="82" t="str">
        <f ca="1">IF(VLOOKUP(C98,Balancete!$C:$G,5,0)&gt;0,VLOOKUP(C98,Balancete!$C:$G,5,0),"")</f>
        <v/>
      </c>
      <c r="F99" s="85" t="s">
        <v>165</v>
      </c>
      <c r="G99" s="81" t="str">
        <f ca="1">IF(VLOOKUP(G98,Balancete!$C:$F,4,0)&gt;0,VLOOKUP(G98,Balancete!$C:$F,4,0),"")</f>
        <v/>
      </c>
      <c r="H99" s="82" t="str">
        <f ca="1">IF(VLOOKUP(G98,Balancete!$C:$G,5,0)&gt;0,VLOOKUP(G98,Balancete!$C:$G,5,0),"")</f>
        <v/>
      </c>
      <c r="J99" s="85" t="s">
        <v>165</v>
      </c>
      <c r="K99" s="81" t="str">
        <f ca="1">IF(VLOOKUP(K98,Balancete!$C:$F,4,0)&gt;0,VLOOKUP(K98,Balancete!$C:$F,4,0),"")</f>
        <v/>
      </c>
      <c r="L99" s="82" t="str">
        <f ca="1">IF(VLOOKUP(K98,Balancete!$C:$G,5,0)&gt;0,VLOOKUP(K98,Balancete!$C:$G,5,0),"")</f>
        <v/>
      </c>
      <c r="M99" s="78"/>
      <c r="N99" s="85" t="s">
        <v>165</v>
      </c>
      <c r="O99" s="81" t="str">
        <f ca="1">IF(VLOOKUP(O98,Balancete!$C:$F,4,0)&gt;0,VLOOKUP(O98,Balancete!$C:$F,4,0),"")</f>
        <v/>
      </c>
      <c r="P99" s="82" t="str">
        <f ca="1">IF(VLOOKUP(O98,Balancete!$C:$G,5,0)&gt;0,VLOOKUP(O98,Balancete!$C:$G,5,0),"")</f>
        <v/>
      </c>
      <c r="Q99" s="78"/>
      <c r="R99" s="85" t="s">
        <v>165</v>
      </c>
      <c r="S99" s="81" t="str">
        <f ca="1">IF(VLOOKUP(S98,Balancete!$C:$F,4,0)&gt;0,VLOOKUP(S98,Balancete!$C:$F,4,0),"")</f>
        <v/>
      </c>
      <c r="T99" s="82" t="str">
        <f ca="1">IF(VLOOKUP(S98,Balancete!$C:$G,5,0)&gt;0,VLOOKUP(S98,Balancete!$C:$G,5,0),"")</f>
        <v/>
      </c>
      <c r="U99" s="78"/>
    </row>
    <row r="100" spans="1:21" x14ac:dyDescent="0.25">
      <c r="A100">
        <v>1</v>
      </c>
      <c r="B100" s="85" t="str">
        <f ca="1">IF(C100&lt;&gt;"",INDEX('Livro Diário'!$B:$B,MATCH(Razonete!C$98&amp;$A100,'Livro Diário'!$N:$N,0),1),"")</f>
        <v/>
      </c>
      <c r="C100" t="str">
        <f ca="1">_xlfn.IFNA(INDEX('Livro Diário'!$F:$F,MATCH(Razonete!C$98&amp;$A100,'Livro Diário'!$N:$N,0),0),"")</f>
        <v/>
      </c>
      <c r="D100" s="7" t="str">
        <f ca="1">_xlfn.IFNA(INDEX('Livro Diário'!$F:$F,MATCH(Razonete!C$98&amp;$A100,'Livro Diário'!$O:$O,0),0),"")</f>
        <v/>
      </c>
      <c r="E100" s="78" t="str">
        <f ca="1">IF(D100&lt;&gt;"",INDEX('Livro Diário'!$B:$B,MATCH(Razonete!C$98&amp;$A100,'Livro Diário'!$O:$O,0),1),"")</f>
        <v/>
      </c>
      <c r="F100" s="85" t="str">
        <f ca="1">IF(G100&lt;&gt;"",INDEX('Livro Diário'!$B:$B,MATCH(Razonete!G$98&amp;$A100,'Livro Diário'!$N:$N,0),1),"")</f>
        <v/>
      </c>
      <c r="G100" t="str">
        <f ca="1">_xlfn.IFNA(INDEX('Livro Diário'!$F:$F,MATCH(Razonete!G$98&amp;$A100,'Livro Diário'!$N:$N,0),0),"")</f>
        <v/>
      </c>
      <c r="H100" s="7" t="str">
        <f ca="1">_xlfn.IFNA(INDEX('Livro Diário'!$F:$F,MATCH(Razonete!G$98&amp;$A100,'Livro Diário'!$O:$O,0),0),"")</f>
        <v/>
      </c>
      <c r="I100" s="78" t="str">
        <f ca="1">IF(H100&lt;&gt;"",INDEX('Livro Diário'!$B:$B,MATCH(Razonete!G$98&amp;$A100,'Livro Diário'!$O:$O,0),1),"")</f>
        <v/>
      </c>
      <c r="J100" s="85" t="str">
        <f ca="1">IF(K100&lt;&gt;"",INDEX('Livro Diário'!$B:$B,MATCH(Razonete!K$98&amp;$A100,'Livro Diário'!$N:$N,0),1),"")</f>
        <v/>
      </c>
      <c r="K100" t="str">
        <f ca="1">_xlfn.IFNA(INDEX('Livro Diário'!$F:$F,MATCH(Razonete!K$98&amp;$A100,'Livro Diário'!$N:$N,0),0),"")</f>
        <v/>
      </c>
      <c r="L100" s="7" t="str">
        <f ca="1">_xlfn.IFNA(INDEX('Livro Diário'!$F:$F,MATCH(Razonete!K$98&amp;$A100,'Livro Diário'!$O:$O,0),0),"")</f>
        <v/>
      </c>
      <c r="M100" s="78" t="str">
        <f ca="1">IF(L100&lt;&gt;"",INDEX('Livro Diário'!$B:$B,MATCH(Razonete!K$98&amp;$A100,'Livro Diário'!$O:$O,0),1),"")</f>
        <v/>
      </c>
      <c r="N100" s="85">
        <f ca="1">IF(O100&lt;&gt;"",INDEX('Livro Diário'!$B:$B,MATCH(Razonete!O$98&amp;$A100,'Livro Diário'!$N:$N,0),1),"")</f>
        <v>44564</v>
      </c>
      <c r="O100">
        <f ca="1">_xlfn.IFNA(INDEX('Livro Diário'!$F:$F,MATCH(Razonete!O$98&amp;$A100,'Livro Diário'!$N:$N,0),0),"")</f>
        <v>1.29</v>
      </c>
      <c r="P100" s="7" t="str">
        <f ca="1">_xlfn.IFNA(INDEX('Livro Diário'!$F:$F,MATCH(Razonete!O$98&amp;$A100,'Livro Diário'!$O:$O,0),0),"")</f>
        <v/>
      </c>
      <c r="Q100" s="78" t="str">
        <f ca="1">IF(P100&lt;&gt;"",INDEX('Livro Diário'!$B:$B,MATCH(Razonete!O$98&amp;$A100,'Livro Diário'!$O:$O,0),1),"")</f>
        <v/>
      </c>
      <c r="R100" s="85" t="str">
        <f ca="1">IF(S100&lt;&gt;"",INDEX('Livro Diário'!$B:$B,MATCH(Razonete!S$98&amp;$A100,'Livro Diário'!$N:$N,0),1),"")</f>
        <v/>
      </c>
      <c r="S100" t="str">
        <f ca="1">_xlfn.IFNA(INDEX('Livro Diário'!$F:$F,MATCH(Razonete!S$98&amp;$A100,'Livro Diário'!$N:$N,0),0),"")</f>
        <v/>
      </c>
      <c r="T100" s="7" t="str">
        <f ca="1">_xlfn.IFNA(INDEX('Livro Diário'!$F:$F,MATCH(Razonete!S$98&amp;$A100,'Livro Diário'!$O:$O,0),0),"")</f>
        <v/>
      </c>
      <c r="U100" s="78" t="str">
        <f ca="1">IF(T100&lt;&gt;"",INDEX('Livro Diário'!$B:$B,MATCH(Razonete!S$98&amp;$A100,'Livro Diário'!$O:$O,0),1),"")</f>
        <v/>
      </c>
    </row>
    <row r="101" spans="1:21" x14ac:dyDescent="0.25">
      <c r="A101">
        <v>2</v>
      </c>
      <c r="B101" s="85" t="str">
        <f ca="1">IF(C101&lt;&gt;"",INDEX('Livro Diário'!$B:$B,MATCH(Razonete!C$98&amp;$A101,'Livro Diário'!$N:$N,0),1),"")</f>
        <v/>
      </c>
      <c r="C101" t="str">
        <f ca="1">_xlfn.IFNA(INDEX('Livro Diário'!$F:$F,MATCH(Razonete!C$98&amp;$A101,'Livro Diário'!$N:$N,0),0),"")</f>
        <v/>
      </c>
      <c r="D101" s="7" t="str">
        <f ca="1">_xlfn.IFNA(INDEX('Livro Diário'!$F:$F,MATCH(Razonete!C$98&amp;$A101,'Livro Diário'!$O:$O,0),0),"")</f>
        <v/>
      </c>
      <c r="E101" s="78" t="str">
        <f ca="1">IF(D101&lt;&gt;"",INDEX('Livro Diário'!$B:$B,MATCH(Razonete!C$98&amp;$A101,'Livro Diário'!$O:$O,0),1),"")</f>
        <v/>
      </c>
      <c r="F101" s="85" t="str">
        <f ca="1">IF(G101&lt;&gt;"",INDEX('Livro Diário'!$B:$B,MATCH(Razonete!G$98&amp;$A101,'Livro Diário'!$N:$N,0),1),"")</f>
        <v/>
      </c>
      <c r="G101" t="str">
        <f ca="1">_xlfn.IFNA(INDEX('Livro Diário'!$F:$F,MATCH(Razonete!G$98&amp;$A101,'Livro Diário'!$N:$N,0),0),"")</f>
        <v/>
      </c>
      <c r="H101" s="7" t="str">
        <f ca="1">_xlfn.IFNA(INDEX('Livro Diário'!$F:$F,MATCH(Razonete!G$98&amp;$A101,'Livro Diário'!$O:$O,0),0),"")</f>
        <v/>
      </c>
      <c r="I101" s="78" t="str">
        <f ca="1">IF(H101&lt;&gt;"",INDEX('Livro Diário'!$B:$B,MATCH(Razonete!G$98&amp;$A101,'Livro Diário'!$O:$O,0),1),"")</f>
        <v/>
      </c>
      <c r="J101" s="85" t="str">
        <f ca="1">IF(K101&lt;&gt;"",INDEX('Livro Diário'!$B:$B,MATCH(Razonete!K$98&amp;$A101,'Livro Diário'!$N:$N,0),1),"")</f>
        <v/>
      </c>
      <c r="K101" t="str">
        <f ca="1">_xlfn.IFNA(INDEX('Livro Diário'!$F:$F,MATCH(Razonete!K$98&amp;$A101,'Livro Diário'!$N:$N,0),0),"")</f>
        <v/>
      </c>
      <c r="L101" s="7" t="str">
        <f ca="1">_xlfn.IFNA(INDEX('Livro Diário'!$F:$F,MATCH(Razonete!K$98&amp;$A101,'Livro Diário'!$O:$O,0),0),"")</f>
        <v/>
      </c>
      <c r="M101" s="78" t="str">
        <f ca="1">IF(L101&lt;&gt;"",INDEX('Livro Diário'!$B:$B,MATCH(Razonete!K$98&amp;$A101,'Livro Diário'!$O:$O,0),1),"")</f>
        <v/>
      </c>
      <c r="N101" s="85">
        <f ca="1">IF(O101&lt;&gt;"",INDEX('Livro Diário'!$B:$B,MATCH(Razonete!O$98&amp;$A101,'Livro Diário'!$N:$N,0),1),"")</f>
        <v>44564</v>
      </c>
      <c r="O101">
        <f ca="1">_xlfn.IFNA(INDEX('Livro Diário'!$F:$F,MATCH(Razonete!O$98&amp;$A101,'Livro Diário'!$N:$N,0),0),"")</f>
        <v>11.17</v>
      </c>
      <c r="P101" s="7" t="str">
        <f ca="1">_xlfn.IFNA(INDEX('Livro Diário'!$F:$F,MATCH(Razonete!O$98&amp;$A101,'Livro Diário'!$O:$O,0),0),"")</f>
        <v/>
      </c>
      <c r="Q101" s="78" t="str">
        <f ca="1">IF(P101&lt;&gt;"",INDEX('Livro Diário'!$B:$B,MATCH(Razonete!O$98&amp;$A101,'Livro Diário'!$O:$O,0),1),"")</f>
        <v/>
      </c>
      <c r="R101" s="85" t="str">
        <f ca="1">IF(S101&lt;&gt;"",INDEX('Livro Diário'!$B:$B,MATCH(Razonete!S$98&amp;$A101,'Livro Diário'!$N:$N,0),1),"")</f>
        <v/>
      </c>
      <c r="S101" t="str">
        <f ca="1">_xlfn.IFNA(INDEX('Livro Diário'!$F:$F,MATCH(Razonete!S$98&amp;$A101,'Livro Diário'!$N:$N,0),0),"")</f>
        <v/>
      </c>
      <c r="T101" s="7" t="str">
        <f ca="1">_xlfn.IFNA(INDEX('Livro Diário'!$F:$F,MATCH(Razonete!S$98&amp;$A101,'Livro Diário'!$O:$O,0),0),"")</f>
        <v/>
      </c>
      <c r="U101" s="78" t="str">
        <f ca="1">IF(T101&lt;&gt;"",INDEX('Livro Diário'!$B:$B,MATCH(Razonete!S$98&amp;$A101,'Livro Diário'!$O:$O,0),1),"")</f>
        <v/>
      </c>
    </row>
    <row r="102" spans="1:21" x14ac:dyDescent="0.25">
      <c r="A102">
        <v>3</v>
      </c>
      <c r="B102" s="85" t="str">
        <f ca="1">IF(C102&lt;&gt;"",INDEX('Livro Diário'!$B:$B,MATCH(Razonete!C$98&amp;$A102,'Livro Diário'!$N:$N,0),1),"")</f>
        <v/>
      </c>
      <c r="C102" t="str">
        <f ca="1">_xlfn.IFNA(INDEX('Livro Diário'!$F:$F,MATCH(Razonete!C$98&amp;$A102,'Livro Diário'!$N:$N,0),0),"")</f>
        <v/>
      </c>
      <c r="D102" s="7" t="str">
        <f ca="1">_xlfn.IFNA(INDEX('Livro Diário'!$F:$F,MATCH(Razonete!C$98&amp;$A102,'Livro Diário'!$O:$O,0),0),"")</f>
        <v/>
      </c>
      <c r="E102" s="78" t="str">
        <f ca="1">IF(D102&lt;&gt;"",INDEX('Livro Diário'!$B:$B,MATCH(Razonete!C$98&amp;$A102,'Livro Diário'!$O:$O,0),1),"")</f>
        <v/>
      </c>
      <c r="F102" s="85" t="str">
        <f ca="1">IF(G102&lt;&gt;"",INDEX('Livro Diário'!$B:$B,MATCH(Razonete!G$98&amp;$A102,'Livro Diário'!$N:$N,0),1),"")</f>
        <v/>
      </c>
      <c r="G102" t="str">
        <f ca="1">_xlfn.IFNA(INDEX('Livro Diário'!$F:$F,MATCH(Razonete!G$98&amp;$A102,'Livro Diário'!$N:$N,0),0),"")</f>
        <v/>
      </c>
      <c r="H102" s="7" t="str">
        <f ca="1">_xlfn.IFNA(INDEX('Livro Diário'!$F:$F,MATCH(Razonete!G$98&amp;$A102,'Livro Diário'!$O:$O,0),0),"")</f>
        <v/>
      </c>
      <c r="I102" s="78" t="str">
        <f ca="1">IF(H102&lt;&gt;"",INDEX('Livro Diário'!$B:$B,MATCH(Razonete!G$98&amp;$A102,'Livro Diário'!$O:$O,0),1),"")</f>
        <v/>
      </c>
      <c r="J102" s="85" t="str">
        <f ca="1">IF(K102&lt;&gt;"",INDEX('Livro Diário'!$B:$B,MATCH(Razonete!K$98&amp;$A102,'Livro Diário'!$N:$N,0),1),"")</f>
        <v/>
      </c>
      <c r="K102" t="str">
        <f ca="1">_xlfn.IFNA(INDEX('Livro Diário'!$F:$F,MATCH(Razonete!K$98&amp;$A102,'Livro Diário'!$N:$N,0),0),"")</f>
        <v/>
      </c>
      <c r="L102" s="7" t="str">
        <f ca="1">_xlfn.IFNA(INDEX('Livro Diário'!$F:$F,MATCH(Razonete!K$98&amp;$A102,'Livro Diário'!$O:$O,0),0),"")</f>
        <v/>
      </c>
      <c r="M102" s="78" t="str">
        <f ca="1">IF(L102&lt;&gt;"",INDEX('Livro Diário'!$B:$B,MATCH(Razonete!K$98&amp;$A102,'Livro Diário'!$O:$O,0),1),"")</f>
        <v/>
      </c>
      <c r="N102" s="85">
        <f ca="1">IF(O102&lt;&gt;"",INDEX('Livro Diário'!$B:$B,MATCH(Razonete!O$98&amp;$A102,'Livro Diário'!$N:$N,0),1),"")</f>
        <v>44565</v>
      </c>
      <c r="O102">
        <f ca="1">_xlfn.IFNA(INDEX('Livro Diário'!$F:$F,MATCH(Razonete!O$98&amp;$A102,'Livro Diário'!$N:$N,0),0),"")</f>
        <v>0.38</v>
      </c>
      <c r="P102" s="7" t="str">
        <f ca="1">_xlfn.IFNA(INDEX('Livro Diário'!$F:$F,MATCH(Razonete!O$98&amp;$A102,'Livro Diário'!$O:$O,0),0),"")</f>
        <v/>
      </c>
      <c r="Q102" s="78" t="str">
        <f ca="1">IF(P102&lt;&gt;"",INDEX('Livro Diário'!$B:$B,MATCH(Razonete!O$98&amp;$A102,'Livro Diário'!$O:$O,0),1),"")</f>
        <v/>
      </c>
      <c r="R102" s="85" t="str">
        <f ca="1">IF(S102&lt;&gt;"",INDEX('Livro Diário'!$B:$B,MATCH(Razonete!S$98&amp;$A102,'Livro Diário'!$N:$N,0),1),"")</f>
        <v/>
      </c>
      <c r="S102" t="str">
        <f ca="1">_xlfn.IFNA(INDEX('Livro Diário'!$F:$F,MATCH(Razonete!S$98&amp;$A102,'Livro Diário'!$N:$N,0),0),"")</f>
        <v/>
      </c>
      <c r="T102" s="7" t="str">
        <f ca="1">_xlfn.IFNA(INDEX('Livro Diário'!$F:$F,MATCH(Razonete!S$98&amp;$A102,'Livro Diário'!$O:$O,0),0),"")</f>
        <v/>
      </c>
      <c r="U102" s="78" t="str">
        <f ca="1">IF(T102&lt;&gt;"",INDEX('Livro Diário'!$B:$B,MATCH(Razonete!S$98&amp;$A102,'Livro Diário'!$O:$O,0),1),"")</f>
        <v/>
      </c>
    </row>
    <row r="103" spans="1:21" x14ac:dyDescent="0.25">
      <c r="A103">
        <v>4</v>
      </c>
      <c r="B103" s="85" t="str">
        <f ca="1">IF(C103&lt;&gt;"",INDEX('Livro Diário'!$B:$B,MATCH(Razonete!C$98&amp;$A103,'Livro Diário'!$N:$N,0),1),"")</f>
        <v/>
      </c>
      <c r="C103" t="str">
        <f ca="1">_xlfn.IFNA(INDEX('Livro Diário'!$F:$F,MATCH(Razonete!C$98&amp;$A103,'Livro Diário'!$N:$N,0),0),"")</f>
        <v/>
      </c>
      <c r="D103" s="7" t="str">
        <f ca="1">_xlfn.IFNA(INDEX('Livro Diário'!$F:$F,MATCH(Razonete!C$98&amp;$A103,'Livro Diário'!$O:$O,0),0),"")</f>
        <v/>
      </c>
      <c r="E103" s="78" t="str">
        <f ca="1">IF(D103&lt;&gt;"",INDEX('Livro Diário'!$B:$B,MATCH(Razonete!C$98&amp;$A103,'Livro Diário'!$O:$O,0),1),"")</f>
        <v/>
      </c>
      <c r="F103" s="85" t="str">
        <f ca="1">IF(G103&lt;&gt;"",INDEX('Livro Diário'!$B:$B,MATCH(Razonete!G$98&amp;$A103,'Livro Diário'!$N:$N,0),1),"")</f>
        <v/>
      </c>
      <c r="G103" t="str">
        <f ca="1">_xlfn.IFNA(INDEX('Livro Diário'!$F:$F,MATCH(Razonete!G$98&amp;$A103,'Livro Diário'!$N:$N,0),0),"")</f>
        <v/>
      </c>
      <c r="H103" s="7" t="str">
        <f ca="1">_xlfn.IFNA(INDEX('Livro Diário'!$F:$F,MATCH(Razonete!G$98&amp;$A103,'Livro Diário'!$O:$O,0),0),"")</f>
        <v/>
      </c>
      <c r="I103" s="78" t="str">
        <f ca="1">IF(H103&lt;&gt;"",INDEX('Livro Diário'!$B:$B,MATCH(Razonete!G$98&amp;$A103,'Livro Diário'!$O:$O,0),1),"")</f>
        <v/>
      </c>
      <c r="J103" s="85" t="str">
        <f ca="1">IF(K103&lt;&gt;"",INDEX('Livro Diário'!$B:$B,MATCH(Razonete!K$98&amp;$A103,'Livro Diário'!$N:$N,0),1),"")</f>
        <v/>
      </c>
      <c r="K103" t="str">
        <f ca="1">_xlfn.IFNA(INDEX('Livro Diário'!$F:$F,MATCH(Razonete!K$98&amp;$A103,'Livro Diário'!$N:$N,0),0),"")</f>
        <v/>
      </c>
      <c r="L103" s="7" t="str">
        <f ca="1">_xlfn.IFNA(INDEX('Livro Diário'!$F:$F,MATCH(Razonete!K$98&amp;$A103,'Livro Diário'!$O:$O,0),0),"")</f>
        <v/>
      </c>
      <c r="M103" s="78" t="str">
        <f ca="1">IF(L103&lt;&gt;"",INDEX('Livro Diário'!$B:$B,MATCH(Razonete!K$98&amp;$A103,'Livro Diário'!$O:$O,0),1),"")</f>
        <v/>
      </c>
      <c r="N103" s="85" t="str">
        <f ca="1">IF(O103&lt;&gt;"",INDEX('Livro Diário'!$B:$B,MATCH(Razonete!O$98&amp;$A103,'Livro Diário'!$N:$N,0),1),"")</f>
        <v/>
      </c>
      <c r="O103" t="str">
        <f ca="1">_xlfn.IFNA(INDEX('Livro Diário'!$F:$F,MATCH(Razonete!O$98&amp;$A103,'Livro Diário'!$N:$N,0),0),"")</f>
        <v/>
      </c>
      <c r="P103" s="7" t="str">
        <f ca="1">_xlfn.IFNA(INDEX('Livro Diário'!$F:$F,MATCH(Razonete!O$98&amp;$A103,'Livro Diário'!$O:$O,0),0),"")</f>
        <v/>
      </c>
      <c r="Q103" s="78" t="str">
        <f ca="1">IF(P103&lt;&gt;"",INDEX('Livro Diário'!$B:$B,MATCH(Razonete!O$98&amp;$A103,'Livro Diário'!$O:$O,0),1),"")</f>
        <v/>
      </c>
      <c r="R103" s="85" t="str">
        <f ca="1">IF(S103&lt;&gt;"",INDEX('Livro Diário'!$B:$B,MATCH(Razonete!S$98&amp;$A103,'Livro Diário'!$N:$N,0),1),"")</f>
        <v/>
      </c>
      <c r="S103" t="str">
        <f ca="1">_xlfn.IFNA(INDEX('Livro Diário'!$F:$F,MATCH(Razonete!S$98&amp;$A103,'Livro Diário'!$N:$N,0),0),"")</f>
        <v/>
      </c>
      <c r="T103" s="7" t="str">
        <f ca="1">_xlfn.IFNA(INDEX('Livro Diário'!$F:$F,MATCH(Razonete!S$98&amp;$A103,'Livro Diário'!$O:$O,0),0),"")</f>
        <v/>
      </c>
      <c r="U103" s="78" t="str">
        <f ca="1">IF(T103&lt;&gt;"",INDEX('Livro Diário'!$B:$B,MATCH(Razonete!S$98&amp;$A103,'Livro Diário'!$O:$O,0),1),"")</f>
        <v/>
      </c>
    </row>
    <row r="104" spans="1:21" x14ac:dyDescent="0.25">
      <c r="A104">
        <v>5</v>
      </c>
      <c r="B104" s="85" t="str">
        <f ca="1">IF(C104&lt;&gt;"",INDEX('Livro Diário'!$B:$B,MATCH(Razonete!C$98&amp;$A104,'Livro Diário'!$N:$N,0),1),"")</f>
        <v/>
      </c>
      <c r="C104" t="str">
        <f ca="1">_xlfn.IFNA(INDEX('Livro Diário'!$F:$F,MATCH(Razonete!C$98&amp;$A104,'Livro Diário'!$N:$N,0),0),"")</f>
        <v/>
      </c>
      <c r="D104" s="7" t="str">
        <f ca="1">_xlfn.IFNA(INDEX('Livro Diário'!$F:$F,MATCH(Razonete!C$98&amp;$A104,'Livro Diário'!$O:$O,0),0),"")</f>
        <v/>
      </c>
      <c r="E104" s="78" t="str">
        <f ca="1">IF(D104&lt;&gt;"",INDEX('Livro Diário'!$B:$B,MATCH(Razonete!C$98&amp;$A104,'Livro Diário'!$O:$O,0),1),"")</f>
        <v/>
      </c>
      <c r="F104" s="85" t="str">
        <f ca="1">IF(G104&lt;&gt;"",INDEX('Livro Diário'!$B:$B,MATCH(Razonete!G$98&amp;$A104,'Livro Diário'!$N:$N,0),1),"")</f>
        <v/>
      </c>
      <c r="G104" t="str">
        <f ca="1">_xlfn.IFNA(INDEX('Livro Diário'!$F:$F,MATCH(Razonete!G$98&amp;$A104,'Livro Diário'!$N:$N,0),0),"")</f>
        <v/>
      </c>
      <c r="H104" s="7" t="str">
        <f ca="1">_xlfn.IFNA(INDEX('Livro Diário'!$F:$F,MATCH(Razonete!G$98&amp;$A104,'Livro Diário'!$O:$O,0),0),"")</f>
        <v/>
      </c>
      <c r="I104" s="78" t="str">
        <f ca="1">IF(H104&lt;&gt;"",INDEX('Livro Diário'!$B:$B,MATCH(Razonete!G$98&amp;$A104,'Livro Diário'!$O:$O,0),1),"")</f>
        <v/>
      </c>
      <c r="J104" s="85" t="str">
        <f ca="1">IF(K104&lt;&gt;"",INDEX('Livro Diário'!$B:$B,MATCH(Razonete!K$98&amp;$A104,'Livro Diário'!$N:$N,0),1),"")</f>
        <v/>
      </c>
      <c r="K104" t="str">
        <f ca="1">_xlfn.IFNA(INDEX('Livro Diário'!$F:$F,MATCH(Razonete!K$98&amp;$A104,'Livro Diário'!$N:$N,0),0),"")</f>
        <v/>
      </c>
      <c r="L104" s="7" t="str">
        <f ca="1">_xlfn.IFNA(INDEX('Livro Diário'!$F:$F,MATCH(Razonete!K$98&amp;$A104,'Livro Diário'!$O:$O,0),0),"")</f>
        <v/>
      </c>
      <c r="M104" s="78" t="str">
        <f ca="1">IF(L104&lt;&gt;"",INDEX('Livro Diário'!$B:$B,MATCH(Razonete!K$98&amp;$A104,'Livro Diário'!$O:$O,0),1),"")</f>
        <v/>
      </c>
      <c r="N104" s="85" t="str">
        <f ca="1">IF(O104&lt;&gt;"",INDEX('Livro Diário'!$B:$B,MATCH(Razonete!O$98&amp;$A104,'Livro Diário'!$N:$N,0),1),"")</f>
        <v/>
      </c>
      <c r="O104" t="str">
        <f ca="1">_xlfn.IFNA(INDEX('Livro Diário'!$F:$F,MATCH(Razonete!O$98&amp;$A104,'Livro Diário'!$N:$N,0),0),"")</f>
        <v/>
      </c>
      <c r="P104" s="7" t="str">
        <f ca="1">_xlfn.IFNA(INDEX('Livro Diário'!$F:$F,MATCH(Razonete!O$98&amp;$A104,'Livro Diário'!$O:$O,0),0),"")</f>
        <v/>
      </c>
      <c r="Q104" s="78" t="str">
        <f ca="1">IF(P104&lt;&gt;"",INDEX('Livro Diário'!$B:$B,MATCH(Razonete!O$98&amp;$A104,'Livro Diário'!$O:$O,0),1),"")</f>
        <v/>
      </c>
      <c r="R104" s="85" t="str">
        <f ca="1">IF(S104&lt;&gt;"",INDEX('Livro Diário'!$B:$B,MATCH(Razonete!S$98&amp;$A104,'Livro Diário'!$N:$N,0),1),"")</f>
        <v/>
      </c>
      <c r="S104" t="str">
        <f ca="1">_xlfn.IFNA(INDEX('Livro Diário'!$F:$F,MATCH(Razonete!S$98&amp;$A104,'Livro Diário'!$N:$N,0),0),"")</f>
        <v/>
      </c>
      <c r="T104" s="7" t="str">
        <f ca="1">_xlfn.IFNA(INDEX('Livro Diário'!$F:$F,MATCH(Razonete!S$98&amp;$A104,'Livro Diário'!$O:$O,0),0),"")</f>
        <v/>
      </c>
      <c r="U104" s="78" t="str">
        <f ca="1">IF(T104&lt;&gt;"",INDEX('Livro Diário'!$B:$B,MATCH(Razonete!S$98&amp;$A104,'Livro Diário'!$O:$O,0),1),"")</f>
        <v/>
      </c>
    </row>
    <row r="105" spans="1:21" x14ac:dyDescent="0.25">
      <c r="A105">
        <v>6</v>
      </c>
      <c r="B105" s="85" t="str">
        <f ca="1">IF(C105&lt;&gt;"",INDEX('Livro Diário'!$B:$B,MATCH(Razonete!C$98&amp;$A105,'Livro Diário'!$N:$N,0),1),"")</f>
        <v/>
      </c>
      <c r="C105" t="str">
        <f ca="1">_xlfn.IFNA(INDEX('Livro Diário'!$F:$F,MATCH(Razonete!C$98&amp;$A105,'Livro Diário'!$N:$N,0),0),"")</f>
        <v/>
      </c>
      <c r="D105" s="7" t="str">
        <f ca="1">_xlfn.IFNA(INDEX('Livro Diário'!$F:$F,MATCH(Razonete!C$98&amp;$A105,'Livro Diário'!$O:$O,0),0),"")</f>
        <v/>
      </c>
      <c r="E105" s="78" t="str">
        <f ca="1">IF(D105&lt;&gt;"",INDEX('Livro Diário'!$B:$B,MATCH(Razonete!C$98&amp;$A105,'Livro Diário'!$O:$O,0),1),"")</f>
        <v/>
      </c>
      <c r="F105" s="85" t="str">
        <f ca="1">IF(G105&lt;&gt;"",INDEX('Livro Diário'!$B:$B,MATCH(Razonete!G$98&amp;$A105,'Livro Diário'!$N:$N,0),1),"")</f>
        <v/>
      </c>
      <c r="G105" t="str">
        <f ca="1">_xlfn.IFNA(INDEX('Livro Diário'!$F:$F,MATCH(Razonete!G$98&amp;$A105,'Livro Diário'!$N:$N,0),0),"")</f>
        <v/>
      </c>
      <c r="H105" s="7" t="str">
        <f ca="1">_xlfn.IFNA(INDEX('Livro Diário'!$F:$F,MATCH(Razonete!G$98&amp;$A105,'Livro Diário'!$O:$O,0),0),"")</f>
        <v/>
      </c>
      <c r="I105" s="78" t="str">
        <f ca="1">IF(H105&lt;&gt;"",INDEX('Livro Diário'!$B:$B,MATCH(Razonete!G$98&amp;$A105,'Livro Diário'!$O:$O,0),1),"")</f>
        <v/>
      </c>
      <c r="J105" s="85" t="str">
        <f ca="1">IF(K105&lt;&gt;"",INDEX('Livro Diário'!$B:$B,MATCH(Razonete!K$98&amp;$A105,'Livro Diário'!$N:$N,0),1),"")</f>
        <v/>
      </c>
      <c r="K105" t="str">
        <f ca="1">_xlfn.IFNA(INDEX('Livro Diário'!$F:$F,MATCH(Razonete!K$98&amp;$A105,'Livro Diário'!$N:$N,0),0),"")</f>
        <v/>
      </c>
      <c r="L105" s="7" t="str">
        <f ca="1">_xlfn.IFNA(INDEX('Livro Diário'!$F:$F,MATCH(Razonete!K$98&amp;$A105,'Livro Diário'!$O:$O,0),0),"")</f>
        <v/>
      </c>
      <c r="M105" s="78" t="str">
        <f ca="1">IF(L105&lt;&gt;"",INDEX('Livro Diário'!$B:$B,MATCH(Razonete!K$98&amp;$A105,'Livro Diário'!$O:$O,0),1),"")</f>
        <v/>
      </c>
      <c r="N105" s="85" t="str">
        <f ca="1">IF(O105&lt;&gt;"",INDEX('Livro Diário'!$B:$B,MATCH(Razonete!O$98&amp;$A105,'Livro Diário'!$N:$N,0),1),"")</f>
        <v/>
      </c>
      <c r="O105" t="str">
        <f ca="1">_xlfn.IFNA(INDEX('Livro Diário'!$F:$F,MATCH(Razonete!O$98&amp;$A105,'Livro Diário'!$N:$N,0),0),"")</f>
        <v/>
      </c>
      <c r="P105" s="7" t="str">
        <f ca="1">_xlfn.IFNA(INDEX('Livro Diário'!$F:$F,MATCH(Razonete!O$98&amp;$A105,'Livro Diário'!$O:$O,0),0),"")</f>
        <v/>
      </c>
      <c r="Q105" s="78" t="str">
        <f ca="1">IF(P105&lt;&gt;"",INDEX('Livro Diário'!$B:$B,MATCH(Razonete!O$98&amp;$A105,'Livro Diário'!$O:$O,0),1),"")</f>
        <v/>
      </c>
      <c r="R105" s="85" t="str">
        <f ca="1">IF(S105&lt;&gt;"",INDEX('Livro Diário'!$B:$B,MATCH(Razonete!S$98&amp;$A105,'Livro Diário'!$N:$N,0),1),"")</f>
        <v/>
      </c>
      <c r="S105" t="str">
        <f ca="1">_xlfn.IFNA(INDEX('Livro Diário'!$F:$F,MATCH(Razonete!S$98&amp;$A105,'Livro Diário'!$N:$N,0),0),"")</f>
        <v/>
      </c>
      <c r="T105" s="7" t="str">
        <f ca="1">_xlfn.IFNA(INDEX('Livro Diário'!$F:$F,MATCH(Razonete!S$98&amp;$A105,'Livro Diário'!$O:$O,0),0),"")</f>
        <v/>
      </c>
      <c r="U105" s="78" t="str">
        <f ca="1">IF(T105&lt;&gt;"",INDEX('Livro Diário'!$B:$B,MATCH(Razonete!S$98&amp;$A105,'Livro Diário'!$O:$O,0),1),"")</f>
        <v/>
      </c>
    </row>
    <row r="106" spans="1:21" ht="15.75" thickBot="1" x14ac:dyDescent="0.3">
      <c r="A106">
        <v>7</v>
      </c>
      <c r="B106" s="85" t="str">
        <f ca="1">IF(C106&lt;&gt;"",INDEX('Livro Diário'!$B:$B,MATCH(Razonete!C$98&amp;$A106,'Livro Diário'!$N:$N,0),1),"")</f>
        <v/>
      </c>
      <c r="C106" t="str">
        <f ca="1">_xlfn.IFNA(INDEX('Livro Diário'!$F:$F,MATCH(Razonete!C$98&amp;$A106,'Livro Diário'!$N:$N,0),0),"")</f>
        <v/>
      </c>
      <c r="D106" s="7" t="str">
        <f ca="1">_xlfn.IFNA(INDEX('Livro Diário'!$F:$F,MATCH(Razonete!C$98&amp;$A106,'Livro Diário'!$O:$O,0),0),"")</f>
        <v/>
      </c>
      <c r="E106" s="78" t="str">
        <f ca="1">IF(D106&lt;&gt;"",INDEX('Livro Diário'!$B:$B,MATCH(Razonete!C$98&amp;$A106,'Livro Diário'!$O:$O,0),1),"")</f>
        <v/>
      </c>
      <c r="F106" s="85" t="str">
        <f ca="1">IF(G106&lt;&gt;"",INDEX('Livro Diário'!$B:$B,MATCH(Razonete!G$98&amp;$A106,'Livro Diário'!$N:$N,0),1),"")</f>
        <v/>
      </c>
      <c r="G106" t="str">
        <f ca="1">_xlfn.IFNA(INDEX('Livro Diário'!$F:$F,MATCH(Razonete!G$98&amp;$A106,'Livro Diário'!$N:$N,0),0),"")</f>
        <v/>
      </c>
      <c r="H106" s="7" t="str">
        <f ca="1">_xlfn.IFNA(INDEX('Livro Diário'!$F:$F,MATCH(Razonete!G$98&amp;$A106,'Livro Diário'!$O:$O,0),0),"")</f>
        <v/>
      </c>
      <c r="I106" s="78" t="str">
        <f ca="1">IF(H106&lt;&gt;"",INDEX('Livro Diário'!$B:$B,MATCH(Razonete!G$98&amp;$A106,'Livro Diário'!$O:$O,0),1),"")</f>
        <v/>
      </c>
      <c r="J106" s="85" t="str">
        <f ca="1">IF(K106&lt;&gt;"",INDEX('Livro Diário'!$B:$B,MATCH(Razonete!K$98&amp;$A106,'Livro Diário'!$N:$N,0),1),"")</f>
        <v/>
      </c>
      <c r="K106" t="str">
        <f ca="1">_xlfn.IFNA(INDEX('Livro Diário'!$F:$F,MATCH(Razonete!K$98&amp;$A106,'Livro Diário'!$N:$N,0),0),"")</f>
        <v/>
      </c>
      <c r="L106" s="7" t="str">
        <f ca="1">_xlfn.IFNA(INDEX('Livro Diário'!$F:$F,MATCH(Razonete!K$98&amp;$A106,'Livro Diário'!$O:$O,0),0),"")</f>
        <v/>
      </c>
      <c r="M106" s="78" t="str">
        <f ca="1">IF(L106&lt;&gt;"",INDEX('Livro Diário'!$B:$B,MATCH(Razonete!K$98&amp;$A106,'Livro Diário'!$O:$O,0),1),"")</f>
        <v/>
      </c>
      <c r="N106" s="85" t="str">
        <f ca="1">IF(O106&lt;&gt;"",INDEX('Livro Diário'!$B:$B,MATCH(Razonete!O$98&amp;$A106,'Livro Diário'!$N:$N,0),1),"")</f>
        <v/>
      </c>
      <c r="O106" t="str">
        <f ca="1">_xlfn.IFNA(INDEX('Livro Diário'!$F:$F,MATCH(Razonete!O$98&amp;$A106,'Livro Diário'!$N:$N,0),0),"")</f>
        <v/>
      </c>
      <c r="P106" s="7" t="str">
        <f ca="1">_xlfn.IFNA(INDEX('Livro Diário'!$F:$F,MATCH(Razonete!O$98&amp;$A106,'Livro Diário'!$O:$O,0),0),"")</f>
        <v/>
      </c>
      <c r="Q106" s="78" t="str">
        <f ca="1">IF(P106&lt;&gt;"",INDEX('Livro Diário'!$B:$B,MATCH(Razonete!O$98&amp;$A106,'Livro Diário'!$O:$O,0),1),"")</f>
        <v/>
      </c>
      <c r="R106" s="85" t="str">
        <f ca="1">IF(S106&lt;&gt;"",INDEX('Livro Diário'!$B:$B,MATCH(Razonete!S$98&amp;$A106,'Livro Diário'!$N:$N,0),1),"")</f>
        <v/>
      </c>
      <c r="S106" t="str">
        <f ca="1">_xlfn.IFNA(INDEX('Livro Diário'!$F:$F,MATCH(Razonete!S$98&amp;$A106,'Livro Diário'!$N:$N,0),0),"")</f>
        <v/>
      </c>
      <c r="T106" s="7" t="str">
        <f ca="1">_xlfn.IFNA(INDEX('Livro Diário'!$F:$F,MATCH(Razonete!S$98&amp;$A106,'Livro Diário'!$O:$O,0),0),"")</f>
        <v/>
      </c>
      <c r="U106" s="78" t="str">
        <f ca="1">IF(T106&lt;&gt;"",INDEX('Livro Diário'!$B:$B,MATCH(Razonete!S$98&amp;$A106,'Livro Diário'!$O:$O,0),1),"")</f>
        <v/>
      </c>
    </row>
    <row r="107" spans="1:21" ht="16.5" thickTop="1" thickBot="1" x14ac:dyDescent="0.3">
      <c r="C107" s="83">
        <f ca="1">SUM(C99:C106)</f>
        <v>0</v>
      </c>
      <c r="D107" s="84">
        <f ca="1">SUM(D99:D106)</f>
        <v>0</v>
      </c>
      <c r="F107" s="85"/>
      <c r="G107" s="83">
        <f ca="1">SUM(G99:G106)</f>
        <v>0</v>
      </c>
      <c r="H107" s="84">
        <f ca="1">SUM(H99:H106)</f>
        <v>0</v>
      </c>
      <c r="J107" s="85"/>
      <c r="K107" s="83">
        <f ca="1">SUM(K99:K106)</f>
        <v>0</v>
      </c>
      <c r="L107" s="84">
        <f ca="1">SUM(L99:L106)</f>
        <v>0</v>
      </c>
      <c r="M107" s="78"/>
      <c r="N107" s="85"/>
      <c r="O107" s="83">
        <f ca="1">SUM(O99:O106)</f>
        <v>12.840000000000002</v>
      </c>
      <c r="P107" s="84">
        <f ca="1">SUM(P99:P106)</f>
        <v>0</v>
      </c>
      <c r="Q107" s="78"/>
      <c r="R107" s="85"/>
      <c r="S107" s="83">
        <f ca="1">SUM(S99:S106)</f>
        <v>0</v>
      </c>
      <c r="T107" s="84">
        <f ca="1">SUM(T99:T106)</f>
        <v>0</v>
      </c>
      <c r="U107" s="78"/>
    </row>
    <row r="108" spans="1:21" ht="15.75" thickTop="1" x14ac:dyDescent="0.25">
      <c r="C108" t="str">
        <f ca="1">IF(C107&gt;D107,C107-D107,"")</f>
        <v/>
      </c>
      <c r="D108" t="str">
        <f ca="1">IF(D107&gt;C107,D107-C107,"")</f>
        <v/>
      </c>
      <c r="F108" s="85"/>
      <c r="G108" t="str">
        <f ca="1">IF(G107&gt;H107,G107-H107,"")</f>
        <v/>
      </c>
      <c r="H108" t="str">
        <f ca="1">IF(H107&gt;G107,H107-G107,"")</f>
        <v/>
      </c>
      <c r="J108" s="85"/>
      <c r="K108" t="str">
        <f ca="1">IF(K107&gt;L107,K107-L107,"")</f>
        <v/>
      </c>
      <c r="L108" t="str">
        <f ca="1">IF(L107&gt;K107,L107-K107,"")</f>
        <v/>
      </c>
      <c r="M108" s="78"/>
      <c r="N108" s="85"/>
      <c r="O108">
        <f ca="1">IF(O107&gt;P107,O107-P107,"")</f>
        <v>12.840000000000002</v>
      </c>
      <c r="P108" t="str">
        <f ca="1">IF(P107&gt;O107,P107-O107,"")</f>
        <v/>
      </c>
      <c r="Q108" s="78"/>
      <c r="R108" s="85"/>
      <c r="S108" t="str">
        <f ca="1">IF(S107&gt;T107,S107-T107,"")</f>
        <v/>
      </c>
      <c r="T108" t="str">
        <f ca="1">IF(T107&gt;S107,T107-S107,"")</f>
        <v/>
      </c>
      <c r="U108" s="78"/>
    </row>
  </sheetData>
  <mergeCells count="45">
    <mergeCell ref="C2:D2"/>
    <mergeCell ref="G2:H2"/>
    <mergeCell ref="K2:L2"/>
    <mergeCell ref="O2:P2"/>
    <mergeCell ref="S2:T2"/>
    <mergeCell ref="C14:D14"/>
    <mergeCell ref="G14:H14"/>
    <mergeCell ref="K14:L14"/>
    <mergeCell ref="O14:P14"/>
    <mergeCell ref="S14:T14"/>
    <mergeCell ref="C26:D26"/>
    <mergeCell ref="G26:H26"/>
    <mergeCell ref="K26:L26"/>
    <mergeCell ref="O26:P26"/>
    <mergeCell ref="S26:T26"/>
    <mergeCell ref="C38:D38"/>
    <mergeCell ref="G38:H38"/>
    <mergeCell ref="K38:L38"/>
    <mergeCell ref="O38:P38"/>
    <mergeCell ref="S38:T38"/>
    <mergeCell ref="C50:D50"/>
    <mergeCell ref="G50:H50"/>
    <mergeCell ref="K50:L50"/>
    <mergeCell ref="O50:P50"/>
    <mergeCell ref="S50:T50"/>
    <mergeCell ref="C62:D62"/>
    <mergeCell ref="G62:H62"/>
    <mergeCell ref="K62:L62"/>
    <mergeCell ref="O62:P62"/>
    <mergeCell ref="S62:T62"/>
    <mergeCell ref="C74:D74"/>
    <mergeCell ref="G74:H74"/>
    <mergeCell ref="K74:L74"/>
    <mergeCell ref="O74:P74"/>
    <mergeCell ref="S74:T74"/>
    <mergeCell ref="C86:D86"/>
    <mergeCell ref="G86:H86"/>
    <mergeCell ref="K86:L86"/>
    <mergeCell ref="O86:P86"/>
    <mergeCell ref="S86:T86"/>
    <mergeCell ref="C98:D98"/>
    <mergeCell ref="G98:H98"/>
    <mergeCell ref="K98:L98"/>
    <mergeCell ref="O98:P98"/>
    <mergeCell ref="S98:T9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I79"/>
  <sheetViews>
    <sheetView workbookViewId="0">
      <selection activeCell="B3" sqref="B3:I67"/>
    </sheetView>
  </sheetViews>
  <sheetFormatPr defaultRowHeight="15" x14ac:dyDescent="0.25"/>
  <cols>
    <col min="1" max="1" width="0.7109375" customWidth="1"/>
    <col min="2" max="2" width="5.85546875" customWidth="1"/>
    <col min="3" max="3" width="36.7109375" bestFit="1" customWidth="1"/>
    <col min="4" max="7" width="12.5703125" bestFit="1" customWidth="1"/>
    <col min="8" max="8" width="12.7109375" bestFit="1" customWidth="1"/>
    <col min="9" max="9" width="12.5703125" bestFit="1" customWidth="1"/>
  </cols>
  <sheetData>
    <row r="1" spans="1:9" x14ac:dyDescent="0.25">
      <c r="B1" s="54"/>
      <c r="C1" s="54"/>
      <c r="D1" s="140" t="s">
        <v>62</v>
      </c>
      <c r="E1" s="140"/>
      <c r="F1" s="141" t="s">
        <v>63</v>
      </c>
      <c r="G1" s="141"/>
      <c r="H1" s="142" t="s">
        <v>168</v>
      </c>
      <c r="I1" s="142"/>
    </row>
    <row r="2" spans="1:9" x14ac:dyDescent="0.25">
      <c r="B2" s="54" t="s">
        <v>64</v>
      </c>
      <c r="C2" s="54" t="s">
        <v>65</v>
      </c>
      <c r="D2" s="54" t="s">
        <v>54</v>
      </c>
      <c r="E2" s="54" t="s">
        <v>55</v>
      </c>
      <c r="F2" s="54" t="s">
        <v>54</v>
      </c>
      <c r="G2" s="54" t="s">
        <v>55</v>
      </c>
      <c r="H2" s="54" t="s">
        <v>62</v>
      </c>
      <c r="I2" s="54" t="s">
        <v>63</v>
      </c>
    </row>
    <row r="3" spans="1:9" x14ac:dyDescent="0.25">
      <c r="A3" t="str">
        <f>Setup!I3</f>
        <v>1.1.1 - Caixa</v>
      </c>
      <c r="B3" s="54" t="str">
        <f>Setup!D3</f>
        <v>1.1.1</v>
      </c>
      <c r="C3" s="54" t="str">
        <f>Setup!E3</f>
        <v>Caixa</v>
      </c>
      <c r="D3" s="68">
        <f>IF(SUMIF('Livro Diário'!D:D,Balancete!A3,'Livro Diário'!F:F)-SUMIF('Livro Diário'!E:E,Balancete!A3,'Livro Diário'!F:F)+Balancete!F3-Balancete!G3&lt;0,0,SUMIF('Livro Diário'!D:D,Balancete!A3,'Livro Diário'!F:F)-SUMIF('Livro Diário'!E:E,Balancete!A3,'Livro Diário'!F:F)+Balancete!F3-Balancete!G3)</f>
        <v>0</v>
      </c>
      <c r="E3" s="68">
        <f>IF(-SUMIF('Livro Diário'!D:D,Balancete!A3,'Livro Diário'!F:F)+SUMIF('Livro Diário'!E:E,Balancete!A3,'Livro Diário'!F:F)-Balancete!F3+Balancete!G3&lt;0,0,-SUMIF('Livro Diário'!D:D,Balancete!A3,'Livro Diário'!F:F)+SUMIF('Livro Diário'!E:E,Balancete!A3,'Livro Diário'!F:F)-Balancete!F3+Balancete!G3)</f>
        <v>0</v>
      </c>
      <c r="F3" s="68">
        <f>IF(_xlfn.IFNA(VLOOKUP($B3,'Balanço Patrimonial'!$A:$D,4,0),0)-_xlfn.IFNA(VLOOKUP($B3,'Balanço Patrimonial'!$E:$H,4,0),0)&gt;0,_xlfn.IFNA(VLOOKUP($B3,'Balanço Patrimonial'!$A:$D,4,0),0)-_xlfn.IFNA(VLOOKUP($B3,'Balanço Patrimonial'!$E:$H,4,0),0),0)</f>
        <v>0</v>
      </c>
      <c r="G3" s="68">
        <f>-IF(_xlfn.IFNA(VLOOKUP($B3,'Balanço Patrimonial'!$A:$D,4,0),0)-_xlfn.IFNA(VLOOKUP($B3,'Balanço Patrimonial'!$E:$H,4,0),0)&lt;0,_xlfn.IFNA(VLOOKUP($B3,'Balanço Patrimonial'!$A:$D,4,0),0)-_xlfn.IFNA(VLOOKUP($B3,'Balanço Patrimonial'!$E:$H,4,0),0),0)</f>
        <v>0</v>
      </c>
      <c r="H3" s="94">
        <f>D3+E3</f>
        <v>0</v>
      </c>
      <c r="I3" s="94">
        <f>F3+G3</f>
        <v>0</v>
      </c>
    </row>
    <row r="4" spans="1:9" x14ac:dyDescent="0.25">
      <c r="A4" t="str">
        <f>Setup!I4</f>
        <v>1.2.1 - Banco</v>
      </c>
      <c r="B4" s="54" t="str">
        <f>Setup!D4</f>
        <v>1.2.1</v>
      </c>
      <c r="C4" s="54" t="str">
        <f>Setup!E4</f>
        <v>Banco</v>
      </c>
      <c r="D4" s="68">
        <f>IF(SUMIF('Livro Diário'!D:D,Balancete!A4,'Livro Diário'!F:F)-SUMIF('Livro Diário'!E:E,Balancete!A4,'Livro Diário'!F:F)+Balancete!F4-Balancete!G4&lt;0,0,SUMIF('Livro Diário'!D:D,Balancete!A4,'Livro Diário'!F:F)-SUMIF('Livro Diário'!E:E,Balancete!A4,'Livro Diário'!F:F)+Balancete!F4-Balancete!G4)</f>
        <v>0</v>
      </c>
      <c r="E4" s="68">
        <f>IF(-SUMIF('Livro Diário'!D:D,Balancete!A4,'Livro Diário'!F:F)+SUMIF('Livro Diário'!E:E,Balancete!A4,'Livro Diário'!F:F)-Balancete!F4+Balancete!G4&lt;0,0,-SUMIF('Livro Diário'!D:D,Balancete!A4,'Livro Diário'!F:F)+SUMIF('Livro Diário'!E:E,Balancete!A4,'Livro Diário'!F:F)-Balancete!F4+Balancete!G4)</f>
        <v>0</v>
      </c>
      <c r="F4" s="68">
        <f>IF(_xlfn.IFNA(VLOOKUP($B4,'Balanço Patrimonial'!$A:$D,4,0),0)-_xlfn.IFNA(VLOOKUP($B4,'Balanço Patrimonial'!$E:$H,4,0),0)&gt;0,_xlfn.IFNA(VLOOKUP($B4,'Balanço Patrimonial'!$A:$D,4,0),0)-_xlfn.IFNA(VLOOKUP($B4,'Balanço Patrimonial'!$E:$H,4,0),0),0)</f>
        <v>0</v>
      </c>
      <c r="G4" s="68">
        <f>-IF(_xlfn.IFNA(VLOOKUP($B4,'Balanço Patrimonial'!$A:$D,4,0),0)-_xlfn.IFNA(VLOOKUP($B4,'Balanço Patrimonial'!$E:$H,4,0),0)&lt;0,_xlfn.IFNA(VLOOKUP($B4,'Balanço Patrimonial'!$A:$D,4,0),0)-_xlfn.IFNA(VLOOKUP($B4,'Balanço Patrimonial'!$E:$H,4,0),0),0)</f>
        <v>0</v>
      </c>
      <c r="H4" s="94">
        <f>D4+E4</f>
        <v>0</v>
      </c>
      <c r="I4" s="94">
        <f>F4+G4</f>
        <v>0</v>
      </c>
    </row>
    <row r="5" spans="1:9" x14ac:dyDescent="0.25">
      <c r="A5" t="str">
        <f>Setup!I5</f>
        <v>1.3.1 - Contas a Receber</v>
      </c>
      <c r="B5" s="54" t="str">
        <f>Setup!D5</f>
        <v>1.3.1</v>
      </c>
      <c r="C5" s="54" t="str">
        <f>Setup!E5</f>
        <v>Contas a Receber</v>
      </c>
      <c r="D5" s="68">
        <f>IF(SUMIF('Livro Diário'!D:D,Balancete!A5,'Livro Diário'!F:F)-SUMIF('Livro Diário'!E:E,Balancete!A5,'Livro Diário'!F:F)+Balancete!F5-Balancete!G5&lt;0,0,SUMIF('Livro Diário'!D:D,Balancete!A5,'Livro Diário'!F:F)-SUMIF('Livro Diário'!E:E,Balancete!A5,'Livro Diário'!F:F)+Balancete!F5-Balancete!G5)</f>
        <v>0</v>
      </c>
      <c r="E5" s="68">
        <f>IF(-SUMIF('Livro Diário'!D:D,Balancete!A5,'Livro Diário'!F:F)+SUMIF('Livro Diário'!E:E,Balancete!A5,'Livro Diário'!F:F)-Balancete!F5+Balancete!G5&lt;0,0,-SUMIF('Livro Diário'!D:D,Balancete!A5,'Livro Diário'!F:F)+SUMIF('Livro Diário'!E:E,Balancete!A5,'Livro Diário'!F:F)-Balancete!F5+Balancete!G5)</f>
        <v>450</v>
      </c>
      <c r="F5" s="68">
        <f>IF(_xlfn.IFNA(VLOOKUP($B5,'Balanço Patrimonial'!$A:$D,4,0),0)-_xlfn.IFNA(VLOOKUP($B5,'Balanço Patrimonial'!$E:$H,4,0),0)&gt;0,_xlfn.IFNA(VLOOKUP($B5,'Balanço Patrimonial'!$A:$D,4,0),0)-_xlfn.IFNA(VLOOKUP($B5,'Balanço Patrimonial'!$E:$H,4,0),0),0)</f>
        <v>0</v>
      </c>
      <c r="G5" s="68">
        <f>-IF(_xlfn.IFNA(VLOOKUP($B5,'Balanço Patrimonial'!$A:$D,4,0),0)-_xlfn.IFNA(VLOOKUP($B5,'Balanço Patrimonial'!$E:$H,4,0),0)&lt;0,_xlfn.IFNA(VLOOKUP($B5,'Balanço Patrimonial'!$A:$D,4,0),0)-_xlfn.IFNA(VLOOKUP($B5,'Balanço Patrimonial'!$E:$H,4,0),0),0)</f>
        <v>0</v>
      </c>
      <c r="H5" s="94">
        <f t="shared" ref="H5:H67" si="0">D5+E5</f>
        <v>450</v>
      </c>
      <c r="I5" s="94">
        <f t="shared" ref="I5:I67" si="1">F5+G5</f>
        <v>0</v>
      </c>
    </row>
    <row r="6" spans="1:9" x14ac:dyDescent="0.25">
      <c r="A6" t="str">
        <f>Setup!I6</f>
        <v>1.4.1 - PECLD</v>
      </c>
      <c r="B6" s="54" t="str">
        <f>Setup!D6</f>
        <v>1.4.1</v>
      </c>
      <c r="C6" s="54" t="str">
        <f>Setup!E6</f>
        <v>PECLD</v>
      </c>
      <c r="D6" s="68">
        <f>IF(SUMIF('Livro Diário'!D:D,Balancete!A6,'Livro Diário'!F:F)-SUMIF('Livro Diário'!E:E,Balancete!A6,'Livro Diário'!F:F)+Balancete!F6-Balancete!G6&lt;0,0,SUMIF('Livro Diário'!D:D,Balancete!A6,'Livro Diário'!F:F)-SUMIF('Livro Diário'!E:E,Balancete!A6,'Livro Diário'!F:F)+Balancete!F6-Balancete!G6)</f>
        <v>0</v>
      </c>
      <c r="E6" s="68">
        <f>IF(-SUMIF('Livro Diário'!D:D,Balancete!A6,'Livro Diário'!F:F)+SUMIF('Livro Diário'!E:E,Balancete!A6,'Livro Diário'!F:F)-Balancete!F6+Balancete!G6&lt;0,0,-SUMIF('Livro Diário'!D:D,Balancete!A6,'Livro Diário'!F:F)+SUMIF('Livro Diário'!E:E,Balancete!A6,'Livro Diário'!F:F)-Balancete!F6+Balancete!G6)</f>
        <v>0</v>
      </c>
      <c r="F6" s="68">
        <f>IF(_xlfn.IFNA(VLOOKUP($B6,'Balanço Patrimonial'!$A:$D,4,0),0)-_xlfn.IFNA(VLOOKUP($B6,'Balanço Patrimonial'!$E:$H,4,0),0)&gt;0,_xlfn.IFNA(VLOOKUP($B6,'Balanço Patrimonial'!$A:$D,4,0),0)-_xlfn.IFNA(VLOOKUP($B6,'Balanço Patrimonial'!$E:$H,4,0),0),0)</f>
        <v>0</v>
      </c>
      <c r="G6" s="68">
        <f>-IF(_xlfn.IFNA(VLOOKUP($B6,'Balanço Patrimonial'!$A:$D,4,0),0)-_xlfn.IFNA(VLOOKUP($B6,'Balanço Patrimonial'!$E:$H,4,0),0)&lt;0,_xlfn.IFNA(VLOOKUP($B6,'Balanço Patrimonial'!$A:$D,4,0),0)-_xlfn.IFNA(VLOOKUP($B6,'Balanço Patrimonial'!$E:$H,4,0),0),0)</f>
        <v>0</v>
      </c>
      <c r="H6" s="94">
        <f t="shared" si="0"/>
        <v>0</v>
      </c>
      <c r="I6" s="94">
        <f t="shared" si="1"/>
        <v>0</v>
      </c>
    </row>
    <row r="7" spans="1:9" x14ac:dyDescent="0.25">
      <c r="A7" t="str">
        <f>Setup!I7</f>
        <v>1.5.1 - Mercadorias</v>
      </c>
      <c r="B7" s="54" t="str">
        <f>Setup!D7</f>
        <v>1.5.1</v>
      </c>
      <c r="C7" s="54" t="str">
        <f>Setup!E7</f>
        <v>Mercadorias</v>
      </c>
      <c r="D7" s="68">
        <f>IF(SUMIF('Livro Diário'!D:D,Balancete!A7,'Livro Diário'!F:F)-SUMIF('Livro Diário'!E:E,Balancete!A7,'Livro Diário'!F:F)+Balancete!F7-Balancete!G7&lt;0,0,SUMIF('Livro Diário'!D:D,Balancete!A7,'Livro Diário'!F:F)-SUMIF('Livro Diário'!E:E,Balancete!A7,'Livro Diário'!F:F)+Balancete!F7-Balancete!G7)</f>
        <v>0</v>
      </c>
      <c r="E7" s="68">
        <f>IF(-SUMIF('Livro Diário'!D:D,Balancete!A7,'Livro Diário'!F:F)+SUMIF('Livro Diário'!E:E,Balancete!A7,'Livro Diário'!F:F)-Balancete!F7+Balancete!G7&lt;0,0,-SUMIF('Livro Diário'!D:D,Balancete!A7,'Livro Diário'!F:F)+SUMIF('Livro Diário'!E:E,Balancete!A7,'Livro Diário'!F:F)-Balancete!F7+Balancete!G7)</f>
        <v>0</v>
      </c>
      <c r="F7" s="68">
        <f>IF(_xlfn.IFNA(VLOOKUP($B7,'Balanço Patrimonial'!$A:$D,4,0),0)-_xlfn.IFNA(VLOOKUP($B7,'Balanço Patrimonial'!$E:$H,4,0),0)&gt;0,_xlfn.IFNA(VLOOKUP($B7,'Balanço Patrimonial'!$A:$D,4,0),0)-_xlfn.IFNA(VLOOKUP($B7,'Balanço Patrimonial'!$E:$H,4,0),0),0)</f>
        <v>0</v>
      </c>
      <c r="G7" s="68">
        <f>-IF(_xlfn.IFNA(VLOOKUP($B7,'Balanço Patrimonial'!$A:$D,4,0),0)-_xlfn.IFNA(VLOOKUP($B7,'Balanço Patrimonial'!$E:$H,4,0),0)&lt;0,_xlfn.IFNA(VLOOKUP($B7,'Balanço Patrimonial'!$A:$D,4,0),0)-_xlfn.IFNA(VLOOKUP($B7,'Balanço Patrimonial'!$E:$H,4,0),0),0)</f>
        <v>0</v>
      </c>
      <c r="H7" s="94">
        <f t="shared" si="0"/>
        <v>0</v>
      </c>
      <c r="I7" s="94">
        <f t="shared" si="1"/>
        <v>0</v>
      </c>
    </row>
    <row r="8" spans="1:9" x14ac:dyDescent="0.25">
      <c r="A8" t="str">
        <f>Setup!I8</f>
        <v>1.6.1 - Despesas Antecipadas</v>
      </c>
      <c r="B8" s="54" t="str">
        <f>Setup!D8</f>
        <v>1.6.1</v>
      </c>
      <c r="C8" s="54" t="str">
        <f>Setup!E8</f>
        <v>Despesas Antecipadas</v>
      </c>
      <c r="D8" s="68">
        <f>IF(SUMIF('Livro Diário'!D:D,Balancete!A8,'Livro Diário'!F:F)-SUMIF('Livro Diário'!E:E,Balancete!A8,'Livro Diário'!F:F)+Balancete!F8-Balancete!G8&lt;0,0,SUMIF('Livro Diário'!D:D,Balancete!A8,'Livro Diário'!F:F)-SUMIF('Livro Diário'!E:E,Balancete!A8,'Livro Diário'!F:F)+Balancete!F8-Balancete!G8)</f>
        <v>0</v>
      </c>
      <c r="E8" s="68">
        <f>IF(-SUMIF('Livro Diário'!D:D,Balancete!A8,'Livro Diário'!F:F)+SUMIF('Livro Diário'!E:E,Balancete!A8,'Livro Diário'!F:F)-Balancete!F8+Balancete!G8&lt;0,0,-SUMIF('Livro Diário'!D:D,Balancete!A8,'Livro Diário'!F:F)+SUMIF('Livro Diário'!E:E,Balancete!A8,'Livro Diário'!F:F)-Balancete!F8+Balancete!G8)</f>
        <v>0</v>
      </c>
      <c r="F8" s="68">
        <f>IF(_xlfn.IFNA(VLOOKUP($B8,'Balanço Patrimonial'!$A:$D,4,0),0)-_xlfn.IFNA(VLOOKUP($B8,'Balanço Patrimonial'!$E:$H,4,0),0)&gt;0,_xlfn.IFNA(VLOOKUP($B8,'Balanço Patrimonial'!$A:$D,4,0),0)-_xlfn.IFNA(VLOOKUP($B8,'Balanço Patrimonial'!$E:$H,4,0),0),0)</f>
        <v>0</v>
      </c>
      <c r="G8" s="68">
        <f>-IF(_xlfn.IFNA(VLOOKUP($B8,'Balanço Patrimonial'!$A:$D,4,0),0)-_xlfn.IFNA(VLOOKUP($B8,'Balanço Patrimonial'!$E:$H,4,0),0)&lt;0,_xlfn.IFNA(VLOOKUP($B8,'Balanço Patrimonial'!$A:$D,4,0),0)-_xlfn.IFNA(VLOOKUP($B8,'Balanço Patrimonial'!$E:$H,4,0),0),0)</f>
        <v>0</v>
      </c>
      <c r="H8" s="94">
        <f t="shared" si="0"/>
        <v>0</v>
      </c>
      <c r="I8" s="94">
        <f t="shared" si="1"/>
        <v>0</v>
      </c>
    </row>
    <row r="9" spans="1:9" x14ac:dyDescent="0.25">
      <c r="A9" t="str">
        <f>Setup!I9</f>
        <v>1.7.1 - Impostos a Recuperar</v>
      </c>
      <c r="B9" s="54" t="str">
        <f>Setup!D9</f>
        <v>1.7.1</v>
      </c>
      <c r="C9" s="54" t="str">
        <f>Setup!E9</f>
        <v>Impostos a Recuperar</v>
      </c>
      <c r="D9" s="68">
        <f>IF(SUMIF('Livro Diário'!D:D,Balancete!A9,'Livro Diário'!F:F)-SUMIF('Livro Diário'!E:E,Balancete!A9,'Livro Diário'!F:F)+Balancete!F9-Balancete!G9&lt;0,0,SUMIF('Livro Diário'!D:D,Balancete!A9,'Livro Diário'!F:F)-SUMIF('Livro Diário'!E:E,Balancete!A9,'Livro Diário'!F:F)+Balancete!F9-Balancete!G9)</f>
        <v>0</v>
      </c>
      <c r="E9" s="68">
        <f>IF(-SUMIF('Livro Diário'!D:D,Balancete!A9,'Livro Diário'!F:F)+SUMIF('Livro Diário'!E:E,Balancete!A9,'Livro Diário'!F:F)-Balancete!F9+Balancete!G9&lt;0,0,-SUMIF('Livro Diário'!D:D,Balancete!A9,'Livro Diário'!F:F)+SUMIF('Livro Diário'!E:E,Balancete!A9,'Livro Diário'!F:F)-Balancete!F9+Balancete!G9)</f>
        <v>0</v>
      </c>
      <c r="F9" s="68">
        <f>IF(_xlfn.IFNA(VLOOKUP($B9,'Balanço Patrimonial'!$A:$D,4,0),0)-_xlfn.IFNA(VLOOKUP($B9,'Balanço Patrimonial'!$E:$H,4,0),0)&gt;0,_xlfn.IFNA(VLOOKUP($B9,'Balanço Patrimonial'!$A:$D,4,0),0)-_xlfn.IFNA(VLOOKUP($B9,'Balanço Patrimonial'!$E:$H,4,0),0),0)</f>
        <v>0</v>
      </c>
      <c r="G9" s="68">
        <f>-IF(_xlfn.IFNA(VLOOKUP($B9,'Balanço Patrimonial'!$A:$D,4,0),0)-_xlfn.IFNA(VLOOKUP($B9,'Balanço Patrimonial'!$E:$H,4,0),0)&lt;0,_xlfn.IFNA(VLOOKUP($B9,'Balanço Patrimonial'!$A:$D,4,0),0)-_xlfn.IFNA(VLOOKUP($B9,'Balanço Patrimonial'!$E:$H,4,0),0),0)</f>
        <v>0</v>
      </c>
      <c r="H9" s="94">
        <f t="shared" si="0"/>
        <v>0</v>
      </c>
      <c r="I9" s="94">
        <f t="shared" si="1"/>
        <v>0</v>
      </c>
    </row>
    <row r="10" spans="1:9" x14ac:dyDescent="0.25">
      <c r="A10" t="str">
        <f>Setup!I10</f>
        <v>1.8.1 - Conta teste</v>
      </c>
      <c r="B10" s="54" t="str">
        <f>Setup!D10</f>
        <v>1.8.1</v>
      </c>
      <c r="C10" s="54" t="str">
        <f>Setup!E10</f>
        <v>Conta teste</v>
      </c>
      <c r="D10" s="68">
        <f>IF(SUMIF('Livro Diário'!D:D,Balancete!A10,'Livro Diário'!F:F)-SUMIF('Livro Diário'!E:E,Balancete!A10,'Livro Diário'!F:F)+Balancete!F10-Balancete!G10&lt;0,0,SUMIF('Livro Diário'!D:D,Balancete!A10,'Livro Diário'!F:F)-SUMIF('Livro Diário'!E:E,Balancete!A10,'Livro Diário'!F:F)+Balancete!F10-Balancete!G10)</f>
        <v>0</v>
      </c>
      <c r="E10" s="68">
        <f>IF(-SUMIF('Livro Diário'!D:D,Balancete!A10,'Livro Diário'!F:F)+SUMIF('Livro Diário'!E:E,Balancete!A10,'Livro Diário'!F:F)-Balancete!F10+Balancete!G10&lt;0,0,-SUMIF('Livro Diário'!D:D,Balancete!A10,'Livro Diário'!F:F)+SUMIF('Livro Diário'!E:E,Balancete!A10,'Livro Diário'!F:F)-Balancete!F10+Balancete!G10)</f>
        <v>0</v>
      </c>
      <c r="F10" s="68">
        <f>IF(_xlfn.IFNA(VLOOKUP($B10,'Balanço Patrimonial'!$A:$D,4,0),0)-_xlfn.IFNA(VLOOKUP($B10,'Balanço Patrimonial'!$E:$H,4,0),0)&gt;0,_xlfn.IFNA(VLOOKUP($B10,'Balanço Patrimonial'!$A:$D,4,0),0)-_xlfn.IFNA(VLOOKUP($B10,'Balanço Patrimonial'!$E:$H,4,0),0),0)</f>
        <v>0</v>
      </c>
      <c r="G10" s="68">
        <f>-IF(_xlfn.IFNA(VLOOKUP($B10,'Balanço Patrimonial'!$A:$D,4,0),0)-_xlfn.IFNA(VLOOKUP($B10,'Balanço Patrimonial'!$E:$H,4,0),0)&lt;0,_xlfn.IFNA(VLOOKUP($B10,'Balanço Patrimonial'!$A:$D,4,0),0)-_xlfn.IFNA(VLOOKUP($B10,'Balanço Patrimonial'!$E:$H,4,0),0),0)</f>
        <v>0</v>
      </c>
      <c r="H10" s="94">
        <f t="shared" si="0"/>
        <v>0</v>
      </c>
      <c r="I10" s="94">
        <f t="shared" si="1"/>
        <v>0</v>
      </c>
    </row>
    <row r="11" spans="1:9" x14ac:dyDescent="0.25">
      <c r="A11" t="str">
        <f>Setup!I11</f>
        <v>2.1.1 - Contas a Receber a Longo Prazo</v>
      </c>
      <c r="B11" s="54" t="str">
        <f>Setup!D11</f>
        <v>2.1.1</v>
      </c>
      <c r="C11" s="54" t="str">
        <f>Setup!E11</f>
        <v>Contas a Receber a Longo Prazo</v>
      </c>
      <c r="D11" s="68">
        <f>IF(SUMIF('Livro Diário'!D:D,Balancete!A11,'Livro Diário'!F:F)-SUMIF('Livro Diário'!E:E,Balancete!A11,'Livro Diário'!F:F)+Balancete!F11-Balancete!G11&lt;0,0,SUMIF('Livro Diário'!D:D,Balancete!A11,'Livro Diário'!F:F)-SUMIF('Livro Diário'!E:E,Balancete!A11,'Livro Diário'!F:F)+Balancete!F11-Balancete!G11)</f>
        <v>0</v>
      </c>
      <c r="E11" s="68">
        <f>IF(-SUMIF('Livro Diário'!D:D,Balancete!A11,'Livro Diário'!F:F)+SUMIF('Livro Diário'!E:E,Balancete!A11,'Livro Diário'!F:F)-Balancete!F11+Balancete!G11&lt;0,0,-SUMIF('Livro Diário'!D:D,Balancete!A11,'Livro Diário'!F:F)+SUMIF('Livro Diário'!E:E,Balancete!A11,'Livro Diário'!F:F)-Balancete!F11+Balancete!G11)</f>
        <v>0</v>
      </c>
      <c r="F11" s="68">
        <f>IF(_xlfn.IFNA(VLOOKUP($B11,'Balanço Patrimonial'!$A:$D,4,0),0)-_xlfn.IFNA(VLOOKUP($B11,'Balanço Patrimonial'!$E:$H,4,0),0)&gt;0,_xlfn.IFNA(VLOOKUP($B11,'Balanço Patrimonial'!$A:$D,4,0),0)-_xlfn.IFNA(VLOOKUP($B11,'Balanço Patrimonial'!$E:$H,4,0),0),0)</f>
        <v>0</v>
      </c>
      <c r="G11" s="68">
        <f>-IF(_xlfn.IFNA(VLOOKUP($B11,'Balanço Patrimonial'!$A:$D,4,0),0)-_xlfn.IFNA(VLOOKUP($B11,'Balanço Patrimonial'!$E:$H,4,0),0)&lt;0,_xlfn.IFNA(VLOOKUP($B11,'Balanço Patrimonial'!$A:$D,4,0),0)-_xlfn.IFNA(VLOOKUP($B11,'Balanço Patrimonial'!$E:$H,4,0),0),0)</f>
        <v>0</v>
      </c>
      <c r="H11" s="94">
        <f t="shared" si="0"/>
        <v>0</v>
      </c>
      <c r="I11" s="94">
        <f t="shared" si="1"/>
        <v>0</v>
      </c>
    </row>
    <row r="12" spans="1:9" x14ac:dyDescent="0.25">
      <c r="A12" t="str">
        <f>Setup!I12</f>
        <v>2.2.1 - Terrenos - Investimento</v>
      </c>
      <c r="B12" s="54" t="str">
        <f>Setup!D12</f>
        <v>2.2.1</v>
      </c>
      <c r="C12" s="54" t="str">
        <f>Setup!E12</f>
        <v>Terrenos - Investimento</v>
      </c>
      <c r="D12" s="68">
        <f>IF(SUMIF('Livro Diário'!D:D,Balancete!A12,'Livro Diário'!F:F)-SUMIF('Livro Diário'!E:E,Balancete!A12,'Livro Diário'!F:F)+Balancete!F12-Balancete!G12&lt;0,0,SUMIF('Livro Diário'!D:D,Balancete!A12,'Livro Diário'!F:F)-SUMIF('Livro Diário'!E:E,Balancete!A12,'Livro Diário'!F:F)+Balancete!F12-Balancete!G12)</f>
        <v>0</v>
      </c>
      <c r="E12" s="68">
        <f>IF(-SUMIF('Livro Diário'!D:D,Balancete!A12,'Livro Diário'!F:F)+SUMIF('Livro Diário'!E:E,Balancete!A12,'Livro Diário'!F:F)-Balancete!F12+Balancete!G12&lt;0,0,-SUMIF('Livro Diário'!D:D,Balancete!A12,'Livro Diário'!F:F)+SUMIF('Livro Diário'!E:E,Balancete!A12,'Livro Diário'!F:F)-Balancete!F12+Balancete!G12)</f>
        <v>0</v>
      </c>
      <c r="F12" s="68">
        <f>IF(_xlfn.IFNA(VLOOKUP($B12,'Balanço Patrimonial'!$A:$D,4,0),0)-_xlfn.IFNA(VLOOKUP($B12,'Balanço Patrimonial'!$E:$H,4,0),0)&gt;0,_xlfn.IFNA(VLOOKUP($B12,'Balanço Patrimonial'!$A:$D,4,0),0)-_xlfn.IFNA(VLOOKUP($B12,'Balanço Patrimonial'!$E:$H,4,0),0),0)</f>
        <v>0</v>
      </c>
      <c r="G12" s="68">
        <f>-IF(_xlfn.IFNA(VLOOKUP($B12,'Balanço Patrimonial'!$A:$D,4,0),0)-_xlfn.IFNA(VLOOKUP($B12,'Balanço Patrimonial'!$E:$H,4,0),0)&lt;0,_xlfn.IFNA(VLOOKUP($B12,'Balanço Patrimonial'!$A:$D,4,0),0)-_xlfn.IFNA(VLOOKUP($B12,'Balanço Patrimonial'!$E:$H,4,0),0),0)</f>
        <v>0</v>
      </c>
      <c r="H12" s="94">
        <f t="shared" si="0"/>
        <v>0</v>
      </c>
      <c r="I12" s="94">
        <f t="shared" si="1"/>
        <v>0</v>
      </c>
    </row>
    <row r="13" spans="1:9" x14ac:dyDescent="0.25">
      <c r="A13" t="str">
        <f>Setup!I13</f>
        <v>2.3.1 - Obra de Arte</v>
      </c>
      <c r="B13" s="54" t="str">
        <f>Setup!D13</f>
        <v>2.3.1</v>
      </c>
      <c r="C13" s="54" t="str">
        <f>Setup!E13</f>
        <v>Obra de Arte</v>
      </c>
      <c r="D13" s="68">
        <f>IF(SUMIF('Livro Diário'!D:D,Balancete!A13,'Livro Diário'!F:F)-SUMIF('Livro Diário'!E:E,Balancete!A13,'Livro Diário'!F:F)+Balancete!F13-Balancete!G13&lt;0,0,SUMIF('Livro Diário'!D:D,Balancete!A13,'Livro Diário'!F:F)-SUMIF('Livro Diário'!E:E,Balancete!A13,'Livro Diário'!F:F)+Balancete!F13-Balancete!G13)</f>
        <v>0</v>
      </c>
      <c r="E13" s="68">
        <f>IF(-SUMIF('Livro Diário'!D:D,Balancete!A13,'Livro Diário'!F:F)+SUMIF('Livro Diário'!E:E,Balancete!A13,'Livro Diário'!F:F)-Balancete!F13+Balancete!G13&lt;0,0,-SUMIF('Livro Diário'!D:D,Balancete!A13,'Livro Diário'!F:F)+SUMIF('Livro Diário'!E:E,Balancete!A13,'Livro Diário'!F:F)-Balancete!F13+Balancete!G13)</f>
        <v>0</v>
      </c>
      <c r="F13" s="68">
        <f>IF(_xlfn.IFNA(VLOOKUP($B13,'Balanço Patrimonial'!$A:$D,4,0),0)-_xlfn.IFNA(VLOOKUP($B13,'Balanço Patrimonial'!$E:$H,4,0),0)&gt;0,_xlfn.IFNA(VLOOKUP($B13,'Balanço Patrimonial'!$A:$D,4,0),0)-_xlfn.IFNA(VLOOKUP($B13,'Balanço Patrimonial'!$E:$H,4,0),0),0)</f>
        <v>0</v>
      </c>
      <c r="G13" s="68">
        <f>-IF(_xlfn.IFNA(VLOOKUP($B13,'Balanço Patrimonial'!$A:$D,4,0),0)-_xlfn.IFNA(VLOOKUP($B13,'Balanço Patrimonial'!$E:$H,4,0),0)&lt;0,_xlfn.IFNA(VLOOKUP($B13,'Balanço Patrimonial'!$A:$D,4,0),0)-_xlfn.IFNA(VLOOKUP($B13,'Balanço Patrimonial'!$E:$H,4,0),0),0)</f>
        <v>0</v>
      </c>
      <c r="H13" s="94">
        <f t="shared" si="0"/>
        <v>0</v>
      </c>
      <c r="I13" s="94">
        <f t="shared" si="1"/>
        <v>0</v>
      </c>
    </row>
    <row r="14" spans="1:9" x14ac:dyDescent="0.25">
      <c r="A14" t="str">
        <f>Setup!I14</f>
        <v>2.4.1 - Móveis e Utensílios</v>
      </c>
      <c r="B14" s="54" t="str">
        <f>Setup!D14</f>
        <v>2.4.1</v>
      </c>
      <c r="C14" s="54" t="str">
        <f>Setup!E14</f>
        <v>Móveis e Utensílios</v>
      </c>
      <c r="D14" s="68">
        <f>IF(SUMIF('Livro Diário'!D:D,Balancete!A14,'Livro Diário'!F:F)-SUMIF('Livro Diário'!E:E,Balancete!A14,'Livro Diário'!F:F)+Balancete!F14-Balancete!G14&lt;0,0,SUMIF('Livro Diário'!D:D,Balancete!A14,'Livro Diário'!F:F)-SUMIF('Livro Diário'!E:E,Balancete!A14,'Livro Diário'!F:F)+Balancete!F14-Balancete!G14)</f>
        <v>0</v>
      </c>
      <c r="E14" s="68">
        <f>IF(-SUMIF('Livro Diário'!D:D,Balancete!A14,'Livro Diário'!F:F)+SUMIF('Livro Diário'!E:E,Balancete!A14,'Livro Diário'!F:F)-Balancete!F14+Balancete!G14&lt;0,0,-SUMIF('Livro Diário'!D:D,Balancete!A14,'Livro Diário'!F:F)+SUMIF('Livro Diário'!E:E,Balancete!A14,'Livro Diário'!F:F)-Balancete!F14+Balancete!G14)</f>
        <v>0</v>
      </c>
      <c r="F14" s="68">
        <f>IF(_xlfn.IFNA(VLOOKUP($B14,'Balanço Patrimonial'!$A:$D,4,0),0)-_xlfn.IFNA(VLOOKUP($B14,'Balanço Patrimonial'!$E:$H,4,0),0)&gt;0,_xlfn.IFNA(VLOOKUP($B14,'Balanço Patrimonial'!$A:$D,4,0),0)-_xlfn.IFNA(VLOOKUP($B14,'Balanço Patrimonial'!$E:$H,4,0),0),0)</f>
        <v>0</v>
      </c>
      <c r="G14" s="68">
        <f>-IF(_xlfn.IFNA(VLOOKUP($B14,'Balanço Patrimonial'!$A:$D,4,0),0)-_xlfn.IFNA(VLOOKUP($B14,'Balanço Patrimonial'!$E:$H,4,0),0)&lt;0,_xlfn.IFNA(VLOOKUP($B14,'Balanço Patrimonial'!$A:$D,4,0),0)-_xlfn.IFNA(VLOOKUP($B14,'Balanço Patrimonial'!$E:$H,4,0),0),0)</f>
        <v>0</v>
      </c>
      <c r="H14" s="94">
        <f t="shared" si="0"/>
        <v>0</v>
      </c>
      <c r="I14" s="94">
        <f t="shared" si="1"/>
        <v>0</v>
      </c>
    </row>
    <row r="15" spans="1:9" x14ac:dyDescent="0.25">
      <c r="A15" t="str">
        <f>Setup!I15</f>
        <v>2.5.1 - Máquinas e Equipamentos</v>
      </c>
      <c r="B15" s="54" t="str">
        <f>Setup!D15</f>
        <v>2.5.1</v>
      </c>
      <c r="C15" s="54" t="str">
        <f>Setup!E15</f>
        <v>Máquinas e Equipamentos</v>
      </c>
      <c r="D15" s="68">
        <f>IF(SUMIF('Livro Diário'!D:D,Balancete!A15,'Livro Diário'!F:F)-SUMIF('Livro Diário'!E:E,Balancete!A15,'Livro Diário'!F:F)+Balancete!F15-Balancete!G15&lt;0,0,SUMIF('Livro Diário'!D:D,Balancete!A15,'Livro Diário'!F:F)-SUMIF('Livro Diário'!E:E,Balancete!A15,'Livro Diário'!F:F)+Balancete!F15-Balancete!G15)</f>
        <v>0</v>
      </c>
      <c r="E15" s="68">
        <f>IF(-SUMIF('Livro Diário'!D:D,Balancete!A15,'Livro Diário'!F:F)+SUMIF('Livro Diário'!E:E,Balancete!A15,'Livro Diário'!F:F)-Balancete!F15+Balancete!G15&lt;0,0,-SUMIF('Livro Diário'!D:D,Balancete!A15,'Livro Diário'!F:F)+SUMIF('Livro Diário'!E:E,Balancete!A15,'Livro Diário'!F:F)-Balancete!F15+Balancete!G15)</f>
        <v>0</v>
      </c>
      <c r="F15" s="68">
        <f>IF(_xlfn.IFNA(VLOOKUP($B15,'Balanço Patrimonial'!$A:$D,4,0),0)-_xlfn.IFNA(VLOOKUP($B15,'Balanço Patrimonial'!$E:$H,4,0),0)&gt;0,_xlfn.IFNA(VLOOKUP($B15,'Balanço Patrimonial'!$A:$D,4,0),0)-_xlfn.IFNA(VLOOKUP($B15,'Balanço Patrimonial'!$E:$H,4,0),0),0)</f>
        <v>0</v>
      </c>
      <c r="G15" s="68">
        <f>-IF(_xlfn.IFNA(VLOOKUP($B15,'Balanço Patrimonial'!$A:$D,4,0),0)-_xlfn.IFNA(VLOOKUP($B15,'Balanço Patrimonial'!$E:$H,4,0),0)&lt;0,_xlfn.IFNA(VLOOKUP($B15,'Balanço Patrimonial'!$A:$D,4,0),0)-_xlfn.IFNA(VLOOKUP($B15,'Balanço Patrimonial'!$E:$H,4,0),0),0)</f>
        <v>0</v>
      </c>
      <c r="H15" s="94">
        <f t="shared" si="0"/>
        <v>0</v>
      </c>
      <c r="I15" s="94">
        <f t="shared" si="1"/>
        <v>0</v>
      </c>
    </row>
    <row r="16" spans="1:9" x14ac:dyDescent="0.25">
      <c r="A16" t="str">
        <f>Setup!I16</f>
        <v>2.6.1 - Imóveis</v>
      </c>
      <c r="B16" s="54" t="str">
        <f>Setup!D16</f>
        <v>2.6.1</v>
      </c>
      <c r="C16" s="54" t="str">
        <f>Setup!E16</f>
        <v>Imóveis</v>
      </c>
      <c r="D16" s="68">
        <f>IF(SUMIF('Livro Diário'!D:D,Balancete!A16,'Livro Diário'!F:F)-SUMIF('Livro Diário'!E:E,Balancete!A16,'Livro Diário'!F:F)+Balancete!F16-Balancete!G16&lt;0,0,SUMIF('Livro Diário'!D:D,Balancete!A16,'Livro Diário'!F:F)-SUMIF('Livro Diário'!E:E,Balancete!A16,'Livro Diário'!F:F)+Balancete!F16-Balancete!G16)</f>
        <v>0</v>
      </c>
      <c r="E16" s="68">
        <f>IF(-SUMIF('Livro Diário'!D:D,Balancete!A16,'Livro Diário'!F:F)+SUMIF('Livro Diário'!E:E,Balancete!A16,'Livro Diário'!F:F)-Balancete!F16+Balancete!G16&lt;0,0,-SUMIF('Livro Diário'!D:D,Balancete!A16,'Livro Diário'!F:F)+SUMIF('Livro Diário'!E:E,Balancete!A16,'Livro Diário'!F:F)-Balancete!F16+Balancete!G16)</f>
        <v>0</v>
      </c>
      <c r="F16" s="68">
        <f>IF(_xlfn.IFNA(VLOOKUP($B16,'Balanço Patrimonial'!$A:$D,4,0),0)-_xlfn.IFNA(VLOOKUP($B16,'Balanço Patrimonial'!$E:$H,4,0),0)&gt;0,_xlfn.IFNA(VLOOKUP($B16,'Balanço Patrimonial'!$A:$D,4,0),0)-_xlfn.IFNA(VLOOKUP($B16,'Balanço Patrimonial'!$E:$H,4,0),0),0)</f>
        <v>0</v>
      </c>
      <c r="G16" s="68">
        <f>-IF(_xlfn.IFNA(VLOOKUP($B16,'Balanço Patrimonial'!$A:$D,4,0),0)-_xlfn.IFNA(VLOOKUP($B16,'Balanço Patrimonial'!$E:$H,4,0),0)&lt;0,_xlfn.IFNA(VLOOKUP($B16,'Balanço Patrimonial'!$A:$D,4,0),0)-_xlfn.IFNA(VLOOKUP($B16,'Balanço Patrimonial'!$E:$H,4,0),0),0)</f>
        <v>0</v>
      </c>
      <c r="H16" s="94">
        <f t="shared" si="0"/>
        <v>0</v>
      </c>
      <c r="I16" s="94">
        <f t="shared" si="1"/>
        <v>0</v>
      </c>
    </row>
    <row r="17" spans="1:9" x14ac:dyDescent="0.25">
      <c r="A17" t="str">
        <f>Setup!I17</f>
        <v>2.7.1 - Veículos</v>
      </c>
      <c r="B17" s="54" t="str">
        <f>Setup!D17</f>
        <v>2.7.1</v>
      </c>
      <c r="C17" s="54" t="str">
        <f>Setup!E17</f>
        <v>Veículos</v>
      </c>
      <c r="D17" s="68">
        <f>IF(SUMIF('Livro Diário'!D:D,Balancete!A17,'Livro Diário'!F:F)-SUMIF('Livro Diário'!E:E,Balancete!A17,'Livro Diário'!F:F)+Balancete!F17-Balancete!G17&lt;0,0,SUMIF('Livro Diário'!D:D,Balancete!A17,'Livro Diário'!F:F)-SUMIF('Livro Diário'!E:E,Balancete!A17,'Livro Diário'!F:F)+Balancete!F17-Balancete!G17)</f>
        <v>0</v>
      </c>
      <c r="E17" s="68">
        <f>IF(-SUMIF('Livro Diário'!D:D,Balancete!A17,'Livro Diário'!F:F)+SUMIF('Livro Diário'!E:E,Balancete!A17,'Livro Diário'!F:F)-Balancete!F17+Balancete!G17&lt;0,0,-SUMIF('Livro Diário'!D:D,Balancete!A17,'Livro Diário'!F:F)+SUMIF('Livro Diário'!E:E,Balancete!A17,'Livro Diário'!F:F)-Balancete!F17+Balancete!G17)</f>
        <v>0</v>
      </c>
      <c r="F17" s="68">
        <f>IF(_xlfn.IFNA(VLOOKUP($B17,'Balanço Patrimonial'!$A:$D,4,0),0)-_xlfn.IFNA(VLOOKUP($B17,'Balanço Patrimonial'!$E:$H,4,0),0)&gt;0,_xlfn.IFNA(VLOOKUP($B17,'Balanço Patrimonial'!$A:$D,4,0),0)-_xlfn.IFNA(VLOOKUP($B17,'Balanço Patrimonial'!$E:$H,4,0),0),0)</f>
        <v>0</v>
      </c>
      <c r="G17" s="68">
        <f>-IF(_xlfn.IFNA(VLOOKUP($B17,'Balanço Patrimonial'!$A:$D,4,0),0)-_xlfn.IFNA(VLOOKUP($B17,'Balanço Patrimonial'!$E:$H,4,0),0)&lt;0,_xlfn.IFNA(VLOOKUP($B17,'Balanço Patrimonial'!$A:$D,4,0),0)-_xlfn.IFNA(VLOOKUP($B17,'Balanço Patrimonial'!$E:$H,4,0),0),0)</f>
        <v>0</v>
      </c>
      <c r="H17" s="94">
        <f t="shared" si="0"/>
        <v>0</v>
      </c>
      <c r="I17" s="94">
        <f t="shared" si="1"/>
        <v>0</v>
      </c>
    </row>
    <row r="18" spans="1:9" x14ac:dyDescent="0.25">
      <c r="A18" t="str">
        <f>Setup!I18</f>
        <v>2.8.1 - Terrenos - Imobilizado</v>
      </c>
      <c r="B18" s="54" t="str">
        <f>Setup!D18</f>
        <v>2.8.1</v>
      </c>
      <c r="C18" s="54" t="str">
        <f>Setup!E18</f>
        <v>Terrenos - Imobilizado</v>
      </c>
      <c r="D18" s="68">
        <f>IF(SUMIF('Livro Diário'!D:D,Balancete!A18,'Livro Diário'!F:F)-SUMIF('Livro Diário'!E:E,Balancete!A18,'Livro Diário'!F:F)+Balancete!F18-Balancete!G18&lt;0,0,SUMIF('Livro Diário'!D:D,Balancete!A18,'Livro Diário'!F:F)-SUMIF('Livro Diário'!E:E,Balancete!A18,'Livro Diário'!F:F)+Balancete!F18-Balancete!G18)</f>
        <v>0</v>
      </c>
      <c r="E18" s="68">
        <f>IF(-SUMIF('Livro Diário'!D:D,Balancete!A18,'Livro Diário'!F:F)+SUMIF('Livro Diário'!E:E,Balancete!A18,'Livro Diário'!F:F)-Balancete!F18+Balancete!G18&lt;0,0,-SUMIF('Livro Diário'!D:D,Balancete!A18,'Livro Diário'!F:F)+SUMIF('Livro Diário'!E:E,Balancete!A18,'Livro Diário'!F:F)-Balancete!F18+Balancete!G18)</f>
        <v>0</v>
      </c>
      <c r="F18" s="68">
        <f>IF(_xlfn.IFNA(VLOOKUP($B18,'Balanço Patrimonial'!$A:$D,4,0),0)-_xlfn.IFNA(VLOOKUP($B18,'Balanço Patrimonial'!$E:$H,4,0),0)&gt;0,_xlfn.IFNA(VLOOKUP($B18,'Balanço Patrimonial'!$A:$D,4,0),0)-_xlfn.IFNA(VLOOKUP($B18,'Balanço Patrimonial'!$E:$H,4,0),0),0)</f>
        <v>0</v>
      </c>
      <c r="G18" s="68">
        <f>-IF(_xlfn.IFNA(VLOOKUP($B18,'Balanço Patrimonial'!$A:$D,4,0),0)-_xlfn.IFNA(VLOOKUP($B18,'Balanço Patrimonial'!$E:$H,4,0),0)&lt;0,_xlfn.IFNA(VLOOKUP($B18,'Balanço Patrimonial'!$A:$D,4,0),0)-_xlfn.IFNA(VLOOKUP($B18,'Balanço Patrimonial'!$E:$H,4,0),0),0)</f>
        <v>0</v>
      </c>
      <c r="H18" s="94">
        <f t="shared" si="0"/>
        <v>0</v>
      </c>
      <c r="I18" s="94">
        <f t="shared" si="1"/>
        <v>0</v>
      </c>
    </row>
    <row r="19" spans="1:9" x14ac:dyDescent="0.25">
      <c r="A19" t="str">
        <f>Setup!I19</f>
        <v>2.9.1 - Depreciação Acumulada</v>
      </c>
      <c r="B19" s="54" t="str">
        <f>Setup!D19</f>
        <v>2.9.1</v>
      </c>
      <c r="C19" s="54" t="str">
        <f>Setup!E19</f>
        <v>Depreciação Acumulada</v>
      </c>
      <c r="D19" s="68">
        <f>IF(SUMIF('Livro Diário'!D:D,Balancete!A19,'Livro Diário'!F:F)-SUMIF('Livro Diário'!E:E,Balancete!A19,'Livro Diário'!F:F)+Balancete!F19-Balancete!G19&lt;0,0,SUMIF('Livro Diário'!D:D,Balancete!A19,'Livro Diário'!F:F)-SUMIF('Livro Diário'!E:E,Balancete!A19,'Livro Diário'!F:F)+Balancete!F19-Balancete!G19)</f>
        <v>0</v>
      </c>
      <c r="E19" s="68">
        <f>IF(-SUMIF('Livro Diário'!D:D,Balancete!A19,'Livro Diário'!F:F)+SUMIF('Livro Diário'!E:E,Balancete!A19,'Livro Diário'!F:F)-Balancete!F19+Balancete!G19&lt;0,0,-SUMIF('Livro Diário'!D:D,Balancete!A19,'Livro Diário'!F:F)+SUMIF('Livro Diário'!E:E,Balancete!A19,'Livro Diário'!F:F)-Balancete!F19+Balancete!G19)</f>
        <v>0</v>
      </c>
      <c r="F19" s="68">
        <f>IF(_xlfn.IFNA(VLOOKUP($B19,'Balanço Patrimonial'!$A:$D,4,0),0)-_xlfn.IFNA(VLOOKUP($B19,'Balanço Patrimonial'!$E:$H,4,0),0)&gt;0,_xlfn.IFNA(VLOOKUP($B19,'Balanço Patrimonial'!$A:$D,4,0),0)-_xlfn.IFNA(VLOOKUP($B19,'Balanço Patrimonial'!$E:$H,4,0),0),0)</f>
        <v>0</v>
      </c>
      <c r="G19" s="68">
        <f>-IF(_xlfn.IFNA(VLOOKUP($B19,'Balanço Patrimonial'!$A:$D,4,0),0)-_xlfn.IFNA(VLOOKUP($B19,'Balanço Patrimonial'!$E:$H,4,0),0)&lt;0,_xlfn.IFNA(VLOOKUP($B19,'Balanço Patrimonial'!$A:$D,4,0),0)-_xlfn.IFNA(VLOOKUP($B19,'Balanço Patrimonial'!$E:$H,4,0),0),0)</f>
        <v>0</v>
      </c>
      <c r="H19" s="94">
        <f t="shared" si="0"/>
        <v>0</v>
      </c>
      <c r="I19" s="94">
        <f t="shared" si="1"/>
        <v>0</v>
      </c>
    </row>
    <row r="20" spans="1:9" x14ac:dyDescent="0.25">
      <c r="A20" t="str">
        <f>Setup!I20</f>
        <v>2.10.1 - Marcas e Patentes</v>
      </c>
      <c r="B20" s="54" t="str">
        <f>Setup!D20</f>
        <v>2.10.1</v>
      </c>
      <c r="C20" s="54" t="str">
        <f>Setup!E20</f>
        <v>Marcas e Patentes</v>
      </c>
      <c r="D20" s="68">
        <f>IF(SUMIF('Livro Diário'!D:D,Balancete!A20,'Livro Diário'!F:F)-SUMIF('Livro Diário'!E:E,Balancete!A20,'Livro Diário'!F:F)+Balancete!F20-Balancete!G20&lt;0,0,SUMIF('Livro Diário'!D:D,Balancete!A20,'Livro Diário'!F:F)-SUMIF('Livro Diário'!E:E,Balancete!A20,'Livro Diário'!F:F)+Balancete!F20-Balancete!G20)</f>
        <v>0</v>
      </c>
      <c r="E20" s="68">
        <f>IF(-SUMIF('Livro Diário'!D:D,Balancete!A20,'Livro Diário'!F:F)+SUMIF('Livro Diário'!E:E,Balancete!A20,'Livro Diário'!F:F)-Balancete!F20+Balancete!G20&lt;0,0,-SUMIF('Livro Diário'!D:D,Balancete!A20,'Livro Diário'!F:F)+SUMIF('Livro Diário'!E:E,Balancete!A20,'Livro Diário'!F:F)-Balancete!F20+Balancete!G20)</f>
        <v>0</v>
      </c>
      <c r="F20" s="68">
        <f>IF(_xlfn.IFNA(VLOOKUP($B20,'Balanço Patrimonial'!$A:$D,4,0),0)-_xlfn.IFNA(VLOOKUP($B20,'Balanço Patrimonial'!$E:$H,4,0),0)&gt;0,_xlfn.IFNA(VLOOKUP($B20,'Balanço Patrimonial'!$A:$D,4,0),0)-_xlfn.IFNA(VLOOKUP($B20,'Balanço Patrimonial'!$E:$H,4,0),0),0)</f>
        <v>0</v>
      </c>
      <c r="G20" s="68">
        <f>-IF(_xlfn.IFNA(VLOOKUP($B20,'Balanço Patrimonial'!$A:$D,4,0),0)-_xlfn.IFNA(VLOOKUP($B20,'Balanço Patrimonial'!$E:$H,4,0),0)&lt;0,_xlfn.IFNA(VLOOKUP($B20,'Balanço Patrimonial'!$A:$D,4,0),0)-_xlfn.IFNA(VLOOKUP($B20,'Balanço Patrimonial'!$E:$H,4,0),0),0)</f>
        <v>0</v>
      </c>
      <c r="H20" s="94">
        <f t="shared" si="0"/>
        <v>0</v>
      </c>
      <c r="I20" s="94">
        <f t="shared" si="1"/>
        <v>0</v>
      </c>
    </row>
    <row r="21" spans="1:9" x14ac:dyDescent="0.25">
      <c r="A21" t="str">
        <f>Setup!I21</f>
        <v>2.11.1 - Software</v>
      </c>
      <c r="B21" s="54" t="str">
        <f>Setup!D21</f>
        <v>2.11.1</v>
      </c>
      <c r="C21" s="54" t="str">
        <f>Setup!E21</f>
        <v>Software</v>
      </c>
      <c r="D21" s="68">
        <f>IF(SUMIF('Livro Diário'!D:D,Balancete!A21,'Livro Diário'!F:F)-SUMIF('Livro Diário'!E:E,Balancete!A21,'Livro Diário'!F:F)+Balancete!F21-Balancete!G21&lt;0,0,SUMIF('Livro Diário'!D:D,Balancete!A21,'Livro Diário'!F:F)-SUMIF('Livro Diário'!E:E,Balancete!A21,'Livro Diário'!F:F)+Balancete!F21-Balancete!G21)</f>
        <v>0</v>
      </c>
      <c r="E21" s="68">
        <f>IF(-SUMIF('Livro Diário'!D:D,Balancete!A21,'Livro Diário'!F:F)+SUMIF('Livro Diário'!E:E,Balancete!A21,'Livro Diário'!F:F)-Balancete!F21+Balancete!G21&lt;0,0,-SUMIF('Livro Diário'!D:D,Balancete!A21,'Livro Diário'!F:F)+SUMIF('Livro Diário'!E:E,Balancete!A21,'Livro Diário'!F:F)-Balancete!F21+Balancete!G21)</f>
        <v>0</v>
      </c>
      <c r="F21" s="68">
        <f>IF(_xlfn.IFNA(VLOOKUP($B21,'Balanço Patrimonial'!$A:$D,4,0),0)-_xlfn.IFNA(VLOOKUP($B21,'Balanço Patrimonial'!$E:$H,4,0),0)&gt;0,_xlfn.IFNA(VLOOKUP($B21,'Balanço Patrimonial'!$A:$D,4,0),0)-_xlfn.IFNA(VLOOKUP($B21,'Balanço Patrimonial'!$E:$H,4,0),0),0)</f>
        <v>0</v>
      </c>
      <c r="G21" s="68">
        <f>-IF(_xlfn.IFNA(VLOOKUP($B21,'Balanço Patrimonial'!$A:$D,4,0),0)-_xlfn.IFNA(VLOOKUP($B21,'Balanço Patrimonial'!$E:$H,4,0),0)&lt;0,_xlfn.IFNA(VLOOKUP($B21,'Balanço Patrimonial'!$A:$D,4,0),0)-_xlfn.IFNA(VLOOKUP($B21,'Balanço Patrimonial'!$E:$H,4,0),0),0)</f>
        <v>0</v>
      </c>
      <c r="H21" s="94">
        <f t="shared" si="0"/>
        <v>0</v>
      </c>
      <c r="I21" s="94">
        <f t="shared" si="1"/>
        <v>0</v>
      </c>
    </row>
    <row r="22" spans="1:9" x14ac:dyDescent="0.25">
      <c r="A22" t="str">
        <f>Setup!I22</f>
        <v>2.12.1 - Amortizacão</v>
      </c>
      <c r="B22" s="54" t="str">
        <f>Setup!D22</f>
        <v>2.12.1</v>
      </c>
      <c r="C22" s="54" t="str">
        <f>Setup!E22</f>
        <v>Amortizacão</v>
      </c>
      <c r="D22" s="68">
        <f>IF(SUMIF('Livro Diário'!D:D,Balancete!A22,'Livro Diário'!F:F)-SUMIF('Livro Diário'!E:E,Balancete!A22,'Livro Diário'!F:F)+Balancete!F22-Balancete!G22&lt;0,0,SUMIF('Livro Diário'!D:D,Balancete!A22,'Livro Diário'!F:F)-SUMIF('Livro Diário'!E:E,Balancete!A22,'Livro Diário'!F:F)+Balancete!F22-Balancete!G22)</f>
        <v>0</v>
      </c>
      <c r="E22" s="68">
        <f>IF(-SUMIF('Livro Diário'!D:D,Balancete!A22,'Livro Diário'!F:F)+SUMIF('Livro Diário'!E:E,Balancete!A22,'Livro Diário'!F:F)-Balancete!F22+Balancete!G22&lt;0,0,-SUMIF('Livro Diário'!D:D,Balancete!A22,'Livro Diário'!F:F)+SUMIF('Livro Diário'!E:E,Balancete!A22,'Livro Diário'!F:F)-Balancete!F22+Balancete!G22)</f>
        <v>0</v>
      </c>
      <c r="F22" s="68">
        <f>IF(_xlfn.IFNA(VLOOKUP($B22,'Balanço Patrimonial'!$A:$D,4,0),0)-_xlfn.IFNA(VLOOKUP($B22,'Balanço Patrimonial'!$E:$H,4,0),0)&gt;0,_xlfn.IFNA(VLOOKUP($B22,'Balanço Patrimonial'!$A:$D,4,0),0)-_xlfn.IFNA(VLOOKUP($B22,'Balanço Patrimonial'!$E:$H,4,0),0),0)</f>
        <v>0</v>
      </c>
      <c r="G22" s="68">
        <f>-IF(_xlfn.IFNA(VLOOKUP($B22,'Balanço Patrimonial'!$A:$D,4,0),0)-_xlfn.IFNA(VLOOKUP($B22,'Balanço Patrimonial'!$E:$H,4,0),0)&lt;0,_xlfn.IFNA(VLOOKUP($B22,'Balanço Patrimonial'!$A:$D,4,0),0)-_xlfn.IFNA(VLOOKUP($B22,'Balanço Patrimonial'!$E:$H,4,0),0),0)</f>
        <v>0</v>
      </c>
      <c r="H22" s="94">
        <f t="shared" si="0"/>
        <v>0</v>
      </c>
      <c r="I22" s="94">
        <f t="shared" si="1"/>
        <v>0</v>
      </c>
    </row>
    <row r="23" spans="1:9" x14ac:dyDescent="0.25">
      <c r="A23" t="str">
        <f>Setup!I23</f>
        <v>3.1.1 - Contas a Pagar</v>
      </c>
      <c r="B23" s="54" t="str">
        <f>Setup!D23</f>
        <v>3.1.1</v>
      </c>
      <c r="C23" s="54" t="str">
        <f>Setup!E23</f>
        <v>Contas a Pagar</v>
      </c>
      <c r="D23" s="68">
        <f>IF(SUMIF('Livro Diário'!D:D,Balancete!A23,'Livro Diário'!F:F)-SUMIF('Livro Diário'!E:E,Balancete!A23,'Livro Diário'!F:F)+Balancete!F23-Balancete!G23&lt;0,0,SUMIF('Livro Diário'!D:D,Balancete!A23,'Livro Diário'!F:F)-SUMIF('Livro Diário'!E:E,Balancete!A23,'Livro Diário'!F:F)+Balancete!F23-Balancete!G23)</f>
        <v>0</v>
      </c>
      <c r="E23" s="68">
        <f>IF(-SUMIF('Livro Diário'!D:D,Balancete!A23,'Livro Diário'!F:F)+SUMIF('Livro Diário'!E:E,Balancete!A23,'Livro Diário'!F:F)-Balancete!F23+Balancete!G23&lt;0,0,-SUMIF('Livro Diário'!D:D,Balancete!A23,'Livro Diário'!F:F)+SUMIF('Livro Diário'!E:E,Balancete!A23,'Livro Diário'!F:F)-Balancete!F23+Balancete!G23)</f>
        <v>0</v>
      </c>
      <c r="F23" s="68">
        <f>IF(_xlfn.IFNA(VLOOKUP($B23,'Balanço Patrimonial'!$A:$D,4,0),0)-_xlfn.IFNA(VLOOKUP($B23,'Balanço Patrimonial'!$E:$H,4,0),0)&gt;0,_xlfn.IFNA(VLOOKUP($B23,'Balanço Patrimonial'!$A:$D,4,0),0)-_xlfn.IFNA(VLOOKUP($B23,'Balanço Patrimonial'!$E:$H,4,0),0),0)</f>
        <v>0</v>
      </c>
      <c r="G23" s="68">
        <f>-IF(_xlfn.IFNA(VLOOKUP($B23,'Balanço Patrimonial'!$A:$D,4,0),0)-_xlfn.IFNA(VLOOKUP($B23,'Balanço Patrimonial'!$E:$H,4,0),0)&lt;0,_xlfn.IFNA(VLOOKUP($B23,'Balanço Patrimonial'!$A:$D,4,0),0)-_xlfn.IFNA(VLOOKUP($B23,'Balanço Patrimonial'!$E:$H,4,0),0),0)</f>
        <v>0</v>
      </c>
      <c r="H23" s="94">
        <f t="shared" si="0"/>
        <v>0</v>
      </c>
      <c r="I23" s="94">
        <f t="shared" si="1"/>
        <v>0</v>
      </c>
    </row>
    <row r="24" spans="1:9" x14ac:dyDescent="0.25">
      <c r="A24" t="str">
        <f>Setup!I24</f>
        <v>3.2.1 - Fornecedores</v>
      </c>
      <c r="B24" s="54" t="str">
        <f>Setup!D24</f>
        <v>3.2.1</v>
      </c>
      <c r="C24" s="54" t="str">
        <f>Setup!E24</f>
        <v>Fornecedores</v>
      </c>
      <c r="D24" s="68">
        <f>IF(SUMIF('Livro Diário'!D:D,Balancete!A24,'Livro Diário'!F:F)-SUMIF('Livro Diário'!E:E,Balancete!A24,'Livro Diário'!F:F)+Balancete!F24-Balancete!G24&lt;0,0,SUMIF('Livro Diário'!D:D,Balancete!A24,'Livro Diário'!F:F)-SUMIF('Livro Diário'!E:E,Balancete!A24,'Livro Diário'!F:F)+Balancete!F24-Balancete!G24)</f>
        <v>0</v>
      </c>
      <c r="E24" s="68">
        <f>IF(-SUMIF('Livro Diário'!D:D,Balancete!A24,'Livro Diário'!F:F)+SUMIF('Livro Diário'!E:E,Balancete!A24,'Livro Diário'!F:F)-Balancete!F24+Balancete!G24&lt;0,0,-SUMIF('Livro Diário'!D:D,Balancete!A24,'Livro Diário'!F:F)+SUMIF('Livro Diário'!E:E,Balancete!A24,'Livro Diário'!F:F)-Balancete!F24+Balancete!G24)</f>
        <v>0</v>
      </c>
      <c r="F24" s="68">
        <f>IF(_xlfn.IFNA(VLOOKUP($B24,'Balanço Patrimonial'!$A:$D,4,0),0)-_xlfn.IFNA(VLOOKUP($B24,'Balanço Patrimonial'!$E:$H,4,0),0)&gt;0,_xlfn.IFNA(VLOOKUP($B24,'Balanço Patrimonial'!$A:$D,4,0),0)-_xlfn.IFNA(VLOOKUP($B24,'Balanço Patrimonial'!$E:$H,4,0),0),0)</f>
        <v>0</v>
      </c>
      <c r="G24" s="68">
        <f>-IF(_xlfn.IFNA(VLOOKUP($B24,'Balanço Patrimonial'!$A:$D,4,0),0)-_xlfn.IFNA(VLOOKUP($B24,'Balanço Patrimonial'!$E:$H,4,0),0)&lt;0,_xlfn.IFNA(VLOOKUP($B24,'Balanço Patrimonial'!$A:$D,4,0),0)-_xlfn.IFNA(VLOOKUP($B24,'Balanço Patrimonial'!$E:$H,4,0),0),0)</f>
        <v>0</v>
      </c>
      <c r="H24" s="94">
        <f t="shared" si="0"/>
        <v>0</v>
      </c>
      <c r="I24" s="94">
        <f t="shared" si="1"/>
        <v>0</v>
      </c>
    </row>
    <row r="25" spans="1:9" x14ac:dyDescent="0.25">
      <c r="A25" t="str">
        <f>Setup!I25</f>
        <v>3.3.1 - Empréstimo a Pagar</v>
      </c>
      <c r="B25" s="54" t="str">
        <f>Setup!D25</f>
        <v>3.3.1</v>
      </c>
      <c r="C25" s="54" t="str">
        <f>Setup!E25</f>
        <v>Empréstimo a Pagar</v>
      </c>
      <c r="D25" s="68">
        <f>IF(SUMIF('Livro Diário'!D:D,Balancete!A25,'Livro Diário'!F:F)-SUMIF('Livro Diário'!E:E,Balancete!A25,'Livro Diário'!F:F)+Balancete!F25-Balancete!G25&lt;0,0,SUMIF('Livro Diário'!D:D,Balancete!A25,'Livro Diário'!F:F)-SUMIF('Livro Diário'!E:E,Balancete!A25,'Livro Diário'!F:F)+Balancete!F25-Balancete!G25)</f>
        <v>0</v>
      </c>
      <c r="E25" s="68">
        <f>IF(-SUMIF('Livro Diário'!D:D,Balancete!A25,'Livro Diário'!F:F)+SUMIF('Livro Diário'!E:E,Balancete!A25,'Livro Diário'!F:F)-Balancete!F25+Balancete!G25&lt;0,0,-SUMIF('Livro Diário'!D:D,Balancete!A25,'Livro Diário'!F:F)+SUMIF('Livro Diário'!E:E,Balancete!A25,'Livro Diário'!F:F)-Balancete!F25+Balancete!G25)</f>
        <v>12.840000000000002</v>
      </c>
      <c r="F25" s="68">
        <f>IF(_xlfn.IFNA(VLOOKUP($B25,'Balanço Patrimonial'!$A:$D,4,0),0)-_xlfn.IFNA(VLOOKUP($B25,'Balanço Patrimonial'!$E:$H,4,0),0)&gt;0,_xlfn.IFNA(VLOOKUP($B25,'Balanço Patrimonial'!$A:$D,4,0),0)-_xlfn.IFNA(VLOOKUP($B25,'Balanço Patrimonial'!$E:$H,4,0),0),0)</f>
        <v>0</v>
      </c>
      <c r="G25" s="68">
        <f>-IF(_xlfn.IFNA(VLOOKUP($B25,'Balanço Patrimonial'!$A:$D,4,0),0)-_xlfn.IFNA(VLOOKUP($B25,'Balanço Patrimonial'!$E:$H,4,0),0)&lt;0,_xlfn.IFNA(VLOOKUP($B25,'Balanço Patrimonial'!$A:$D,4,0),0)-_xlfn.IFNA(VLOOKUP($B25,'Balanço Patrimonial'!$E:$H,4,0),0),0)</f>
        <v>0</v>
      </c>
      <c r="H25" s="94">
        <f t="shared" si="0"/>
        <v>12.840000000000002</v>
      </c>
      <c r="I25" s="94">
        <f t="shared" si="1"/>
        <v>0</v>
      </c>
    </row>
    <row r="26" spans="1:9" x14ac:dyDescent="0.25">
      <c r="A26" t="str">
        <f>Setup!I26</f>
        <v>3.4.1 - Impostos a recolher</v>
      </c>
      <c r="B26" s="54" t="str">
        <f>Setup!D26</f>
        <v>3.4.1</v>
      </c>
      <c r="C26" s="54" t="str">
        <f>Setup!E26</f>
        <v>Impostos a recolher</v>
      </c>
      <c r="D26" s="68">
        <f>IF(SUMIF('Livro Diário'!D:D,Balancete!A26,'Livro Diário'!F:F)-SUMIF('Livro Diário'!E:E,Balancete!A26,'Livro Diário'!F:F)+Balancete!F26-Balancete!G26&lt;0,0,SUMIF('Livro Diário'!D:D,Balancete!A26,'Livro Diário'!F:F)-SUMIF('Livro Diário'!E:E,Balancete!A26,'Livro Diário'!F:F)+Balancete!F26-Balancete!G26)</f>
        <v>0</v>
      </c>
      <c r="E26" s="68">
        <f>IF(-SUMIF('Livro Diário'!D:D,Balancete!A26,'Livro Diário'!F:F)+SUMIF('Livro Diário'!E:E,Balancete!A26,'Livro Diário'!F:F)-Balancete!F26+Balancete!G26&lt;0,0,-SUMIF('Livro Diário'!D:D,Balancete!A26,'Livro Diário'!F:F)+SUMIF('Livro Diário'!E:E,Balancete!A26,'Livro Diário'!F:F)-Balancete!F26+Balancete!G26)</f>
        <v>0</v>
      </c>
      <c r="F26" s="68">
        <f>IF(_xlfn.IFNA(VLOOKUP($B26,'Balanço Patrimonial'!$A:$D,4,0),0)-_xlfn.IFNA(VLOOKUP($B26,'Balanço Patrimonial'!$E:$H,4,0),0)&gt;0,_xlfn.IFNA(VLOOKUP($B26,'Balanço Patrimonial'!$A:$D,4,0),0)-_xlfn.IFNA(VLOOKUP($B26,'Balanço Patrimonial'!$E:$H,4,0),0),0)</f>
        <v>0</v>
      </c>
      <c r="G26" s="68">
        <f>-IF(_xlfn.IFNA(VLOOKUP($B26,'Balanço Patrimonial'!$A:$D,4,0),0)-_xlfn.IFNA(VLOOKUP($B26,'Balanço Patrimonial'!$E:$H,4,0),0)&lt;0,_xlfn.IFNA(VLOOKUP($B26,'Balanço Patrimonial'!$A:$D,4,0),0)-_xlfn.IFNA(VLOOKUP($B26,'Balanço Patrimonial'!$E:$H,4,0),0),0)</f>
        <v>0</v>
      </c>
      <c r="H26" s="94">
        <f t="shared" si="0"/>
        <v>0</v>
      </c>
      <c r="I26" s="94">
        <f t="shared" si="1"/>
        <v>0</v>
      </c>
    </row>
    <row r="27" spans="1:9" x14ac:dyDescent="0.25">
      <c r="A27" t="str">
        <f>Setup!I27</f>
        <v>3.5.1 - Salários a pagar</v>
      </c>
      <c r="B27" s="54" t="str">
        <f>Setup!D27</f>
        <v>3.5.1</v>
      </c>
      <c r="C27" s="54" t="str">
        <f>Setup!E27</f>
        <v>Salários a pagar</v>
      </c>
      <c r="D27" s="68">
        <f>IF(SUMIF('Livro Diário'!D:D,Balancete!A27,'Livro Diário'!F:F)-SUMIF('Livro Diário'!E:E,Balancete!A27,'Livro Diário'!F:F)+Balancete!F27-Balancete!G27&lt;0,0,SUMIF('Livro Diário'!D:D,Balancete!A27,'Livro Diário'!F:F)-SUMIF('Livro Diário'!E:E,Balancete!A27,'Livro Diário'!F:F)+Balancete!F27-Balancete!G27)</f>
        <v>0</v>
      </c>
      <c r="E27" s="68">
        <f>IF(-SUMIF('Livro Diário'!D:D,Balancete!A27,'Livro Diário'!F:F)+SUMIF('Livro Diário'!E:E,Balancete!A27,'Livro Diário'!F:F)-Balancete!F27+Balancete!G27&lt;0,0,-SUMIF('Livro Diário'!D:D,Balancete!A27,'Livro Diário'!F:F)+SUMIF('Livro Diário'!E:E,Balancete!A27,'Livro Diário'!F:F)-Balancete!F27+Balancete!G27)</f>
        <v>0</v>
      </c>
      <c r="F27" s="68">
        <f>IF(_xlfn.IFNA(VLOOKUP($B27,'Balanço Patrimonial'!$A:$D,4,0),0)-_xlfn.IFNA(VLOOKUP($B27,'Balanço Patrimonial'!$E:$H,4,0),0)&gt;0,_xlfn.IFNA(VLOOKUP($B27,'Balanço Patrimonial'!$A:$D,4,0),0)-_xlfn.IFNA(VLOOKUP($B27,'Balanço Patrimonial'!$E:$H,4,0),0),0)</f>
        <v>0</v>
      </c>
      <c r="G27" s="68">
        <f>-IF(_xlfn.IFNA(VLOOKUP($B27,'Balanço Patrimonial'!$A:$D,4,0),0)-_xlfn.IFNA(VLOOKUP($B27,'Balanço Patrimonial'!$E:$H,4,0),0)&lt;0,_xlfn.IFNA(VLOOKUP($B27,'Balanço Patrimonial'!$A:$D,4,0),0)-_xlfn.IFNA(VLOOKUP($B27,'Balanço Patrimonial'!$E:$H,4,0),0),0)</f>
        <v>0</v>
      </c>
      <c r="H27" s="94">
        <f t="shared" si="0"/>
        <v>0</v>
      </c>
      <c r="I27" s="94">
        <f t="shared" si="1"/>
        <v>0</v>
      </c>
    </row>
    <row r="28" spans="1:9" x14ac:dyDescent="0.25">
      <c r="A28" t="str">
        <f>Setup!I28</f>
        <v>3.6.1 - Receitas Antecipadas</v>
      </c>
      <c r="B28" s="54" t="str">
        <f>Setup!D28</f>
        <v>3.6.1</v>
      </c>
      <c r="C28" s="54" t="str">
        <f>Setup!E28</f>
        <v>Receitas Antecipadas</v>
      </c>
      <c r="D28" s="68">
        <f>IF(SUMIF('Livro Diário'!D:D,Balancete!A28,'Livro Diário'!F:F)-SUMIF('Livro Diário'!E:E,Balancete!A28,'Livro Diário'!F:F)+Balancete!F28-Balancete!G28&lt;0,0,SUMIF('Livro Diário'!D:D,Balancete!A28,'Livro Diário'!F:F)-SUMIF('Livro Diário'!E:E,Balancete!A28,'Livro Diário'!F:F)+Balancete!F28-Balancete!G28)</f>
        <v>0</v>
      </c>
      <c r="E28" s="68">
        <f>IF(-SUMIF('Livro Diário'!D:D,Balancete!A28,'Livro Diário'!F:F)+SUMIF('Livro Diário'!E:E,Balancete!A28,'Livro Diário'!F:F)-Balancete!F28+Balancete!G28&lt;0,0,-SUMIF('Livro Diário'!D:D,Balancete!A28,'Livro Diário'!F:F)+SUMIF('Livro Diário'!E:E,Balancete!A28,'Livro Diário'!F:F)-Balancete!F28+Balancete!G28)</f>
        <v>0</v>
      </c>
      <c r="F28" s="68">
        <f>IF(_xlfn.IFNA(VLOOKUP($B28,'Balanço Patrimonial'!$A:$D,4,0),0)-_xlfn.IFNA(VLOOKUP($B28,'Balanço Patrimonial'!$E:$H,4,0),0)&gt;0,_xlfn.IFNA(VLOOKUP($B28,'Balanço Patrimonial'!$A:$D,4,0),0)-_xlfn.IFNA(VLOOKUP($B28,'Balanço Patrimonial'!$E:$H,4,0),0),0)</f>
        <v>0</v>
      </c>
      <c r="G28" s="68">
        <f>-IF(_xlfn.IFNA(VLOOKUP($B28,'Balanço Patrimonial'!$A:$D,4,0),0)-_xlfn.IFNA(VLOOKUP($B28,'Balanço Patrimonial'!$E:$H,4,0),0)&lt;0,_xlfn.IFNA(VLOOKUP($B28,'Balanço Patrimonial'!$A:$D,4,0),0)-_xlfn.IFNA(VLOOKUP($B28,'Balanço Patrimonial'!$E:$H,4,0),0),0)</f>
        <v>0</v>
      </c>
      <c r="H28" s="94">
        <f t="shared" si="0"/>
        <v>0</v>
      </c>
      <c r="I28" s="94">
        <f t="shared" si="1"/>
        <v>0</v>
      </c>
    </row>
    <row r="29" spans="1:9" x14ac:dyDescent="0.25">
      <c r="A29" t="str">
        <f>Setup!I29</f>
        <v>3.7.1 - Dividendos a Pagar</v>
      </c>
      <c r="B29" s="54" t="str">
        <f>Setup!D29</f>
        <v>3.7.1</v>
      </c>
      <c r="C29" s="54" t="str">
        <f>Setup!E29</f>
        <v>Dividendos a Pagar</v>
      </c>
      <c r="D29" s="68">
        <f>IF(SUMIF('Livro Diário'!D:D,Balancete!A29,'Livro Diário'!F:F)-SUMIF('Livro Diário'!E:E,Balancete!A29,'Livro Diário'!F:F)+Balancete!F29-Balancete!G29&lt;0,0,SUMIF('Livro Diário'!D:D,Balancete!A29,'Livro Diário'!F:F)-SUMIF('Livro Diário'!E:E,Balancete!A29,'Livro Diário'!F:F)+Balancete!F29-Balancete!G29)</f>
        <v>0</v>
      </c>
      <c r="E29" s="68">
        <f>IF(-SUMIF('Livro Diário'!D:D,Balancete!A29,'Livro Diário'!F:F)+SUMIF('Livro Diário'!E:E,Balancete!A29,'Livro Diário'!F:F)-Balancete!F29+Balancete!G29&lt;0,0,-SUMIF('Livro Diário'!D:D,Balancete!A29,'Livro Diário'!F:F)+SUMIF('Livro Diário'!E:E,Balancete!A29,'Livro Diário'!F:F)-Balancete!F29+Balancete!G29)</f>
        <v>0</v>
      </c>
      <c r="F29" s="68">
        <f>IF(_xlfn.IFNA(VLOOKUP($B29,'Balanço Patrimonial'!$A:$D,4,0),0)-_xlfn.IFNA(VLOOKUP($B29,'Balanço Patrimonial'!$E:$H,4,0),0)&gt;0,_xlfn.IFNA(VLOOKUP($B29,'Balanço Patrimonial'!$A:$D,4,0),0)-_xlfn.IFNA(VLOOKUP($B29,'Balanço Patrimonial'!$E:$H,4,0),0),0)</f>
        <v>0</v>
      </c>
      <c r="G29" s="68">
        <f>-IF(_xlfn.IFNA(VLOOKUP($B29,'Balanço Patrimonial'!$A:$D,4,0),0)-_xlfn.IFNA(VLOOKUP($B29,'Balanço Patrimonial'!$E:$H,4,0),0)&lt;0,_xlfn.IFNA(VLOOKUP($B29,'Balanço Patrimonial'!$A:$D,4,0),0)-_xlfn.IFNA(VLOOKUP($B29,'Balanço Patrimonial'!$E:$H,4,0),0),0)</f>
        <v>0</v>
      </c>
      <c r="H29" s="94">
        <f t="shared" si="0"/>
        <v>0</v>
      </c>
      <c r="I29" s="94">
        <f t="shared" si="1"/>
        <v>0</v>
      </c>
    </row>
    <row r="30" spans="1:9" x14ac:dyDescent="0.25">
      <c r="A30" t="str">
        <f>Setup!I30</f>
        <v>4.1.1 - Contas a Pagar a Longo Prazo</v>
      </c>
      <c r="B30" s="54" t="str">
        <f>Setup!D30</f>
        <v>4.1.1</v>
      </c>
      <c r="C30" s="54" t="str">
        <f>Setup!E30</f>
        <v>Contas a Pagar a Longo Prazo</v>
      </c>
      <c r="D30" s="68">
        <f>IF(SUMIF('Livro Diário'!D:D,Balancete!A30,'Livro Diário'!F:F)-SUMIF('Livro Diário'!E:E,Balancete!A30,'Livro Diário'!F:F)+Balancete!F30-Balancete!G30&lt;0,0,SUMIF('Livro Diário'!D:D,Balancete!A30,'Livro Diário'!F:F)-SUMIF('Livro Diário'!E:E,Balancete!A30,'Livro Diário'!F:F)+Balancete!F30-Balancete!G30)</f>
        <v>0</v>
      </c>
      <c r="E30" s="68">
        <f>IF(-SUMIF('Livro Diário'!D:D,Balancete!A30,'Livro Diário'!F:F)+SUMIF('Livro Diário'!E:E,Balancete!A30,'Livro Diário'!F:F)-Balancete!F30+Balancete!G30&lt;0,0,-SUMIF('Livro Diário'!D:D,Balancete!A30,'Livro Diário'!F:F)+SUMIF('Livro Diário'!E:E,Balancete!A30,'Livro Diário'!F:F)-Balancete!F30+Balancete!G30)</f>
        <v>0</v>
      </c>
      <c r="F30" s="68">
        <f>IF(_xlfn.IFNA(VLOOKUP($B30,'Balanço Patrimonial'!$A:$D,4,0),0)-_xlfn.IFNA(VLOOKUP($B30,'Balanço Patrimonial'!$E:$H,4,0),0)&gt;0,_xlfn.IFNA(VLOOKUP($B30,'Balanço Patrimonial'!$A:$D,4,0),0)-_xlfn.IFNA(VLOOKUP($B30,'Balanço Patrimonial'!$E:$H,4,0),0),0)</f>
        <v>0</v>
      </c>
      <c r="G30" s="68">
        <f>-IF(_xlfn.IFNA(VLOOKUP($B30,'Balanço Patrimonial'!$A:$D,4,0),0)-_xlfn.IFNA(VLOOKUP($B30,'Balanço Patrimonial'!$E:$H,4,0),0)&lt;0,_xlfn.IFNA(VLOOKUP($B30,'Balanço Patrimonial'!$A:$D,4,0),0)-_xlfn.IFNA(VLOOKUP($B30,'Balanço Patrimonial'!$E:$H,4,0),0),0)</f>
        <v>0</v>
      </c>
      <c r="H30" s="94">
        <f t="shared" si="0"/>
        <v>0</v>
      </c>
      <c r="I30" s="94">
        <f t="shared" si="1"/>
        <v>0</v>
      </c>
    </row>
    <row r="31" spans="1:9" x14ac:dyDescent="0.25">
      <c r="A31" t="str">
        <f>Setup!I31</f>
        <v>4.2.1 - Fornecedores a Pagar a Longo Prazo</v>
      </c>
      <c r="B31" s="54" t="str">
        <f>Setup!D31</f>
        <v>4.2.1</v>
      </c>
      <c r="C31" s="54" t="str">
        <f>Setup!E31</f>
        <v>Fornecedores a Pagar a Longo Prazo</v>
      </c>
      <c r="D31" s="68">
        <f>IF(SUMIF('Livro Diário'!D:D,Balancete!A31,'Livro Diário'!F:F)-SUMIF('Livro Diário'!E:E,Balancete!A31,'Livro Diário'!F:F)+Balancete!F31-Balancete!G31&lt;0,0,SUMIF('Livro Diário'!D:D,Balancete!A31,'Livro Diário'!F:F)-SUMIF('Livro Diário'!E:E,Balancete!A31,'Livro Diário'!F:F)+Balancete!F31-Balancete!G31)</f>
        <v>0</v>
      </c>
      <c r="E31" s="68">
        <f>IF(-SUMIF('Livro Diário'!D:D,Balancete!A31,'Livro Diário'!F:F)+SUMIF('Livro Diário'!E:E,Balancete!A31,'Livro Diário'!F:F)-Balancete!F31+Balancete!G31&lt;0,0,-SUMIF('Livro Diário'!D:D,Balancete!A31,'Livro Diário'!F:F)+SUMIF('Livro Diário'!E:E,Balancete!A31,'Livro Diário'!F:F)-Balancete!F31+Balancete!G31)</f>
        <v>0</v>
      </c>
      <c r="F31" s="68">
        <f>IF(_xlfn.IFNA(VLOOKUP($B31,'Balanço Patrimonial'!$A:$D,4,0),0)-_xlfn.IFNA(VLOOKUP($B31,'Balanço Patrimonial'!$E:$H,4,0),0)&gt;0,_xlfn.IFNA(VLOOKUP($B31,'Balanço Patrimonial'!$A:$D,4,0),0)-_xlfn.IFNA(VLOOKUP($B31,'Balanço Patrimonial'!$E:$H,4,0),0),0)</f>
        <v>0</v>
      </c>
      <c r="G31" s="68">
        <f>-IF(_xlfn.IFNA(VLOOKUP($B31,'Balanço Patrimonial'!$A:$D,4,0),0)-_xlfn.IFNA(VLOOKUP($B31,'Balanço Patrimonial'!$E:$H,4,0),0)&lt;0,_xlfn.IFNA(VLOOKUP($B31,'Balanço Patrimonial'!$A:$D,4,0),0)-_xlfn.IFNA(VLOOKUP($B31,'Balanço Patrimonial'!$E:$H,4,0),0),0)</f>
        <v>0</v>
      </c>
      <c r="H31" s="94">
        <f t="shared" si="0"/>
        <v>0</v>
      </c>
      <c r="I31" s="94">
        <f t="shared" si="1"/>
        <v>0</v>
      </c>
    </row>
    <row r="32" spans="1:9" x14ac:dyDescent="0.25">
      <c r="A32" t="str">
        <f>Setup!I32</f>
        <v>4.3.1 - Empréstimo a logo prazo</v>
      </c>
      <c r="B32" s="54" t="str">
        <f>Setup!D32</f>
        <v>4.3.1</v>
      </c>
      <c r="C32" s="54" t="str">
        <f>Setup!E32</f>
        <v>Empréstimo a logo prazo</v>
      </c>
      <c r="D32" s="68">
        <f>IF(SUMIF('Livro Diário'!D:D,Balancete!A32,'Livro Diário'!F:F)-SUMIF('Livro Diário'!E:E,Balancete!A32,'Livro Diário'!F:F)+Balancete!F32-Balancete!G32&lt;0,0,SUMIF('Livro Diário'!D:D,Balancete!A32,'Livro Diário'!F:F)-SUMIF('Livro Diário'!E:E,Balancete!A32,'Livro Diário'!F:F)+Balancete!F32-Balancete!G32)</f>
        <v>0</v>
      </c>
      <c r="E32" s="68">
        <f>IF(-SUMIF('Livro Diário'!D:D,Balancete!A32,'Livro Diário'!F:F)+SUMIF('Livro Diário'!E:E,Balancete!A32,'Livro Diário'!F:F)-Balancete!F32+Balancete!G32&lt;0,0,-SUMIF('Livro Diário'!D:D,Balancete!A32,'Livro Diário'!F:F)+SUMIF('Livro Diário'!E:E,Balancete!A32,'Livro Diário'!F:F)-Balancete!F32+Balancete!G32)</f>
        <v>0</v>
      </c>
      <c r="F32" s="68">
        <f>IF(_xlfn.IFNA(VLOOKUP($B32,'Balanço Patrimonial'!$A:$D,4,0),0)-_xlfn.IFNA(VLOOKUP($B32,'Balanço Patrimonial'!$E:$H,4,0),0)&gt;0,_xlfn.IFNA(VLOOKUP($B32,'Balanço Patrimonial'!$A:$D,4,0),0)-_xlfn.IFNA(VLOOKUP($B32,'Balanço Patrimonial'!$E:$H,4,0),0),0)</f>
        <v>0</v>
      </c>
      <c r="G32" s="68">
        <f>-IF(_xlfn.IFNA(VLOOKUP($B32,'Balanço Patrimonial'!$A:$D,4,0),0)-_xlfn.IFNA(VLOOKUP($B32,'Balanço Patrimonial'!$E:$H,4,0),0)&lt;0,_xlfn.IFNA(VLOOKUP($B32,'Balanço Patrimonial'!$A:$D,4,0),0)-_xlfn.IFNA(VLOOKUP($B32,'Balanço Patrimonial'!$E:$H,4,0),0),0)</f>
        <v>0</v>
      </c>
      <c r="H32" s="94">
        <f t="shared" si="0"/>
        <v>0</v>
      </c>
      <c r="I32" s="94">
        <f t="shared" si="1"/>
        <v>0</v>
      </c>
    </row>
    <row r="33" spans="1:9" x14ac:dyDescent="0.25">
      <c r="A33" t="str">
        <f>Setup!I33</f>
        <v>5.1.1 - Capital Social</v>
      </c>
      <c r="B33" s="54" t="str">
        <f>Setup!D33</f>
        <v>5.1.1</v>
      </c>
      <c r="C33" s="54" t="str">
        <f>Setup!E33</f>
        <v>Capital Social</v>
      </c>
      <c r="D33" s="68">
        <f>IF(SUMIF('Livro Diário'!D:D,Balancete!A33,'Livro Diário'!F:F)-SUMIF('Livro Diário'!E:E,Balancete!A33,'Livro Diário'!F:F)+Balancete!F33-Balancete!G33&lt;0,0,SUMIF('Livro Diário'!D:D,Balancete!A33,'Livro Diário'!F:F)-SUMIF('Livro Diário'!E:E,Balancete!A33,'Livro Diário'!F:F)+Balancete!F33-Balancete!G33)</f>
        <v>0</v>
      </c>
      <c r="E33" s="68">
        <f>IF(-SUMIF('Livro Diário'!D:D,Balancete!A33,'Livro Diário'!F:F)+SUMIF('Livro Diário'!E:E,Balancete!A33,'Livro Diário'!F:F)-Balancete!F33+Balancete!G33&lt;0,0,-SUMIF('Livro Diário'!D:D,Balancete!A33,'Livro Diário'!F:F)+SUMIF('Livro Diário'!E:E,Balancete!A33,'Livro Diário'!F:F)-Balancete!F33+Balancete!G33)</f>
        <v>0</v>
      </c>
      <c r="F33" s="68">
        <f>IF(_xlfn.IFNA(VLOOKUP($B33,'Balanço Patrimonial'!$A:$D,4,0),0)-_xlfn.IFNA(VLOOKUP($B33,'Balanço Patrimonial'!$E:$H,4,0),0)&gt;0,_xlfn.IFNA(VLOOKUP($B33,'Balanço Patrimonial'!$A:$D,4,0),0)-_xlfn.IFNA(VLOOKUP($B33,'Balanço Patrimonial'!$E:$H,4,0),0),0)</f>
        <v>0</v>
      </c>
      <c r="G33" s="68">
        <f>-IF(_xlfn.IFNA(VLOOKUP($B33,'Balanço Patrimonial'!$A:$D,4,0),0)-_xlfn.IFNA(VLOOKUP($B33,'Balanço Patrimonial'!$E:$H,4,0),0)&lt;0,_xlfn.IFNA(VLOOKUP($B33,'Balanço Patrimonial'!$A:$D,4,0),0)-_xlfn.IFNA(VLOOKUP($B33,'Balanço Patrimonial'!$E:$H,4,0),0),0)</f>
        <v>0</v>
      </c>
      <c r="H33" s="94">
        <f t="shared" si="0"/>
        <v>0</v>
      </c>
      <c r="I33" s="94">
        <f t="shared" si="1"/>
        <v>0</v>
      </c>
    </row>
    <row r="34" spans="1:9" x14ac:dyDescent="0.25">
      <c r="A34" t="str">
        <f>Setup!I34</f>
        <v>5.2.1 - Lucros Acumulados</v>
      </c>
      <c r="B34" s="54" t="str">
        <f>Setup!D34</f>
        <v>5.2.1</v>
      </c>
      <c r="C34" s="54" t="str">
        <f>Setup!E34</f>
        <v>Lucros Acumulados</v>
      </c>
      <c r="D34" s="68">
        <f>IF(SUMIF('Livro Diário'!D:D,Balancete!A34,'Livro Diário'!F:F)-SUMIF('Livro Diário'!E:E,Balancete!A34,'Livro Diário'!F:F)+Balancete!F34-Balancete!G34&lt;0,0,SUMIF('Livro Diário'!D:D,Balancete!A34,'Livro Diário'!F:F)-SUMIF('Livro Diário'!E:E,Balancete!A34,'Livro Diário'!F:F)+Balancete!F34-Balancete!G34)</f>
        <v>0</v>
      </c>
      <c r="E34" s="68">
        <f>IF(-SUMIF('Livro Diário'!D:D,Balancete!A34,'Livro Diário'!F:F)+SUMIF('Livro Diário'!E:E,Balancete!A34,'Livro Diário'!F:F)-Balancete!F34+Balancete!G34&lt;0,0,-SUMIF('Livro Diário'!D:D,Balancete!A34,'Livro Diário'!F:F)+SUMIF('Livro Diário'!E:E,Balancete!A34,'Livro Diário'!F:F)-Balancete!F34+Balancete!G34)</f>
        <v>0</v>
      </c>
      <c r="F34" s="68">
        <f>IF(_xlfn.IFNA(VLOOKUP($B34,'Balanço Patrimonial'!$A:$D,4,0),0)-_xlfn.IFNA(VLOOKUP($B34,'Balanço Patrimonial'!$E:$H,4,0),0)&gt;0,_xlfn.IFNA(VLOOKUP($B34,'Balanço Patrimonial'!$A:$D,4,0),0)-_xlfn.IFNA(VLOOKUP($B34,'Balanço Patrimonial'!$E:$H,4,0),0),0)</f>
        <v>0</v>
      </c>
      <c r="G34" s="68">
        <f>-IF(_xlfn.IFNA(VLOOKUP($B34,'Balanço Patrimonial'!$A:$D,4,0),0)-_xlfn.IFNA(VLOOKUP($B34,'Balanço Patrimonial'!$E:$H,4,0),0)&lt;0,_xlfn.IFNA(VLOOKUP($B34,'Balanço Patrimonial'!$A:$D,4,0),0)-_xlfn.IFNA(VLOOKUP($B34,'Balanço Patrimonial'!$E:$H,4,0),0),0)</f>
        <v>0</v>
      </c>
      <c r="H34" s="94">
        <f t="shared" si="0"/>
        <v>0</v>
      </c>
      <c r="I34" s="94">
        <f t="shared" si="1"/>
        <v>0</v>
      </c>
    </row>
    <row r="35" spans="1:9" x14ac:dyDescent="0.25">
      <c r="A35" t="str">
        <f>Setup!I35</f>
        <v>5.3.1 - Prejuízos Acumulados</v>
      </c>
      <c r="B35" s="54" t="str">
        <f>Setup!D35</f>
        <v>5.3.1</v>
      </c>
      <c r="C35" s="54" t="str">
        <f>Setup!E35</f>
        <v>Prejuízos Acumulados</v>
      </c>
      <c r="D35" s="68">
        <f>IF(SUMIF('Livro Diário'!D:D,Balancete!A35,'Livro Diário'!F:F)-SUMIF('Livro Diário'!E:E,Balancete!A35,'Livro Diário'!F:F)+Balancete!F35-Balancete!G35&lt;0,0,SUMIF('Livro Diário'!D:D,Balancete!A35,'Livro Diário'!F:F)-SUMIF('Livro Diário'!E:E,Balancete!A35,'Livro Diário'!F:F)+Balancete!F35-Balancete!G35)</f>
        <v>0</v>
      </c>
      <c r="E35" s="68">
        <f>IF(-SUMIF('Livro Diário'!D:D,Balancete!A35,'Livro Diário'!F:F)+SUMIF('Livro Diário'!E:E,Balancete!A35,'Livro Diário'!F:F)-Balancete!F35+Balancete!G35&lt;0,0,-SUMIF('Livro Diário'!D:D,Balancete!A35,'Livro Diário'!F:F)+SUMIF('Livro Diário'!E:E,Balancete!A35,'Livro Diário'!F:F)-Balancete!F35+Balancete!G35)</f>
        <v>0</v>
      </c>
      <c r="F35" s="68">
        <f>IF(_xlfn.IFNA(VLOOKUP($B35,'Balanço Patrimonial'!$A:$D,4,0),0)-_xlfn.IFNA(VLOOKUP($B35,'Balanço Patrimonial'!$E:$H,4,0),0)&gt;0,_xlfn.IFNA(VLOOKUP($B35,'Balanço Patrimonial'!$A:$D,4,0),0)-_xlfn.IFNA(VLOOKUP($B35,'Balanço Patrimonial'!$E:$H,4,0),0),0)</f>
        <v>0</v>
      </c>
      <c r="G35" s="68">
        <f>-IF(_xlfn.IFNA(VLOOKUP($B35,'Balanço Patrimonial'!$A:$D,4,0),0)-_xlfn.IFNA(VLOOKUP($B35,'Balanço Patrimonial'!$E:$H,4,0),0)&lt;0,_xlfn.IFNA(VLOOKUP($B35,'Balanço Patrimonial'!$A:$D,4,0),0)-_xlfn.IFNA(VLOOKUP($B35,'Balanço Patrimonial'!$E:$H,4,0),0),0)</f>
        <v>0</v>
      </c>
      <c r="H35" s="94">
        <f t="shared" si="0"/>
        <v>0</v>
      </c>
      <c r="I35" s="94">
        <f t="shared" si="1"/>
        <v>0</v>
      </c>
    </row>
    <row r="36" spans="1:9" x14ac:dyDescent="0.25">
      <c r="A36" t="str">
        <f>Setup!I36</f>
        <v>5.4.1 - Reserva de Lucros</v>
      </c>
      <c r="B36" s="54" t="str">
        <f>Setup!D36</f>
        <v>5.4.1</v>
      </c>
      <c r="C36" s="54" t="str">
        <f>Setup!E36</f>
        <v>Reserva de Lucros</v>
      </c>
      <c r="D36" s="68">
        <f>IF(SUMIF('Livro Diário'!D:D,Balancete!A36,'Livro Diário'!F:F)-SUMIF('Livro Diário'!E:E,Balancete!A36,'Livro Diário'!F:F)+Balancete!F36-Balancete!G36&lt;0,0,SUMIF('Livro Diário'!D:D,Balancete!A36,'Livro Diário'!F:F)-SUMIF('Livro Diário'!E:E,Balancete!A36,'Livro Diário'!F:F)+Balancete!F36-Balancete!G36)</f>
        <v>0</v>
      </c>
      <c r="E36" s="68">
        <f>IF(-SUMIF('Livro Diário'!D:D,Balancete!A36,'Livro Diário'!F:F)+SUMIF('Livro Diário'!E:E,Balancete!A36,'Livro Diário'!F:F)-Balancete!F36+Balancete!G36&lt;0,0,-SUMIF('Livro Diário'!D:D,Balancete!A36,'Livro Diário'!F:F)+SUMIF('Livro Diário'!E:E,Balancete!A36,'Livro Diário'!F:F)-Balancete!F36+Balancete!G36)</f>
        <v>0</v>
      </c>
      <c r="F36" s="68">
        <f>IF(_xlfn.IFNA(VLOOKUP($B36,'Balanço Patrimonial'!$A:$D,4,0),0)-_xlfn.IFNA(VLOOKUP($B36,'Balanço Patrimonial'!$E:$H,4,0),0)&gt;0,_xlfn.IFNA(VLOOKUP($B36,'Balanço Patrimonial'!$A:$D,4,0),0)-_xlfn.IFNA(VLOOKUP($B36,'Balanço Patrimonial'!$E:$H,4,0),0),0)</f>
        <v>0</v>
      </c>
      <c r="G36" s="68">
        <f>-IF(_xlfn.IFNA(VLOOKUP($B36,'Balanço Patrimonial'!$A:$D,4,0),0)-_xlfn.IFNA(VLOOKUP($B36,'Balanço Patrimonial'!$E:$H,4,0),0)&lt;0,_xlfn.IFNA(VLOOKUP($B36,'Balanço Patrimonial'!$A:$D,4,0),0)-_xlfn.IFNA(VLOOKUP($B36,'Balanço Patrimonial'!$E:$H,4,0),0),0)</f>
        <v>0</v>
      </c>
      <c r="H36" s="94">
        <f t="shared" si="0"/>
        <v>0</v>
      </c>
      <c r="I36" s="94">
        <f t="shared" si="1"/>
        <v>0</v>
      </c>
    </row>
    <row r="37" spans="1:9" x14ac:dyDescent="0.25">
      <c r="A37" t="str">
        <f>Setup!I37</f>
        <v>6.1.1 - Água/Luz</v>
      </c>
      <c r="B37" s="54" t="str">
        <f>Setup!D37</f>
        <v>6.1.1</v>
      </c>
      <c r="C37" s="54" t="str">
        <f>Setup!E37</f>
        <v>Água/Luz</v>
      </c>
      <c r="D37" s="68">
        <f>IF(SUMIF('Livro Diário'!D:D,Balancete!A37,'Livro Diário'!F:F)-SUMIF('Livro Diário'!E:E,Balancete!A37,'Livro Diário'!F:F)+Balancete!F37-Balancete!G37&lt;0,0,SUMIF('Livro Diário'!D:D,Balancete!A37,'Livro Diário'!F:F)-SUMIF('Livro Diário'!E:E,Balancete!A37,'Livro Diário'!F:F)+Balancete!F37-Balancete!G37)</f>
        <v>0</v>
      </c>
      <c r="E37" s="68">
        <f>IF(-SUMIF('Livro Diário'!D:D,Balancete!A37,'Livro Diário'!F:F)+SUMIF('Livro Diário'!E:E,Balancete!A37,'Livro Diário'!F:F)-Balancete!F37+Balancete!G37&lt;0,0,-SUMIF('Livro Diário'!D:D,Balancete!A37,'Livro Diário'!F:F)+SUMIF('Livro Diário'!E:E,Balancete!A37,'Livro Diário'!F:F)-Balancete!F37+Balancete!G37)</f>
        <v>0</v>
      </c>
      <c r="F37" s="68">
        <f>IF(_xlfn.IFNA(VLOOKUP($B37,'Balanço Patrimonial'!$A:$D,4,0),0)-_xlfn.IFNA(VLOOKUP($B37,'Balanço Patrimonial'!$E:$H,4,0),0)&gt;0,_xlfn.IFNA(VLOOKUP($B37,'Balanço Patrimonial'!$A:$D,4,0),0)-_xlfn.IFNA(VLOOKUP($B37,'Balanço Patrimonial'!$E:$H,4,0),0),0)</f>
        <v>0</v>
      </c>
      <c r="G37" s="68">
        <f>-IF(_xlfn.IFNA(VLOOKUP($B37,'Balanço Patrimonial'!$A:$D,4,0),0)-_xlfn.IFNA(VLOOKUP($B37,'Balanço Patrimonial'!$E:$H,4,0),0)&lt;0,_xlfn.IFNA(VLOOKUP($B37,'Balanço Patrimonial'!$A:$D,4,0),0)-_xlfn.IFNA(VLOOKUP($B37,'Balanço Patrimonial'!$E:$H,4,0),0),0)</f>
        <v>0</v>
      </c>
      <c r="H37" s="94">
        <f t="shared" si="0"/>
        <v>0</v>
      </c>
      <c r="I37" s="94">
        <f t="shared" si="1"/>
        <v>0</v>
      </c>
    </row>
    <row r="38" spans="1:9" x14ac:dyDescent="0.25">
      <c r="A38" t="str">
        <f>Setup!I38</f>
        <v>6.2.1 - Salários</v>
      </c>
      <c r="B38" s="54" t="str">
        <f>Setup!D38</f>
        <v>6.2.1</v>
      </c>
      <c r="C38" s="54" t="str">
        <f>Setup!E38</f>
        <v>Salários</v>
      </c>
      <c r="D38" s="68">
        <f>IF(SUMIF('Livro Diário'!D:D,Balancete!A38,'Livro Diário'!F:F)-SUMIF('Livro Diário'!E:E,Balancete!A38,'Livro Diário'!F:F)+Balancete!F38-Balancete!G38&lt;0,0,SUMIF('Livro Diário'!D:D,Balancete!A38,'Livro Diário'!F:F)-SUMIF('Livro Diário'!E:E,Balancete!A38,'Livro Diário'!F:F)+Balancete!F38-Balancete!G38)</f>
        <v>0</v>
      </c>
      <c r="E38" s="68">
        <f>IF(-SUMIF('Livro Diário'!D:D,Balancete!A38,'Livro Diário'!F:F)+SUMIF('Livro Diário'!E:E,Balancete!A38,'Livro Diário'!F:F)-Balancete!F38+Balancete!G38&lt;0,0,-SUMIF('Livro Diário'!D:D,Balancete!A38,'Livro Diário'!F:F)+SUMIF('Livro Diário'!E:E,Balancete!A38,'Livro Diário'!F:F)-Balancete!F38+Balancete!G38)</f>
        <v>0</v>
      </c>
      <c r="F38" s="68">
        <f>IF(_xlfn.IFNA(VLOOKUP($B38,'Balanço Patrimonial'!$A:$D,4,0),0)-_xlfn.IFNA(VLOOKUP($B38,'Balanço Patrimonial'!$E:$H,4,0),0)&gt;0,_xlfn.IFNA(VLOOKUP($B38,'Balanço Patrimonial'!$A:$D,4,0),0)-_xlfn.IFNA(VLOOKUP($B38,'Balanço Patrimonial'!$E:$H,4,0),0),0)</f>
        <v>0</v>
      </c>
      <c r="G38" s="68">
        <f>-IF(_xlfn.IFNA(VLOOKUP($B38,'Balanço Patrimonial'!$A:$D,4,0),0)-_xlfn.IFNA(VLOOKUP($B38,'Balanço Patrimonial'!$E:$H,4,0),0)&lt;0,_xlfn.IFNA(VLOOKUP($B38,'Balanço Patrimonial'!$A:$D,4,0),0)-_xlfn.IFNA(VLOOKUP($B38,'Balanço Patrimonial'!$E:$H,4,0),0),0)</f>
        <v>0</v>
      </c>
      <c r="H38" s="94">
        <f t="shared" si="0"/>
        <v>0</v>
      </c>
      <c r="I38" s="94">
        <f t="shared" si="1"/>
        <v>0</v>
      </c>
    </row>
    <row r="39" spans="1:9" x14ac:dyDescent="0.25">
      <c r="A39" t="str">
        <f>Setup!I39</f>
        <v>6.3.1 - Aluguel</v>
      </c>
      <c r="B39" s="54" t="str">
        <f>Setup!D39</f>
        <v>6.3.1</v>
      </c>
      <c r="C39" s="54" t="str">
        <f>Setup!E39</f>
        <v>Aluguel</v>
      </c>
      <c r="D39" s="68">
        <f>IF(SUMIF('Livro Diário'!D:D,Balancete!A39,'Livro Diário'!F:F)-SUMIF('Livro Diário'!E:E,Balancete!A39,'Livro Diário'!F:F)+Balancete!F39-Balancete!G39&lt;0,0,SUMIF('Livro Diário'!D:D,Balancete!A39,'Livro Diário'!F:F)-SUMIF('Livro Diário'!E:E,Balancete!A39,'Livro Diário'!F:F)+Balancete!F39-Balancete!G39)</f>
        <v>0</v>
      </c>
      <c r="E39" s="68">
        <f>IF(-SUMIF('Livro Diário'!D:D,Balancete!A39,'Livro Diário'!F:F)+SUMIF('Livro Diário'!E:E,Balancete!A39,'Livro Diário'!F:F)-Balancete!F39+Balancete!G39&lt;0,0,-SUMIF('Livro Diário'!D:D,Balancete!A39,'Livro Diário'!F:F)+SUMIF('Livro Diário'!E:E,Balancete!A39,'Livro Diário'!F:F)-Balancete!F39+Balancete!G39)</f>
        <v>0</v>
      </c>
      <c r="F39" s="68">
        <f>IF(_xlfn.IFNA(VLOOKUP($B39,'Balanço Patrimonial'!$A:$D,4,0),0)-_xlfn.IFNA(VLOOKUP($B39,'Balanço Patrimonial'!$E:$H,4,0),0)&gt;0,_xlfn.IFNA(VLOOKUP($B39,'Balanço Patrimonial'!$A:$D,4,0),0)-_xlfn.IFNA(VLOOKUP($B39,'Balanço Patrimonial'!$E:$H,4,0),0),0)</f>
        <v>0</v>
      </c>
      <c r="G39" s="68">
        <f>-IF(_xlfn.IFNA(VLOOKUP($B39,'Balanço Patrimonial'!$A:$D,4,0),0)-_xlfn.IFNA(VLOOKUP($B39,'Balanço Patrimonial'!$E:$H,4,0),0)&lt;0,_xlfn.IFNA(VLOOKUP($B39,'Balanço Patrimonial'!$A:$D,4,0),0)-_xlfn.IFNA(VLOOKUP($B39,'Balanço Patrimonial'!$E:$H,4,0),0),0)</f>
        <v>0</v>
      </c>
      <c r="H39" s="94">
        <f t="shared" si="0"/>
        <v>0</v>
      </c>
      <c r="I39" s="94">
        <f t="shared" si="1"/>
        <v>0</v>
      </c>
    </row>
    <row r="40" spans="1:9" x14ac:dyDescent="0.25">
      <c r="A40" t="str">
        <f>Setup!I40</f>
        <v>6.4.1 - Pro labore</v>
      </c>
      <c r="B40" s="54" t="str">
        <f>Setup!D40</f>
        <v>6.4.1</v>
      </c>
      <c r="C40" s="54" t="str">
        <f>Setup!E40</f>
        <v>Pro labore</v>
      </c>
      <c r="D40" s="68">
        <f>IF(SUMIF('Livro Diário'!D:D,Balancete!A40,'Livro Diário'!F:F)-SUMIF('Livro Diário'!E:E,Balancete!A40,'Livro Diário'!F:F)+Balancete!F40-Balancete!G40&lt;0,0,SUMIF('Livro Diário'!D:D,Balancete!A40,'Livro Diário'!F:F)-SUMIF('Livro Diário'!E:E,Balancete!A40,'Livro Diário'!F:F)+Balancete!F40-Balancete!G40)</f>
        <v>0</v>
      </c>
      <c r="E40" s="68">
        <f>IF(-SUMIF('Livro Diário'!D:D,Balancete!A40,'Livro Diário'!F:F)+SUMIF('Livro Diário'!E:E,Balancete!A40,'Livro Diário'!F:F)-Balancete!F40+Balancete!G40&lt;0,0,-SUMIF('Livro Diário'!D:D,Balancete!A40,'Livro Diário'!F:F)+SUMIF('Livro Diário'!E:E,Balancete!A40,'Livro Diário'!F:F)-Balancete!F40+Balancete!G40)</f>
        <v>0</v>
      </c>
      <c r="F40" s="68">
        <f>IF(_xlfn.IFNA(VLOOKUP($B40,'Balanço Patrimonial'!$A:$D,4,0),0)-_xlfn.IFNA(VLOOKUP($B40,'Balanço Patrimonial'!$E:$H,4,0),0)&gt;0,_xlfn.IFNA(VLOOKUP($B40,'Balanço Patrimonial'!$A:$D,4,0),0)-_xlfn.IFNA(VLOOKUP($B40,'Balanço Patrimonial'!$E:$H,4,0),0),0)</f>
        <v>0</v>
      </c>
      <c r="G40" s="68">
        <f>-IF(_xlfn.IFNA(VLOOKUP($B40,'Balanço Patrimonial'!$A:$D,4,0),0)-_xlfn.IFNA(VLOOKUP($B40,'Balanço Patrimonial'!$E:$H,4,0),0)&lt;0,_xlfn.IFNA(VLOOKUP($B40,'Balanço Patrimonial'!$A:$D,4,0),0)-_xlfn.IFNA(VLOOKUP($B40,'Balanço Patrimonial'!$E:$H,4,0),0),0)</f>
        <v>0</v>
      </c>
      <c r="H40" s="94">
        <f t="shared" si="0"/>
        <v>0</v>
      </c>
      <c r="I40" s="94">
        <f t="shared" si="1"/>
        <v>0</v>
      </c>
    </row>
    <row r="41" spans="1:9" x14ac:dyDescent="0.25">
      <c r="A41" t="str">
        <f>Setup!I41</f>
        <v>6.5.1 - CMV</v>
      </c>
      <c r="B41" s="54" t="str">
        <f>Setup!D41</f>
        <v>6.5.1</v>
      </c>
      <c r="C41" s="54" t="str">
        <f>Setup!E41</f>
        <v>CMV</v>
      </c>
      <c r="D41" s="68">
        <f>IF(SUMIF('Livro Diário'!D:D,Balancete!A41,'Livro Diário'!F:F)-SUMIF('Livro Diário'!E:E,Balancete!A41,'Livro Diário'!F:F)+Balancete!F41-Balancete!G41&lt;0,0,SUMIF('Livro Diário'!D:D,Balancete!A41,'Livro Diário'!F:F)-SUMIF('Livro Diário'!E:E,Balancete!A41,'Livro Diário'!F:F)+Balancete!F41-Balancete!G41)</f>
        <v>0</v>
      </c>
      <c r="E41" s="68">
        <f>IF(-SUMIF('Livro Diário'!D:D,Balancete!A41,'Livro Diário'!F:F)+SUMIF('Livro Diário'!E:E,Balancete!A41,'Livro Diário'!F:F)-Balancete!F41+Balancete!G41&lt;0,0,-SUMIF('Livro Diário'!D:D,Balancete!A41,'Livro Diário'!F:F)+SUMIF('Livro Diário'!E:E,Balancete!A41,'Livro Diário'!F:F)-Balancete!F41+Balancete!G41)</f>
        <v>0</v>
      </c>
      <c r="F41" s="68">
        <f>IF(_xlfn.IFNA(VLOOKUP($B41,'Balanço Patrimonial'!$A:$D,4,0),0)-_xlfn.IFNA(VLOOKUP($B41,'Balanço Patrimonial'!$E:$H,4,0),0)&gt;0,_xlfn.IFNA(VLOOKUP($B41,'Balanço Patrimonial'!$A:$D,4,0),0)-_xlfn.IFNA(VLOOKUP($B41,'Balanço Patrimonial'!$E:$H,4,0),0),0)</f>
        <v>0</v>
      </c>
      <c r="G41" s="68">
        <f>-IF(_xlfn.IFNA(VLOOKUP($B41,'Balanço Patrimonial'!$A:$D,4,0),0)-_xlfn.IFNA(VLOOKUP($B41,'Balanço Patrimonial'!$E:$H,4,0),0)&lt;0,_xlfn.IFNA(VLOOKUP($B41,'Balanço Patrimonial'!$A:$D,4,0),0)-_xlfn.IFNA(VLOOKUP($B41,'Balanço Patrimonial'!$E:$H,4,0),0),0)</f>
        <v>0</v>
      </c>
      <c r="H41" s="94">
        <f t="shared" si="0"/>
        <v>0</v>
      </c>
      <c r="I41" s="94">
        <f t="shared" si="1"/>
        <v>0</v>
      </c>
    </row>
    <row r="42" spans="1:9" x14ac:dyDescent="0.25">
      <c r="A42" t="str">
        <f>Setup!I42</f>
        <v>6.6.1 - CPV</v>
      </c>
      <c r="B42" s="54" t="str">
        <f>Setup!D42</f>
        <v>6.6.1</v>
      </c>
      <c r="C42" s="54" t="str">
        <f>Setup!E42</f>
        <v>CPV</v>
      </c>
      <c r="D42" s="68">
        <f>IF(SUMIF('Livro Diário'!D:D,Balancete!A42,'Livro Diário'!F:F)-SUMIF('Livro Diário'!E:E,Balancete!A42,'Livro Diário'!F:F)+Balancete!F42-Balancete!G42&lt;0,0,SUMIF('Livro Diário'!D:D,Balancete!A42,'Livro Diário'!F:F)-SUMIF('Livro Diário'!E:E,Balancete!A42,'Livro Diário'!F:F)+Balancete!F42-Balancete!G42)</f>
        <v>0</v>
      </c>
      <c r="E42" s="68">
        <f>IF(-SUMIF('Livro Diário'!D:D,Balancete!A42,'Livro Diário'!F:F)+SUMIF('Livro Diário'!E:E,Balancete!A42,'Livro Diário'!F:F)-Balancete!F42+Balancete!G42&lt;0,0,-SUMIF('Livro Diário'!D:D,Balancete!A42,'Livro Diário'!F:F)+SUMIF('Livro Diário'!E:E,Balancete!A42,'Livro Diário'!F:F)-Balancete!F42+Balancete!G42)</f>
        <v>0</v>
      </c>
      <c r="F42" s="68">
        <f>IF(_xlfn.IFNA(VLOOKUP($B42,'Balanço Patrimonial'!$A:$D,4,0),0)-_xlfn.IFNA(VLOOKUP($B42,'Balanço Patrimonial'!$E:$H,4,0),0)&gt;0,_xlfn.IFNA(VLOOKUP($B42,'Balanço Patrimonial'!$A:$D,4,0),0)-_xlfn.IFNA(VLOOKUP($B42,'Balanço Patrimonial'!$E:$H,4,0),0),0)</f>
        <v>0</v>
      </c>
      <c r="G42" s="68">
        <f>-IF(_xlfn.IFNA(VLOOKUP($B42,'Balanço Patrimonial'!$A:$D,4,0),0)-_xlfn.IFNA(VLOOKUP($B42,'Balanço Patrimonial'!$E:$H,4,0),0)&lt;0,_xlfn.IFNA(VLOOKUP($B42,'Balanço Patrimonial'!$A:$D,4,0),0)-_xlfn.IFNA(VLOOKUP($B42,'Balanço Patrimonial'!$E:$H,4,0),0),0)</f>
        <v>0</v>
      </c>
      <c r="H42" s="94">
        <f t="shared" si="0"/>
        <v>0</v>
      </c>
      <c r="I42" s="94">
        <f t="shared" si="1"/>
        <v>0</v>
      </c>
    </row>
    <row r="43" spans="1:9" x14ac:dyDescent="0.25">
      <c r="A43" t="str">
        <f>Setup!I43</f>
        <v>6.7.1 - CSP</v>
      </c>
      <c r="B43" s="54" t="str">
        <f>Setup!D43</f>
        <v>6.7.1</v>
      </c>
      <c r="C43" s="54" t="str">
        <f>Setup!E43</f>
        <v>CSP</v>
      </c>
      <c r="D43" s="68">
        <f>IF(SUMIF('Livro Diário'!D:D,Balancete!A43,'Livro Diário'!F:F)-SUMIF('Livro Diário'!E:E,Balancete!A43,'Livro Diário'!F:F)+Balancete!F43-Balancete!G43&lt;0,0,SUMIF('Livro Diário'!D:D,Balancete!A43,'Livro Diário'!F:F)-SUMIF('Livro Diário'!E:E,Balancete!A43,'Livro Diário'!F:F)+Balancete!F43-Balancete!G43)</f>
        <v>0</v>
      </c>
      <c r="E43" s="68">
        <f>IF(-SUMIF('Livro Diário'!D:D,Balancete!A43,'Livro Diário'!F:F)+SUMIF('Livro Diário'!E:E,Balancete!A43,'Livro Diário'!F:F)-Balancete!F43+Balancete!G43&lt;0,0,-SUMIF('Livro Diário'!D:D,Balancete!A43,'Livro Diário'!F:F)+SUMIF('Livro Diário'!E:E,Balancete!A43,'Livro Diário'!F:F)-Balancete!F43+Balancete!G43)</f>
        <v>0</v>
      </c>
      <c r="F43" s="68">
        <f>IF(_xlfn.IFNA(VLOOKUP($B43,'Balanço Patrimonial'!$A:$D,4,0),0)-_xlfn.IFNA(VLOOKUP($B43,'Balanço Patrimonial'!$E:$H,4,0),0)&gt;0,_xlfn.IFNA(VLOOKUP($B43,'Balanço Patrimonial'!$A:$D,4,0),0)-_xlfn.IFNA(VLOOKUP($B43,'Balanço Patrimonial'!$E:$H,4,0),0),0)</f>
        <v>0</v>
      </c>
      <c r="G43" s="68">
        <f>-IF(_xlfn.IFNA(VLOOKUP($B43,'Balanço Patrimonial'!$A:$D,4,0),0)-_xlfn.IFNA(VLOOKUP($B43,'Balanço Patrimonial'!$E:$H,4,0),0)&lt;0,_xlfn.IFNA(VLOOKUP($B43,'Balanço Patrimonial'!$A:$D,4,0),0)-_xlfn.IFNA(VLOOKUP($B43,'Balanço Patrimonial'!$E:$H,4,0),0),0)</f>
        <v>0</v>
      </c>
      <c r="H43" s="94">
        <f t="shared" si="0"/>
        <v>0</v>
      </c>
      <c r="I43" s="94">
        <f t="shared" si="1"/>
        <v>0</v>
      </c>
    </row>
    <row r="44" spans="1:9" x14ac:dyDescent="0.25">
      <c r="A44" t="str">
        <f>Setup!I44</f>
        <v>6.8.1 - Despesa com Depreciação</v>
      </c>
      <c r="B44" s="54" t="str">
        <f>Setup!D44</f>
        <v>6.8.1</v>
      </c>
      <c r="C44" s="54" t="str">
        <f>Setup!E44</f>
        <v>Despesa com Depreciação</v>
      </c>
      <c r="D44" s="68">
        <f>IF(SUMIF('Livro Diário'!D:D,Balancete!A44,'Livro Diário'!F:F)-SUMIF('Livro Diário'!E:E,Balancete!A44,'Livro Diário'!F:F)+Balancete!F44-Balancete!G44&lt;0,0,SUMIF('Livro Diário'!D:D,Balancete!A44,'Livro Diário'!F:F)-SUMIF('Livro Diário'!E:E,Balancete!A44,'Livro Diário'!F:F)+Balancete!F44-Balancete!G44)</f>
        <v>0</v>
      </c>
      <c r="E44" s="68">
        <f>IF(-SUMIF('Livro Diário'!D:D,Balancete!A44,'Livro Diário'!F:F)+SUMIF('Livro Diário'!E:E,Balancete!A44,'Livro Diário'!F:F)-Balancete!F44+Balancete!G44&lt;0,0,-SUMIF('Livro Diário'!D:D,Balancete!A44,'Livro Diário'!F:F)+SUMIF('Livro Diário'!E:E,Balancete!A44,'Livro Diário'!F:F)-Balancete!F44+Balancete!G44)</f>
        <v>0</v>
      </c>
      <c r="F44" s="68">
        <f>IF(_xlfn.IFNA(VLOOKUP($B44,'Balanço Patrimonial'!$A:$D,4,0),0)-_xlfn.IFNA(VLOOKUP($B44,'Balanço Patrimonial'!$E:$H,4,0),0)&gt;0,_xlfn.IFNA(VLOOKUP($B44,'Balanço Patrimonial'!$A:$D,4,0),0)-_xlfn.IFNA(VLOOKUP($B44,'Balanço Patrimonial'!$E:$H,4,0),0),0)</f>
        <v>0</v>
      </c>
      <c r="G44" s="68">
        <f>-IF(_xlfn.IFNA(VLOOKUP($B44,'Balanço Patrimonial'!$A:$D,4,0),0)-_xlfn.IFNA(VLOOKUP($B44,'Balanço Patrimonial'!$E:$H,4,0),0)&lt;0,_xlfn.IFNA(VLOOKUP($B44,'Balanço Patrimonial'!$A:$D,4,0),0)-_xlfn.IFNA(VLOOKUP($B44,'Balanço Patrimonial'!$E:$H,4,0),0),0)</f>
        <v>0</v>
      </c>
      <c r="H44" s="94">
        <f t="shared" si="0"/>
        <v>0</v>
      </c>
      <c r="I44" s="94">
        <f t="shared" si="1"/>
        <v>0</v>
      </c>
    </row>
    <row r="45" spans="1:9" x14ac:dyDescent="0.25">
      <c r="B45" s="54" t="str">
        <f>Setup!D45</f>
        <v>6.9.1</v>
      </c>
      <c r="C45" s="54" t="str">
        <f>Setup!E45</f>
        <v>Despesa com PECLD</v>
      </c>
      <c r="D45" s="68">
        <f>IF(SUMIF('Livro Diário'!D:D,Balancete!A45,'Livro Diário'!F:F)-SUMIF('Livro Diário'!E:E,Balancete!A45,'Livro Diário'!F:F)+Balancete!F45-Balancete!G45&lt;0,0,SUMIF('Livro Diário'!D:D,Balancete!A45,'Livro Diário'!F:F)-SUMIF('Livro Diário'!E:E,Balancete!A45,'Livro Diário'!F:F)+Balancete!F45-Balancete!G45)</f>
        <v>0</v>
      </c>
      <c r="E45" s="68">
        <f>IF(-SUMIF('Livro Diário'!D:D,Balancete!A45,'Livro Diário'!F:F)+SUMIF('Livro Diário'!E:E,Balancete!A45,'Livro Diário'!F:F)-Balancete!F45+Balancete!G45&lt;0,0,-SUMIF('Livro Diário'!D:D,Balancete!A45,'Livro Diário'!F:F)+SUMIF('Livro Diário'!E:E,Balancete!A45,'Livro Diário'!F:F)-Balancete!F45+Balancete!G45)</f>
        <v>0</v>
      </c>
      <c r="F45" s="68">
        <f>IF(_xlfn.IFNA(VLOOKUP($B45,'Balanço Patrimonial'!$A:$D,4,0),0)-_xlfn.IFNA(VLOOKUP($B45,'Balanço Patrimonial'!$E:$H,4,0),0)&gt;0,_xlfn.IFNA(VLOOKUP($B45,'Balanço Patrimonial'!$A:$D,4,0),0)-_xlfn.IFNA(VLOOKUP($B45,'Balanço Patrimonial'!$E:$H,4,0),0),0)</f>
        <v>0</v>
      </c>
      <c r="G45" s="68">
        <f>-IF(_xlfn.IFNA(VLOOKUP($B45,'Balanço Patrimonial'!$A:$D,4,0),0)-_xlfn.IFNA(VLOOKUP($B45,'Balanço Patrimonial'!$E:$H,4,0),0)&lt;0,_xlfn.IFNA(VLOOKUP($B45,'Balanço Patrimonial'!$A:$D,4,0),0)-_xlfn.IFNA(VLOOKUP($B45,'Balanço Patrimonial'!$E:$H,4,0),0),0)</f>
        <v>0</v>
      </c>
      <c r="H45" s="94">
        <f t="shared" si="0"/>
        <v>0</v>
      </c>
      <c r="I45" s="94">
        <f t="shared" si="1"/>
        <v>0</v>
      </c>
    </row>
    <row r="46" spans="1:9" x14ac:dyDescent="0.25">
      <c r="B46" s="54" t="str">
        <f>Setup!D46</f>
        <v>6.10.1</v>
      </c>
      <c r="C46" s="54" t="str">
        <f>Setup!E46</f>
        <v>Despesa Financeira</v>
      </c>
      <c r="D46" s="68">
        <f>IF(SUMIF('Livro Diário'!D:D,Balancete!A46,'Livro Diário'!F:F)-SUMIF('Livro Diário'!E:E,Balancete!A46,'Livro Diário'!F:F)+Balancete!F46-Balancete!G46&lt;0,0,SUMIF('Livro Diário'!D:D,Balancete!A46,'Livro Diário'!F:F)-SUMIF('Livro Diário'!E:E,Balancete!A46,'Livro Diário'!F:F)+Balancete!F46-Balancete!G46)</f>
        <v>0</v>
      </c>
      <c r="E46" s="68">
        <f>IF(-SUMIF('Livro Diário'!D:D,Balancete!A46,'Livro Diário'!F:F)+SUMIF('Livro Diário'!E:E,Balancete!A46,'Livro Diário'!F:F)-Balancete!F46+Balancete!G46&lt;0,0,-SUMIF('Livro Diário'!D:D,Balancete!A46,'Livro Diário'!F:F)+SUMIF('Livro Diário'!E:E,Balancete!A46,'Livro Diário'!F:F)-Balancete!F46+Balancete!G46)</f>
        <v>0</v>
      </c>
      <c r="F46" s="68">
        <f>IF(_xlfn.IFNA(VLOOKUP($B46,'Balanço Patrimonial'!$A:$D,4,0),0)-_xlfn.IFNA(VLOOKUP($B46,'Balanço Patrimonial'!$E:$H,4,0),0)&gt;0,_xlfn.IFNA(VLOOKUP($B46,'Balanço Patrimonial'!$A:$D,4,0),0)-_xlfn.IFNA(VLOOKUP($B46,'Balanço Patrimonial'!$E:$H,4,0),0),0)</f>
        <v>0</v>
      </c>
      <c r="G46" s="68">
        <f>-IF(_xlfn.IFNA(VLOOKUP($B46,'Balanço Patrimonial'!$A:$D,4,0),0)-_xlfn.IFNA(VLOOKUP($B46,'Balanço Patrimonial'!$E:$H,4,0),0)&lt;0,_xlfn.IFNA(VLOOKUP($B46,'Balanço Patrimonial'!$A:$D,4,0),0)-_xlfn.IFNA(VLOOKUP($B46,'Balanço Patrimonial'!$E:$H,4,0),0),0)</f>
        <v>0</v>
      </c>
      <c r="H46" s="94">
        <f t="shared" si="0"/>
        <v>0</v>
      </c>
      <c r="I46" s="94">
        <f t="shared" si="1"/>
        <v>0</v>
      </c>
    </row>
    <row r="47" spans="1:9" x14ac:dyDescent="0.25">
      <c r="B47" s="54" t="str">
        <f>Setup!D47</f>
        <v>6.11.1</v>
      </c>
      <c r="C47" s="54" t="str">
        <f>Setup!E47</f>
        <v>IRPJ/CSLL</v>
      </c>
      <c r="D47" s="68">
        <f>IF(SUMIF('Livro Diário'!D:D,Balancete!A47,'Livro Diário'!F:F)-SUMIF('Livro Diário'!E:E,Balancete!A47,'Livro Diário'!F:F)+Balancete!F47-Balancete!G47&lt;0,0,SUMIF('Livro Diário'!D:D,Balancete!A47,'Livro Diário'!F:F)-SUMIF('Livro Diário'!E:E,Balancete!A47,'Livro Diário'!F:F)+Balancete!F47-Balancete!G47)</f>
        <v>0</v>
      </c>
      <c r="E47" s="68">
        <f>IF(-SUMIF('Livro Diário'!D:D,Balancete!A47,'Livro Diário'!F:F)+SUMIF('Livro Diário'!E:E,Balancete!A47,'Livro Diário'!F:F)-Balancete!F47+Balancete!G47&lt;0,0,-SUMIF('Livro Diário'!D:D,Balancete!A47,'Livro Diário'!F:F)+SUMIF('Livro Diário'!E:E,Balancete!A47,'Livro Diário'!F:F)-Balancete!F47+Balancete!G47)</f>
        <v>0</v>
      </c>
      <c r="F47" s="68">
        <f>IF(_xlfn.IFNA(VLOOKUP($B47,'Balanço Patrimonial'!$A:$D,4,0),0)-_xlfn.IFNA(VLOOKUP($B47,'Balanço Patrimonial'!$E:$H,4,0),0)&gt;0,_xlfn.IFNA(VLOOKUP($B47,'Balanço Patrimonial'!$A:$D,4,0),0)-_xlfn.IFNA(VLOOKUP($B47,'Balanço Patrimonial'!$E:$H,4,0),0),0)</f>
        <v>0</v>
      </c>
      <c r="G47" s="68">
        <f>-IF(_xlfn.IFNA(VLOOKUP($B47,'Balanço Patrimonial'!$A:$D,4,0),0)-_xlfn.IFNA(VLOOKUP($B47,'Balanço Patrimonial'!$E:$H,4,0),0)&lt;0,_xlfn.IFNA(VLOOKUP($B47,'Balanço Patrimonial'!$A:$D,4,0),0)-_xlfn.IFNA(VLOOKUP($B47,'Balanço Patrimonial'!$E:$H,4,0),0),0)</f>
        <v>0</v>
      </c>
      <c r="H47" s="94">
        <f t="shared" si="0"/>
        <v>0</v>
      </c>
      <c r="I47" s="94">
        <f t="shared" si="1"/>
        <v>0</v>
      </c>
    </row>
    <row r="48" spans="1:9" x14ac:dyDescent="0.25">
      <c r="B48" s="54" t="str">
        <f>Setup!D48</f>
        <v>6.12.1</v>
      </c>
      <c r="C48" s="54" t="str">
        <f>Setup!E48</f>
        <v>Impostos sobre venda</v>
      </c>
      <c r="D48" s="68">
        <f>IF(SUMIF('Livro Diário'!D:D,Balancete!A48,'Livro Diário'!F:F)-SUMIF('Livro Diário'!E:E,Balancete!A48,'Livro Diário'!F:F)+Balancete!F48-Balancete!G48&lt;0,0,SUMIF('Livro Diário'!D:D,Balancete!A48,'Livro Diário'!F:F)-SUMIF('Livro Diário'!E:E,Balancete!A48,'Livro Diário'!F:F)+Balancete!F48-Balancete!G48)</f>
        <v>0</v>
      </c>
      <c r="E48" s="68">
        <f>IF(-SUMIF('Livro Diário'!D:D,Balancete!A48,'Livro Diário'!F:F)+SUMIF('Livro Diário'!E:E,Balancete!A48,'Livro Diário'!F:F)-Balancete!F48+Balancete!G48&lt;0,0,-SUMIF('Livro Diário'!D:D,Balancete!A48,'Livro Diário'!F:F)+SUMIF('Livro Diário'!E:E,Balancete!A48,'Livro Diário'!F:F)-Balancete!F48+Balancete!G48)</f>
        <v>0</v>
      </c>
      <c r="F48" s="68">
        <f>IF(_xlfn.IFNA(VLOOKUP($B48,'Balanço Patrimonial'!$A:$D,4,0),0)-_xlfn.IFNA(VLOOKUP($B48,'Balanço Patrimonial'!$E:$H,4,0),0)&gt;0,_xlfn.IFNA(VLOOKUP($B48,'Balanço Patrimonial'!$A:$D,4,0),0)-_xlfn.IFNA(VLOOKUP($B48,'Balanço Patrimonial'!$E:$H,4,0),0),0)</f>
        <v>0</v>
      </c>
      <c r="G48" s="68">
        <f>-IF(_xlfn.IFNA(VLOOKUP($B48,'Balanço Patrimonial'!$A:$D,4,0),0)-_xlfn.IFNA(VLOOKUP($B48,'Balanço Patrimonial'!$E:$H,4,0),0)&lt;0,_xlfn.IFNA(VLOOKUP($B48,'Balanço Patrimonial'!$A:$D,4,0),0)-_xlfn.IFNA(VLOOKUP($B48,'Balanço Patrimonial'!$E:$H,4,0),0),0)</f>
        <v>0</v>
      </c>
      <c r="H48" s="94">
        <f t="shared" si="0"/>
        <v>0</v>
      </c>
      <c r="I48" s="94">
        <f t="shared" si="1"/>
        <v>0</v>
      </c>
    </row>
    <row r="49" spans="2:9" x14ac:dyDescent="0.25">
      <c r="B49" s="54" t="str">
        <f>Setup!D49</f>
        <v>6.13.1</v>
      </c>
      <c r="C49" s="54" t="str">
        <f>Setup!E49</f>
        <v>Despesa não operacional</v>
      </c>
      <c r="D49" s="68">
        <f>IF(SUMIF('Livro Diário'!D:D,Balancete!A49,'Livro Diário'!F:F)-SUMIF('Livro Diário'!E:E,Balancete!A49,'Livro Diário'!F:F)+Balancete!F49-Balancete!G49&lt;0,0,SUMIF('Livro Diário'!D:D,Balancete!A49,'Livro Diário'!F:F)-SUMIF('Livro Diário'!E:E,Balancete!A49,'Livro Diário'!F:F)+Balancete!F49-Balancete!G49)</f>
        <v>0</v>
      </c>
      <c r="E49" s="68">
        <f>IF(-SUMIF('Livro Diário'!D:D,Balancete!A49,'Livro Diário'!F:F)+SUMIF('Livro Diário'!E:E,Balancete!A49,'Livro Diário'!F:F)-Balancete!F49+Balancete!G49&lt;0,0,-SUMIF('Livro Diário'!D:D,Balancete!A49,'Livro Diário'!F:F)+SUMIF('Livro Diário'!E:E,Balancete!A49,'Livro Diário'!F:F)-Balancete!F49+Balancete!G49)</f>
        <v>0</v>
      </c>
      <c r="F49" s="68">
        <f>IF(_xlfn.IFNA(VLOOKUP($B49,'Balanço Patrimonial'!$A:$D,4,0),0)-_xlfn.IFNA(VLOOKUP($B49,'Balanço Patrimonial'!$E:$H,4,0),0)&gt;0,_xlfn.IFNA(VLOOKUP($B49,'Balanço Patrimonial'!$A:$D,4,0),0)-_xlfn.IFNA(VLOOKUP($B49,'Balanço Patrimonial'!$E:$H,4,0),0),0)</f>
        <v>0</v>
      </c>
      <c r="G49" s="68">
        <f>-IF(_xlfn.IFNA(VLOOKUP($B49,'Balanço Patrimonial'!$A:$D,4,0),0)-_xlfn.IFNA(VLOOKUP($B49,'Balanço Patrimonial'!$E:$H,4,0),0)&lt;0,_xlfn.IFNA(VLOOKUP($B49,'Balanço Patrimonial'!$A:$D,4,0),0)-_xlfn.IFNA(VLOOKUP($B49,'Balanço Patrimonial'!$E:$H,4,0),0),0)</f>
        <v>0</v>
      </c>
      <c r="H49" s="94">
        <f t="shared" si="0"/>
        <v>0</v>
      </c>
      <c r="I49" s="94">
        <f t="shared" si="1"/>
        <v>0</v>
      </c>
    </row>
    <row r="50" spans="2:9" x14ac:dyDescent="0.25">
      <c r="B50" s="54" t="str">
        <f>Setup!D50</f>
        <v>7.1.1</v>
      </c>
      <c r="C50" s="54" t="str">
        <f>Setup!E50</f>
        <v>Receita</v>
      </c>
      <c r="D50" s="68">
        <f>IF(SUMIF('Livro Diário'!D:D,Balancete!A50,'Livro Diário'!F:F)-SUMIF('Livro Diário'!E:E,Balancete!A50,'Livro Diário'!F:F)+Balancete!F50-Balancete!G50&lt;0,0,SUMIF('Livro Diário'!D:D,Balancete!A50,'Livro Diário'!F:F)-SUMIF('Livro Diário'!E:E,Balancete!A50,'Livro Diário'!F:F)+Balancete!F50-Balancete!G50)</f>
        <v>0</v>
      </c>
      <c r="E50" s="68">
        <f>IF(-SUMIF('Livro Diário'!D:D,Balancete!A50,'Livro Diário'!F:F)+SUMIF('Livro Diário'!E:E,Balancete!A50,'Livro Diário'!F:F)-Balancete!F50+Balancete!G50&lt;0,0,-SUMIF('Livro Diário'!D:D,Balancete!A50,'Livro Diário'!F:F)+SUMIF('Livro Diário'!E:E,Balancete!A50,'Livro Diário'!F:F)-Balancete!F50+Balancete!G50)</f>
        <v>0</v>
      </c>
      <c r="F50" s="68">
        <f>IF(_xlfn.IFNA(VLOOKUP($B50,'Balanço Patrimonial'!$A:$D,4,0),0)-_xlfn.IFNA(VLOOKUP($B50,'Balanço Patrimonial'!$E:$H,4,0),0)&gt;0,_xlfn.IFNA(VLOOKUP($B50,'Balanço Patrimonial'!$A:$D,4,0),0)-_xlfn.IFNA(VLOOKUP($B50,'Balanço Patrimonial'!$E:$H,4,0),0),0)</f>
        <v>0</v>
      </c>
      <c r="G50" s="68">
        <f>-IF(_xlfn.IFNA(VLOOKUP($B50,'Balanço Patrimonial'!$A:$D,4,0),0)-_xlfn.IFNA(VLOOKUP($B50,'Balanço Patrimonial'!$E:$H,4,0),0)&lt;0,_xlfn.IFNA(VLOOKUP($B50,'Balanço Patrimonial'!$A:$D,4,0),0)-_xlfn.IFNA(VLOOKUP($B50,'Balanço Patrimonial'!$E:$H,4,0),0),0)</f>
        <v>0</v>
      </c>
      <c r="H50" s="94">
        <f t="shared" si="0"/>
        <v>0</v>
      </c>
      <c r="I50" s="94">
        <f t="shared" si="1"/>
        <v>0</v>
      </c>
    </row>
    <row r="51" spans="2:9" x14ac:dyDescent="0.25">
      <c r="B51" s="54" t="str">
        <f>Setup!D51</f>
        <v>7.2.1</v>
      </c>
      <c r="C51" s="54" t="str">
        <f>Setup!E51</f>
        <v>Receita Financeira</v>
      </c>
      <c r="D51" s="68">
        <f>IF(SUMIF('Livro Diário'!D:D,Balancete!A51,'Livro Diário'!F:F)-SUMIF('Livro Diário'!E:E,Balancete!A51,'Livro Diário'!F:F)+Balancete!F51-Balancete!G51&lt;0,0,SUMIF('Livro Diário'!D:D,Balancete!A51,'Livro Diário'!F:F)-SUMIF('Livro Diário'!E:E,Balancete!A51,'Livro Diário'!F:F)+Balancete!F51-Balancete!G51)</f>
        <v>0</v>
      </c>
      <c r="E51" s="68">
        <f>IF(-SUMIF('Livro Diário'!D:D,Balancete!A51,'Livro Diário'!F:F)+SUMIF('Livro Diário'!E:E,Balancete!A51,'Livro Diário'!F:F)-Balancete!F51+Balancete!G51&lt;0,0,-SUMIF('Livro Diário'!D:D,Balancete!A51,'Livro Diário'!F:F)+SUMIF('Livro Diário'!E:E,Balancete!A51,'Livro Diário'!F:F)-Balancete!F51+Balancete!G51)</f>
        <v>0</v>
      </c>
      <c r="F51" s="68">
        <f>IF(_xlfn.IFNA(VLOOKUP($B51,'Balanço Patrimonial'!$A:$D,4,0),0)-_xlfn.IFNA(VLOOKUP($B51,'Balanço Patrimonial'!$E:$H,4,0),0)&gt;0,_xlfn.IFNA(VLOOKUP($B51,'Balanço Patrimonial'!$A:$D,4,0),0)-_xlfn.IFNA(VLOOKUP($B51,'Balanço Patrimonial'!$E:$H,4,0),0),0)</f>
        <v>0</v>
      </c>
      <c r="G51" s="68">
        <f>-IF(_xlfn.IFNA(VLOOKUP($B51,'Balanço Patrimonial'!$A:$D,4,0),0)-_xlfn.IFNA(VLOOKUP($B51,'Balanço Patrimonial'!$E:$H,4,0),0)&lt;0,_xlfn.IFNA(VLOOKUP($B51,'Balanço Patrimonial'!$A:$D,4,0),0)-_xlfn.IFNA(VLOOKUP($B51,'Balanço Patrimonial'!$E:$H,4,0),0),0)</f>
        <v>0</v>
      </c>
      <c r="H51" s="94">
        <f t="shared" si="0"/>
        <v>0</v>
      </c>
      <c r="I51" s="94">
        <f t="shared" si="1"/>
        <v>0</v>
      </c>
    </row>
    <row r="52" spans="2:9" x14ac:dyDescent="0.25">
      <c r="B52" s="54" t="str">
        <f>Setup!D52</f>
        <v>7.3.1</v>
      </c>
      <c r="C52" s="54" t="str">
        <f>Setup!E52</f>
        <v>Lucro Venda Imobilizado</v>
      </c>
      <c r="D52" s="68">
        <f>IF(SUMIF('Livro Diário'!D:D,Balancete!A52,'Livro Diário'!F:F)-SUMIF('Livro Diário'!E:E,Balancete!A52,'Livro Diário'!F:F)+Balancete!F52-Balancete!G52&lt;0,0,SUMIF('Livro Diário'!D:D,Balancete!A52,'Livro Diário'!F:F)-SUMIF('Livro Diário'!E:E,Balancete!A52,'Livro Diário'!F:F)+Balancete!F52-Balancete!G52)</f>
        <v>0</v>
      </c>
      <c r="E52" s="68">
        <f>IF(-SUMIF('Livro Diário'!D:D,Balancete!A52,'Livro Diário'!F:F)+SUMIF('Livro Diário'!E:E,Balancete!A52,'Livro Diário'!F:F)-Balancete!F52+Balancete!G52&lt;0,0,-SUMIF('Livro Diário'!D:D,Balancete!A52,'Livro Diário'!F:F)+SUMIF('Livro Diário'!E:E,Balancete!A52,'Livro Diário'!F:F)-Balancete!F52+Balancete!G52)</f>
        <v>0</v>
      </c>
      <c r="F52" s="68">
        <f>IF(_xlfn.IFNA(VLOOKUP($B52,'Balanço Patrimonial'!$A:$D,4,0),0)-_xlfn.IFNA(VLOOKUP($B52,'Balanço Patrimonial'!$E:$H,4,0),0)&gt;0,_xlfn.IFNA(VLOOKUP($B52,'Balanço Patrimonial'!$A:$D,4,0),0)-_xlfn.IFNA(VLOOKUP($B52,'Balanço Patrimonial'!$E:$H,4,0),0),0)</f>
        <v>0</v>
      </c>
      <c r="G52" s="68">
        <f>-IF(_xlfn.IFNA(VLOOKUP($B52,'Balanço Patrimonial'!$A:$D,4,0),0)-_xlfn.IFNA(VLOOKUP($B52,'Balanço Patrimonial'!$E:$H,4,0),0)&lt;0,_xlfn.IFNA(VLOOKUP($B52,'Balanço Patrimonial'!$A:$D,4,0),0)-_xlfn.IFNA(VLOOKUP($B52,'Balanço Patrimonial'!$E:$H,4,0),0),0)</f>
        <v>0</v>
      </c>
      <c r="H52" s="94">
        <f t="shared" si="0"/>
        <v>0</v>
      </c>
      <c r="I52" s="94">
        <f t="shared" si="1"/>
        <v>0</v>
      </c>
    </row>
    <row r="53" spans="2:9" x14ac:dyDescent="0.25">
      <c r="B53" s="54" t="str">
        <f>Setup!D53</f>
        <v>8.1.1</v>
      </c>
      <c r="C53" s="54" t="str">
        <f>Setup!E53</f>
        <v>ARE</v>
      </c>
      <c r="D53" s="68">
        <f>IF(SUMIF('Livro Diário'!D:D,Balancete!A53,'Livro Diário'!F:F)-SUMIF('Livro Diário'!E:E,Balancete!A53,'Livro Diário'!F:F)+Balancete!F53-Balancete!G53&lt;0,0,SUMIF('Livro Diário'!D:D,Balancete!A53,'Livro Diário'!F:F)-SUMIF('Livro Diário'!E:E,Balancete!A53,'Livro Diário'!F:F)+Balancete!F53-Balancete!G53)</f>
        <v>0</v>
      </c>
      <c r="E53" s="68">
        <f>IF(-SUMIF('Livro Diário'!D:D,Balancete!A53,'Livro Diário'!F:F)+SUMIF('Livro Diário'!E:E,Balancete!A53,'Livro Diário'!F:F)-Balancete!F53+Balancete!G53&lt;0,0,-SUMIF('Livro Diário'!D:D,Balancete!A53,'Livro Diário'!F:F)+SUMIF('Livro Diário'!E:E,Balancete!A53,'Livro Diário'!F:F)-Balancete!F53+Balancete!G53)</f>
        <v>0</v>
      </c>
      <c r="F53" s="68">
        <f>IF(_xlfn.IFNA(VLOOKUP($B53,'Balanço Patrimonial'!$A:$D,4,0),0)-_xlfn.IFNA(VLOOKUP($B53,'Balanço Patrimonial'!$E:$H,4,0),0)&gt;0,_xlfn.IFNA(VLOOKUP($B53,'Balanço Patrimonial'!$A:$D,4,0),0)-_xlfn.IFNA(VLOOKUP($B53,'Balanço Patrimonial'!$E:$H,4,0),0),0)</f>
        <v>0</v>
      </c>
      <c r="G53" s="68">
        <f>-IF(_xlfn.IFNA(VLOOKUP($B53,'Balanço Patrimonial'!$A:$D,4,0),0)-_xlfn.IFNA(VLOOKUP($B53,'Balanço Patrimonial'!$E:$H,4,0),0)&lt;0,_xlfn.IFNA(VLOOKUP($B53,'Balanço Patrimonial'!$A:$D,4,0),0)-_xlfn.IFNA(VLOOKUP($B53,'Balanço Patrimonial'!$E:$H,4,0),0),0)</f>
        <v>0</v>
      </c>
      <c r="H53" s="94">
        <f t="shared" si="0"/>
        <v>0</v>
      </c>
      <c r="I53" s="94">
        <f t="shared" si="1"/>
        <v>0</v>
      </c>
    </row>
    <row r="54" spans="2:9" x14ac:dyDescent="0.25">
      <c r="B54" s="54">
        <f>Setup!D54</f>
        <v>0</v>
      </c>
      <c r="C54" s="54">
        <f>Setup!E54</f>
        <v>0</v>
      </c>
      <c r="D54" s="68">
        <f>IF(SUMIF('Livro Diário'!D:D,Balancete!A54,'Livro Diário'!F:F)-SUMIF('Livro Diário'!E:E,Balancete!A54,'Livro Diário'!F:F)+Balancete!F54-Balancete!G54&lt;0,0,SUMIF('Livro Diário'!D:D,Balancete!A54,'Livro Diário'!F:F)-SUMIF('Livro Diário'!E:E,Balancete!A54,'Livro Diário'!F:F)+Balancete!F54-Balancete!G54)</f>
        <v>0</v>
      </c>
      <c r="E54" s="68">
        <f>IF(-SUMIF('Livro Diário'!D:D,Balancete!A54,'Livro Diário'!F:F)+SUMIF('Livro Diário'!E:E,Balancete!A54,'Livro Diário'!F:F)-Balancete!F54+Balancete!G54&lt;0,0,-SUMIF('Livro Diário'!D:D,Balancete!A54,'Livro Diário'!F:F)+SUMIF('Livro Diário'!E:E,Balancete!A54,'Livro Diário'!F:F)-Balancete!F54+Balancete!G54)</f>
        <v>0</v>
      </c>
      <c r="F54" s="68">
        <f>IF(_xlfn.IFNA(VLOOKUP($B54,'Balanço Patrimonial'!$A:$D,4,0),0)-_xlfn.IFNA(VLOOKUP($B54,'Balanço Patrimonial'!$E:$H,4,0),0)&gt;0,_xlfn.IFNA(VLOOKUP($B54,'Balanço Patrimonial'!$A:$D,4,0),0)-_xlfn.IFNA(VLOOKUP($B54,'Balanço Patrimonial'!$E:$H,4,0),0),0)</f>
        <v>0</v>
      </c>
      <c r="G54" s="68">
        <f>-IF(_xlfn.IFNA(VLOOKUP($B54,'Balanço Patrimonial'!$A:$D,4,0),0)-_xlfn.IFNA(VLOOKUP($B54,'Balanço Patrimonial'!$E:$H,4,0),0)&lt;0,_xlfn.IFNA(VLOOKUP($B54,'Balanço Patrimonial'!$A:$D,4,0),0)-_xlfn.IFNA(VLOOKUP($B54,'Balanço Patrimonial'!$E:$H,4,0),0),0)</f>
        <v>0</v>
      </c>
      <c r="H54" s="94">
        <f t="shared" si="0"/>
        <v>0</v>
      </c>
      <c r="I54" s="94">
        <f t="shared" si="1"/>
        <v>0</v>
      </c>
    </row>
    <row r="55" spans="2:9" x14ac:dyDescent="0.25">
      <c r="B55" s="54">
        <f>Setup!D55</f>
        <v>0</v>
      </c>
      <c r="C55" s="54">
        <f>Setup!E55</f>
        <v>0</v>
      </c>
      <c r="D55" s="68">
        <f>IF(SUMIF('Livro Diário'!D:D,Balancete!A55,'Livro Diário'!F:F)-SUMIF('Livro Diário'!E:E,Balancete!A55,'Livro Diário'!F:F)+Balancete!F55-Balancete!G55&lt;0,0,SUMIF('Livro Diário'!D:D,Balancete!A55,'Livro Diário'!F:F)-SUMIF('Livro Diário'!E:E,Balancete!A55,'Livro Diário'!F:F)+Balancete!F55-Balancete!G55)</f>
        <v>0</v>
      </c>
      <c r="E55" s="68">
        <f>IF(-SUMIF('Livro Diário'!D:D,Balancete!A55,'Livro Diário'!F:F)+SUMIF('Livro Diário'!E:E,Balancete!A55,'Livro Diário'!F:F)-Balancete!F55+Balancete!G55&lt;0,0,-SUMIF('Livro Diário'!D:D,Balancete!A55,'Livro Diário'!F:F)+SUMIF('Livro Diário'!E:E,Balancete!A55,'Livro Diário'!F:F)-Balancete!F55+Balancete!G55)</f>
        <v>0</v>
      </c>
      <c r="F55" s="68">
        <f>IF(_xlfn.IFNA(VLOOKUP($B55,'Balanço Patrimonial'!$A:$D,4,0),0)-_xlfn.IFNA(VLOOKUP($B55,'Balanço Patrimonial'!$E:$H,4,0),0)&gt;0,_xlfn.IFNA(VLOOKUP($B55,'Balanço Patrimonial'!$A:$D,4,0),0)-_xlfn.IFNA(VLOOKUP($B55,'Balanço Patrimonial'!$E:$H,4,0),0),0)</f>
        <v>0</v>
      </c>
      <c r="G55" s="68">
        <f>-IF(_xlfn.IFNA(VLOOKUP($B55,'Balanço Patrimonial'!$A:$D,4,0),0)-_xlfn.IFNA(VLOOKUP($B55,'Balanço Patrimonial'!$E:$H,4,0),0)&lt;0,_xlfn.IFNA(VLOOKUP($B55,'Balanço Patrimonial'!$A:$D,4,0),0)-_xlfn.IFNA(VLOOKUP($B55,'Balanço Patrimonial'!$E:$H,4,0),0),0)</f>
        <v>0</v>
      </c>
      <c r="H55" s="94">
        <f t="shared" si="0"/>
        <v>0</v>
      </c>
      <c r="I55" s="94">
        <f t="shared" si="1"/>
        <v>0</v>
      </c>
    </row>
    <row r="56" spans="2:9" x14ac:dyDescent="0.25">
      <c r="B56" s="54">
        <f>Setup!D56</f>
        <v>0</v>
      </c>
      <c r="C56" s="54">
        <f>Setup!E56</f>
        <v>0</v>
      </c>
      <c r="D56" s="68">
        <f>IF(SUMIF('Livro Diário'!D:D,Balancete!A56,'Livro Diário'!F:F)-SUMIF('Livro Diário'!E:E,Balancete!A56,'Livro Diário'!F:F)+Balancete!F56-Balancete!G56&lt;0,0,SUMIF('Livro Diário'!D:D,Balancete!A56,'Livro Diário'!F:F)-SUMIF('Livro Diário'!E:E,Balancete!A56,'Livro Diário'!F:F)+Balancete!F56-Balancete!G56)</f>
        <v>0</v>
      </c>
      <c r="E56" s="68">
        <f>IF(-SUMIF('Livro Diário'!D:D,Balancete!A56,'Livro Diário'!F:F)+SUMIF('Livro Diário'!E:E,Balancete!A56,'Livro Diário'!F:F)-Balancete!F56+Balancete!G56&lt;0,0,-SUMIF('Livro Diário'!D:D,Balancete!A56,'Livro Diário'!F:F)+SUMIF('Livro Diário'!E:E,Balancete!A56,'Livro Diário'!F:F)-Balancete!F56+Balancete!G56)</f>
        <v>0</v>
      </c>
      <c r="F56" s="68">
        <f>IF(_xlfn.IFNA(VLOOKUP($B56,'Balanço Patrimonial'!$A:$D,4,0),0)-_xlfn.IFNA(VLOOKUP($B56,'Balanço Patrimonial'!$E:$H,4,0),0)&gt;0,_xlfn.IFNA(VLOOKUP($B56,'Balanço Patrimonial'!$A:$D,4,0),0)-_xlfn.IFNA(VLOOKUP($B56,'Balanço Patrimonial'!$E:$H,4,0),0),0)</f>
        <v>0</v>
      </c>
      <c r="G56" s="68">
        <f>-IF(_xlfn.IFNA(VLOOKUP($B56,'Balanço Patrimonial'!$A:$D,4,0),0)-_xlfn.IFNA(VLOOKUP($B56,'Balanço Patrimonial'!$E:$H,4,0),0)&lt;0,_xlfn.IFNA(VLOOKUP($B56,'Balanço Patrimonial'!$A:$D,4,0),0)-_xlfn.IFNA(VLOOKUP($B56,'Balanço Patrimonial'!$E:$H,4,0),0),0)</f>
        <v>0</v>
      </c>
      <c r="H56" s="94">
        <f t="shared" si="0"/>
        <v>0</v>
      </c>
      <c r="I56" s="94">
        <f t="shared" si="1"/>
        <v>0</v>
      </c>
    </row>
    <row r="57" spans="2:9" x14ac:dyDescent="0.25">
      <c r="B57" s="54">
        <f>Setup!D57</f>
        <v>0</v>
      </c>
      <c r="C57" s="54">
        <f>Setup!E57</f>
        <v>0</v>
      </c>
      <c r="D57" s="68">
        <f>IF(SUMIF('Livro Diário'!D:D,Balancete!A57,'Livro Diário'!F:F)-SUMIF('Livro Diário'!E:E,Balancete!A57,'Livro Diário'!F:F)+Balancete!F57-Balancete!G57&lt;0,0,SUMIF('Livro Diário'!D:D,Balancete!A57,'Livro Diário'!F:F)-SUMIF('Livro Diário'!E:E,Balancete!A57,'Livro Diário'!F:F)+Balancete!F57-Balancete!G57)</f>
        <v>0</v>
      </c>
      <c r="E57" s="68">
        <f>IF(-SUMIF('Livro Diário'!D:D,Balancete!A57,'Livro Diário'!F:F)+SUMIF('Livro Diário'!E:E,Balancete!A57,'Livro Diário'!F:F)-Balancete!F57+Balancete!G57&lt;0,0,-SUMIF('Livro Diário'!D:D,Balancete!A57,'Livro Diário'!F:F)+SUMIF('Livro Diário'!E:E,Balancete!A57,'Livro Diário'!F:F)-Balancete!F57+Balancete!G57)</f>
        <v>0</v>
      </c>
      <c r="F57" s="68">
        <f>IF(_xlfn.IFNA(VLOOKUP($B57,'Balanço Patrimonial'!$A:$D,4,0),0)-_xlfn.IFNA(VLOOKUP($B57,'Balanço Patrimonial'!$E:$H,4,0),0)&gt;0,_xlfn.IFNA(VLOOKUP($B57,'Balanço Patrimonial'!$A:$D,4,0),0)-_xlfn.IFNA(VLOOKUP($B57,'Balanço Patrimonial'!$E:$H,4,0),0),0)</f>
        <v>0</v>
      </c>
      <c r="G57" s="68">
        <f>-IF(_xlfn.IFNA(VLOOKUP($B57,'Balanço Patrimonial'!$A:$D,4,0),0)-_xlfn.IFNA(VLOOKUP($B57,'Balanço Patrimonial'!$E:$H,4,0),0)&lt;0,_xlfn.IFNA(VLOOKUP($B57,'Balanço Patrimonial'!$A:$D,4,0),0)-_xlfn.IFNA(VLOOKUP($B57,'Balanço Patrimonial'!$E:$H,4,0),0),0)</f>
        <v>0</v>
      </c>
      <c r="H57" s="94">
        <f t="shared" si="0"/>
        <v>0</v>
      </c>
      <c r="I57" s="94">
        <f t="shared" si="1"/>
        <v>0</v>
      </c>
    </row>
    <row r="58" spans="2:9" x14ac:dyDescent="0.25">
      <c r="B58" s="54">
        <f>Setup!D58</f>
        <v>0</v>
      </c>
      <c r="C58" s="54">
        <f>Setup!E58</f>
        <v>0</v>
      </c>
      <c r="D58" s="68">
        <f>IF(SUMIF('Livro Diário'!D:D,Balancete!A58,'Livro Diário'!F:F)-SUMIF('Livro Diário'!E:E,Balancete!A58,'Livro Diário'!F:F)+Balancete!F58-Balancete!G58&lt;0,0,SUMIF('Livro Diário'!D:D,Balancete!A58,'Livro Diário'!F:F)-SUMIF('Livro Diário'!E:E,Balancete!A58,'Livro Diário'!F:F)+Balancete!F58-Balancete!G58)</f>
        <v>0</v>
      </c>
      <c r="E58" s="68">
        <f>IF(-SUMIF('Livro Diário'!D:D,Balancete!A58,'Livro Diário'!F:F)+SUMIF('Livro Diário'!E:E,Balancete!A58,'Livro Diário'!F:F)-Balancete!F58+Balancete!G58&lt;0,0,-SUMIF('Livro Diário'!D:D,Balancete!A58,'Livro Diário'!F:F)+SUMIF('Livro Diário'!E:E,Balancete!A58,'Livro Diário'!F:F)-Balancete!F58+Balancete!G58)</f>
        <v>0</v>
      </c>
      <c r="F58" s="68">
        <f>IF(_xlfn.IFNA(VLOOKUP($B58,'Balanço Patrimonial'!$A:$D,4,0),0)-_xlfn.IFNA(VLOOKUP($B58,'Balanço Patrimonial'!$E:$H,4,0),0)&gt;0,_xlfn.IFNA(VLOOKUP($B58,'Balanço Patrimonial'!$A:$D,4,0),0)-_xlfn.IFNA(VLOOKUP($B58,'Balanço Patrimonial'!$E:$H,4,0),0),0)</f>
        <v>0</v>
      </c>
      <c r="G58" s="68">
        <f>-IF(_xlfn.IFNA(VLOOKUP($B58,'Balanço Patrimonial'!$A:$D,4,0),0)-_xlfn.IFNA(VLOOKUP($B58,'Balanço Patrimonial'!$E:$H,4,0),0)&lt;0,_xlfn.IFNA(VLOOKUP($B58,'Balanço Patrimonial'!$A:$D,4,0),0)-_xlfn.IFNA(VLOOKUP($B58,'Balanço Patrimonial'!$E:$H,4,0),0),0)</f>
        <v>0</v>
      </c>
      <c r="H58" s="94">
        <f t="shared" si="0"/>
        <v>0</v>
      </c>
      <c r="I58" s="94">
        <f t="shared" si="1"/>
        <v>0</v>
      </c>
    </row>
    <row r="59" spans="2:9" x14ac:dyDescent="0.25">
      <c r="B59" s="54">
        <f>Setup!D59</f>
        <v>0</v>
      </c>
      <c r="C59" s="54">
        <f>Setup!E59</f>
        <v>0</v>
      </c>
      <c r="D59" s="68">
        <f>IF(SUMIF('Livro Diário'!D:D,Balancete!A59,'Livro Diário'!F:F)-SUMIF('Livro Diário'!E:E,Balancete!A59,'Livro Diário'!F:F)+Balancete!F59-Balancete!G59&lt;0,0,SUMIF('Livro Diário'!D:D,Balancete!A59,'Livro Diário'!F:F)-SUMIF('Livro Diário'!E:E,Balancete!A59,'Livro Diário'!F:F)+Balancete!F59-Balancete!G59)</f>
        <v>0</v>
      </c>
      <c r="E59" s="68">
        <f>IF(-SUMIF('Livro Diário'!D:D,Balancete!A59,'Livro Diário'!F:F)+SUMIF('Livro Diário'!E:E,Balancete!A59,'Livro Diário'!F:F)-Balancete!F59+Balancete!G59&lt;0,0,-SUMIF('Livro Diário'!D:D,Balancete!A59,'Livro Diário'!F:F)+SUMIF('Livro Diário'!E:E,Balancete!A59,'Livro Diário'!F:F)-Balancete!F59+Balancete!G59)</f>
        <v>0</v>
      </c>
      <c r="F59" s="68">
        <f>IF(_xlfn.IFNA(VLOOKUP($B59,'Balanço Patrimonial'!$A:$D,4,0),0)-_xlfn.IFNA(VLOOKUP($B59,'Balanço Patrimonial'!$E:$H,4,0),0)&gt;0,_xlfn.IFNA(VLOOKUP($B59,'Balanço Patrimonial'!$A:$D,4,0),0)-_xlfn.IFNA(VLOOKUP($B59,'Balanço Patrimonial'!$E:$H,4,0),0),0)</f>
        <v>0</v>
      </c>
      <c r="G59" s="68">
        <f>-IF(_xlfn.IFNA(VLOOKUP($B59,'Balanço Patrimonial'!$A:$D,4,0),0)-_xlfn.IFNA(VLOOKUP($B59,'Balanço Patrimonial'!$E:$H,4,0),0)&lt;0,_xlfn.IFNA(VLOOKUP($B59,'Balanço Patrimonial'!$A:$D,4,0),0)-_xlfn.IFNA(VLOOKUP($B59,'Balanço Patrimonial'!$E:$H,4,0),0),0)</f>
        <v>0</v>
      </c>
      <c r="H59" s="94">
        <f t="shared" si="0"/>
        <v>0</v>
      </c>
      <c r="I59" s="94">
        <f t="shared" si="1"/>
        <v>0</v>
      </c>
    </row>
    <row r="60" spans="2:9" x14ac:dyDescent="0.25">
      <c r="B60" s="54">
        <f>Setup!D60</f>
        <v>0</v>
      </c>
      <c r="C60" s="54">
        <f>Setup!E60</f>
        <v>0</v>
      </c>
      <c r="D60" s="68">
        <f>IF(SUMIF('Livro Diário'!D:D,Balancete!A60,'Livro Diário'!F:F)-SUMIF('Livro Diário'!E:E,Balancete!A60,'Livro Diário'!F:F)+Balancete!F60-Balancete!G60&lt;0,0,SUMIF('Livro Diário'!D:D,Balancete!A60,'Livro Diário'!F:F)-SUMIF('Livro Diário'!E:E,Balancete!A60,'Livro Diário'!F:F)+Balancete!F60-Balancete!G60)</f>
        <v>0</v>
      </c>
      <c r="E60" s="68">
        <f>IF(-SUMIF('Livro Diário'!D:D,Balancete!A60,'Livro Diário'!F:F)+SUMIF('Livro Diário'!E:E,Balancete!A60,'Livro Diário'!F:F)-Balancete!F60+Balancete!G60&lt;0,0,-SUMIF('Livro Diário'!D:D,Balancete!A60,'Livro Diário'!F:F)+SUMIF('Livro Diário'!E:E,Balancete!A60,'Livro Diário'!F:F)-Balancete!F60+Balancete!G60)</f>
        <v>0</v>
      </c>
      <c r="F60" s="68">
        <f>IF(_xlfn.IFNA(VLOOKUP($B60,'Balanço Patrimonial'!$A:$D,4,0),0)-_xlfn.IFNA(VLOOKUP($B60,'Balanço Patrimonial'!$E:$H,4,0),0)&gt;0,_xlfn.IFNA(VLOOKUP($B60,'Balanço Patrimonial'!$A:$D,4,0),0)-_xlfn.IFNA(VLOOKUP($B60,'Balanço Patrimonial'!$E:$H,4,0),0),0)</f>
        <v>0</v>
      </c>
      <c r="G60" s="68">
        <f>-IF(_xlfn.IFNA(VLOOKUP($B60,'Balanço Patrimonial'!$A:$D,4,0),0)-_xlfn.IFNA(VLOOKUP($B60,'Balanço Patrimonial'!$E:$H,4,0),0)&lt;0,_xlfn.IFNA(VLOOKUP($B60,'Balanço Patrimonial'!$A:$D,4,0),0)-_xlfn.IFNA(VLOOKUP($B60,'Balanço Patrimonial'!$E:$H,4,0),0),0)</f>
        <v>0</v>
      </c>
      <c r="H60" s="94">
        <f t="shared" si="0"/>
        <v>0</v>
      </c>
      <c r="I60" s="94">
        <f t="shared" si="1"/>
        <v>0</v>
      </c>
    </row>
    <row r="61" spans="2:9" x14ac:dyDescent="0.25">
      <c r="B61" s="54">
        <f>Setup!D61</f>
        <v>0</v>
      </c>
      <c r="C61" s="54">
        <f>Setup!E61</f>
        <v>0</v>
      </c>
      <c r="D61" s="68">
        <f>IF(SUMIF('Livro Diário'!D:D,Balancete!A61,'Livro Diário'!F:F)-SUMIF('Livro Diário'!E:E,Balancete!A61,'Livro Diário'!F:F)+Balancete!F61-Balancete!G61&lt;0,0,SUMIF('Livro Diário'!D:D,Balancete!A61,'Livro Diário'!F:F)-SUMIF('Livro Diário'!E:E,Balancete!A61,'Livro Diário'!F:F)+Balancete!F61-Balancete!G61)</f>
        <v>0</v>
      </c>
      <c r="E61" s="68">
        <f>IF(-SUMIF('Livro Diário'!D:D,Balancete!A61,'Livro Diário'!F:F)+SUMIF('Livro Diário'!E:E,Balancete!A61,'Livro Diário'!F:F)-Balancete!F61+Balancete!G61&lt;0,0,-SUMIF('Livro Diário'!D:D,Balancete!A61,'Livro Diário'!F:F)+SUMIF('Livro Diário'!E:E,Balancete!A61,'Livro Diário'!F:F)-Balancete!F61+Balancete!G61)</f>
        <v>0</v>
      </c>
      <c r="F61" s="68">
        <f>IF(_xlfn.IFNA(VLOOKUP($B61,'Balanço Patrimonial'!$A:$D,4,0),0)-_xlfn.IFNA(VLOOKUP($B61,'Balanço Patrimonial'!$E:$H,4,0),0)&gt;0,_xlfn.IFNA(VLOOKUP($B61,'Balanço Patrimonial'!$A:$D,4,0),0)-_xlfn.IFNA(VLOOKUP($B61,'Balanço Patrimonial'!$E:$H,4,0),0),0)</f>
        <v>0</v>
      </c>
      <c r="G61" s="68">
        <f>-IF(_xlfn.IFNA(VLOOKUP($B61,'Balanço Patrimonial'!$A:$D,4,0),0)-_xlfn.IFNA(VLOOKUP($B61,'Balanço Patrimonial'!$E:$H,4,0),0)&lt;0,_xlfn.IFNA(VLOOKUP($B61,'Balanço Patrimonial'!$A:$D,4,0),0)-_xlfn.IFNA(VLOOKUP($B61,'Balanço Patrimonial'!$E:$H,4,0),0),0)</f>
        <v>0</v>
      </c>
      <c r="H61" s="94">
        <f t="shared" si="0"/>
        <v>0</v>
      </c>
      <c r="I61" s="94">
        <f t="shared" si="1"/>
        <v>0</v>
      </c>
    </row>
    <row r="62" spans="2:9" x14ac:dyDescent="0.25">
      <c r="B62" s="54">
        <f>Setup!D62</f>
        <v>0</v>
      </c>
      <c r="C62" s="54">
        <f>Setup!E62</f>
        <v>0</v>
      </c>
      <c r="D62" s="68">
        <f>IF(SUMIF('Livro Diário'!D:D,Balancete!A62,'Livro Diário'!F:F)-SUMIF('Livro Diário'!E:E,Balancete!A62,'Livro Diário'!F:F)+Balancete!F62-Balancete!G62&lt;0,0,SUMIF('Livro Diário'!D:D,Balancete!A62,'Livro Diário'!F:F)-SUMIF('Livro Diário'!E:E,Balancete!A62,'Livro Diário'!F:F)+Balancete!F62-Balancete!G62)</f>
        <v>0</v>
      </c>
      <c r="E62" s="68">
        <f>IF(-SUMIF('Livro Diário'!D:D,Balancete!A62,'Livro Diário'!F:F)+SUMIF('Livro Diário'!E:E,Balancete!A62,'Livro Diário'!F:F)-Balancete!F62+Balancete!G62&lt;0,0,-SUMIF('Livro Diário'!D:D,Balancete!A62,'Livro Diário'!F:F)+SUMIF('Livro Diário'!E:E,Balancete!A62,'Livro Diário'!F:F)-Balancete!F62+Balancete!G62)</f>
        <v>0</v>
      </c>
      <c r="F62" s="68">
        <f>IF(_xlfn.IFNA(VLOOKUP($B62,'Balanço Patrimonial'!$A:$D,4,0),0)-_xlfn.IFNA(VLOOKUP($B62,'Balanço Patrimonial'!$E:$H,4,0),0)&gt;0,_xlfn.IFNA(VLOOKUP($B62,'Balanço Patrimonial'!$A:$D,4,0),0)-_xlfn.IFNA(VLOOKUP($B62,'Balanço Patrimonial'!$E:$H,4,0),0),0)</f>
        <v>0</v>
      </c>
      <c r="G62" s="68">
        <f>-IF(_xlfn.IFNA(VLOOKUP($B62,'Balanço Patrimonial'!$A:$D,4,0),0)-_xlfn.IFNA(VLOOKUP($B62,'Balanço Patrimonial'!$E:$H,4,0),0)&lt;0,_xlfn.IFNA(VLOOKUP($B62,'Balanço Patrimonial'!$A:$D,4,0),0)-_xlfn.IFNA(VLOOKUP($B62,'Balanço Patrimonial'!$E:$H,4,0),0),0)</f>
        <v>0</v>
      </c>
      <c r="H62" s="94">
        <f t="shared" si="0"/>
        <v>0</v>
      </c>
      <c r="I62" s="94">
        <f t="shared" si="1"/>
        <v>0</v>
      </c>
    </row>
    <row r="63" spans="2:9" x14ac:dyDescent="0.25">
      <c r="B63" s="54">
        <f>Setup!D63</f>
        <v>0</v>
      </c>
      <c r="C63" s="54">
        <f>Setup!E63</f>
        <v>0</v>
      </c>
      <c r="D63" s="68">
        <f>IF(SUMIF('Livro Diário'!D:D,Balancete!A63,'Livro Diário'!F:F)-SUMIF('Livro Diário'!E:E,Balancete!A63,'Livro Diário'!F:F)+Balancete!F63-Balancete!G63&lt;0,0,SUMIF('Livro Diário'!D:D,Balancete!A63,'Livro Diário'!F:F)-SUMIF('Livro Diário'!E:E,Balancete!A63,'Livro Diário'!F:F)+Balancete!F63-Balancete!G63)</f>
        <v>0</v>
      </c>
      <c r="E63" s="68">
        <f>IF(-SUMIF('Livro Diário'!D:D,Balancete!A63,'Livro Diário'!F:F)+SUMIF('Livro Diário'!E:E,Balancete!A63,'Livro Diário'!F:F)-Balancete!F63+Balancete!G63&lt;0,0,-SUMIF('Livro Diário'!D:D,Balancete!A63,'Livro Diário'!F:F)+SUMIF('Livro Diário'!E:E,Balancete!A63,'Livro Diário'!F:F)-Balancete!F63+Balancete!G63)</f>
        <v>0</v>
      </c>
      <c r="F63" s="68">
        <f>IF(_xlfn.IFNA(VLOOKUP($B63,'Balanço Patrimonial'!$A:$D,4,0),0)-_xlfn.IFNA(VLOOKUP($B63,'Balanço Patrimonial'!$E:$H,4,0),0)&gt;0,_xlfn.IFNA(VLOOKUP($B63,'Balanço Patrimonial'!$A:$D,4,0),0)-_xlfn.IFNA(VLOOKUP($B63,'Balanço Patrimonial'!$E:$H,4,0),0),0)</f>
        <v>0</v>
      </c>
      <c r="G63" s="68">
        <f>-IF(_xlfn.IFNA(VLOOKUP($B63,'Balanço Patrimonial'!$A:$D,4,0),0)-_xlfn.IFNA(VLOOKUP($B63,'Balanço Patrimonial'!$E:$H,4,0),0)&lt;0,_xlfn.IFNA(VLOOKUP($B63,'Balanço Patrimonial'!$A:$D,4,0),0)-_xlfn.IFNA(VLOOKUP($B63,'Balanço Patrimonial'!$E:$H,4,0),0),0)</f>
        <v>0</v>
      </c>
      <c r="H63" s="94">
        <f t="shared" si="0"/>
        <v>0</v>
      </c>
      <c r="I63" s="94">
        <f t="shared" si="1"/>
        <v>0</v>
      </c>
    </row>
    <row r="64" spans="2:9" x14ac:dyDescent="0.25">
      <c r="B64" s="54">
        <f>Setup!D64</f>
        <v>0</v>
      </c>
      <c r="C64" s="54">
        <f>Setup!E64</f>
        <v>0</v>
      </c>
      <c r="D64" s="68">
        <f>IF(SUMIF('Livro Diário'!D:D,Balancete!A64,'Livro Diário'!F:F)-SUMIF('Livro Diário'!E:E,Balancete!A64,'Livro Diário'!F:F)+Balancete!F64-Balancete!G64&lt;0,0,SUMIF('Livro Diário'!D:D,Balancete!A64,'Livro Diário'!F:F)-SUMIF('Livro Diário'!E:E,Balancete!A64,'Livro Diário'!F:F)+Balancete!F64-Balancete!G64)</f>
        <v>0</v>
      </c>
      <c r="E64" s="68">
        <f>IF(-SUMIF('Livro Diário'!D:D,Balancete!A64,'Livro Diário'!F:F)+SUMIF('Livro Diário'!E:E,Balancete!A64,'Livro Diário'!F:F)-Balancete!F64+Balancete!G64&lt;0,0,-SUMIF('Livro Diário'!D:D,Balancete!A64,'Livro Diário'!F:F)+SUMIF('Livro Diário'!E:E,Balancete!A64,'Livro Diário'!F:F)-Balancete!F64+Balancete!G64)</f>
        <v>0</v>
      </c>
      <c r="F64" s="68">
        <f>IF(_xlfn.IFNA(VLOOKUP($B64,'Balanço Patrimonial'!$A:$D,4,0),0)-_xlfn.IFNA(VLOOKUP($B64,'Balanço Patrimonial'!$E:$H,4,0),0)&gt;0,_xlfn.IFNA(VLOOKUP($B64,'Balanço Patrimonial'!$A:$D,4,0),0)-_xlfn.IFNA(VLOOKUP($B64,'Balanço Patrimonial'!$E:$H,4,0),0),0)</f>
        <v>0</v>
      </c>
      <c r="G64" s="68">
        <f>-IF(_xlfn.IFNA(VLOOKUP($B64,'Balanço Patrimonial'!$A:$D,4,0),0)-_xlfn.IFNA(VLOOKUP($B64,'Balanço Patrimonial'!$E:$H,4,0),0)&lt;0,_xlfn.IFNA(VLOOKUP($B64,'Balanço Patrimonial'!$A:$D,4,0),0)-_xlfn.IFNA(VLOOKUP($B64,'Balanço Patrimonial'!$E:$H,4,0),0),0)</f>
        <v>0</v>
      </c>
      <c r="H64" s="94">
        <f t="shared" si="0"/>
        <v>0</v>
      </c>
      <c r="I64" s="94">
        <f t="shared" si="1"/>
        <v>0</v>
      </c>
    </row>
    <row r="65" spans="2:9" x14ac:dyDescent="0.25">
      <c r="B65" s="54">
        <f>Setup!D65</f>
        <v>0</v>
      </c>
      <c r="C65" s="54">
        <f>Setup!E65</f>
        <v>0</v>
      </c>
      <c r="D65" s="68">
        <f>IF(SUMIF('Livro Diário'!D:D,Balancete!A65,'Livro Diário'!F:F)-SUMIF('Livro Diário'!E:E,Balancete!A65,'Livro Diário'!F:F)+Balancete!F65-Balancete!G65&lt;0,0,SUMIF('Livro Diário'!D:D,Balancete!A65,'Livro Diário'!F:F)-SUMIF('Livro Diário'!E:E,Balancete!A65,'Livro Diário'!F:F)+Balancete!F65-Balancete!G65)</f>
        <v>0</v>
      </c>
      <c r="E65" s="68">
        <f>IF(-SUMIF('Livro Diário'!D:D,Balancete!A65,'Livro Diário'!F:F)+SUMIF('Livro Diário'!E:E,Balancete!A65,'Livro Diário'!F:F)-Balancete!F65+Balancete!G65&lt;0,0,-SUMIF('Livro Diário'!D:D,Balancete!A65,'Livro Diário'!F:F)+SUMIF('Livro Diário'!E:E,Balancete!A65,'Livro Diário'!F:F)-Balancete!F65+Balancete!G65)</f>
        <v>0</v>
      </c>
      <c r="F65" s="68">
        <f>IF(_xlfn.IFNA(VLOOKUP($B65,'Balanço Patrimonial'!$A:$D,4,0),0)-_xlfn.IFNA(VLOOKUP($B65,'Balanço Patrimonial'!$E:$H,4,0),0)&gt;0,_xlfn.IFNA(VLOOKUP($B65,'Balanço Patrimonial'!$A:$D,4,0),0)-_xlfn.IFNA(VLOOKUP($B65,'Balanço Patrimonial'!$E:$H,4,0),0),0)</f>
        <v>0</v>
      </c>
      <c r="G65" s="68">
        <f>-IF(_xlfn.IFNA(VLOOKUP($B65,'Balanço Patrimonial'!$A:$D,4,0),0)-_xlfn.IFNA(VLOOKUP($B65,'Balanço Patrimonial'!$E:$H,4,0),0)&lt;0,_xlfn.IFNA(VLOOKUP($B65,'Balanço Patrimonial'!$A:$D,4,0),0)-_xlfn.IFNA(VLOOKUP($B65,'Balanço Patrimonial'!$E:$H,4,0),0),0)</f>
        <v>0</v>
      </c>
      <c r="H65" s="94">
        <f t="shared" si="0"/>
        <v>0</v>
      </c>
      <c r="I65" s="94">
        <f t="shared" si="1"/>
        <v>0</v>
      </c>
    </row>
    <row r="66" spans="2:9" x14ac:dyDescent="0.25">
      <c r="B66" s="54">
        <f>Setup!D66</f>
        <v>0</v>
      </c>
      <c r="C66" s="54">
        <f>Setup!E66</f>
        <v>0</v>
      </c>
      <c r="D66" s="68">
        <f>IF(SUMIF('Livro Diário'!D:D,Balancete!A66,'Livro Diário'!F:F)-SUMIF('Livro Diário'!E:E,Balancete!A66,'Livro Diário'!F:F)+Balancete!F66-Balancete!G66&lt;0,0,SUMIF('Livro Diário'!D:D,Balancete!A66,'Livro Diário'!F:F)-SUMIF('Livro Diário'!E:E,Balancete!A66,'Livro Diário'!F:F)+Balancete!F66-Balancete!G66)</f>
        <v>0</v>
      </c>
      <c r="E66" s="68">
        <f>IF(-SUMIF('Livro Diário'!D:D,Balancete!A66,'Livro Diário'!F:F)+SUMIF('Livro Diário'!E:E,Balancete!A66,'Livro Diário'!F:F)-Balancete!F66+Balancete!G66&lt;0,0,-SUMIF('Livro Diário'!D:D,Balancete!A66,'Livro Diário'!F:F)+SUMIF('Livro Diário'!E:E,Balancete!A66,'Livro Diário'!F:F)-Balancete!F66+Balancete!G66)</f>
        <v>0</v>
      </c>
      <c r="F66" s="68">
        <f>IF(_xlfn.IFNA(VLOOKUP($B66,'Balanço Patrimonial'!$A:$D,4,0),0)-_xlfn.IFNA(VLOOKUP($B66,'Balanço Patrimonial'!$E:$H,4,0),0)&gt;0,_xlfn.IFNA(VLOOKUP($B66,'Balanço Patrimonial'!$A:$D,4,0),0)-_xlfn.IFNA(VLOOKUP($B66,'Balanço Patrimonial'!$E:$H,4,0),0),0)</f>
        <v>0</v>
      </c>
      <c r="G66" s="68">
        <f>-IF(_xlfn.IFNA(VLOOKUP($B66,'Balanço Patrimonial'!$A:$D,4,0),0)-_xlfn.IFNA(VLOOKUP($B66,'Balanço Patrimonial'!$E:$H,4,0),0)&lt;0,_xlfn.IFNA(VLOOKUP($B66,'Balanço Patrimonial'!$A:$D,4,0),0)-_xlfn.IFNA(VLOOKUP($B66,'Balanço Patrimonial'!$E:$H,4,0),0),0)</f>
        <v>0</v>
      </c>
      <c r="H66" s="94">
        <f t="shared" si="0"/>
        <v>0</v>
      </c>
      <c r="I66" s="94">
        <f t="shared" si="1"/>
        <v>0</v>
      </c>
    </row>
    <row r="67" spans="2:9" x14ac:dyDescent="0.25">
      <c r="B67" s="54">
        <f>Setup!D67</f>
        <v>0</v>
      </c>
      <c r="C67" s="54">
        <f>Setup!E67</f>
        <v>0</v>
      </c>
      <c r="D67" s="68">
        <f>IF(SUMIF('Livro Diário'!D:D,Balancete!A67,'Livro Diário'!F:F)-SUMIF('Livro Diário'!E:E,Balancete!A67,'Livro Diário'!F:F)+Balancete!F67-Balancete!G67&lt;0,0,SUMIF('Livro Diário'!D:D,Balancete!A67,'Livro Diário'!F:F)-SUMIF('Livro Diário'!E:E,Balancete!A67,'Livro Diário'!F:F)+Balancete!F67-Balancete!G67)</f>
        <v>0</v>
      </c>
      <c r="E67" s="68">
        <f>IF(-SUMIF('Livro Diário'!D:D,Balancete!A67,'Livro Diário'!F:F)+SUMIF('Livro Diário'!E:E,Balancete!A67,'Livro Diário'!F:F)-Balancete!F67+Balancete!G67&lt;0,0,-SUMIF('Livro Diário'!D:D,Balancete!A67,'Livro Diário'!F:F)+SUMIF('Livro Diário'!E:E,Balancete!A67,'Livro Diário'!F:F)-Balancete!F67+Balancete!G67)</f>
        <v>0</v>
      </c>
      <c r="F67" s="68">
        <f>IF(_xlfn.IFNA(VLOOKUP($B67,'Balanço Patrimonial'!$A:$D,4,0),0)-_xlfn.IFNA(VLOOKUP($B67,'Balanço Patrimonial'!$E:$H,4,0),0)&gt;0,_xlfn.IFNA(VLOOKUP($B67,'Balanço Patrimonial'!$A:$D,4,0),0)-_xlfn.IFNA(VLOOKUP($B67,'Balanço Patrimonial'!$E:$H,4,0),0),0)</f>
        <v>0</v>
      </c>
      <c r="G67" s="68">
        <f>-IF(_xlfn.IFNA(VLOOKUP($B67,'Balanço Patrimonial'!$A:$D,4,0),0)-_xlfn.IFNA(VLOOKUP($B67,'Balanço Patrimonial'!$E:$H,4,0),0)&lt;0,_xlfn.IFNA(VLOOKUP($B67,'Balanço Patrimonial'!$A:$D,4,0),0)-_xlfn.IFNA(VLOOKUP($B67,'Balanço Patrimonial'!$E:$H,4,0),0),0)</f>
        <v>0</v>
      </c>
      <c r="H67" s="94">
        <f t="shared" si="0"/>
        <v>0</v>
      </c>
      <c r="I67" s="94">
        <f t="shared" si="1"/>
        <v>0</v>
      </c>
    </row>
    <row r="68" spans="2:9" x14ac:dyDescent="0.25">
      <c r="B68" s="54"/>
      <c r="C68" s="54"/>
      <c r="D68" s="68"/>
      <c r="E68" s="68"/>
      <c r="F68" s="54"/>
      <c r="G68" s="54"/>
      <c r="H68" s="95"/>
      <c r="I68" s="95"/>
    </row>
    <row r="69" spans="2:9" x14ac:dyDescent="0.25">
      <c r="B69" s="54"/>
      <c r="C69" s="54" t="s">
        <v>66</v>
      </c>
      <c r="D69" s="68">
        <f>SUM(D3:D68)</f>
        <v>0</v>
      </c>
      <c r="E69" s="68">
        <f>SUM(E3:E68)</f>
        <v>462.84</v>
      </c>
      <c r="F69" s="68">
        <f>SUM(F3:F68)</f>
        <v>0</v>
      </c>
      <c r="G69" s="68">
        <f>SUM(G3:G68)</f>
        <v>0</v>
      </c>
      <c r="H69" s="95"/>
      <c r="I69" s="95"/>
    </row>
    <row r="70" spans="2:9" x14ac:dyDescent="0.25">
      <c r="D70" s="5"/>
      <c r="E70" s="5"/>
    </row>
    <row r="71" spans="2:9" x14ac:dyDescent="0.25">
      <c r="D71" s="5"/>
      <c r="E71" s="5"/>
    </row>
    <row r="72" spans="2:9" x14ac:dyDescent="0.25">
      <c r="D72" s="5"/>
      <c r="E72" s="5"/>
    </row>
    <row r="73" spans="2:9" x14ac:dyDescent="0.25">
      <c r="D73" s="5"/>
      <c r="E73" s="5"/>
    </row>
    <row r="74" spans="2:9" x14ac:dyDescent="0.25">
      <c r="D74" s="5"/>
      <c r="E74" s="5"/>
    </row>
    <row r="75" spans="2:9" x14ac:dyDescent="0.25">
      <c r="D75" s="5"/>
      <c r="E75" s="5"/>
    </row>
    <row r="76" spans="2:9" x14ac:dyDescent="0.25">
      <c r="D76" s="5"/>
      <c r="E76" s="5"/>
    </row>
    <row r="77" spans="2:9" x14ac:dyDescent="0.25">
      <c r="D77" s="5"/>
      <c r="E77" s="5"/>
    </row>
    <row r="78" spans="2:9" x14ac:dyDescent="0.25">
      <c r="D78" s="5"/>
      <c r="E78" s="5"/>
    </row>
    <row r="79" spans="2:9" x14ac:dyDescent="0.25">
      <c r="D79" s="5"/>
      <c r="E79" s="5"/>
    </row>
  </sheetData>
  <autoFilter ref="B2:I44"/>
  <mergeCells count="3">
    <mergeCell ref="D1:E1"/>
    <mergeCell ref="F1:G1"/>
    <mergeCell ref="H1:I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rgb="FFFFFF00"/>
  </sheetPr>
  <dimension ref="A1:K33"/>
  <sheetViews>
    <sheetView zoomScale="110" zoomScaleNormal="110" workbookViewId="0">
      <selection activeCell="D7" sqref="D7"/>
    </sheetView>
  </sheetViews>
  <sheetFormatPr defaultRowHeight="15" x14ac:dyDescent="0.25"/>
  <cols>
    <col min="1" max="1" width="6.28515625" customWidth="1"/>
    <col min="2" max="2" width="38.5703125" bestFit="1" customWidth="1"/>
    <col min="3" max="3" width="15.7109375" customWidth="1"/>
    <col min="4" max="4" width="19.42578125" bestFit="1" customWidth="1"/>
    <col min="5" max="5" width="5.28515625" customWidth="1"/>
    <col min="6" max="6" width="32.85546875" bestFit="1" customWidth="1"/>
    <col min="7" max="7" width="15.85546875" bestFit="1" customWidth="1"/>
    <col min="8" max="8" width="19.42578125" bestFit="1" customWidth="1"/>
    <col min="10" max="10" width="14.5703125" bestFit="1" customWidth="1"/>
    <col min="11" max="11" width="16.85546875" customWidth="1"/>
  </cols>
  <sheetData>
    <row r="1" spans="1:11" ht="15.75" thickBot="1" x14ac:dyDescent="0.3">
      <c r="B1" s="6" t="s">
        <v>169</v>
      </c>
      <c r="D1" s="6" t="s">
        <v>67</v>
      </c>
      <c r="E1" s="6"/>
      <c r="J1" s="143" t="s">
        <v>166</v>
      </c>
      <c r="K1" s="143"/>
    </row>
    <row r="2" spans="1:11" x14ac:dyDescent="0.25">
      <c r="A2" t="s">
        <v>68</v>
      </c>
      <c r="B2" s="8" t="s">
        <v>69</v>
      </c>
      <c r="C2" s="9">
        <v>44165</v>
      </c>
      <c r="D2" s="89">
        <v>44135</v>
      </c>
      <c r="E2" s="48" t="s">
        <v>68</v>
      </c>
      <c r="F2" s="8"/>
      <c r="G2" s="136">
        <v>44562</v>
      </c>
      <c r="H2" s="89">
        <v>44561</v>
      </c>
      <c r="J2" s="92">
        <f>G2</f>
        <v>44562</v>
      </c>
      <c r="K2" s="92">
        <f>H2</f>
        <v>44561</v>
      </c>
    </row>
    <row r="3" spans="1:11" x14ac:dyDescent="0.25">
      <c r="B3" s="56" t="s">
        <v>70</v>
      </c>
      <c r="C3" s="57">
        <f>C4+C15</f>
        <v>450</v>
      </c>
      <c r="D3" s="62">
        <f>D4+D15</f>
        <v>0</v>
      </c>
      <c r="E3" s="13"/>
      <c r="F3" s="56" t="s">
        <v>71</v>
      </c>
      <c r="G3" s="59">
        <f>G4+G15+G26</f>
        <v>12.840000000000002</v>
      </c>
      <c r="H3" s="62">
        <f>H4+H15+H26</f>
        <v>0</v>
      </c>
      <c r="J3" s="93">
        <f>G3-C3</f>
        <v>-437.16</v>
      </c>
      <c r="K3" s="93">
        <f>H3-D3</f>
        <v>0</v>
      </c>
    </row>
    <row r="4" spans="1:11" x14ac:dyDescent="0.25">
      <c r="A4" t="s">
        <v>72</v>
      </c>
      <c r="B4" s="58" t="s">
        <v>73</v>
      </c>
      <c r="C4" s="59">
        <f>SUM(C5:C14)</f>
        <v>450</v>
      </c>
      <c r="D4" s="62">
        <f>SUM(D5:D14)</f>
        <v>0</v>
      </c>
      <c r="E4" s="13"/>
      <c r="F4" s="58" t="s">
        <v>74</v>
      </c>
      <c r="G4" s="59">
        <f>SUM(G5:G14)</f>
        <v>12.840000000000002</v>
      </c>
      <c r="H4" s="62">
        <f>SUM(H5:H14)</f>
        <v>0</v>
      </c>
    </row>
    <row r="5" spans="1:11" x14ac:dyDescent="0.25">
      <c r="A5" t="s">
        <v>75</v>
      </c>
      <c r="B5" s="60" t="str">
        <f>_xlfn.IFNA(VLOOKUP(A5,Balancete!$B:$C,2,0),"")</f>
        <v>Caixa</v>
      </c>
      <c r="C5" s="55">
        <f>IF(B5="","",SUMIF(Balancete!$B:$B,'Balanço Patrimonial'!A5,Balancete!$D:$D)+SUMIF(Balancete!$B:$B,'Balanço Patrimonial'!A5,Balancete!$E:$E))</f>
        <v>0</v>
      </c>
      <c r="D5" s="10">
        <v>0</v>
      </c>
      <c r="E5" s="14" t="s">
        <v>76</v>
      </c>
      <c r="F5" s="60" t="str">
        <f>_xlfn.IFNA(VLOOKUP(E5,Balancete!$B:$C,2,0),"")</f>
        <v>Contas a Pagar</v>
      </c>
      <c r="G5" s="55">
        <f>IF(F5="","",SUMIF(Balancete!$B:$B,'Balanço Patrimonial'!E5,Balancete!$D:$D)+SUMIF(Balancete!$B:$B,'Balanço Patrimonial'!E5,Balancete!$E:$E))</f>
        <v>0</v>
      </c>
      <c r="H5" s="10">
        <v>0</v>
      </c>
    </row>
    <row r="6" spans="1:11" x14ac:dyDescent="0.25">
      <c r="A6" t="s">
        <v>77</v>
      </c>
      <c r="B6" s="60" t="str">
        <f>_xlfn.IFNA(VLOOKUP(A6,Balancete!$B:$C,2,0),"")</f>
        <v>Banco</v>
      </c>
      <c r="C6" s="55">
        <f>IF(B6="","",SUMIF(Balancete!$B:$B,'Balanço Patrimonial'!A6,Balancete!$D:$D)+SUMIF(Balancete!$B:$B,'Balanço Patrimonial'!A6,Balancete!$E:$E))</f>
        <v>0</v>
      </c>
      <c r="D6" s="10">
        <v>0</v>
      </c>
      <c r="E6" s="14" t="s">
        <v>78</v>
      </c>
      <c r="F6" s="60" t="str">
        <f>_xlfn.IFNA(VLOOKUP(E6,Balancete!$B:$C,2,0),"")</f>
        <v>Fornecedores</v>
      </c>
      <c r="G6" s="55">
        <f>IF(F6="","",SUMIF(Balancete!$B:$B,'Balanço Patrimonial'!E6,Balancete!$D:$D)+SUMIF(Balancete!$B:$B,'Balanço Patrimonial'!E6,Balancete!$E:$E))</f>
        <v>0</v>
      </c>
      <c r="H6" s="10">
        <v>0</v>
      </c>
    </row>
    <row r="7" spans="1:11" x14ac:dyDescent="0.25">
      <c r="A7" t="s">
        <v>79</v>
      </c>
      <c r="B7" s="60" t="str">
        <f>_xlfn.IFNA(VLOOKUP(A7,Balancete!$B:$C,2,0),"")</f>
        <v>Contas a Receber</v>
      </c>
      <c r="C7" s="55">
        <f>IF(B7="","",SUMIF(Balancete!$B:$B,'Balanço Patrimonial'!A7,Balancete!$D:$D)+SUMIF(Balancete!$B:$B,'Balanço Patrimonial'!A7,Balancete!$E:$E))</f>
        <v>450</v>
      </c>
      <c r="D7" s="10">
        <v>0</v>
      </c>
      <c r="E7" s="14" t="s">
        <v>80</v>
      </c>
      <c r="F7" s="60" t="str">
        <f>_xlfn.IFNA(VLOOKUP(E7,Balancete!$B:$C,2,0),"")</f>
        <v>Empréstimo a Pagar</v>
      </c>
      <c r="G7" s="55">
        <f>IF(F7="","",SUMIF(Balancete!$B:$B,'Balanço Patrimonial'!E7,Balancete!$D:$D)+SUMIF(Balancete!$B:$B,'Balanço Patrimonial'!E7,Balancete!$E:$E))</f>
        <v>12.840000000000002</v>
      </c>
      <c r="H7" s="10">
        <v>0</v>
      </c>
    </row>
    <row r="8" spans="1:11" x14ac:dyDescent="0.25">
      <c r="A8" t="s">
        <v>81</v>
      </c>
      <c r="B8" s="60" t="str">
        <f>_xlfn.IFNA(VLOOKUP(A8,Balancete!$B:$C,2,0),"")</f>
        <v>PECLD</v>
      </c>
      <c r="C8" s="55">
        <f>IF(B8="","",SUMIF(Balancete!$B:$B,'Balanço Patrimonial'!A8,Balancete!$D:$D)+SUMIF(Balancete!$B:$B,'Balanço Patrimonial'!A8,Balancete!$E:$E))</f>
        <v>0</v>
      </c>
      <c r="D8" s="10">
        <v>0</v>
      </c>
      <c r="E8" s="14" t="s">
        <v>82</v>
      </c>
      <c r="F8" s="60" t="str">
        <f>_xlfn.IFNA(VLOOKUP(E8,Balancete!$B:$C,2,0),"")</f>
        <v>Impostos a recolher</v>
      </c>
      <c r="G8" s="55">
        <f>IF(F8="","",SUMIF(Balancete!$B:$B,'Balanço Patrimonial'!E8,Balancete!$D:$D)+SUMIF(Balancete!$B:$B,'Balanço Patrimonial'!E8,Balancete!$E:$E))</f>
        <v>0</v>
      </c>
      <c r="H8" s="10">
        <v>0</v>
      </c>
    </row>
    <row r="9" spans="1:11" x14ac:dyDescent="0.25">
      <c r="A9" t="s">
        <v>83</v>
      </c>
      <c r="B9" s="60" t="str">
        <f>_xlfn.IFNA(VLOOKUP(A9,Balancete!$B:$C,2,0),"")</f>
        <v>Mercadorias</v>
      </c>
      <c r="C9" s="55">
        <f>IF(B9="","",SUMIF(Balancete!$B:$B,'Balanço Patrimonial'!A9,Balancete!$D:$D)+SUMIF(Balancete!$B:$B,'Balanço Patrimonial'!A9,Balancete!$E:$E))</f>
        <v>0</v>
      </c>
      <c r="D9" s="10">
        <v>0</v>
      </c>
      <c r="E9" s="14" t="s">
        <v>84</v>
      </c>
      <c r="F9" s="60" t="str">
        <f>_xlfn.IFNA(VLOOKUP(E9,Balancete!$B:$C,2,0),"")</f>
        <v>Salários a pagar</v>
      </c>
      <c r="G9" s="55">
        <f>IF(F9="","",SUMIF(Balancete!$B:$B,'Balanço Patrimonial'!E9,Balancete!$D:$D)+SUMIF(Balancete!$B:$B,'Balanço Patrimonial'!E9,Balancete!$E:$E))</f>
        <v>0</v>
      </c>
      <c r="H9" s="10">
        <v>0</v>
      </c>
    </row>
    <row r="10" spans="1:11" x14ac:dyDescent="0.25">
      <c r="A10" t="s">
        <v>172</v>
      </c>
      <c r="B10" s="60" t="str">
        <f>_xlfn.IFNA(VLOOKUP(A10,Balancete!B:C,2,0),"")</f>
        <v/>
      </c>
      <c r="C10" s="55" t="str">
        <f>IF(B10="","",SUMIF(Balancete!$B:$B,'Balanço Patrimonial'!A10,Balancete!$D:$D)+SUMIF(Balancete!$B:$B,'Balanço Patrimonial'!A10,Balancete!$E:$E))</f>
        <v/>
      </c>
      <c r="D10" s="10">
        <v>0</v>
      </c>
      <c r="E10" s="14" t="s">
        <v>85</v>
      </c>
      <c r="F10" s="60" t="str">
        <f>_xlfn.IFNA(VLOOKUP(E10,Balancete!$B:$C,2,0),"")</f>
        <v>Receitas Antecipadas</v>
      </c>
      <c r="G10" s="55">
        <f>IF(F10="","",SUMIF(Balancete!$B:$B,'Balanço Patrimonial'!E10,Balancete!$D:$D)+SUMIF(Balancete!$B:$B,'Balanço Patrimonial'!E10,Balancete!$E:$E))</f>
        <v>0</v>
      </c>
      <c r="H10" s="10">
        <v>0</v>
      </c>
    </row>
    <row r="11" spans="1:11" x14ac:dyDescent="0.25">
      <c r="B11" s="60">
        <f>_xlfn.IFNA(VLOOKUP(A11,Balancete!B:C,2,0),"")</f>
        <v>0</v>
      </c>
      <c r="C11" s="55">
        <f>IF(B11="","",SUMIF(Balancete!$B:$B,'Balanço Patrimonial'!A11,Balancete!$D:$D)+SUMIF(Balancete!$B:$B,'Balanço Patrimonial'!A11,Balancete!$E:$E))</f>
        <v>0</v>
      </c>
      <c r="D11" s="10"/>
      <c r="E11" s="14" t="s">
        <v>86</v>
      </c>
      <c r="F11" s="60" t="str">
        <f>_xlfn.IFNA(VLOOKUP(E11,Balancete!$B:$C,2,0),"")</f>
        <v>Dividendos a Pagar</v>
      </c>
      <c r="G11" s="55">
        <f>IF(F11="","",SUMIF(Balancete!$B:$B,'Balanço Patrimonial'!E11,Balancete!$D:$D)+SUMIF(Balancete!$B:$B,'Balanço Patrimonial'!E11,Balancete!$E:$E))</f>
        <v>0</v>
      </c>
      <c r="H11" s="10">
        <v>0</v>
      </c>
    </row>
    <row r="12" spans="1:11" x14ac:dyDescent="0.25">
      <c r="B12" s="60">
        <f>_xlfn.IFNA(VLOOKUP(A12,Balancete!B:C,2,0),"")</f>
        <v>0</v>
      </c>
      <c r="C12" s="55">
        <f>IF(B12="","",SUMIF(Balancete!$B:$B,'Balanço Patrimonial'!A12,Balancete!$D:$D)+SUMIF(Balancete!$B:$B,'Balanço Patrimonial'!A12,Balancete!$E:$E))</f>
        <v>0</v>
      </c>
      <c r="D12" s="10"/>
      <c r="E12" s="14"/>
      <c r="F12" s="60">
        <f>_xlfn.IFNA(VLOOKUP(E12,Balancete!$B:$C,2,0),"")</f>
        <v>0</v>
      </c>
      <c r="G12" s="55">
        <f>IF(F12="","",SUMIF(Balancete!$B:$B,'Balanço Patrimonial'!E12,Balancete!$D:$D)+SUMIF(Balancete!$B:$B,'Balanço Patrimonial'!E12,Balancete!$E:$E))</f>
        <v>0</v>
      </c>
      <c r="H12" s="10"/>
    </row>
    <row r="13" spans="1:11" x14ac:dyDescent="0.25">
      <c r="B13" s="60">
        <f>_xlfn.IFNA(VLOOKUP(A13,Balancete!B:C,2,0),"")</f>
        <v>0</v>
      </c>
      <c r="C13" s="55">
        <f>IF(B13="","",SUMIF(Balancete!$B:$B,'Balanço Patrimonial'!A13,Balancete!$D:$D)+SUMIF(Balancete!$B:$B,'Balanço Patrimonial'!A13,Balancete!$E:$E))</f>
        <v>0</v>
      </c>
      <c r="D13" s="10"/>
      <c r="E13" s="14"/>
      <c r="F13" s="60">
        <f>_xlfn.IFNA(VLOOKUP(E13,Balancete!$B:$C,2,0),"")</f>
        <v>0</v>
      </c>
      <c r="G13" s="55">
        <f>IF(F13="","",SUMIF(Balancete!$B:$B,'Balanço Patrimonial'!E13,Balancete!$D:$D)+SUMIF(Balancete!$B:$B,'Balanço Patrimonial'!E13,Balancete!$E:$E))</f>
        <v>0</v>
      </c>
      <c r="H13" s="10"/>
    </row>
    <row r="14" spans="1:11" x14ac:dyDescent="0.25">
      <c r="B14" s="60">
        <f>_xlfn.IFNA(VLOOKUP(A14,Balancete!B:C,2,0),"")</f>
        <v>0</v>
      </c>
      <c r="C14" s="55">
        <f>IF(B14="","",SUMIF(Balancete!$B:$B,'Balanço Patrimonial'!A14,Balancete!$D:$D)+SUMIF(Balancete!$B:$B,'Balanço Patrimonial'!A14,Balancete!$E:$E))</f>
        <v>0</v>
      </c>
      <c r="D14" s="10"/>
      <c r="E14" s="14"/>
      <c r="F14" s="60" t="s">
        <v>173</v>
      </c>
      <c r="G14" s="55" t="str">
        <f>IF(F14="","",SUMIF(Balancete!$B:$B,'Balanço Patrimonial'!E14,Balancete!$D:$D)+SUMIF(Balancete!$B:$B,'Balanço Patrimonial'!E14,Balancete!$E:$E))</f>
        <v/>
      </c>
      <c r="H14" s="10"/>
    </row>
    <row r="15" spans="1:11" x14ac:dyDescent="0.25">
      <c r="B15" s="58" t="s">
        <v>87</v>
      </c>
      <c r="C15" s="59">
        <f>C16+C18+C21+C26</f>
        <v>0</v>
      </c>
      <c r="D15" s="62">
        <f>D16+D18+D21+D26</f>
        <v>0</v>
      </c>
      <c r="E15" s="13"/>
      <c r="F15" s="58" t="s">
        <v>88</v>
      </c>
      <c r="G15" s="59">
        <f>SUM(G16:G25)</f>
        <v>0</v>
      </c>
      <c r="H15" s="62">
        <f>SUM(H16:H25)</f>
        <v>0</v>
      </c>
    </row>
    <row r="16" spans="1:11" x14ac:dyDescent="0.25">
      <c r="B16" s="61" t="s">
        <v>89</v>
      </c>
      <c r="C16" s="59">
        <f>SUM(C17)</f>
        <v>0</v>
      </c>
      <c r="D16" s="62">
        <f>SUM(D17)</f>
        <v>0</v>
      </c>
      <c r="E16" s="14" t="s">
        <v>90</v>
      </c>
      <c r="F16" s="60" t="str">
        <f>_xlfn.IFNA(VLOOKUP(E16,Balancete!$B:$C,2,0),"")</f>
        <v>Contas a Pagar a Longo Prazo</v>
      </c>
      <c r="G16" s="55">
        <f>IF(F16="","",SUMIF(Balancete!$B:$B,'Balanço Patrimonial'!E16,Balancete!$D:$D)+SUMIF(Balancete!$B:$B,'Balanço Patrimonial'!E16,Balancete!$E:$E))</f>
        <v>0</v>
      </c>
      <c r="H16" s="10"/>
    </row>
    <row r="17" spans="1:10" x14ac:dyDescent="0.25">
      <c r="A17" t="s">
        <v>91</v>
      </c>
      <c r="B17" s="60" t="str">
        <f>_xlfn.IFNA(VLOOKUP(A17,Balancete!B:C,2,0),"")</f>
        <v>Contas a Receber a Longo Prazo</v>
      </c>
      <c r="C17" s="55">
        <f>IF(B17="","",SUMIF(Balancete!$B:$B,'Balanço Patrimonial'!A17,Balancete!$D:$D)+SUMIF(Balancete!$B:$B,'Balanço Patrimonial'!A17,Balancete!$E:$E))</f>
        <v>0</v>
      </c>
      <c r="D17" s="10">
        <v>0</v>
      </c>
      <c r="E17" s="14" t="s">
        <v>92</v>
      </c>
      <c r="F17" s="60" t="str">
        <f>_xlfn.IFNA(VLOOKUP(E17,Balancete!$B:$C,2,0),"")</f>
        <v>Fornecedores a Pagar a Longo Prazo</v>
      </c>
      <c r="G17" s="55">
        <f>IF(F17="","",SUMIF(Balancete!$B:$B,'Balanço Patrimonial'!E17,Balancete!$D:$D)+SUMIF(Balancete!$B:$B,'Balanço Patrimonial'!E17,Balancete!$E:$E))</f>
        <v>0</v>
      </c>
      <c r="H17" s="10"/>
    </row>
    <row r="18" spans="1:10" x14ac:dyDescent="0.25">
      <c r="B18" s="61" t="s">
        <v>93</v>
      </c>
      <c r="C18" s="62">
        <f>SUM(C19:C20)</f>
        <v>0</v>
      </c>
      <c r="D18" s="62">
        <f>SUM(D19:D20)</f>
        <v>0</v>
      </c>
      <c r="E18" s="14" t="s">
        <v>94</v>
      </c>
      <c r="F18" s="60" t="str">
        <f>_xlfn.IFNA(VLOOKUP(E18,Balancete!$B:$C,2,0),"")</f>
        <v>Empréstimo a logo prazo</v>
      </c>
      <c r="G18" s="55">
        <f>IF(F18="","",SUMIF(Balancete!$B:$B,'Balanço Patrimonial'!E18,Balancete!$D:$D)+SUMIF(Balancete!$B:$B,'Balanço Patrimonial'!E18,Balancete!$E:$E))</f>
        <v>0</v>
      </c>
      <c r="H18" s="10"/>
    </row>
    <row r="19" spans="1:10" x14ac:dyDescent="0.25">
      <c r="A19" t="s">
        <v>95</v>
      </c>
      <c r="B19" s="60" t="str">
        <f>_xlfn.IFNA(VLOOKUP(A19,Balancete!B:C,2,0),"")</f>
        <v>Terrenos - Investimento</v>
      </c>
      <c r="C19" s="55">
        <f>IF(B19="","",SUMIF(Balancete!$B:$B,'Balanço Patrimonial'!A19,Balancete!$D:$D)+SUMIF(Balancete!$B:$B,'Balanço Patrimonial'!A19,Balancete!$E:$E))</f>
        <v>0</v>
      </c>
      <c r="D19" s="10">
        <v>0</v>
      </c>
      <c r="E19" s="14" t="s">
        <v>96</v>
      </c>
      <c r="F19" s="60" t="str">
        <f>_xlfn.IFNA(VLOOKUP(E19,Balancete!$B:$C,2,0),"")</f>
        <v/>
      </c>
      <c r="G19" s="55" t="str">
        <f>IF(F19="","",SUMIF(Balancete!$B:$B,'Balanço Patrimonial'!E19,Balancete!$D:$D)+SUMIF(Balancete!$B:$B,'Balanço Patrimonial'!E19,Balancete!$E:$E))</f>
        <v/>
      </c>
      <c r="H19" s="10"/>
    </row>
    <row r="20" spans="1:10" x14ac:dyDescent="0.25">
      <c r="A20" t="s">
        <v>97</v>
      </c>
      <c r="B20" s="60" t="str">
        <f>_xlfn.IFNA(VLOOKUP(A20,Balancete!B:C,2,0),"")</f>
        <v/>
      </c>
      <c r="C20" s="55" t="str">
        <f>IF(B20="","",SUMIF(Balancete!$B:$B,'Balanço Patrimonial'!A20,Balancete!$D:$D)+SUMIF(Balancete!$B:$B,'Balanço Patrimonial'!A20,Balancete!$E:$E))</f>
        <v/>
      </c>
      <c r="D20" s="10">
        <v>0</v>
      </c>
      <c r="E20" s="14" t="s">
        <v>98</v>
      </c>
      <c r="F20" s="60" t="str">
        <f>_xlfn.IFNA(VLOOKUP(E20,Balancete!$B:$C,2,0),"")</f>
        <v/>
      </c>
      <c r="G20" s="55" t="str">
        <f>IF(F20="","",SUMIF(Balancete!$B:$B,'Balanço Patrimonial'!E20,Balancete!$D:$D)+SUMIF(Balancete!$B:$B,'Balanço Patrimonial'!E20,Balancete!$E:$E))</f>
        <v/>
      </c>
      <c r="H20" s="10"/>
    </row>
    <row r="21" spans="1:10" x14ac:dyDescent="0.25">
      <c r="B21" s="61" t="s">
        <v>99</v>
      </c>
      <c r="C21" s="59">
        <f>SUM(C22:C25)</f>
        <v>0</v>
      </c>
      <c r="D21" s="62">
        <f>SUM(D22:D25)</f>
        <v>0</v>
      </c>
      <c r="E21" s="14"/>
      <c r="F21" s="60"/>
      <c r="G21" s="55" t="str">
        <f>IF(F21="","",SUMIF(Balancete!$B:$B,'Balanço Patrimonial'!E21,Balancete!$D:$D)+SUMIF(Balancete!$B:$B,'Balanço Patrimonial'!E21,Balancete!$E:$E))</f>
        <v/>
      </c>
      <c r="H21" s="10"/>
    </row>
    <row r="22" spans="1:10" x14ac:dyDescent="0.25">
      <c r="A22" t="s">
        <v>100</v>
      </c>
      <c r="B22" s="60" t="str">
        <f>_xlfn.IFNA(VLOOKUP(A22,Balancete!B:C,2,0),"")</f>
        <v>Obra de Arte</v>
      </c>
      <c r="C22" s="55">
        <f>IF(B22="","",SUMIF(Balancete!$B:$B,'Balanço Patrimonial'!A22,Balancete!$D:$D)+SUMIF(Balancete!$B:$B,'Balanço Patrimonial'!A22,Balancete!$E:$E))</f>
        <v>0</v>
      </c>
      <c r="D22" s="10">
        <v>0</v>
      </c>
      <c r="E22" s="14"/>
      <c r="F22" s="60"/>
      <c r="G22" s="55" t="str">
        <f>IF(F22="","",SUMIF(Balancete!$B:$B,'Balanço Patrimonial'!E22,Balancete!$D:$D)+SUMIF(Balancete!$B:$B,'Balanço Patrimonial'!E22,Balancete!$E:$E))</f>
        <v/>
      </c>
      <c r="H22" s="10"/>
    </row>
    <row r="23" spans="1:10" x14ac:dyDescent="0.25">
      <c r="A23" t="s">
        <v>101</v>
      </c>
      <c r="B23" s="60" t="str">
        <f>_xlfn.IFNA(VLOOKUP(A23,Balancete!B:C,2,0),"")</f>
        <v/>
      </c>
      <c r="C23" s="55" t="str">
        <f>IF(B23="","",SUMIF(Balancete!$B:$B,'Balanço Patrimonial'!A23,Balancete!$D:$D)+SUMIF(Balancete!$B:$B,'Balanço Patrimonial'!A23,Balancete!$E:$E))</f>
        <v/>
      </c>
      <c r="D23" s="10">
        <v>0</v>
      </c>
      <c r="E23" s="14"/>
      <c r="F23" s="60"/>
      <c r="G23" s="55" t="str">
        <f>IF(F23="","",SUMIF(Balancete!$B:$B,'Balanço Patrimonial'!E23,Balancete!$D:$D)+SUMIF(Balancete!$B:$B,'Balanço Patrimonial'!E23,Balancete!$E:$E))</f>
        <v/>
      </c>
      <c r="H23" s="10"/>
    </row>
    <row r="24" spans="1:10" x14ac:dyDescent="0.25">
      <c r="A24" t="s">
        <v>102</v>
      </c>
      <c r="B24" s="60" t="str">
        <f>_xlfn.IFNA(VLOOKUP(A24,Balancete!B:C,2,0),"")</f>
        <v/>
      </c>
      <c r="C24" s="55" t="str">
        <f>IF(B24="","",SUMIF(Balancete!$B:$B,'Balanço Patrimonial'!A24,Balancete!$D:$D)+SUMIF(Balancete!$B:$B,'Balanço Patrimonial'!A24,Balancete!$E:$E))</f>
        <v/>
      </c>
      <c r="D24" s="10">
        <v>0</v>
      </c>
      <c r="E24" s="14"/>
      <c r="F24" s="60"/>
      <c r="G24" s="55" t="str">
        <f>IF(F24="","",SUMIF(Balancete!$B:$B,'Balanço Patrimonial'!E24,Balancete!$D:$D)+SUMIF(Balancete!$B:$B,'Balanço Patrimonial'!E24,Balancete!$E:$E))</f>
        <v/>
      </c>
      <c r="H24" s="10"/>
    </row>
    <row r="25" spans="1:10" x14ac:dyDescent="0.25">
      <c r="A25" t="s">
        <v>103</v>
      </c>
      <c r="B25" s="60" t="str">
        <f>_xlfn.IFNA(VLOOKUP(A25,Balancete!B:C,2,0),"")</f>
        <v/>
      </c>
      <c r="C25" s="55" t="str">
        <f>IF(B25="","",SUMIF(Balancete!$B:$B,'Balanço Patrimonial'!A25,Balancete!$D:$D)+SUMIF(Balancete!$B:$B,'Balanço Patrimonial'!A25,Balancete!$E:$E))</f>
        <v/>
      </c>
      <c r="D25" s="10">
        <v>0</v>
      </c>
      <c r="E25" s="14"/>
      <c r="F25" s="60"/>
      <c r="G25" s="55" t="str">
        <f>IF(F25="","",SUMIF(Balancete!$B:$B,'Balanço Patrimonial'!E25,Balancete!$D:$D)+SUMIF(Balancete!$B:$B,'Balanço Patrimonial'!E25,Balancete!$E:$E))</f>
        <v/>
      </c>
      <c r="H25" s="10"/>
    </row>
    <row r="26" spans="1:10" x14ac:dyDescent="0.25">
      <c r="B26" s="61" t="s">
        <v>104</v>
      </c>
      <c r="C26" s="59">
        <f>SUM(C27:C29)</f>
        <v>0</v>
      </c>
      <c r="D26" s="62">
        <f>SUM(D27:D29)</f>
        <v>0</v>
      </c>
      <c r="E26" s="14"/>
      <c r="F26" s="56" t="s">
        <v>105</v>
      </c>
      <c r="G26" s="59">
        <f>SUM(G27:G33)</f>
        <v>0</v>
      </c>
      <c r="H26" s="62">
        <f>SUM(H27:H33)</f>
        <v>0</v>
      </c>
    </row>
    <row r="27" spans="1:10" x14ac:dyDescent="0.25">
      <c r="A27" t="s">
        <v>106</v>
      </c>
      <c r="B27" s="60" t="str">
        <f>_xlfn.IFNA(VLOOKUP(A27,Balancete!B:C,2,0),"")</f>
        <v>Móveis e Utensílios</v>
      </c>
      <c r="C27" s="55">
        <f>IF(B27="","",SUMIF(Balancete!$B:$B,'Balanço Patrimonial'!A27,Balancete!$D:$D)+SUMIF(Balancete!$B:$B,'Balanço Patrimonial'!A27,Balancete!$E:$E))</f>
        <v>0</v>
      </c>
      <c r="D27" s="137">
        <v>0</v>
      </c>
      <c r="E27" s="15" t="s">
        <v>107</v>
      </c>
      <c r="F27" s="60" t="str">
        <f>_xlfn.IFNA(VLOOKUP(E27,Balancete!$B:$C,2,0),"")</f>
        <v>Capital Social</v>
      </c>
      <c r="G27" s="55">
        <f>IF(F27="","",-SUMIF(Balancete!$B:$B,'Balanço Patrimonial'!E27,Balancete!$D:$D)+SUMIF(Balancete!$B:$B,'Balanço Patrimonial'!E27,Balancete!$E:$E))</f>
        <v>0</v>
      </c>
      <c r="H27" s="10"/>
      <c r="J27" s="5">
        <f>H3-D3</f>
        <v>0</v>
      </c>
    </row>
    <row r="28" spans="1:10" x14ac:dyDescent="0.25">
      <c r="A28" t="s">
        <v>108</v>
      </c>
      <c r="B28" s="60" t="str">
        <f>_xlfn.IFNA(VLOOKUP(A28,Balancete!B:C,2,0),"")</f>
        <v/>
      </c>
      <c r="C28" s="55" t="str">
        <f>IF(B28="","",SUMIF(Balancete!$B:$B,'Balanço Patrimonial'!A28,Balancete!$D:$D)+SUMIF(Balancete!$B:$B,'Balanço Patrimonial'!A28,Balancete!$E:$E))</f>
        <v/>
      </c>
      <c r="D28" s="137">
        <v>0</v>
      </c>
      <c r="E28" s="15" t="s">
        <v>109</v>
      </c>
      <c r="F28" s="60" t="str">
        <f>_xlfn.IFNA(VLOOKUP(E28,Balancete!$B:$C,2,0),"")</f>
        <v>Lucros Acumulados</v>
      </c>
      <c r="G28" s="55">
        <f>IF(F28="","",-SUMIF(Balancete!$B:$B,'Balanço Patrimonial'!E28,Balancete!$D:$D)+SUMIF(Balancete!$B:$B,'Balanço Patrimonial'!E28,Balancete!$E:$E))</f>
        <v>0</v>
      </c>
      <c r="H28" s="10"/>
    </row>
    <row r="29" spans="1:10" x14ac:dyDescent="0.25">
      <c r="A29" t="s">
        <v>110</v>
      </c>
      <c r="B29" s="60" t="str">
        <f>_xlfn.IFNA(VLOOKUP(A29,Balancete!B:C,2,0),"")</f>
        <v/>
      </c>
      <c r="C29" s="63"/>
      <c r="D29" s="137">
        <v>0</v>
      </c>
      <c r="E29" s="15" t="s">
        <v>111</v>
      </c>
      <c r="F29" s="60" t="str">
        <f>_xlfn.IFNA(VLOOKUP(E29,Balancete!$B:$C,2,0),"")</f>
        <v>Prejuízos Acumulados</v>
      </c>
      <c r="G29" s="55">
        <f>IF(F29="","",-SUMIF(Balancete!$B:$B,'Balanço Patrimonial'!E29,Balancete!$D:$D)+SUMIF(Balancete!$B:$B,'Balanço Patrimonial'!E29,Balancete!$E:$E))</f>
        <v>0</v>
      </c>
      <c r="H29" s="10"/>
    </row>
    <row r="30" spans="1:10" x14ac:dyDescent="0.25">
      <c r="A30" t="s">
        <v>112</v>
      </c>
      <c r="B30" s="60" t="str">
        <f>_xlfn.IFNA(VLOOKUP(A30,Balancete!B:C,2,0),"")</f>
        <v/>
      </c>
      <c r="C30" s="63"/>
      <c r="D30" s="11"/>
      <c r="E30" s="15" t="s">
        <v>113</v>
      </c>
      <c r="F30" s="60" t="str">
        <f>_xlfn.IFNA(VLOOKUP(E30,Balancete!$B:$C,2,0),"")</f>
        <v>Reserva de Lucros</v>
      </c>
      <c r="G30" s="55">
        <f>IF(F30="","",-SUMIF(Balancete!$B:$B,'Balanço Patrimonial'!E30,Balancete!$D:$D)+SUMIF(Balancete!$B:$B,'Balanço Patrimonial'!E30,Balancete!$E:$E))</f>
        <v>0</v>
      </c>
      <c r="H30" s="10"/>
    </row>
    <row r="31" spans="1:10" x14ac:dyDescent="0.25">
      <c r="A31" t="s">
        <v>114</v>
      </c>
      <c r="B31" s="60" t="str">
        <f>_xlfn.IFNA(VLOOKUP(A31,Balancete!B:C,2,0),"")</f>
        <v/>
      </c>
      <c r="C31" s="63"/>
      <c r="D31" s="11"/>
      <c r="E31" s="15" t="s">
        <v>115</v>
      </c>
      <c r="F31" s="60" t="str">
        <f>_xlfn.IFNA(VLOOKUP(E31,Balancete!$B:$C,2,0),"")</f>
        <v/>
      </c>
      <c r="G31" s="55" t="str">
        <f>IF(F31="","",SUMIF(Balancete!$B:$B,'Balanço Patrimonial'!E31,Balancete!$D:$D)+SUMIF(Balancete!$B:$B,'Balanço Patrimonial'!E31,Balancete!$E:$E))</f>
        <v/>
      </c>
      <c r="H31" s="10"/>
    </row>
    <row r="32" spans="1:10" x14ac:dyDescent="0.25">
      <c r="A32" t="s">
        <v>114</v>
      </c>
      <c r="B32" s="60" t="str">
        <f>_xlfn.IFNA(VLOOKUP(A32,Balancete!B:C,2,0),"")</f>
        <v/>
      </c>
      <c r="C32" s="63"/>
      <c r="D32" s="11"/>
      <c r="E32" s="15"/>
      <c r="F32" s="60"/>
      <c r="G32" s="55" t="str">
        <f>IF(F32="","",SUMIF(Balancete!$B:$B,'Balanço Patrimonial'!E32,Balancete!$D:$D)+SUMIF(Balancete!$B:$B,'Balanço Patrimonial'!E32,Balancete!$E:$E))</f>
        <v/>
      </c>
      <c r="H32" s="10"/>
    </row>
    <row r="33" spans="2:8" ht="15.75" thickBot="1" x14ac:dyDescent="0.3">
      <c r="B33" s="64"/>
      <c r="C33" s="65"/>
      <c r="D33" s="12"/>
      <c r="E33" s="15"/>
      <c r="F33" s="66"/>
      <c r="G33" s="67"/>
      <c r="H33" s="12"/>
    </row>
  </sheetData>
  <autoFilter ref="A2:H33"/>
  <mergeCells count="1">
    <mergeCell ref="J1:K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>
    <tabColor rgb="FFFF0000"/>
  </sheetPr>
  <dimension ref="A1:H24"/>
  <sheetViews>
    <sheetView workbookViewId="0">
      <selection sqref="A1:H24"/>
    </sheetView>
  </sheetViews>
  <sheetFormatPr defaultRowHeight="15" x14ac:dyDescent="0.25"/>
  <cols>
    <col min="2" max="2" width="42.85546875" bestFit="1" customWidth="1"/>
    <col min="3" max="3" width="12.28515625" customWidth="1"/>
    <col min="8" max="8" width="24.42578125" bestFit="1" customWidth="1"/>
  </cols>
  <sheetData>
    <row r="1" spans="1:8" ht="15.75" thickBot="1" x14ac:dyDescent="0.3">
      <c r="B1" s="51" t="s">
        <v>116</v>
      </c>
      <c r="C1" s="51"/>
      <c r="D1" s="51"/>
    </row>
    <row r="2" spans="1:8" ht="15.75" thickBot="1" x14ac:dyDescent="0.3">
      <c r="A2" t="s">
        <v>117</v>
      </c>
      <c r="B2" s="71" t="s">
        <v>118</v>
      </c>
      <c r="C2" s="72">
        <v>0</v>
      </c>
      <c r="D2" s="71"/>
      <c r="G2" t="s">
        <v>119</v>
      </c>
      <c r="H2" s="3" t="s">
        <v>38</v>
      </c>
    </row>
    <row r="3" spans="1:8" ht="15.75" thickBot="1" x14ac:dyDescent="0.3">
      <c r="A3" t="s">
        <v>120</v>
      </c>
      <c r="B3" s="71" t="s">
        <v>121</v>
      </c>
      <c r="C3" s="72">
        <f>-VLOOKUP(A3,[1]Balancete!B:E,3,0)</f>
        <v>0</v>
      </c>
      <c r="D3" s="71"/>
      <c r="G3" t="s">
        <v>122</v>
      </c>
      <c r="H3" s="2" t="s">
        <v>40</v>
      </c>
    </row>
    <row r="4" spans="1:8" ht="15.75" thickBot="1" x14ac:dyDescent="0.3">
      <c r="B4" s="71" t="s">
        <v>123</v>
      </c>
      <c r="C4" s="72"/>
      <c r="D4" s="71"/>
      <c r="G4" t="s">
        <v>124</v>
      </c>
      <c r="H4" s="2" t="s">
        <v>41</v>
      </c>
    </row>
    <row r="5" spans="1:8" ht="15.75" thickBot="1" x14ac:dyDescent="0.3">
      <c r="B5" s="71" t="s">
        <v>125</v>
      </c>
      <c r="C5" s="72">
        <f>SUM(C2:C4)</f>
        <v>0</v>
      </c>
      <c r="D5" s="72">
        <f>SUM(D2:D4)</f>
        <v>0</v>
      </c>
      <c r="G5" t="s">
        <v>126</v>
      </c>
      <c r="H5" s="2" t="s">
        <v>42</v>
      </c>
    </row>
    <row r="6" spans="1:8" ht="15.75" thickBot="1" x14ac:dyDescent="0.3">
      <c r="B6" s="52" t="s">
        <v>127</v>
      </c>
      <c r="C6" s="52"/>
      <c r="D6" s="52"/>
      <c r="G6" t="s">
        <v>128</v>
      </c>
      <c r="H6" s="2" t="s">
        <v>43</v>
      </c>
    </row>
    <row r="7" spans="1:8" ht="15.75" thickBot="1" x14ac:dyDescent="0.3">
      <c r="B7" s="53"/>
      <c r="C7" s="53" t="s">
        <v>129</v>
      </c>
      <c r="D7" s="53" t="s">
        <v>63</v>
      </c>
      <c r="G7" t="s">
        <v>130</v>
      </c>
      <c r="H7" s="2" t="s">
        <v>44</v>
      </c>
    </row>
    <row r="8" spans="1:8" ht="15.75" thickBot="1" x14ac:dyDescent="0.3">
      <c r="A8" t="s">
        <v>48</v>
      </c>
      <c r="B8" s="73" t="s">
        <v>131</v>
      </c>
      <c r="C8" s="74">
        <v>0</v>
      </c>
      <c r="D8" s="74">
        <f>D5</f>
        <v>0</v>
      </c>
      <c r="G8" t="s">
        <v>132</v>
      </c>
      <c r="H8" s="2" t="s">
        <v>45</v>
      </c>
    </row>
    <row r="9" spans="1:8" ht="15.75" thickBot="1" x14ac:dyDescent="0.3">
      <c r="A9" t="s">
        <v>133</v>
      </c>
      <c r="B9" s="75" t="s">
        <v>134</v>
      </c>
      <c r="C9" s="72">
        <f>-VLOOKUP(A9,[1]Balancete!B:E,3,0)</f>
        <v>0</v>
      </c>
      <c r="D9" s="73"/>
      <c r="G9" t="s">
        <v>135</v>
      </c>
      <c r="H9" s="2" t="s">
        <v>46</v>
      </c>
    </row>
    <row r="10" spans="1:8" ht="15.75" thickBot="1" x14ac:dyDescent="0.3">
      <c r="B10" s="73" t="s">
        <v>136</v>
      </c>
      <c r="C10" s="74">
        <f>SUM(C8:C9)</f>
        <v>0</v>
      </c>
      <c r="D10" s="74">
        <f>SUM(D8:D9)</f>
        <v>0</v>
      </c>
      <c r="G10" t="s">
        <v>120</v>
      </c>
      <c r="H10" s="2" t="s">
        <v>47</v>
      </c>
    </row>
    <row r="11" spans="1:8" ht="15.75" thickBot="1" x14ac:dyDescent="0.3">
      <c r="A11" t="s">
        <v>119</v>
      </c>
      <c r="B11" s="75" t="s">
        <v>38</v>
      </c>
      <c r="C11" s="72">
        <f>-VLOOKUP(A11,[1]Balancete!B:E,3,0)</f>
        <v>0</v>
      </c>
      <c r="D11" s="74">
        <f>SUM(D9:D10)</f>
        <v>0</v>
      </c>
      <c r="G11" t="s">
        <v>117</v>
      </c>
      <c r="H11" s="16" t="s">
        <v>48</v>
      </c>
    </row>
    <row r="12" spans="1:8" ht="15.75" thickBot="1" x14ac:dyDescent="0.3">
      <c r="A12" t="s">
        <v>122</v>
      </c>
      <c r="B12" s="118" t="s">
        <v>40</v>
      </c>
      <c r="C12" s="119">
        <f>-VLOOKUP(A12,[1]Balancete!B:E,3,0)</f>
        <v>0</v>
      </c>
      <c r="D12" s="120">
        <f>SUM(D10:D11)</f>
        <v>0</v>
      </c>
      <c r="G12" t="s">
        <v>137</v>
      </c>
      <c r="H12" s="2" t="s">
        <v>50</v>
      </c>
    </row>
    <row r="13" spans="1:8" x14ac:dyDescent="0.25">
      <c r="A13" s="96" t="str">
        <f>[1]Balancete!B38</f>
        <v>6.2.2</v>
      </c>
      <c r="B13" s="103" t="str">
        <f>[1]Balancete!C38</f>
        <v>Aluguel</v>
      </c>
      <c r="C13" s="74">
        <f>-VLOOKUP(A13,[1]Balancete!B:E,3,0)</f>
        <v>0</v>
      </c>
      <c r="D13" s="74">
        <f>SUM(D11:D12)</f>
        <v>0</v>
      </c>
      <c r="G13" t="s">
        <v>138</v>
      </c>
      <c r="H13" t="s">
        <v>51</v>
      </c>
    </row>
    <row r="14" spans="1:8" x14ac:dyDescent="0.25">
      <c r="A14" t="s">
        <v>130</v>
      </c>
      <c r="B14" s="121" t="s">
        <v>44</v>
      </c>
      <c r="C14" s="122">
        <v>0</v>
      </c>
      <c r="D14" s="123">
        <f>SUM(D11:D12)</f>
        <v>0</v>
      </c>
    </row>
    <row r="15" spans="1:8" x14ac:dyDescent="0.25">
      <c r="A15" t="str">
        <f>[1]Balancete!B44</f>
        <v>6.4.2</v>
      </c>
      <c r="B15" s="75" t="str">
        <f>[1]Balancete!C44</f>
        <v>Despesa com PECLD</v>
      </c>
      <c r="C15" s="72">
        <v>0</v>
      </c>
      <c r="D15" s="74">
        <f>SUM(D12:D14)</f>
        <v>0</v>
      </c>
    </row>
    <row r="16" spans="1:8" x14ac:dyDescent="0.25">
      <c r="A16" t="str">
        <f>[1]Balancete!B51</f>
        <v>7.3.1</v>
      </c>
      <c r="B16" s="75" t="str">
        <f>[1]Balancete!C51</f>
        <v>Lucro Venda Imobilizado</v>
      </c>
      <c r="C16" s="72">
        <f>-VLOOKUP(A16,[1]Balancete!B:E,3,0)</f>
        <v>0</v>
      </c>
      <c r="D16" s="74">
        <f>SUM(D13:D15)</f>
        <v>0</v>
      </c>
    </row>
    <row r="17" spans="1:4" ht="30" x14ac:dyDescent="0.25">
      <c r="B17" s="124" t="s">
        <v>139</v>
      </c>
      <c r="C17" s="74">
        <f>SUM(C10:C15)</f>
        <v>0</v>
      </c>
      <c r="D17" s="74">
        <f>SUM(D10:D15)</f>
        <v>0</v>
      </c>
    </row>
    <row r="18" spans="1:4" x14ac:dyDescent="0.25">
      <c r="A18" t="s">
        <v>137</v>
      </c>
      <c r="B18" s="75" t="s">
        <v>50</v>
      </c>
      <c r="C18" s="72">
        <f>VLOOKUP(A18,[1]Balancete!B:E,4,0)</f>
        <v>0</v>
      </c>
      <c r="D18" s="73"/>
    </row>
    <row r="19" spans="1:4" x14ac:dyDescent="0.25">
      <c r="A19" t="s">
        <v>132</v>
      </c>
      <c r="B19" s="75" t="s">
        <v>45</v>
      </c>
      <c r="C19" s="72">
        <f>-VLOOKUP(A19,[1]Balancete!B:E,3,0)</f>
        <v>0</v>
      </c>
      <c r="D19" s="73"/>
    </row>
    <row r="20" spans="1:4" x14ac:dyDescent="0.25">
      <c r="B20" s="125" t="s">
        <v>140</v>
      </c>
      <c r="C20" s="74">
        <f>SUM(C17:C19)</f>
        <v>0</v>
      </c>
      <c r="D20" s="74">
        <f>SUM(D17:D19)</f>
        <v>0</v>
      </c>
    </row>
    <row r="21" spans="1:4" x14ac:dyDescent="0.25">
      <c r="A21" s="50">
        <v>0.15</v>
      </c>
      <c r="B21" s="75" t="s">
        <v>141</v>
      </c>
      <c r="C21" s="74">
        <f>IF(C20&gt;0,C20*-A21,0)</f>
        <v>0</v>
      </c>
      <c r="D21" s="73"/>
    </row>
    <row r="22" spans="1:4" x14ac:dyDescent="0.25">
      <c r="A22" s="50">
        <v>0.09</v>
      </c>
      <c r="B22" s="75" t="s">
        <v>142</v>
      </c>
      <c r="C22" s="74">
        <f>IF(C20&gt;0,C20*-A22,0)</f>
        <v>0</v>
      </c>
      <c r="D22" s="73"/>
    </row>
    <row r="23" spans="1:4" x14ac:dyDescent="0.25">
      <c r="B23" s="75"/>
      <c r="C23" s="73"/>
      <c r="D23" s="73"/>
    </row>
    <row r="24" spans="1:4" x14ac:dyDescent="0.25">
      <c r="B24" s="126" t="s">
        <v>143</v>
      </c>
      <c r="C24" s="74">
        <f>SUM(C20:C23)</f>
        <v>0</v>
      </c>
      <c r="D24" s="74">
        <f>SUM(D20:D23)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6"/>
  <sheetViews>
    <sheetView workbookViewId="0">
      <selection activeCell="M12" sqref="M12"/>
    </sheetView>
  </sheetViews>
  <sheetFormatPr defaultRowHeight="15" x14ac:dyDescent="0.25"/>
  <cols>
    <col min="2" max="2" width="33" bestFit="1" customWidth="1"/>
    <col min="3" max="3" width="11.28515625" customWidth="1"/>
  </cols>
  <sheetData>
    <row r="1" spans="1:9" x14ac:dyDescent="0.25">
      <c r="A1" s="96"/>
      <c r="B1" t="s">
        <v>174</v>
      </c>
      <c r="C1" s="97"/>
    </row>
    <row r="2" spans="1:9" x14ac:dyDescent="0.25">
      <c r="A2" s="98"/>
      <c r="B2" s="145" t="s">
        <v>175</v>
      </c>
      <c r="C2" s="146"/>
      <c r="D2" s="99"/>
      <c r="F2" s="149" t="s">
        <v>176</v>
      </c>
      <c r="G2" s="149"/>
      <c r="H2" s="149"/>
      <c r="I2" s="149"/>
    </row>
    <row r="3" spans="1:9" x14ac:dyDescent="0.25">
      <c r="A3" s="98"/>
      <c r="B3" s="100" t="s">
        <v>177</v>
      </c>
      <c r="C3" s="101">
        <f>[1]DRE!C24</f>
        <v>0</v>
      </c>
      <c r="D3" s="150" t="s">
        <v>178</v>
      </c>
    </row>
    <row r="4" spans="1:9" x14ac:dyDescent="0.25">
      <c r="A4" s="98" t="str">
        <f>[1]DRE!A14</f>
        <v>6.4.1</v>
      </c>
      <c r="B4" s="102" t="str">
        <f>[1]DRE!B14</f>
        <v>Despesa com Depreciação</v>
      </c>
      <c r="C4" s="103">
        <f>F4</f>
        <v>0</v>
      </c>
      <c r="D4" s="150"/>
      <c r="F4">
        <f>-VLOOKUP(A4,[1]DRE!A:C,3,0)</f>
        <v>0</v>
      </c>
    </row>
    <row r="5" spans="1:9" x14ac:dyDescent="0.25">
      <c r="A5" s="98" t="str">
        <f>[1]Balancete!B44</f>
        <v>6.4.2</v>
      </c>
      <c r="B5" s="102" t="str">
        <f>[1]Balancete!C44</f>
        <v>Despesa com PECLD</v>
      </c>
      <c r="C5" s="103">
        <f t="shared" ref="C5" si="0">F5</f>
        <v>0</v>
      </c>
      <c r="D5" s="150"/>
      <c r="F5">
        <f>-VLOOKUP(A5,[1]DRE!A:C,3,0)</f>
        <v>0</v>
      </c>
    </row>
    <row r="6" spans="1:9" x14ac:dyDescent="0.25">
      <c r="A6" s="98"/>
      <c r="B6" s="102"/>
      <c r="C6" s="103"/>
      <c r="D6" s="150"/>
      <c r="F6" t="e">
        <f>-VLOOKUP(A6,[1]DRE!A:C,3,0)</f>
        <v>#N/A</v>
      </c>
    </row>
    <row r="7" spans="1:9" x14ac:dyDescent="0.25">
      <c r="A7" s="98"/>
      <c r="B7" s="100" t="s">
        <v>179</v>
      </c>
      <c r="C7" s="101">
        <f>C3+C4+C5</f>
        <v>0</v>
      </c>
    </row>
    <row r="8" spans="1:9" x14ac:dyDescent="0.25">
      <c r="A8" s="98" t="str">
        <f>[1]Balancete!B5</f>
        <v>1.3.1</v>
      </c>
      <c r="B8" s="104" t="str">
        <f>[1]Balancete!C5</f>
        <v>Contas a Receber</v>
      </c>
      <c r="C8" s="105">
        <f>H8</f>
        <v>-250</v>
      </c>
      <c r="D8" s="106" t="s">
        <v>180</v>
      </c>
      <c r="E8" s="151" t="s">
        <v>181</v>
      </c>
      <c r="F8">
        <f>VLOOKUP(A8,'[1]Balanço Patrimonial'!A:D,4,0)</f>
        <v>200</v>
      </c>
      <c r="G8">
        <f>VLOOKUP([1]DFC!A8,'[1]Balanço Patrimonial'!A:C,3,0)</f>
        <v>450</v>
      </c>
      <c r="H8" s="107">
        <f>F8-G8</f>
        <v>-250</v>
      </c>
    </row>
    <row r="9" spans="1:9" x14ac:dyDescent="0.25">
      <c r="A9" s="98" t="str">
        <f>[1]Balancete!B6</f>
        <v>1.3.2</v>
      </c>
      <c r="B9" s="104" t="str">
        <f>[1]Balancete!C6</f>
        <v>PECLD</v>
      </c>
      <c r="C9" s="105" t="e">
        <f>H9</f>
        <v>#N/A</v>
      </c>
      <c r="D9" s="108" t="s">
        <v>180</v>
      </c>
      <c r="E9" s="151"/>
      <c r="F9" t="e">
        <f>VLOOKUP(A9,'[1]Balanço Patrimonial'!A:D,4,0)</f>
        <v>#N/A</v>
      </c>
      <c r="G9" t="e">
        <f>VLOOKUP([1]DFC!A9,'[1]Balanço Patrimonial'!A:C,3,0)</f>
        <v>#N/A</v>
      </c>
      <c r="H9" s="107" t="e">
        <f>F9-G9</f>
        <v>#N/A</v>
      </c>
    </row>
    <row r="10" spans="1:9" x14ac:dyDescent="0.25">
      <c r="A10" s="98" t="str">
        <f>[1]Balancete!B7</f>
        <v>1.4.1</v>
      </c>
      <c r="B10" s="104" t="str">
        <f>[1]Balancete!C7</f>
        <v>Mercadorias</v>
      </c>
      <c r="C10" s="105">
        <f t="shared" ref="C10:C13" si="1">H10</f>
        <v>500</v>
      </c>
      <c r="D10" s="108" t="s">
        <v>180</v>
      </c>
      <c r="E10" s="151"/>
      <c r="F10">
        <f>VLOOKUP(A10,'[1]Balanço Patrimonial'!A:D,4,0)</f>
        <v>500</v>
      </c>
      <c r="G10">
        <f>VLOOKUP([1]DFC!A10,'[1]Balanço Patrimonial'!A:C,3,0)</f>
        <v>0</v>
      </c>
      <c r="H10" s="107">
        <f>F10-G10</f>
        <v>500</v>
      </c>
    </row>
    <row r="11" spans="1:9" x14ac:dyDescent="0.25">
      <c r="A11" s="98" t="str">
        <f>[1]Balancete!B8</f>
        <v>1.5.1</v>
      </c>
      <c r="B11" s="109" t="str">
        <f>[1]Balancete!C8</f>
        <v>Despesas Antecipadas</v>
      </c>
      <c r="C11" s="105">
        <f t="shared" si="1"/>
        <v>600</v>
      </c>
      <c r="D11" s="108" t="s">
        <v>180</v>
      </c>
      <c r="E11" s="151"/>
      <c r="F11">
        <f>VLOOKUP(A11,'[1]Balanço Patrimonial'!A:D,4,0)</f>
        <v>600</v>
      </c>
      <c r="G11">
        <f>VLOOKUP([1]DFC!A11,'[1]Balanço Patrimonial'!A:C,3,0)</f>
        <v>0</v>
      </c>
      <c r="H11" s="107">
        <f>F11-G11</f>
        <v>600</v>
      </c>
    </row>
    <row r="12" spans="1:9" x14ac:dyDescent="0.25">
      <c r="A12" s="98" t="str">
        <f>[1]Balancete!B11</f>
        <v>2.1.1</v>
      </c>
      <c r="B12" s="104" t="str">
        <f>[1]Balancete!C11</f>
        <v>Contas a Receber a Longo Prazo</v>
      </c>
      <c r="C12" s="105">
        <f t="shared" si="1"/>
        <v>0</v>
      </c>
      <c r="D12" s="108" t="s">
        <v>180</v>
      </c>
      <c r="E12" s="151"/>
      <c r="F12">
        <f>VLOOKUP(A12,'[1]Balanço Patrimonial'!A:D,4,0)</f>
        <v>0</v>
      </c>
      <c r="G12">
        <f>VLOOKUP([1]DFC!A12,'[1]Balanço Patrimonial'!A:C,3,0)</f>
        <v>0</v>
      </c>
      <c r="H12" s="107">
        <f>F12-G12</f>
        <v>0</v>
      </c>
    </row>
    <row r="13" spans="1:9" x14ac:dyDescent="0.25">
      <c r="A13" s="98"/>
      <c r="B13" s="104">
        <v>0</v>
      </c>
      <c r="C13" s="105">
        <f t="shared" si="1"/>
        <v>0</v>
      </c>
      <c r="D13" s="110"/>
    </row>
    <row r="14" spans="1:9" x14ac:dyDescent="0.25">
      <c r="A14" s="98"/>
      <c r="B14" s="104"/>
      <c r="C14" s="111"/>
      <c r="D14" s="110"/>
    </row>
    <row r="15" spans="1:9" x14ac:dyDescent="0.25">
      <c r="A15" s="98"/>
      <c r="B15" s="104"/>
      <c r="C15" s="111"/>
      <c r="D15" s="110"/>
    </row>
    <row r="16" spans="1:9" x14ac:dyDescent="0.25">
      <c r="A16" s="98" t="str">
        <f>[1]Balancete!B22</f>
        <v>3.1.1</v>
      </c>
      <c r="B16" s="102" t="str">
        <f>[1]Balancete!C22</f>
        <v>Contas a Pagar</v>
      </c>
      <c r="C16" s="105">
        <f>H16</f>
        <v>0</v>
      </c>
      <c r="D16" s="112" t="s">
        <v>26</v>
      </c>
      <c r="E16" s="151" t="s">
        <v>181</v>
      </c>
      <c r="F16">
        <f>VLOOKUP(A16,'[1]Balanço Patrimonial'!E:H,4,0)</f>
        <v>0</v>
      </c>
      <c r="G16">
        <f>VLOOKUP(A16,'[1]Balanço Patrimonial'!E:H,3,0)</f>
        <v>0</v>
      </c>
      <c r="H16">
        <f>G16-F16</f>
        <v>0</v>
      </c>
    </row>
    <row r="17" spans="1:8" x14ac:dyDescent="0.25">
      <c r="A17" s="98" t="str">
        <f>[1]Balancete!B23</f>
        <v>3.2.1</v>
      </c>
      <c r="B17" s="102" t="str">
        <f>[1]Balancete!C23</f>
        <v>Fornecedores</v>
      </c>
      <c r="C17" s="105">
        <f t="shared" ref="C17:C20" si="2">H17</f>
        <v>0</v>
      </c>
      <c r="D17" s="112" t="s">
        <v>26</v>
      </c>
      <c r="E17" s="151"/>
      <c r="F17">
        <f>VLOOKUP(A17,'[1]Balanço Patrimonial'!E:H,4,0)</f>
        <v>0</v>
      </c>
      <c r="G17">
        <f>VLOOKUP(A17,'[1]Balanço Patrimonial'!E:H,3,0)</f>
        <v>0</v>
      </c>
      <c r="H17">
        <f t="shared" ref="H17:H22" si="3">G17-F17</f>
        <v>0</v>
      </c>
    </row>
    <row r="18" spans="1:8" x14ac:dyDescent="0.25">
      <c r="A18" s="98" t="str">
        <f>[1]Balancete!B27</f>
        <v>3.6.1</v>
      </c>
      <c r="B18" s="102" t="str">
        <f>[1]Balancete!C27</f>
        <v>Receitas Antecipadas</v>
      </c>
      <c r="C18" s="105">
        <f t="shared" si="2"/>
        <v>0</v>
      </c>
      <c r="D18" s="112" t="s">
        <v>26</v>
      </c>
      <c r="E18" s="151"/>
      <c r="F18">
        <f>VLOOKUP(A18,'[1]Balanço Patrimonial'!E:H,4,0)</f>
        <v>0</v>
      </c>
      <c r="G18">
        <f>VLOOKUP(A18,'[1]Balanço Patrimonial'!E:H,3,0)</f>
        <v>0</v>
      </c>
      <c r="H18">
        <f t="shared" si="3"/>
        <v>0</v>
      </c>
    </row>
    <row r="19" spans="1:8" x14ac:dyDescent="0.25">
      <c r="A19" s="98" t="str">
        <f>[1]Balancete!B29</f>
        <v>4.1.1</v>
      </c>
      <c r="B19" s="102" t="str">
        <f>[1]Balancete!C29</f>
        <v>Contas a Pagar a Longo Prazo</v>
      </c>
      <c r="C19" s="105">
        <f t="shared" si="2"/>
        <v>0</v>
      </c>
      <c r="D19" s="112" t="s">
        <v>26</v>
      </c>
      <c r="E19" s="151"/>
      <c r="F19">
        <f>VLOOKUP(A19,'[1]Balanço Patrimonial'!E:H,4,0)</f>
        <v>0</v>
      </c>
      <c r="G19">
        <f>VLOOKUP(A19,'[1]Balanço Patrimonial'!E:H,3,0)</f>
        <v>0</v>
      </c>
      <c r="H19">
        <f t="shared" si="3"/>
        <v>0</v>
      </c>
    </row>
    <row r="20" spans="1:8" x14ac:dyDescent="0.25">
      <c r="A20" s="98" t="str">
        <f>[1]Balancete!B30</f>
        <v>4.2.1</v>
      </c>
      <c r="B20" s="109" t="str">
        <f>[1]Balancete!C30</f>
        <v>Fornecedores a Pagar a Longo Prazo</v>
      </c>
      <c r="C20" s="105">
        <f t="shared" si="2"/>
        <v>0</v>
      </c>
      <c r="D20" s="112" t="s">
        <v>26</v>
      </c>
      <c r="E20" s="151"/>
      <c r="F20">
        <f>VLOOKUP(A20,'[1]Balanço Patrimonial'!E:H,4,0)</f>
        <v>0</v>
      </c>
      <c r="G20">
        <f>VLOOKUP(A20,'[1]Balanço Patrimonial'!E:H,3,0)</f>
        <v>0</v>
      </c>
      <c r="H20">
        <f t="shared" si="3"/>
        <v>0</v>
      </c>
    </row>
    <row r="21" spans="1:8" x14ac:dyDescent="0.25">
      <c r="A21" s="98"/>
      <c r="B21" s="102"/>
      <c r="C21" s="105"/>
      <c r="D21" s="112" t="s">
        <v>182</v>
      </c>
      <c r="E21" s="151"/>
      <c r="F21" t="e">
        <f>VLOOKUP(A21,'[1]Balanço Patrimonial'!E:H,4,0)</f>
        <v>#N/A</v>
      </c>
      <c r="G21" t="e">
        <f>VLOOKUP(A21,'[1]Balanço Patrimonial'!E:H,3,0)</f>
        <v>#N/A</v>
      </c>
      <c r="H21" t="e">
        <f t="shared" si="3"/>
        <v>#N/A</v>
      </c>
    </row>
    <row r="22" spans="1:8" x14ac:dyDescent="0.25">
      <c r="A22" s="98"/>
      <c r="B22" s="102"/>
      <c r="C22" s="105"/>
      <c r="D22" s="112" t="s">
        <v>182</v>
      </c>
      <c r="E22" s="151"/>
      <c r="F22" t="e">
        <f>VLOOKUP(A22,'[1]Balanço Patrimonial'!E:H,4,0)</f>
        <v>#N/A</v>
      </c>
      <c r="G22" t="e">
        <f>VLOOKUP(A22,'[1]Balanço Patrimonial'!E:H,3,0)</f>
        <v>#N/A</v>
      </c>
      <c r="H22" t="e">
        <f t="shared" si="3"/>
        <v>#N/A</v>
      </c>
    </row>
    <row r="23" spans="1:8" x14ac:dyDescent="0.25">
      <c r="A23" s="98"/>
      <c r="B23" s="102"/>
      <c r="C23" s="105"/>
    </row>
    <row r="24" spans="1:8" x14ac:dyDescent="0.25">
      <c r="A24" s="98"/>
      <c r="B24" s="100" t="s">
        <v>183</v>
      </c>
      <c r="C24" s="105">
        <v>0</v>
      </c>
    </row>
    <row r="25" spans="1:8" x14ac:dyDescent="0.25">
      <c r="A25" s="98"/>
      <c r="B25" s="102"/>
      <c r="C25" s="105"/>
    </row>
    <row r="26" spans="1:8" x14ac:dyDescent="0.25">
      <c r="A26" s="98"/>
      <c r="B26" s="145" t="s">
        <v>184</v>
      </c>
      <c r="C26" s="146"/>
      <c r="D26" s="113"/>
      <c r="E26" s="113"/>
      <c r="F26" s="113"/>
      <c r="G26" s="113"/>
      <c r="H26" s="113"/>
    </row>
    <row r="27" spans="1:8" x14ac:dyDescent="0.25">
      <c r="A27" s="98" t="str">
        <f>[1]Balancete!B12</f>
        <v>2.2.1</v>
      </c>
      <c r="B27" s="102" t="str">
        <f>[1]Balancete!C12</f>
        <v>Terrenos - Investimento</v>
      </c>
      <c r="C27" s="105">
        <f>H27</f>
        <v>0</v>
      </c>
      <c r="D27" s="113" t="s">
        <v>185</v>
      </c>
      <c r="E27" s="144" t="s">
        <v>186</v>
      </c>
      <c r="F27">
        <f>VLOOKUP(A27,'[1]Balanço Patrimonial'!A:D,4,0)</f>
        <v>0</v>
      </c>
      <c r="G27">
        <f>VLOOKUP([1]DFC!A27,'[1]Balanço Patrimonial'!A:C,3,0)</f>
        <v>0</v>
      </c>
      <c r="H27" s="107">
        <f>F27-G27</f>
        <v>0</v>
      </c>
    </row>
    <row r="28" spans="1:8" x14ac:dyDescent="0.25">
      <c r="A28" s="98" t="str">
        <f>[1]Balancete!B13</f>
        <v>2.2.2</v>
      </c>
      <c r="B28" s="102" t="str">
        <f>[1]Balancete!C13</f>
        <v>Obra de Arte</v>
      </c>
      <c r="C28" s="105" t="e">
        <f t="shared" ref="C28:C32" si="4">H28</f>
        <v>#VALUE!</v>
      </c>
      <c r="D28" s="113" t="s">
        <v>185</v>
      </c>
      <c r="E28" s="144"/>
      <c r="F28">
        <f>VLOOKUP(A28,'[1]Balanço Patrimonial'!A:D,4,0)</f>
        <v>0</v>
      </c>
      <c r="G28" t="str">
        <f>VLOOKUP([1]DFC!A28,'[1]Balanço Patrimonial'!A:C,3,0)</f>
        <v/>
      </c>
      <c r="H28" s="107" t="e">
        <f t="shared" ref="H28:H32" si="5">F28-G28</f>
        <v>#VALUE!</v>
      </c>
    </row>
    <row r="29" spans="1:8" x14ac:dyDescent="0.25">
      <c r="A29" s="98" t="str">
        <f>[1]Balancete!B17</f>
        <v>2.3.3</v>
      </c>
      <c r="B29" s="102" t="str">
        <f>[1]Balancete!C17</f>
        <v>Veículos</v>
      </c>
      <c r="C29" s="105" t="e">
        <f t="shared" si="4"/>
        <v>#VALUE!</v>
      </c>
      <c r="D29" s="113" t="s">
        <v>185</v>
      </c>
      <c r="E29" s="144"/>
      <c r="F29">
        <f>VLOOKUP(A29,'[1]Balanço Patrimonial'!A:D,4,0)</f>
        <v>0</v>
      </c>
      <c r="G29" t="str">
        <f>VLOOKUP([1]DFC!A29,'[1]Balanço Patrimonial'!A:C,3,0)</f>
        <v/>
      </c>
      <c r="H29" s="107" t="e">
        <f t="shared" si="5"/>
        <v>#VALUE!</v>
      </c>
    </row>
    <row r="30" spans="1:8" x14ac:dyDescent="0.25">
      <c r="A30" s="98" t="str">
        <f>[1]Balancete!B15</f>
        <v>2.3.1</v>
      </c>
      <c r="B30" s="102" t="str">
        <f>[1]Balancete!C15</f>
        <v>Máquinas e Equipamentos</v>
      </c>
      <c r="C30" s="105">
        <f t="shared" si="4"/>
        <v>0</v>
      </c>
      <c r="D30" s="113" t="s">
        <v>185</v>
      </c>
      <c r="E30" s="144"/>
      <c r="F30">
        <f>VLOOKUP(A30,'[1]Balanço Patrimonial'!A:D,4,0)</f>
        <v>0</v>
      </c>
      <c r="G30">
        <f>VLOOKUP([1]DFC!A30,'[1]Balanço Patrimonial'!A:C,3,0)</f>
        <v>0</v>
      </c>
      <c r="H30" s="107">
        <f t="shared" si="5"/>
        <v>0</v>
      </c>
    </row>
    <row r="31" spans="1:8" x14ac:dyDescent="0.25">
      <c r="A31" s="98" t="str">
        <f>[1]Balancete!B20</f>
        <v>2.4.1</v>
      </c>
      <c r="B31" s="102" t="str">
        <f>[1]Balancete!C20</f>
        <v>Marcas e Patentes</v>
      </c>
      <c r="C31" s="105">
        <f t="shared" si="4"/>
        <v>0</v>
      </c>
      <c r="D31" s="113" t="s">
        <v>185</v>
      </c>
      <c r="E31" s="144"/>
      <c r="F31">
        <f>VLOOKUP(A31,'[1]Balanço Patrimonial'!A:D,4,0)</f>
        <v>0</v>
      </c>
      <c r="G31">
        <f>VLOOKUP([1]DFC!A31,'[1]Balanço Patrimonial'!A:C,3,0)</f>
        <v>0</v>
      </c>
      <c r="H31" s="107">
        <f t="shared" si="5"/>
        <v>0</v>
      </c>
    </row>
    <row r="32" spans="1:8" x14ac:dyDescent="0.25">
      <c r="A32" s="98" t="str">
        <f>[1]Balancete!B21</f>
        <v>2.4.2</v>
      </c>
      <c r="B32" s="102" t="str">
        <f>[1]Balancete!C21</f>
        <v>Software</v>
      </c>
      <c r="C32" s="105" t="e">
        <f t="shared" si="4"/>
        <v>#VALUE!</v>
      </c>
      <c r="D32" s="113" t="s">
        <v>185</v>
      </c>
      <c r="E32" s="144"/>
      <c r="F32">
        <f>VLOOKUP(A32,'[1]Balanço Patrimonial'!A:D,4,0)</f>
        <v>0</v>
      </c>
      <c r="G32" t="str">
        <f>VLOOKUP([1]DFC!A32,'[1]Balanço Patrimonial'!A:C,3,0)</f>
        <v/>
      </c>
      <c r="H32" s="107" t="e">
        <f t="shared" si="5"/>
        <v>#VALUE!</v>
      </c>
    </row>
    <row r="33" spans="1:8" x14ac:dyDescent="0.25">
      <c r="A33" s="98"/>
      <c r="B33" s="102"/>
      <c r="C33" s="105"/>
    </row>
    <row r="34" spans="1:8" x14ac:dyDescent="0.25">
      <c r="A34" s="98"/>
      <c r="B34" s="100" t="s">
        <v>187</v>
      </c>
      <c r="C34" s="105">
        <v>0</v>
      </c>
    </row>
    <row r="35" spans="1:8" x14ac:dyDescent="0.25">
      <c r="A35" s="98"/>
      <c r="C35" s="97"/>
    </row>
    <row r="36" spans="1:8" x14ac:dyDescent="0.25">
      <c r="A36" s="114"/>
      <c r="B36" s="115"/>
      <c r="C36" s="116"/>
    </row>
    <row r="37" spans="1:8" x14ac:dyDescent="0.25">
      <c r="A37" s="98"/>
      <c r="B37" s="145" t="s">
        <v>188</v>
      </c>
      <c r="C37" s="146"/>
      <c r="F37" t="e">
        <f>VLOOKUP(B37,'[1]Balanço Patrimonial'!E:H,4,0)</f>
        <v>#N/A</v>
      </c>
    </row>
    <row r="38" spans="1:8" x14ac:dyDescent="0.25">
      <c r="A38" s="98" t="str">
        <f>[1]Balancete!B24</f>
        <v>3.3.1</v>
      </c>
      <c r="B38" s="102" t="str">
        <f>[1]Balancete!C24</f>
        <v>Empréstimo a Pagar</v>
      </c>
      <c r="C38" s="105">
        <f>[1]Balancete!I32</f>
        <v>0</v>
      </c>
      <c r="F38">
        <f>VLOOKUP(A38,'[1]Balanço Patrimonial'!E:H,4,0)</f>
        <v>0</v>
      </c>
      <c r="G38">
        <f>VLOOKUP(A38,'[1]Balanço Patrimonial'!E:H,3,0)</f>
        <v>12.840000000000002</v>
      </c>
      <c r="H38">
        <f t="shared" ref="H38:H41" si="6">G38-F38</f>
        <v>12.840000000000002</v>
      </c>
    </row>
    <row r="39" spans="1:8" x14ac:dyDescent="0.25">
      <c r="A39" s="98" t="str">
        <f>[1]Balancete!B31</f>
        <v>4.3.1</v>
      </c>
      <c r="B39" s="102" t="str">
        <f>[1]Balancete!C31</f>
        <v>Empréstimo a logo prazo</v>
      </c>
      <c r="C39" s="105">
        <f>[1]Balancete!I33</f>
        <v>0</v>
      </c>
      <c r="F39">
        <f>VLOOKUP(A39,'[1]Balanço Patrimonial'!E:H,4,0)</f>
        <v>0</v>
      </c>
      <c r="G39">
        <f>VLOOKUP(A39,'[1]Balanço Patrimonial'!E:H,3,0)</f>
        <v>0</v>
      </c>
      <c r="H39">
        <f t="shared" si="6"/>
        <v>0</v>
      </c>
    </row>
    <row r="40" spans="1:8" x14ac:dyDescent="0.25">
      <c r="A40" s="98" t="str">
        <f>[1]Balancete!B32</f>
        <v>5.1.1</v>
      </c>
      <c r="B40" s="102" t="str">
        <f>[1]Balancete!C32</f>
        <v>Capital Social</v>
      </c>
      <c r="C40" s="105">
        <f>[1]Balancete!I34</f>
        <v>0</v>
      </c>
      <c r="F40">
        <f>VLOOKUP(A40,'[1]Balanço Patrimonial'!E:H,4,0)</f>
        <v>0</v>
      </c>
      <c r="G40">
        <f>VLOOKUP(A40,'[1]Balanço Patrimonial'!E:H,3,0)</f>
        <v>0</v>
      </c>
      <c r="H40">
        <f t="shared" si="6"/>
        <v>0</v>
      </c>
    </row>
    <row r="41" spans="1:8" x14ac:dyDescent="0.25">
      <c r="A41" s="98" t="str">
        <f>[1]Balancete!B28</f>
        <v>3.7.1</v>
      </c>
      <c r="B41" s="102" t="str">
        <f>[1]Balancete!C28</f>
        <v>Dividendos a Pagar</v>
      </c>
      <c r="C41" s="105">
        <f>[1]Balancete!I35</f>
        <v>0</v>
      </c>
      <c r="F41">
        <f>VLOOKUP(A41,'[1]Balanço Patrimonial'!E:H,4,0)</f>
        <v>0</v>
      </c>
      <c r="G41">
        <f>VLOOKUP(A41,'[1]Balanço Patrimonial'!E:H,3,0)</f>
        <v>0</v>
      </c>
      <c r="H41">
        <f t="shared" si="6"/>
        <v>0</v>
      </c>
    </row>
    <row r="42" spans="1:8" x14ac:dyDescent="0.25">
      <c r="A42" s="98"/>
      <c r="B42" s="100" t="s">
        <v>187</v>
      </c>
      <c r="C42" s="105">
        <v>0</v>
      </c>
    </row>
    <row r="43" spans="1:8" x14ac:dyDescent="0.25">
      <c r="A43" s="98"/>
      <c r="C43" s="97"/>
    </row>
    <row r="44" spans="1:8" x14ac:dyDescent="0.25">
      <c r="A44" s="98"/>
      <c r="B44" s="147" t="s">
        <v>189</v>
      </c>
      <c r="C44" s="148"/>
    </row>
    <row r="45" spans="1:8" x14ac:dyDescent="0.25">
      <c r="A45" s="117"/>
      <c r="B45" s="116" t="s">
        <v>183</v>
      </c>
      <c r="C45" s="105"/>
    </row>
    <row r="46" spans="1:8" x14ac:dyDescent="0.25">
      <c r="A46" s="117"/>
      <c r="B46" s="116" t="s">
        <v>187</v>
      </c>
      <c r="C46" s="105"/>
    </row>
    <row r="47" spans="1:8" x14ac:dyDescent="0.25">
      <c r="A47" s="117"/>
      <c r="B47" s="116" t="s">
        <v>190</v>
      </c>
      <c r="C47" s="105"/>
    </row>
    <row r="48" spans="1:8" x14ac:dyDescent="0.25">
      <c r="A48" s="98"/>
      <c r="B48" s="100" t="s">
        <v>191</v>
      </c>
      <c r="C48" s="105"/>
    </row>
    <row r="49" spans="1:3" x14ac:dyDescent="0.25">
      <c r="A49" s="96"/>
      <c r="C49" s="97"/>
    </row>
    <row r="50" spans="1:3" x14ac:dyDescent="0.25">
      <c r="A50" s="96"/>
      <c r="C50" s="97"/>
    </row>
    <row r="51" spans="1:3" x14ac:dyDescent="0.25">
      <c r="A51" s="96"/>
      <c r="C51" s="97"/>
    </row>
    <row r="52" spans="1:3" x14ac:dyDescent="0.25">
      <c r="A52" s="96"/>
      <c r="C52" s="97"/>
    </row>
    <row r="53" spans="1:3" x14ac:dyDescent="0.25">
      <c r="A53" s="96"/>
      <c r="C53" s="97"/>
    </row>
    <row r="54" spans="1:3" x14ac:dyDescent="0.25">
      <c r="A54" s="96"/>
      <c r="C54" s="97"/>
    </row>
    <row r="55" spans="1:3" x14ac:dyDescent="0.25">
      <c r="A55" s="96"/>
      <c r="C55" s="97"/>
    </row>
    <row r="56" spans="1:3" x14ac:dyDescent="0.25">
      <c r="A56" s="96"/>
      <c r="C56" s="97"/>
    </row>
  </sheetData>
  <mergeCells count="9">
    <mergeCell ref="E27:E32"/>
    <mergeCell ref="B37:C37"/>
    <mergeCell ref="B44:C44"/>
    <mergeCell ref="B2:C2"/>
    <mergeCell ref="F2:I2"/>
    <mergeCell ref="D3:D6"/>
    <mergeCell ref="E8:E12"/>
    <mergeCell ref="E16:E22"/>
    <mergeCell ref="B26:C2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B1:Z57"/>
  <sheetViews>
    <sheetView zoomScale="70" zoomScaleNormal="70" workbookViewId="0">
      <selection activeCell="I6" sqref="I6"/>
    </sheetView>
  </sheetViews>
  <sheetFormatPr defaultRowHeight="15" x14ac:dyDescent="0.25"/>
  <cols>
    <col min="1" max="1" width="2.28515625" customWidth="1"/>
    <col min="2" max="2" width="3.7109375" customWidth="1"/>
    <col min="3" max="3" width="17.7109375" customWidth="1"/>
    <col min="4" max="4" width="9.85546875" bestFit="1" customWidth="1"/>
    <col min="5" max="5" width="13.7109375" bestFit="1" customWidth="1"/>
    <col min="6" max="6" width="18.7109375" customWidth="1"/>
    <col min="7" max="7" width="10.28515625" bestFit="1" customWidth="1"/>
    <col min="8" max="8" width="13.7109375" bestFit="1" customWidth="1"/>
    <col min="9" max="9" width="18" customWidth="1"/>
    <col min="10" max="10" width="9.85546875" bestFit="1" customWidth="1"/>
    <col min="11" max="11" width="13.7109375" bestFit="1" customWidth="1"/>
    <col min="12" max="12" width="18.28515625" customWidth="1"/>
    <col min="13" max="13" width="3.28515625" customWidth="1"/>
    <col min="16" max="16" width="11.140625" bestFit="1" customWidth="1"/>
    <col min="17" max="17" width="12.28515625" bestFit="1" customWidth="1"/>
    <col min="18" max="18" width="13.5703125" bestFit="1" customWidth="1"/>
    <col min="19" max="20" width="3.28515625" customWidth="1"/>
    <col min="21" max="21" width="44.85546875" bestFit="1" customWidth="1"/>
    <col min="22" max="22" width="9.7109375" bestFit="1" customWidth="1"/>
    <col min="23" max="23" width="10.42578125" bestFit="1" customWidth="1"/>
    <col min="24" max="24" width="9.7109375" bestFit="1" customWidth="1"/>
    <col min="25" max="26" width="14.140625" bestFit="1" customWidth="1"/>
  </cols>
  <sheetData>
    <row r="1" spans="2:26" ht="15.75" thickBot="1" x14ac:dyDescent="0.3">
      <c r="C1" s="6" t="s">
        <v>144</v>
      </c>
      <c r="P1" t="s">
        <v>145</v>
      </c>
      <c r="Q1" t="s">
        <v>146</v>
      </c>
      <c r="R1" t="s">
        <v>147</v>
      </c>
      <c r="U1" s="50">
        <v>0.18</v>
      </c>
      <c r="V1" t="s">
        <v>147</v>
      </c>
      <c r="W1" s="50" t="s">
        <v>148</v>
      </c>
      <c r="X1" t="s">
        <v>149</v>
      </c>
      <c r="Y1" t="s">
        <v>150</v>
      </c>
      <c r="Z1" t="s">
        <v>151</v>
      </c>
    </row>
    <row r="2" spans="2:26" ht="15.75" thickBot="1" x14ac:dyDescent="0.3">
      <c r="C2" s="18" t="s">
        <v>52</v>
      </c>
      <c r="D2" s="19" t="s">
        <v>152</v>
      </c>
      <c r="E2" s="19" t="s">
        <v>153</v>
      </c>
      <c r="F2" s="19" t="s">
        <v>154</v>
      </c>
      <c r="G2" s="20" t="s">
        <v>152</v>
      </c>
      <c r="H2" s="20" t="s">
        <v>153</v>
      </c>
      <c r="I2" s="20" t="s">
        <v>154</v>
      </c>
      <c r="J2" s="18" t="s">
        <v>152</v>
      </c>
      <c r="K2" s="18" t="s">
        <v>153</v>
      </c>
      <c r="L2" s="18" t="s">
        <v>154</v>
      </c>
      <c r="N2">
        <v>1</v>
      </c>
      <c r="O2" t="s">
        <v>149</v>
      </c>
      <c r="P2">
        <v>100</v>
      </c>
      <c r="Q2" s="5">
        <v>550</v>
      </c>
      <c r="R2" s="5">
        <f>P2*Q2</f>
        <v>55000</v>
      </c>
      <c r="U2" t="str">
        <f>O2&amp;" de "&amp;P2&amp;" unidades pelo valor de "&amp;IF(O2="Compra",X2,Z2)&amp;" cada."</f>
        <v>Compra de 100 unidades pelo valor de 670,73 cada.</v>
      </c>
      <c r="V2" s="5">
        <f>Q2</f>
        <v>550</v>
      </c>
      <c r="W2" s="5">
        <f>X2*$U$1</f>
        <v>120.73139999999999</v>
      </c>
      <c r="X2" s="5">
        <f>ROUND(V2/(1-$U$1),2)</f>
        <v>670.73</v>
      </c>
      <c r="Y2" s="5">
        <f>Q2*18%</f>
        <v>99</v>
      </c>
      <c r="Z2" s="5">
        <f>Q2</f>
        <v>550</v>
      </c>
    </row>
    <row r="3" spans="2:26" ht="19.5" thickBot="1" x14ac:dyDescent="0.35">
      <c r="C3" s="21" t="s">
        <v>155</v>
      </c>
      <c r="D3" s="22"/>
      <c r="E3" s="23"/>
      <c r="F3" s="23"/>
      <c r="G3" s="22"/>
      <c r="H3" s="23"/>
      <c r="I3" s="23"/>
      <c r="J3" s="22">
        <v>100</v>
      </c>
      <c r="K3" s="23">
        <f>L3/J3</f>
        <v>0</v>
      </c>
      <c r="L3" s="24">
        <f>'Balanço Patrimonial'!D8</f>
        <v>0</v>
      </c>
      <c r="N3">
        <v>2</v>
      </c>
      <c r="O3" t="s">
        <v>151</v>
      </c>
      <c r="P3">
        <v>105</v>
      </c>
      <c r="Q3" s="5">
        <v>800</v>
      </c>
      <c r="R3" s="5">
        <f t="shared" ref="R3:R6" si="0">P3*Q3</f>
        <v>84000</v>
      </c>
      <c r="U3" t="str">
        <f t="shared" ref="U3:U6" si="1">O3&amp;" de "&amp;P3&amp;" unidades pelo valor de "&amp;IF(O3="Compra",X3,Z3)&amp;" cada."</f>
        <v>Venda de 105 unidades pelo valor de 800 cada.</v>
      </c>
      <c r="V3" s="5">
        <f>Q3</f>
        <v>800</v>
      </c>
      <c r="W3" s="5">
        <f t="shared" ref="W3:W6" si="2">X3*$U$1</f>
        <v>175.60980000000001</v>
      </c>
      <c r="X3" s="5">
        <f t="shared" ref="X3:X6" si="3">ROUND(V3/(1-$U$1),2)</f>
        <v>975.61</v>
      </c>
      <c r="Y3" s="5">
        <f t="shared" ref="Y3:Y6" si="4">Q3*18%</f>
        <v>144</v>
      </c>
      <c r="Z3" s="5">
        <f t="shared" ref="Z3:Z6" si="5">Q3</f>
        <v>800</v>
      </c>
    </row>
    <row r="4" spans="2:26" ht="18.75" x14ac:dyDescent="0.3">
      <c r="B4" t="s">
        <v>156</v>
      </c>
      <c r="C4" s="25">
        <v>43607</v>
      </c>
      <c r="D4" s="41">
        <f>IF(O2="Compra",P2,"")</f>
        <v>100</v>
      </c>
      <c r="E4" s="41">
        <f>IF(O2="Compra",Q2,"")</f>
        <v>550</v>
      </c>
      <c r="F4" s="41">
        <f>IF(O2="Compra",R2,"")</f>
        <v>55000</v>
      </c>
      <c r="G4" s="41">
        <f>IF(O2="Venda",P2,)</f>
        <v>0</v>
      </c>
      <c r="H4" s="41">
        <f>IF(O2="Venda",Q2,0)</f>
        <v>0</v>
      </c>
      <c r="I4" s="41">
        <f>IF(O2="Venda",R2,0)</f>
        <v>0</v>
      </c>
      <c r="J4" s="41">
        <f>IF(D4&gt;"",J3,J3-G4)</f>
        <v>100</v>
      </c>
      <c r="K4" s="41">
        <f>IF(J4=0,"",K3)</f>
        <v>0</v>
      </c>
      <c r="L4" s="41">
        <f>IFERROR(J4*K4,"")</f>
        <v>0</v>
      </c>
      <c r="N4">
        <v>3</v>
      </c>
      <c r="O4" t="s">
        <v>149</v>
      </c>
      <c r="P4">
        <v>60</v>
      </c>
      <c r="Q4" s="5">
        <v>560</v>
      </c>
      <c r="R4" s="5">
        <f t="shared" si="0"/>
        <v>33600</v>
      </c>
      <c r="U4" t="str">
        <f t="shared" si="1"/>
        <v>Compra de 60 unidades pelo valor de 682,93 cada.</v>
      </c>
      <c r="V4" s="5">
        <f>Q4</f>
        <v>560</v>
      </c>
      <c r="W4" s="5">
        <f t="shared" si="2"/>
        <v>122.92739999999999</v>
      </c>
      <c r="X4" s="5">
        <f t="shared" si="3"/>
        <v>682.93</v>
      </c>
      <c r="Y4" s="5">
        <f t="shared" si="4"/>
        <v>100.8</v>
      </c>
      <c r="Z4" s="5">
        <f t="shared" si="5"/>
        <v>560</v>
      </c>
    </row>
    <row r="5" spans="2:26" ht="18.75" x14ac:dyDescent="0.3">
      <c r="B5" t="s">
        <v>156</v>
      </c>
      <c r="C5" s="36"/>
      <c r="D5" s="42"/>
      <c r="E5" s="42"/>
      <c r="F5" s="42"/>
      <c r="G5" s="42"/>
      <c r="H5" s="42"/>
      <c r="I5" s="42"/>
      <c r="J5" s="42">
        <f>IF(D4&gt;0,D4,"")</f>
        <v>100</v>
      </c>
      <c r="K5" s="42">
        <f>IF(E4&gt;0,E4,"")</f>
        <v>550</v>
      </c>
      <c r="L5" s="42">
        <f>IF(F4&gt;0,F4,"")</f>
        <v>55000</v>
      </c>
      <c r="N5">
        <v>4</v>
      </c>
      <c r="O5" t="s">
        <v>151</v>
      </c>
      <c r="P5">
        <v>100</v>
      </c>
      <c r="Q5" s="5">
        <v>800</v>
      </c>
      <c r="R5" s="5">
        <f t="shared" si="0"/>
        <v>80000</v>
      </c>
      <c r="U5" t="str">
        <f t="shared" si="1"/>
        <v>Venda de 100 unidades pelo valor de 800 cada.</v>
      </c>
      <c r="V5" s="5">
        <f>Q5</f>
        <v>800</v>
      </c>
      <c r="W5" s="5">
        <f t="shared" si="2"/>
        <v>175.60980000000001</v>
      </c>
      <c r="X5" s="5">
        <f t="shared" si="3"/>
        <v>975.61</v>
      </c>
      <c r="Y5" s="5">
        <f t="shared" si="4"/>
        <v>144</v>
      </c>
      <c r="Z5" s="5">
        <f t="shared" si="5"/>
        <v>800</v>
      </c>
    </row>
    <row r="6" spans="2:26" ht="19.5" thickBot="1" x14ac:dyDescent="0.35">
      <c r="B6" t="s">
        <v>156</v>
      </c>
      <c r="C6" s="29"/>
      <c r="D6" s="43"/>
      <c r="E6" s="43"/>
      <c r="F6" s="43"/>
      <c r="G6" s="43"/>
      <c r="H6" s="43"/>
      <c r="I6" s="43"/>
      <c r="J6" s="43"/>
      <c r="K6" s="43"/>
      <c r="L6" s="43"/>
      <c r="N6">
        <v>5</v>
      </c>
      <c r="O6" t="s">
        <v>151</v>
      </c>
      <c r="P6">
        <v>50</v>
      </c>
      <c r="Q6" s="5">
        <v>570</v>
      </c>
      <c r="R6" s="5">
        <f t="shared" si="0"/>
        <v>28500</v>
      </c>
      <c r="U6" t="str">
        <f t="shared" si="1"/>
        <v>Venda de 50 unidades pelo valor de 570 cada.</v>
      </c>
      <c r="V6" s="5">
        <f>Q6</f>
        <v>570</v>
      </c>
      <c r="W6" s="5">
        <f t="shared" si="2"/>
        <v>125.1216</v>
      </c>
      <c r="X6" s="5">
        <f t="shared" si="3"/>
        <v>695.12</v>
      </c>
      <c r="Y6" s="5">
        <f t="shared" si="4"/>
        <v>102.6</v>
      </c>
      <c r="Z6" s="5">
        <f t="shared" si="5"/>
        <v>570</v>
      </c>
    </row>
    <row r="7" spans="2:26" ht="18.75" x14ac:dyDescent="0.3">
      <c r="B7" t="s">
        <v>157</v>
      </c>
      <c r="C7" s="30">
        <f>C4+1</f>
        <v>43608</v>
      </c>
      <c r="D7" s="41">
        <f>IF(O3="Compra",P3,0)</f>
        <v>0</v>
      </c>
      <c r="E7" s="41">
        <f>IF(O3="Compra",Q3,0)</f>
        <v>0</v>
      </c>
      <c r="F7" s="41">
        <f>IF(O3="Compra",R3,0)</f>
        <v>0</v>
      </c>
      <c r="G7" s="44">
        <f>IF(AND(O3="Venda",P3&gt;J4),J4,IF(D7&gt;0,0,J4-P3))</f>
        <v>100</v>
      </c>
      <c r="H7" s="44">
        <f>IF(O3="Venda",K4,0)</f>
        <v>0</v>
      </c>
      <c r="I7" s="44">
        <f>G7*H7</f>
        <v>0</v>
      </c>
      <c r="J7" s="44">
        <f>IF(D7&gt;0,IF(J4&gt;0,J4,D7),IF(J4-G7=0,IF(J5-G8=0,J6-G9,J5-G8),J4-G7))</f>
        <v>95</v>
      </c>
      <c r="K7" s="44">
        <f>IF(D7&gt;0,IF(K4&gt;0,K4,E7),IF(J4-G7=0,IF(J5-G8=0,K6,K5),K4))</f>
        <v>550</v>
      </c>
      <c r="L7" s="44">
        <f t="shared" ref="L7:L18" si="6">J7*K7</f>
        <v>52250</v>
      </c>
      <c r="Q7" s="5"/>
    </row>
    <row r="8" spans="2:26" ht="18.75" x14ac:dyDescent="0.3">
      <c r="B8" t="s">
        <v>157</v>
      </c>
      <c r="C8" s="34"/>
      <c r="D8" s="45"/>
      <c r="E8" s="45"/>
      <c r="F8" s="45"/>
      <c r="G8" s="45">
        <f>IF(AND(O3="Venda",P3-J4&gt;J5,J5&lt;&gt;"",P3-J4&gt;0),J5,IF(P3-J4&lt;0,0,P3-J4))</f>
        <v>5</v>
      </c>
      <c r="H8" s="45">
        <f>IF(G8&gt;0,K5,0)</f>
        <v>550</v>
      </c>
      <c r="I8" s="45">
        <f>IF(H8&gt;0,G8*H8,0)</f>
        <v>2750</v>
      </c>
      <c r="J8" s="45">
        <f>IF(D7&gt;0,IF(J5&gt;0,J5,D7),IF(G8=0,J5,IF(J5-G8-J7&gt;0,J5-G8,J6-G9)))</f>
        <v>0</v>
      </c>
      <c r="K8" s="45">
        <f>IF(D7&gt;0,IF(K5&gt;0,K5,E7),IF(J8=0,0,IF(J4+J5-G7-G8&gt;0,K5,K6)))</f>
        <v>0</v>
      </c>
      <c r="L8" s="45">
        <f t="shared" si="6"/>
        <v>0</v>
      </c>
      <c r="Q8" s="5"/>
    </row>
    <row r="9" spans="2:26" ht="19.5" thickBot="1" x14ac:dyDescent="0.35">
      <c r="B9" t="s">
        <v>157</v>
      </c>
      <c r="C9" s="35"/>
      <c r="D9" s="45"/>
      <c r="E9" s="45"/>
      <c r="F9" s="45"/>
      <c r="G9" s="45"/>
      <c r="H9" s="45"/>
      <c r="I9" s="45"/>
      <c r="J9" s="45">
        <f>IF(AND(D7&gt;0,J6&gt;0),IF(J6&gt;0,J6,D7),IF(G7+G8&lt;J4+J5,0,J6-G9))</f>
        <v>0</v>
      </c>
      <c r="K9" s="45">
        <f>IF(AND(D7&gt;0,J6&gt;0),IF(K6&gt;0,K6,E7),IF(J9=0,0,K6))</f>
        <v>0</v>
      </c>
      <c r="L9" s="45">
        <f t="shared" si="6"/>
        <v>0</v>
      </c>
      <c r="Q9" s="5"/>
    </row>
    <row r="10" spans="2:26" ht="18.75" x14ac:dyDescent="0.3">
      <c r="B10" t="s">
        <v>158</v>
      </c>
      <c r="C10" s="25">
        <f>C7+1</f>
        <v>43609</v>
      </c>
      <c r="D10" s="41">
        <f>IF(O4="Compra",P4,0)</f>
        <v>60</v>
      </c>
      <c r="E10" s="41">
        <f>IF(O4="Compra",Q4,0)</f>
        <v>560</v>
      </c>
      <c r="F10" s="41">
        <f>IF(O4="Compra",R4,0)</f>
        <v>33600</v>
      </c>
      <c r="G10" s="41">
        <f>IF(AND(O4="Venda",P4&gt;J7),J7,IF(D10&gt;0,0,J7-P4))</f>
        <v>0</v>
      </c>
      <c r="H10" s="41">
        <f>IF(O4="Venda",K7,0)</f>
        <v>0</v>
      </c>
      <c r="I10" s="41">
        <f>G10*H10</f>
        <v>0</v>
      </c>
      <c r="J10" s="41">
        <f>IF(D10&gt;0,IF(J7&gt;0,J7,D10),IF(J7-G10=0,IF(J8-G11=0,J9-G12,J8-G11),J7-G10))</f>
        <v>95</v>
      </c>
      <c r="K10" s="41">
        <f>IF(D10&gt;0,IF(K7&gt;0,K7,E10),IF(J7-G10=0,IF(J8-G11=0,K9,K8),K7))</f>
        <v>550</v>
      </c>
      <c r="L10" s="41">
        <f t="shared" si="6"/>
        <v>52250</v>
      </c>
      <c r="Q10" s="5"/>
    </row>
    <row r="11" spans="2:26" ht="18.75" x14ac:dyDescent="0.3">
      <c r="B11" t="s">
        <v>158</v>
      </c>
      <c r="C11" s="36"/>
      <c r="D11" s="46"/>
      <c r="E11" s="46"/>
      <c r="F11" s="46"/>
      <c r="G11" s="46">
        <f>IF(D10&gt;0,0,IF(AND(O4="Venda",P4-J7&gt;J8,J8&lt;&gt;"",P4-J7&gt;0),J8,IF(P4-J7&lt;0,0,P4-J7)))</f>
        <v>0</v>
      </c>
      <c r="H11" s="46">
        <f>IF(G11&gt;0,K8,0)</f>
        <v>0</v>
      </c>
      <c r="I11" s="46">
        <f>IF(H11&gt;0,G11*H11,0)</f>
        <v>0</v>
      </c>
      <c r="J11" s="46">
        <f>IF(D10&gt;0,IF(J8&gt;0,J8,D10),IF(G11=0,J8,IF(J8-G11-J10&gt;0,J8-G11,J9-G12)))</f>
        <v>60</v>
      </c>
      <c r="K11" s="46">
        <f>IF(D10&gt;0,IF(K8&gt;0,K8,E10),IF(J11=0,0,IF(J7+J8-G10-G11&gt;0,K8,K9)))</f>
        <v>560</v>
      </c>
      <c r="L11" s="46">
        <f t="shared" si="6"/>
        <v>33600</v>
      </c>
      <c r="Q11" s="5"/>
    </row>
    <row r="12" spans="2:26" ht="19.5" thickBot="1" x14ac:dyDescent="0.35">
      <c r="B12" t="s">
        <v>158</v>
      </c>
      <c r="C12" s="36"/>
      <c r="D12" s="46"/>
      <c r="E12" s="46"/>
      <c r="F12" s="46"/>
      <c r="G12" s="46"/>
      <c r="H12" s="46"/>
      <c r="I12" s="46"/>
      <c r="J12" s="46">
        <f>IF(AND(D10&gt;0,J9&gt;0),IF(J9&gt;0,J9,D10),IF(G10+G11&lt;J7+J8,0,J9-G12))</f>
        <v>0</v>
      </c>
      <c r="K12" s="46">
        <f>IF(AND(D10&gt;0,J9&gt;0),IF(K9&gt;0,K9,E10),IF(J12=0,0,K9))</f>
        <v>0</v>
      </c>
      <c r="L12" s="46">
        <f t="shared" si="6"/>
        <v>0</v>
      </c>
      <c r="Q12" s="5"/>
    </row>
    <row r="13" spans="2:26" ht="18.75" x14ac:dyDescent="0.3">
      <c r="B13" s="5" t="s">
        <v>159</v>
      </c>
      <c r="C13" s="30">
        <f>C10+1</f>
        <v>43610</v>
      </c>
      <c r="D13" s="41">
        <f>IF(O5="Compra",P5,0)</f>
        <v>0</v>
      </c>
      <c r="E13" s="41">
        <f>IF(O5="Compra",Q5,0)</f>
        <v>0</v>
      </c>
      <c r="F13" s="41">
        <f>IF(O5="Compra",R5,0)</f>
        <v>0</v>
      </c>
      <c r="G13" s="44">
        <f>IF(AND(O5="Venda",P5&gt;J10),J10,IF(D13&gt;0,0,J10-P5))</f>
        <v>95</v>
      </c>
      <c r="H13" s="44">
        <f>IF(O5="Venda",K10,0)</f>
        <v>550</v>
      </c>
      <c r="I13" s="44">
        <f>G13*H13</f>
        <v>52250</v>
      </c>
      <c r="J13" s="44">
        <f>IF(D13&gt;0,IF(J10&gt;0,J10,D13),IF(J10-G13=0,IF(J11-G14=0,J12-G15,J11-G14),J10-G13))</f>
        <v>55</v>
      </c>
      <c r="K13" s="44">
        <f>IF(D13&gt;0,IF(K10&gt;0,K10,E13),IF(J10-G13=0,IF(J11-G14=0,K12,K11),K10))</f>
        <v>560</v>
      </c>
      <c r="L13" s="44">
        <f t="shared" si="6"/>
        <v>30800</v>
      </c>
    </row>
    <row r="14" spans="2:26" ht="18.75" x14ac:dyDescent="0.3">
      <c r="B14" s="5" t="s">
        <v>159</v>
      </c>
      <c r="C14" s="34"/>
      <c r="D14" s="47"/>
      <c r="E14" s="47"/>
      <c r="F14" s="47"/>
      <c r="G14" s="47">
        <f>IF(D13&gt;0,0,IF(AND(O5="Venda",P5-J10&gt;J11,J11&lt;&gt;"",P5-J10&gt;0),J11,IF(P5-J10&lt;0,0,P5-J10)))</f>
        <v>5</v>
      </c>
      <c r="H14" s="47">
        <f>IF(G14&gt;0,K11,0)</f>
        <v>560</v>
      </c>
      <c r="I14" s="47">
        <f>IF(H14&gt;0,G14*H14,0)</f>
        <v>2800</v>
      </c>
      <c r="J14" s="47">
        <f>IF(D13&gt;0,IF(J11&gt;0,J11,D13),IF(G14=0,J11,IF(J11-G14-J13&gt;0,J11-G14,J12-G15)))</f>
        <v>0</v>
      </c>
      <c r="K14" s="47">
        <f>IF(D13&gt;0,IF(K11&gt;0,K11,E13),IF(J14=0,0,IF(J10+J11-G13-G14&gt;0,K11,K12)))</f>
        <v>0</v>
      </c>
      <c r="L14" s="47">
        <f t="shared" si="6"/>
        <v>0</v>
      </c>
    </row>
    <row r="15" spans="2:26" ht="19.5" thickBot="1" x14ac:dyDescent="0.35">
      <c r="B15" s="5" t="s">
        <v>159</v>
      </c>
      <c r="C15" s="34"/>
      <c r="D15" s="45"/>
      <c r="E15" s="45"/>
      <c r="F15" s="45"/>
      <c r="G15" s="45"/>
      <c r="H15" s="45"/>
      <c r="I15" s="45"/>
      <c r="J15" s="45">
        <f>IF(AND(D13&gt;0,J12&gt;0),IF(J12&gt;0,J12,D13),IF(G13+G14&lt;J10+J11,0,J12-G15))</f>
        <v>0</v>
      </c>
      <c r="K15" s="45">
        <f>IF(AND(D13&gt;0,J12&gt;0),IF(K12&gt;0,K12,E13),IF(J15=0,0,K12))</f>
        <v>0</v>
      </c>
      <c r="L15" s="45">
        <f t="shared" si="6"/>
        <v>0</v>
      </c>
    </row>
    <row r="16" spans="2:26" ht="18.75" x14ac:dyDescent="0.3">
      <c r="B16" t="s">
        <v>160</v>
      </c>
      <c r="C16" s="25">
        <f>C13+1</f>
        <v>43611</v>
      </c>
      <c r="D16" s="41">
        <f>IF(O6="Compra",P6,0)</f>
        <v>0</v>
      </c>
      <c r="E16" s="41">
        <f>IF(O6="Compra",Q6,0)</f>
        <v>0</v>
      </c>
      <c r="F16" s="41">
        <f>IF(O6="Compra",R6,0)</f>
        <v>0</v>
      </c>
      <c r="G16" s="41">
        <f>IF(AND(O6="Venda",P6&gt;J13),J13,IF(D16&gt;0,0,J13-P6))</f>
        <v>5</v>
      </c>
      <c r="H16" s="41">
        <f>IF(O6="Venda",K13,0)</f>
        <v>560</v>
      </c>
      <c r="I16" s="41">
        <f>G16*H16</f>
        <v>2800</v>
      </c>
      <c r="J16" s="41">
        <f>IF(D16&gt;0,IF(J13&gt;0,J13,D16),IF(J13-G16=0,IF(J14-G17=0,J15-G18,J14-G17),J13-G16))</f>
        <v>50</v>
      </c>
      <c r="K16" s="41">
        <f>IF(D16&gt;0,IF(K13&gt;0,K13,E16),IF(J13-G16=0,IF(J14-G17=0,K15,K14),K13))</f>
        <v>560</v>
      </c>
      <c r="L16" s="41">
        <f t="shared" si="6"/>
        <v>28000</v>
      </c>
    </row>
    <row r="17" spans="2:17" ht="18.75" x14ac:dyDescent="0.3">
      <c r="B17" t="s">
        <v>160</v>
      </c>
      <c r="C17" s="36"/>
      <c r="D17" s="42"/>
      <c r="E17" s="42"/>
      <c r="F17" s="42"/>
      <c r="G17" s="42">
        <f>IF(D16&gt;0,0,IF(AND(O6="Venda",P6-J13&gt;J14,J14&lt;&gt;"",P6-J13&gt;0),J14,IF(P6-J13&lt;0,0,P6-J13)))</f>
        <v>0</v>
      </c>
      <c r="H17" s="42">
        <f>IF(G17&gt;0,K14,0)</f>
        <v>0</v>
      </c>
      <c r="I17" s="42">
        <f>IF(H17&gt;0,G17*H17,0)</f>
        <v>0</v>
      </c>
      <c r="J17" s="42">
        <f>IF(D16&gt;0,IF(J14&gt;0,J14,D16),IF(G17=0,J14,IF(J14-G17-J16&gt;0,J14-G17,J15-G18)))</f>
        <v>0</v>
      </c>
      <c r="K17" s="42">
        <f>IF(D16&gt;0,IF(K14&gt;0,K14,E16),IF(J17=0,0,IF(J13+J14-G16-G17&gt;0,K14,K15)))</f>
        <v>0</v>
      </c>
      <c r="L17" s="42">
        <f t="shared" si="6"/>
        <v>0</v>
      </c>
    </row>
    <row r="18" spans="2:17" ht="18.75" x14ac:dyDescent="0.3">
      <c r="B18" t="s">
        <v>160</v>
      </c>
      <c r="C18" s="36"/>
      <c r="D18" s="46"/>
      <c r="E18" s="46"/>
      <c r="F18" s="46"/>
      <c r="G18" s="46"/>
      <c r="H18" s="46"/>
      <c r="I18" s="46"/>
      <c r="J18" s="46">
        <f>IF(AND(D16&gt;0,J15&gt;0),IF(J15&gt;0,J15,D16),IF(G16+G17&lt;J13+J14,0,J15-G18))</f>
        <v>0</v>
      </c>
      <c r="K18" s="46">
        <f>IF(AND(D16&gt;0,J15&gt;0),IF(K15&gt;0,K15,E16),IF(J18=0,0,K15))</f>
        <v>0</v>
      </c>
      <c r="L18" s="46">
        <f t="shared" si="6"/>
        <v>0</v>
      </c>
    </row>
    <row r="19" spans="2:17" ht="18.75" x14ac:dyDescent="0.3">
      <c r="C19" s="37" t="s">
        <v>161</v>
      </c>
      <c r="D19" s="37"/>
      <c r="E19" s="38"/>
      <c r="F19" s="38"/>
      <c r="G19" s="37"/>
      <c r="H19" s="38"/>
      <c r="I19" s="38">
        <f>SUM(I3:I18)</f>
        <v>60600</v>
      </c>
      <c r="J19" s="37"/>
      <c r="K19" s="37"/>
      <c r="L19" s="38">
        <f>L16+L18</f>
        <v>28000</v>
      </c>
    </row>
    <row r="20" spans="2:17" x14ac:dyDescent="0.25">
      <c r="E20" s="5"/>
      <c r="F20" s="5"/>
      <c r="H20" s="5"/>
      <c r="I20" s="5"/>
    </row>
    <row r="21" spans="2:17" x14ac:dyDescent="0.25">
      <c r="E21" s="5"/>
      <c r="F21" s="5"/>
      <c r="H21" s="5"/>
      <c r="I21" s="5"/>
    </row>
    <row r="22" spans="2:17" ht="15.75" thickBot="1" x14ac:dyDescent="0.3">
      <c r="C22" s="6" t="s">
        <v>162</v>
      </c>
      <c r="E22" s="5"/>
      <c r="F22" s="5"/>
      <c r="H22" s="5"/>
      <c r="I22" s="5"/>
    </row>
    <row r="23" spans="2:17" ht="15.75" thickBot="1" x14ac:dyDescent="0.3">
      <c r="C23" s="18" t="s">
        <v>52</v>
      </c>
      <c r="D23" s="19" t="s">
        <v>152</v>
      </c>
      <c r="E23" s="40" t="s">
        <v>153</v>
      </c>
      <c r="F23" s="40" t="s">
        <v>154</v>
      </c>
      <c r="G23" s="20" t="s">
        <v>152</v>
      </c>
      <c r="H23" s="39" t="s">
        <v>153</v>
      </c>
      <c r="I23" s="39" t="s">
        <v>154</v>
      </c>
      <c r="J23" s="18" t="s">
        <v>152</v>
      </c>
      <c r="K23" s="18" t="s">
        <v>153</v>
      </c>
      <c r="L23" s="18" t="s">
        <v>154</v>
      </c>
    </row>
    <row r="24" spans="2:17" ht="19.5" thickBot="1" x14ac:dyDescent="0.35">
      <c r="C24" s="21" t="str">
        <f>C3</f>
        <v>Inicial</v>
      </c>
      <c r="D24" s="22"/>
      <c r="E24" s="23"/>
      <c r="F24" s="23"/>
      <c r="G24" s="22"/>
      <c r="H24" s="23"/>
      <c r="I24" s="23"/>
      <c r="J24" s="22">
        <f>J3</f>
        <v>100</v>
      </c>
      <c r="K24" s="23">
        <f>K3</f>
        <v>0</v>
      </c>
      <c r="L24" s="24">
        <f>L3</f>
        <v>0</v>
      </c>
      <c r="Q24" s="5"/>
    </row>
    <row r="25" spans="2:17" ht="18.75" x14ac:dyDescent="0.3">
      <c r="C25" s="25">
        <f>C4</f>
        <v>43607</v>
      </c>
      <c r="D25" s="41">
        <f>D4</f>
        <v>100</v>
      </c>
      <c r="E25" s="41">
        <f>E4</f>
        <v>550</v>
      </c>
      <c r="F25" s="41">
        <f>F4</f>
        <v>55000</v>
      </c>
      <c r="G25" s="41"/>
      <c r="H25" s="41"/>
      <c r="I25" s="41"/>
      <c r="J25" s="41"/>
      <c r="K25" s="41"/>
      <c r="L25" s="41"/>
      <c r="Q25" s="5"/>
    </row>
    <row r="26" spans="2:17" ht="18.75" x14ac:dyDescent="0.3">
      <c r="C26" s="36"/>
      <c r="D26" s="42"/>
      <c r="E26" s="42"/>
      <c r="F26" s="42"/>
      <c r="G26" s="42"/>
      <c r="H26" s="42"/>
      <c r="I26" s="42"/>
      <c r="J26" s="42"/>
      <c r="K26" s="42"/>
      <c r="L26" s="42"/>
      <c r="Q26" s="5"/>
    </row>
    <row r="27" spans="2:17" ht="19.5" thickBot="1" x14ac:dyDescent="0.35">
      <c r="C27" s="29"/>
      <c r="D27" s="43"/>
      <c r="E27" s="43"/>
      <c r="F27" s="43"/>
      <c r="G27" s="43"/>
      <c r="H27" s="43"/>
      <c r="I27" s="43"/>
      <c r="J27" s="43"/>
      <c r="K27" s="43"/>
      <c r="L27" s="43"/>
      <c r="Q27" s="5"/>
    </row>
    <row r="28" spans="2:17" ht="18.75" x14ac:dyDescent="0.3">
      <c r="C28" s="30">
        <f>C7</f>
        <v>43608</v>
      </c>
      <c r="D28" s="44"/>
      <c r="E28" s="44"/>
      <c r="F28" s="44"/>
      <c r="G28" s="44"/>
      <c r="H28" s="44"/>
      <c r="I28" s="44"/>
      <c r="J28" s="44"/>
      <c r="K28" s="44"/>
      <c r="L28" s="44"/>
      <c r="Q28" s="5"/>
    </row>
    <row r="29" spans="2:17" ht="18.75" x14ac:dyDescent="0.3">
      <c r="C29" s="34"/>
      <c r="D29" s="45"/>
      <c r="E29" s="45"/>
      <c r="F29" s="45"/>
      <c r="G29" s="45"/>
      <c r="H29" s="45"/>
      <c r="I29" s="45"/>
      <c r="J29" s="45"/>
      <c r="K29" s="45"/>
      <c r="L29" s="45"/>
      <c r="Q29" s="5"/>
    </row>
    <row r="30" spans="2:17" ht="19.5" thickBot="1" x14ac:dyDescent="0.35">
      <c r="C30" s="35"/>
      <c r="D30" s="45"/>
      <c r="E30" s="45"/>
      <c r="F30" s="45"/>
      <c r="G30" s="45"/>
      <c r="H30" s="45"/>
      <c r="I30" s="45"/>
      <c r="J30" s="45"/>
      <c r="K30" s="45"/>
      <c r="L30" s="45"/>
      <c r="Q30" s="5"/>
    </row>
    <row r="31" spans="2:17" ht="18.75" x14ac:dyDescent="0.3">
      <c r="C31" s="25">
        <f>C10</f>
        <v>43609</v>
      </c>
      <c r="D31" s="41"/>
      <c r="E31" s="41"/>
      <c r="F31" s="41"/>
      <c r="G31" s="41"/>
      <c r="H31" s="41"/>
      <c r="I31" s="41"/>
      <c r="J31" s="41"/>
      <c r="K31" s="41"/>
      <c r="L31" s="41"/>
      <c r="Q31" s="5"/>
    </row>
    <row r="32" spans="2:17" ht="18.75" x14ac:dyDescent="0.3">
      <c r="C32" s="36"/>
      <c r="D32" s="46"/>
      <c r="E32" s="46"/>
      <c r="F32" s="46"/>
      <c r="G32" s="46"/>
      <c r="H32" s="46"/>
      <c r="I32" s="46"/>
      <c r="J32" s="46"/>
      <c r="K32" s="46"/>
      <c r="L32" s="46"/>
      <c r="Q32" s="5"/>
    </row>
    <row r="33" spans="3:17" ht="19.5" thickBot="1" x14ac:dyDescent="0.35">
      <c r="C33" s="36"/>
      <c r="D33" s="46"/>
      <c r="E33" s="46"/>
      <c r="F33" s="46"/>
      <c r="G33" s="46"/>
      <c r="H33" s="46"/>
      <c r="I33" s="46"/>
      <c r="J33" s="46"/>
      <c r="K33" s="46"/>
      <c r="L33" s="46"/>
      <c r="Q33" s="5"/>
    </row>
    <row r="34" spans="3:17" ht="18.75" x14ac:dyDescent="0.3">
      <c r="C34" s="30">
        <f>C13</f>
        <v>43610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3:17" ht="18.75" x14ac:dyDescent="0.3">
      <c r="C35" s="34"/>
      <c r="D35" s="47"/>
      <c r="E35" s="47"/>
      <c r="F35" s="47"/>
      <c r="G35" s="47"/>
      <c r="H35" s="47"/>
      <c r="I35" s="47"/>
      <c r="J35" s="47"/>
      <c r="K35" s="47"/>
      <c r="L35" s="47"/>
    </row>
    <row r="36" spans="3:17" ht="19.5" thickBot="1" x14ac:dyDescent="0.35">
      <c r="C36" s="34"/>
      <c r="D36" s="45"/>
      <c r="E36" s="45"/>
      <c r="F36" s="45"/>
      <c r="G36" s="45"/>
      <c r="H36" s="45"/>
      <c r="I36" s="45"/>
      <c r="J36" s="45"/>
      <c r="K36" s="45"/>
      <c r="L36" s="45"/>
    </row>
    <row r="37" spans="3:17" ht="18.75" x14ac:dyDescent="0.3">
      <c r="C37" s="25">
        <f>C16</f>
        <v>43611</v>
      </c>
      <c r="D37" s="41"/>
      <c r="E37" s="41"/>
      <c r="F37" s="41"/>
      <c r="G37" s="41"/>
      <c r="H37" s="41"/>
      <c r="I37" s="41"/>
      <c r="J37" s="41"/>
      <c r="K37" s="41"/>
      <c r="L37" s="41"/>
    </row>
    <row r="38" spans="3:17" ht="18.75" x14ac:dyDescent="0.3">
      <c r="C38" s="36"/>
      <c r="D38" s="42"/>
      <c r="E38" s="42"/>
      <c r="F38" s="42"/>
      <c r="G38" s="42"/>
      <c r="H38" s="42"/>
      <c r="I38" s="42"/>
      <c r="J38" s="42"/>
      <c r="K38" s="42"/>
      <c r="L38" s="42"/>
    </row>
    <row r="39" spans="3:17" ht="18.75" x14ac:dyDescent="0.3">
      <c r="C39" s="36"/>
      <c r="D39" s="46"/>
      <c r="E39" s="46"/>
      <c r="F39" s="46"/>
      <c r="G39" s="46"/>
      <c r="H39" s="46"/>
      <c r="I39" s="46"/>
      <c r="J39" s="46"/>
      <c r="K39" s="46"/>
      <c r="L39" s="46"/>
    </row>
    <row r="40" spans="3:17" ht="18.75" x14ac:dyDescent="0.3">
      <c r="C40" s="37" t="s">
        <v>161</v>
      </c>
      <c r="D40" s="37"/>
      <c r="E40" s="38"/>
      <c r="F40" s="38"/>
      <c r="G40" s="37"/>
      <c r="H40" s="38"/>
      <c r="I40" s="38">
        <f>SUM(I24:I39)</f>
        <v>0</v>
      </c>
      <c r="J40" s="37"/>
      <c r="K40" s="37"/>
      <c r="L40" s="38">
        <f>L39+L37</f>
        <v>0</v>
      </c>
    </row>
    <row r="41" spans="3:17" x14ac:dyDescent="0.25">
      <c r="E41" s="5"/>
      <c r="F41" s="5"/>
    </row>
    <row r="42" spans="3:17" x14ac:dyDescent="0.25">
      <c r="E42" s="5"/>
      <c r="F42" s="5"/>
    </row>
    <row r="43" spans="3:17" ht="15.75" thickBot="1" x14ac:dyDescent="0.3">
      <c r="C43" s="6" t="s">
        <v>163</v>
      </c>
      <c r="E43" s="5"/>
      <c r="F43" s="5"/>
    </row>
    <row r="44" spans="3:17" ht="15.75" thickBot="1" x14ac:dyDescent="0.3">
      <c r="C44" s="18" t="s">
        <v>52</v>
      </c>
      <c r="D44" s="19" t="s">
        <v>152</v>
      </c>
      <c r="E44" s="40" t="s">
        <v>153</v>
      </c>
      <c r="F44" s="40" t="s">
        <v>154</v>
      </c>
      <c r="G44" s="20" t="s">
        <v>152</v>
      </c>
      <c r="H44" s="20" t="s">
        <v>153</v>
      </c>
      <c r="I44" s="20" t="s">
        <v>154</v>
      </c>
      <c r="J44" s="18" t="s">
        <v>152</v>
      </c>
      <c r="K44" s="18" t="s">
        <v>153</v>
      </c>
      <c r="L44" s="18" t="s">
        <v>154</v>
      </c>
    </row>
    <row r="45" spans="3:17" ht="19.5" thickBot="1" x14ac:dyDescent="0.35">
      <c r="C45" s="21" t="str">
        <f>C24</f>
        <v>Inicial</v>
      </c>
      <c r="D45" s="22"/>
      <c r="E45" s="23"/>
      <c r="F45" s="23"/>
      <c r="G45" s="22"/>
      <c r="H45" s="22"/>
      <c r="I45" s="22"/>
      <c r="J45" s="22">
        <f>J24</f>
        <v>100</v>
      </c>
      <c r="K45" s="23">
        <f>K24</f>
        <v>0</v>
      </c>
      <c r="L45" s="24">
        <f>L24</f>
        <v>0</v>
      </c>
      <c r="Q45" s="5"/>
    </row>
    <row r="46" spans="3:17" ht="19.5" thickBot="1" x14ac:dyDescent="0.35">
      <c r="C46" s="25">
        <f>C25</f>
        <v>43607</v>
      </c>
      <c r="D46" s="26">
        <f>D25</f>
        <v>100</v>
      </c>
      <c r="E46" s="27">
        <f>E25</f>
        <v>550</v>
      </c>
      <c r="F46" s="27">
        <f>F25</f>
        <v>55000</v>
      </c>
      <c r="G46" s="26"/>
      <c r="H46" s="26"/>
      <c r="I46" s="26"/>
      <c r="J46" s="26">
        <f>J45+D46-G46</f>
        <v>200</v>
      </c>
      <c r="K46" s="27">
        <f>L46/J46</f>
        <v>275</v>
      </c>
      <c r="L46" s="28">
        <f>L45+F46-I46</f>
        <v>55000</v>
      </c>
      <c r="Q46" s="5"/>
    </row>
    <row r="47" spans="3:17" ht="19.5" thickBot="1" x14ac:dyDescent="0.35">
      <c r="C47" s="30">
        <f>C28</f>
        <v>43608</v>
      </c>
      <c r="D47" s="31"/>
      <c r="E47" s="32"/>
      <c r="F47" s="32"/>
      <c r="G47" s="31">
        <f>G28</f>
        <v>0</v>
      </c>
      <c r="H47" s="32">
        <f>K46</f>
        <v>275</v>
      </c>
      <c r="I47" s="32">
        <f>G47*H47</f>
        <v>0</v>
      </c>
      <c r="J47" s="31">
        <f>J46+D47-G47</f>
        <v>200</v>
      </c>
      <c r="K47" s="32">
        <f>L47/J47</f>
        <v>275</v>
      </c>
      <c r="L47" s="33">
        <f>L46+F47-I47</f>
        <v>55000</v>
      </c>
      <c r="Q47" s="5"/>
    </row>
    <row r="48" spans="3:17" ht="19.5" thickBot="1" x14ac:dyDescent="0.35">
      <c r="C48" s="25">
        <f>C31</f>
        <v>43609</v>
      </c>
      <c r="D48" s="26"/>
      <c r="E48" s="27"/>
      <c r="F48" s="27"/>
      <c r="G48" s="26">
        <f>G31</f>
        <v>0</v>
      </c>
      <c r="H48" s="27">
        <f>K47</f>
        <v>275</v>
      </c>
      <c r="I48" s="27">
        <f>G48*H48</f>
        <v>0</v>
      </c>
      <c r="J48" s="26">
        <f>J47+D48-G48</f>
        <v>200</v>
      </c>
      <c r="K48" s="27">
        <f>L48/J48</f>
        <v>275</v>
      </c>
      <c r="L48" s="28">
        <f>L47+F48-I48</f>
        <v>55000</v>
      </c>
      <c r="Q48" s="5"/>
    </row>
    <row r="49" spans="3:17" ht="19.5" thickBot="1" x14ac:dyDescent="0.35">
      <c r="C49" s="30">
        <f>C34</f>
        <v>43610</v>
      </c>
      <c r="D49" s="31">
        <v>50</v>
      </c>
      <c r="E49" s="32">
        <v>260</v>
      </c>
      <c r="F49" s="32">
        <f>D49*E49</f>
        <v>13000</v>
      </c>
      <c r="G49" s="31"/>
      <c r="H49" s="32"/>
      <c r="I49" s="31"/>
      <c r="J49" s="31">
        <f>J48+D49-G49</f>
        <v>250</v>
      </c>
      <c r="K49" s="32">
        <f>L49/J49</f>
        <v>272</v>
      </c>
      <c r="L49" s="33">
        <f>L48+F49-I49</f>
        <v>68000</v>
      </c>
      <c r="Q49" s="5"/>
    </row>
    <row r="50" spans="3:17" ht="18.75" x14ac:dyDescent="0.3">
      <c r="C50" s="25">
        <f>C37</f>
        <v>43611</v>
      </c>
      <c r="D50" s="26"/>
      <c r="E50" s="27"/>
      <c r="F50" s="27"/>
      <c r="G50" s="26"/>
      <c r="H50" s="27"/>
      <c r="I50" s="27"/>
      <c r="J50" s="26">
        <f>J49+D50-G50</f>
        <v>250</v>
      </c>
      <c r="K50" s="27">
        <f>L50/J50</f>
        <v>272</v>
      </c>
      <c r="L50" s="28">
        <f>L49+F50-I50</f>
        <v>68000</v>
      </c>
      <c r="Q50" s="5"/>
    </row>
    <row r="51" spans="3:17" ht="18.75" x14ac:dyDescent="0.3">
      <c r="C51" s="37" t="s">
        <v>161</v>
      </c>
      <c r="D51" s="37"/>
      <c r="E51" s="38"/>
      <c r="F51" s="38"/>
      <c r="G51" s="37"/>
      <c r="H51" s="37"/>
      <c r="I51" s="38">
        <f>SUM(I45:I50)</f>
        <v>0</v>
      </c>
      <c r="J51" s="37"/>
      <c r="K51" s="37"/>
      <c r="L51" s="38">
        <f>L50</f>
        <v>68000</v>
      </c>
      <c r="Q51" s="5"/>
    </row>
    <row r="52" spans="3:17" x14ac:dyDescent="0.25">
      <c r="E52" s="5"/>
      <c r="F52" s="5"/>
      <c r="Q52" s="5"/>
    </row>
    <row r="53" spans="3:17" x14ac:dyDescent="0.25">
      <c r="E53" s="5"/>
      <c r="F53" s="5"/>
      <c r="Q53" s="5"/>
    </row>
    <row r="54" spans="3:17" x14ac:dyDescent="0.25">
      <c r="E54" s="5"/>
      <c r="F54" s="5"/>
    </row>
    <row r="55" spans="3:17" x14ac:dyDescent="0.25">
      <c r="E55" s="5"/>
      <c r="F55" s="5"/>
    </row>
    <row r="56" spans="3:17" x14ac:dyDescent="0.25">
      <c r="E56" s="5"/>
      <c r="F56" s="5"/>
    </row>
    <row r="57" spans="3:17" x14ac:dyDescent="0.25">
      <c r="E57" s="5"/>
      <c r="F57" s="5"/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Setup</vt:lpstr>
      <vt:lpstr>Livro Diário</vt:lpstr>
      <vt:lpstr>Livro Razao</vt:lpstr>
      <vt:lpstr>Razonete</vt:lpstr>
      <vt:lpstr>Balancete</vt:lpstr>
      <vt:lpstr>Balanço Patrimonial</vt:lpstr>
      <vt:lpstr>DRE</vt:lpstr>
      <vt:lpstr>DFC</vt:lpstr>
      <vt:lpstr>FICHA DE AVALIACAO DO ESTOQUE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Luciano Carvalho</dc:creator>
  <cp:keywords/>
  <dc:description/>
  <cp:lastModifiedBy>RH</cp:lastModifiedBy>
  <cp:revision/>
  <dcterms:created xsi:type="dcterms:W3CDTF">2019-07-02T19:33:40Z</dcterms:created>
  <dcterms:modified xsi:type="dcterms:W3CDTF">2022-01-20T23:59:42Z</dcterms:modified>
  <cp:category/>
  <cp:contentStatus/>
</cp:coreProperties>
</file>